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 Lee\Dropbox\MECHATRONICS PROJECT 1\Solarboat Data\"/>
    </mc:Choice>
  </mc:AlternateContent>
  <xr:revisionPtr revIDLastSave="0" documentId="13_ncr:1_{7331045B-A4E8-4360-9ECC-1A9FAA6AA532}" xr6:coauthVersionLast="46" xr6:coauthVersionMax="46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hull data" sheetId="4" r:id="rId1"/>
    <sheet name="resistance" sheetId="1" r:id="rId2"/>
    <sheet name="propulsion ENG" sheetId="2" r:id="rId3"/>
    <sheet name="ENG copy" sheetId="13" r:id="rId4"/>
    <sheet name="propulsion MAROF" sheetId="6" r:id="rId5"/>
    <sheet name="OW props" sheetId="3" r:id="rId6"/>
    <sheet name="Motor" sheetId="7" r:id="rId7"/>
    <sheet name="Battery" sheetId="8" r:id="rId8"/>
    <sheet name="Solar Panels" sheetId="9" r:id="rId9"/>
    <sheet name="Safety Electronics" sheetId="10" r:id="rId10"/>
    <sheet name="Curves" sheetId="11" r:id="rId11"/>
    <sheet name="Analyse aandrijving maro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3" l="1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I4" i="13" l="1"/>
  <c r="F4" i="13"/>
  <c r="D3" i="13" a="1"/>
  <c r="D3" i="13" s="1"/>
  <c r="G3" i="13" a="1"/>
  <c r="G3" i="13" s="1"/>
  <c r="Z16" i="2"/>
  <c r="AA16" i="2" s="1"/>
  <c r="Y16" i="2"/>
  <c r="Y25" i="2"/>
  <c r="X23" i="2"/>
  <c r="Z18" i="2"/>
  <c r="Z15" i="2"/>
  <c r="I16" i="2"/>
  <c r="Y21" i="2"/>
  <c r="Z21" i="2"/>
  <c r="J17" i="2"/>
  <c r="N17" i="2"/>
  <c r="V17" i="2"/>
  <c r="W17" i="2"/>
  <c r="Y15" i="2"/>
  <c r="U18" i="2"/>
  <c r="M17" i="2" l="1"/>
  <c r="L17" i="2"/>
  <c r="M15" i="2"/>
  <c r="I13" i="2"/>
  <c r="I14" i="2"/>
  <c r="I15" i="2"/>
  <c r="I17" i="2"/>
  <c r="I18" i="2"/>
  <c r="N19" i="2"/>
  <c r="G17" i="2"/>
  <c r="J19" i="2"/>
  <c r="J29" i="2"/>
  <c r="M30" i="2"/>
  <c r="AU59" i="2"/>
  <c r="AX29" i="2" a="1"/>
  <c r="AX29" i="2" s="1"/>
  <c r="AV19" i="2" a="1"/>
  <c r="AV19" i="2" s="1"/>
  <c r="K17" i="2" l="1"/>
  <c r="AH22" i="2"/>
  <c r="AH13" i="2"/>
  <c r="K16" i="2"/>
  <c r="K15" i="2"/>
  <c r="E12" i="1"/>
  <c r="I17" i="6"/>
  <c r="K17" i="6"/>
  <c r="P15" i="6"/>
  <c r="N17" i="6"/>
  <c r="N14" i="6"/>
  <c r="L14" i="6"/>
  <c r="L16" i="6"/>
  <c r="AX16" i="2" l="1" a="1"/>
  <c r="AX16" i="2" s="1"/>
  <c r="AU16" i="2" a="1"/>
  <c r="AU16" i="2" s="1"/>
  <c r="AE57" i="12"/>
  <c r="AE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3" i="12"/>
  <c r="AE56" i="12"/>
  <c r="U19" i="12" l="1"/>
  <c r="AB55" i="12"/>
  <c r="AC36" i="12"/>
  <c r="AA49" i="12"/>
  <c r="AB26" i="12"/>
  <c r="AC48" i="12" l="1"/>
  <c r="AC37" i="12"/>
  <c r="AC43" i="12"/>
  <c r="AC47" i="12"/>
  <c r="AC35" i="12"/>
  <c r="AC46" i="12"/>
  <c r="AC34" i="12"/>
  <c r="AC45" i="12"/>
  <c r="AC33" i="12"/>
  <c r="AC44" i="12"/>
  <c r="AC42" i="12"/>
  <c r="AC41" i="12"/>
  <c r="AC40" i="12"/>
  <c r="AC39" i="12"/>
  <c r="AC38" i="12"/>
  <c r="AC32" i="12"/>
  <c r="E4" i="2" l="1"/>
  <c r="G34" i="12" l="1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K19" i="12"/>
  <c r="L19" i="12" s="1"/>
  <c r="G19" i="12"/>
  <c r="G18" i="12"/>
  <c r="G17" i="12"/>
  <c r="G16" i="12"/>
  <c r="G15" i="12"/>
  <c r="G14" i="12"/>
  <c r="G13" i="12"/>
  <c r="G12" i="12"/>
  <c r="K11" i="12"/>
  <c r="L11" i="12" s="1"/>
  <c r="G11" i="12"/>
  <c r="G10" i="12"/>
  <c r="G9" i="12"/>
  <c r="G8" i="12"/>
  <c r="G7" i="12"/>
  <c r="G6" i="12"/>
  <c r="G5" i="12"/>
  <c r="O4" i="12"/>
  <c r="K4" i="12"/>
  <c r="L4" i="12" s="1"/>
  <c r="G4" i="12"/>
  <c r="E4" i="12"/>
  <c r="D4" i="12"/>
  <c r="O3" i="12"/>
  <c r="N3" i="12"/>
  <c r="M3" i="12"/>
  <c r="K3" i="12"/>
  <c r="L3" i="12" s="1"/>
  <c r="J3" i="12"/>
  <c r="I3" i="12"/>
  <c r="H3" i="12"/>
  <c r="G3" i="12"/>
  <c r="F3" i="12"/>
  <c r="E3" i="12"/>
  <c r="D3" i="12"/>
  <c r="C3" i="12"/>
  <c r="P2" i="12"/>
  <c r="L2" i="12"/>
  <c r="C10" i="7" l="1"/>
  <c r="AK7" i="6" s="1"/>
  <c r="B6" i="7"/>
  <c r="B7" i="7"/>
  <c r="P2" i="11" l="1"/>
  <c r="AH14" i="6" l="1"/>
  <c r="K5" i="12" s="1"/>
  <c r="L5" i="12" s="1"/>
  <c r="K5" i="11"/>
  <c r="L5" i="11" s="1"/>
  <c r="AH15" i="6"/>
  <c r="K6" i="11" s="1"/>
  <c r="L6" i="11" s="1"/>
  <c r="K11" i="11"/>
  <c r="L11" i="11" s="1"/>
  <c r="AH21" i="6"/>
  <c r="K12" i="12" s="1"/>
  <c r="L12" i="12" s="1"/>
  <c r="K19" i="11"/>
  <c r="L19" i="11" s="1"/>
  <c r="AH29" i="6"/>
  <c r="K4" i="11"/>
  <c r="L4" i="11" s="1"/>
  <c r="K3" i="11"/>
  <c r="L3" i="11" s="1"/>
  <c r="K2" i="11"/>
  <c r="L2" i="11" s="1"/>
  <c r="M3" i="11"/>
  <c r="N3" i="11"/>
  <c r="O3" i="11"/>
  <c r="W13" i="6"/>
  <c r="AA55" i="12" s="1"/>
  <c r="AB13" i="6"/>
  <c r="O4" i="11"/>
  <c r="J6" i="1"/>
  <c r="M6" i="1" s="1"/>
  <c r="N6" i="1" s="1"/>
  <c r="C5" i="1"/>
  <c r="E6" i="1"/>
  <c r="D6" i="1"/>
  <c r="E5" i="1"/>
  <c r="J7" i="1"/>
  <c r="J8" i="1"/>
  <c r="B16" i="6" s="1"/>
  <c r="J9" i="1"/>
  <c r="B17" i="6" s="1"/>
  <c r="M9" i="1"/>
  <c r="J10" i="1"/>
  <c r="B18" i="6" s="1"/>
  <c r="J11" i="1"/>
  <c r="M11" i="1" s="1"/>
  <c r="N11" i="1" s="1"/>
  <c r="J12" i="1"/>
  <c r="M12" i="1" s="1"/>
  <c r="O12" i="1" s="1"/>
  <c r="Q12" i="1" s="1"/>
  <c r="X12" i="1" s="1"/>
  <c r="B20" i="6"/>
  <c r="J13" i="1"/>
  <c r="M13" i="1" s="1"/>
  <c r="J14" i="1"/>
  <c r="B22" i="6" s="1"/>
  <c r="M14" i="1"/>
  <c r="J15" i="1"/>
  <c r="B23" i="6" s="1"/>
  <c r="A14" i="12" s="1"/>
  <c r="J16" i="1"/>
  <c r="M16" i="1" s="1"/>
  <c r="N16" i="1" s="1"/>
  <c r="O16" i="1"/>
  <c r="J17" i="1"/>
  <c r="M17" i="1" s="1"/>
  <c r="E7" i="1"/>
  <c r="J18" i="1"/>
  <c r="J19" i="1"/>
  <c r="E8" i="1"/>
  <c r="D8" i="1"/>
  <c r="G8" i="1" s="1"/>
  <c r="J20" i="1"/>
  <c r="M20" i="1" s="1"/>
  <c r="B28" i="6"/>
  <c r="A19" i="12" s="1"/>
  <c r="J21" i="1"/>
  <c r="E9" i="1"/>
  <c r="D9" i="1" s="1"/>
  <c r="G9" i="1" s="1"/>
  <c r="J22" i="1"/>
  <c r="M22" i="1" s="1"/>
  <c r="B30" i="6"/>
  <c r="A21" i="12" s="1"/>
  <c r="J23" i="1"/>
  <c r="M23" i="1" s="1"/>
  <c r="J24" i="1"/>
  <c r="M24" i="1" s="1"/>
  <c r="E10" i="1"/>
  <c r="D10" i="1" s="1"/>
  <c r="J25" i="1"/>
  <c r="E11" i="1"/>
  <c r="J26" i="1"/>
  <c r="B34" i="6" s="1"/>
  <c r="A25" i="11" s="1"/>
  <c r="J27" i="1"/>
  <c r="B35" i="6" s="1"/>
  <c r="J28" i="1"/>
  <c r="B36" i="6" s="1"/>
  <c r="D12" i="1"/>
  <c r="J29" i="1"/>
  <c r="B37" i="6" s="1"/>
  <c r="M29" i="1"/>
  <c r="N29" i="1" s="1"/>
  <c r="O29" i="1"/>
  <c r="Q29" i="1" s="1"/>
  <c r="X29" i="1" s="1"/>
  <c r="J30" i="1"/>
  <c r="B38" i="6" s="1"/>
  <c r="J31" i="1"/>
  <c r="M31" i="1" s="1"/>
  <c r="O31" i="1" s="1"/>
  <c r="Q31" i="1" s="1"/>
  <c r="T31" i="1" s="1"/>
  <c r="J32" i="1"/>
  <c r="M32" i="1" s="1"/>
  <c r="J33" i="1"/>
  <c r="B41" i="6" s="1"/>
  <c r="A32" i="12" s="1"/>
  <c r="M33" i="1"/>
  <c r="O33" i="1" s="1"/>
  <c r="J34" i="1"/>
  <c r="M34" i="1" s="1"/>
  <c r="B42" i="6"/>
  <c r="A33" i="12" s="1"/>
  <c r="J35" i="1"/>
  <c r="B43" i="6" s="1"/>
  <c r="A34" i="12" s="1"/>
  <c r="M2" i="11"/>
  <c r="N2" i="11"/>
  <c r="O2" i="11"/>
  <c r="H3" i="11"/>
  <c r="I3" i="11"/>
  <c r="J3" i="11"/>
  <c r="J2" i="11"/>
  <c r="I2" i="11"/>
  <c r="H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2" i="11"/>
  <c r="F3" i="11"/>
  <c r="F4" i="11"/>
  <c r="F2" i="11"/>
  <c r="E3" i="11"/>
  <c r="E4" i="11"/>
  <c r="E2" i="11"/>
  <c r="D3" i="11"/>
  <c r="D4" i="11"/>
  <c r="D2" i="11"/>
  <c r="C3" i="11"/>
  <c r="C41" i="6"/>
  <c r="A33" i="11"/>
  <c r="C42" i="6"/>
  <c r="C43" i="6"/>
  <c r="C12" i="6"/>
  <c r="C13" i="6"/>
  <c r="C14" i="6"/>
  <c r="C15" i="6"/>
  <c r="B6" i="12" s="1"/>
  <c r="P6" i="12" s="1"/>
  <c r="C16" i="6"/>
  <c r="C17" i="6"/>
  <c r="B8" i="12" s="1"/>
  <c r="P8" i="12" s="1"/>
  <c r="B8" i="11"/>
  <c r="P8" i="11" s="1"/>
  <c r="C18" i="6"/>
  <c r="C19" i="6"/>
  <c r="C20" i="6"/>
  <c r="C21" i="6"/>
  <c r="C22" i="6"/>
  <c r="AQ22" i="6" s="1"/>
  <c r="BG22" i="6" s="1"/>
  <c r="C23" i="6"/>
  <c r="B14" i="12" s="1"/>
  <c r="P14" i="12" s="1"/>
  <c r="C24" i="6"/>
  <c r="C25" i="6"/>
  <c r="B16" i="12" s="1"/>
  <c r="P16" i="12" s="1"/>
  <c r="C26" i="6"/>
  <c r="AQ26" i="6" s="1"/>
  <c r="BG26" i="6" s="1"/>
  <c r="C27" i="6"/>
  <c r="C28" i="6"/>
  <c r="C29" i="6"/>
  <c r="C30" i="6"/>
  <c r="AQ30" i="6" s="1"/>
  <c r="BG30" i="6" s="1"/>
  <c r="C31" i="6"/>
  <c r="B22" i="12" s="1"/>
  <c r="P22" i="12" s="1"/>
  <c r="C32" i="6"/>
  <c r="AQ32" i="6" s="1"/>
  <c r="BG32" i="6" s="1"/>
  <c r="C33" i="6"/>
  <c r="B24" i="12" s="1"/>
  <c r="P24" i="12" s="1"/>
  <c r="B24" i="11"/>
  <c r="P24" i="11" s="1"/>
  <c r="C34" i="6"/>
  <c r="C35" i="6"/>
  <c r="C36" i="6"/>
  <c r="C37" i="6"/>
  <c r="AQ37" i="6" s="1"/>
  <c r="BG37" i="6" s="1"/>
  <c r="C38" i="6"/>
  <c r="C39" i="6"/>
  <c r="B30" i="12" s="1"/>
  <c r="P30" i="12" s="1"/>
  <c r="C40" i="6"/>
  <c r="J5" i="1"/>
  <c r="B13" i="6" s="1"/>
  <c r="A4" i="12" s="1"/>
  <c r="A9" i="11"/>
  <c r="A11" i="11"/>
  <c r="A19" i="11"/>
  <c r="A21" i="11"/>
  <c r="B12" i="6"/>
  <c r="C7" i="4"/>
  <c r="C44" i="1"/>
  <c r="H14" i="9"/>
  <c r="C10" i="9"/>
  <c r="I7" i="9" s="1"/>
  <c r="J7" i="9" s="1"/>
  <c r="K7" i="9" s="1"/>
  <c r="H7" i="9"/>
  <c r="H10" i="9"/>
  <c r="H11" i="9"/>
  <c r="H15" i="9"/>
  <c r="H6" i="9"/>
  <c r="H8" i="9"/>
  <c r="H9" i="9"/>
  <c r="H12" i="9"/>
  <c r="H13" i="9"/>
  <c r="H16" i="9"/>
  <c r="H17" i="9"/>
  <c r="E6" i="10"/>
  <c r="G6" i="10" s="1"/>
  <c r="J6" i="10" s="1"/>
  <c r="E3" i="10"/>
  <c r="G3" i="10" s="1"/>
  <c r="J3" i="10" s="1"/>
  <c r="J8" i="10" s="1"/>
  <c r="AO8" i="6" s="1"/>
  <c r="E4" i="10"/>
  <c r="G4" i="10" s="1"/>
  <c r="J4" i="10" s="1"/>
  <c r="E5" i="10"/>
  <c r="G5" i="10" s="1"/>
  <c r="J5" i="10" s="1"/>
  <c r="M7" i="9"/>
  <c r="M8" i="9"/>
  <c r="M9" i="9"/>
  <c r="M10" i="9"/>
  <c r="M11" i="9"/>
  <c r="M12" i="9"/>
  <c r="M13" i="9"/>
  <c r="M14" i="9"/>
  <c r="M15" i="9"/>
  <c r="M16" i="9"/>
  <c r="M17" i="9"/>
  <c r="M6" i="9"/>
  <c r="BG12" i="6"/>
  <c r="BG13" i="6"/>
  <c r="BG11" i="6"/>
  <c r="K4" i="9"/>
  <c r="C12" i="9"/>
  <c r="C14" i="9" s="1"/>
  <c r="C4" i="8"/>
  <c r="C7" i="7"/>
  <c r="D7" i="7"/>
  <c r="E7" i="7"/>
  <c r="F7" i="7"/>
  <c r="C19" i="8"/>
  <c r="C20" i="8" s="1"/>
  <c r="C5" i="8"/>
  <c r="C6" i="8"/>
  <c r="C7" i="8"/>
  <c r="A7" i="8"/>
  <c r="C17" i="8"/>
  <c r="C15" i="8"/>
  <c r="BL8" i="6"/>
  <c r="BM8" i="6"/>
  <c r="C6" i="7"/>
  <c r="D6" i="7"/>
  <c r="E6" i="7"/>
  <c r="F6" i="7"/>
  <c r="T3" i="6"/>
  <c r="AQ43" i="6"/>
  <c r="BG43" i="6" s="1"/>
  <c r="AQ42" i="6"/>
  <c r="BG42" i="6"/>
  <c r="AQ41" i="6"/>
  <c r="BG41" i="6" s="1"/>
  <c r="AQ40" i="6"/>
  <c r="BG40" i="6" s="1"/>
  <c r="AQ38" i="6"/>
  <c r="BG38" i="6" s="1"/>
  <c r="AQ36" i="6"/>
  <c r="BG36" i="6" s="1"/>
  <c r="AQ31" i="6"/>
  <c r="BG31" i="6" s="1"/>
  <c r="AQ27" i="6"/>
  <c r="BG27" i="6" s="1"/>
  <c r="AQ24" i="6"/>
  <c r="BG24" i="6" s="1"/>
  <c r="AQ20" i="6"/>
  <c r="BG20" i="6" s="1"/>
  <c r="AQ18" i="6"/>
  <c r="BG18" i="6" s="1"/>
  <c r="AQ17" i="6"/>
  <c r="BG17" i="6" s="1"/>
  <c r="AQ15" i="6"/>
  <c r="BG15" i="6" s="1"/>
  <c r="AQ14" i="6"/>
  <c r="BG14" i="6" s="1"/>
  <c r="DE13" i="6"/>
  <c r="DE51" i="6" s="1"/>
  <c r="DD13" i="6"/>
  <c r="DD51" i="6" s="1"/>
  <c r="DC13" i="6"/>
  <c r="DC51" i="6" s="1"/>
  <c r="DB13" i="6"/>
  <c r="DB51" i="6" s="1"/>
  <c r="DA13" i="6"/>
  <c r="DA51" i="6" s="1"/>
  <c r="CZ13" i="6"/>
  <c r="CZ51" i="6" s="1"/>
  <c r="CY13" i="6"/>
  <c r="CY51" i="6" s="1"/>
  <c r="CX13" i="6"/>
  <c r="CX51" i="6"/>
  <c r="CW13" i="6"/>
  <c r="CW51" i="6" s="1"/>
  <c r="CV13" i="6"/>
  <c r="CV51" i="6" s="1"/>
  <c r="CU13" i="6"/>
  <c r="CU51" i="6" s="1"/>
  <c r="CT13" i="6"/>
  <c r="CT51" i="6" s="1"/>
  <c r="CS13" i="6"/>
  <c r="CS51" i="6" s="1"/>
  <c r="CR13" i="6"/>
  <c r="CR51" i="6"/>
  <c r="CQ13" i="6"/>
  <c r="CQ51" i="6" s="1"/>
  <c r="CP13" i="6"/>
  <c r="CP51" i="6" s="1"/>
  <c r="CO13" i="6"/>
  <c r="CO51" i="6" s="1"/>
  <c r="CN13" i="6"/>
  <c r="CN51" i="6" s="1"/>
  <c r="CM13" i="6"/>
  <c r="CM51" i="6" s="1"/>
  <c r="CL13" i="6"/>
  <c r="CL51" i="6" s="1"/>
  <c r="CK13" i="6"/>
  <c r="CK51" i="6" s="1"/>
  <c r="CJ13" i="6"/>
  <c r="CJ51" i="6"/>
  <c r="CI13" i="6"/>
  <c r="CI51" i="6" s="1"/>
  <c r="CH13" i="6"/>
  <c r="CH51" i="6" s="1"/>
  <c r="CG13" i="6"/>
  <c r="CG51" i="6" s="1"/>
  <c r="CF13" i="6"/>
  <c r="CF51" i="6"/>
  <c r="CE13" i="6"/>
  <c r="CE51" i="6" s="1"/>
  <c r="CD13" i="6"/>
  <c r="CD51" i="6" s="1"/>
  <c r="CC13" i="6"/>
  <c r="CC51" i="6" s="1"/>
  <c r="CB13" i="6"/>
  <c r="CB51" i="6" s="1"/>
  <c r="CA13" i="6"/>
  <c r="CA51" i="6" s="1"/>
  <c r="BZ13" i="6"/>
  <c r="BZ51" i="6" s="1"/>
  <c r="BY13" i="6"/>
  <c r="BY51" i="6" s="1"/>
  <c r="BX13" i="6"/>
  <c r="BX51" i="6" s="1"/>
  <c r="BW13" i="6"/>
  <c r="BW51" i="6" s="1"/>
  <c r="BV13" i="6"/>
  <c r="BV51" i="6" s="1"/>
  <c r="BU13" i="6"/>
  <c r="BU51" i="6" s="1"/>
  <c r="V13" i="6"/>
  <c r="AC55" i="12" s="1"/>
  <c r="O13" i="6"/>
  <c r="U13" i="6" s="1"/>
  <c r="G12" i="6"/>
  <c r="F12" i="6"/>
  <c r="E12" i="6"/>
  <c r="D12" i="6"/>
  <c r="G11" i="6"/>
  <c r="F11" i="6"/>
  <c r="E11" i="6"/>
  <c r="D11" i="6"/>
  <c r="B11" i="6"/>
  <c r="DE10" i="6"/>
  <c r="DD10" i="6"/>
  <c r="DC10" i="6"/>
  <c r="DB10" i="6"/>
  <c r="DA10" i="6"/>
  <c r="CZ10" i="6"/>
  <c r="CY10" i="6"/>
  <c r="CX10" i="6"/>
  <c r="CW10" i="6"/>
  <c r="CV10" i="6"/>
  <c r="CU10" i="6"/>
  <c r="CT10" i="6"/>
  <c r="CS10" i="6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DE5" i="6"/>
  <c r="DD5" i="6"/>
  <c r="DC5" i="6"/>
  <c r="DB5" i="6"/>
  <c r="DA5" i="6"/>
  <c r="CZ5" i="6"/>
  <c r="CY5" i="6"/>
  <c r="CX5" i="6"/>
  <c r="CW5" i="6"/>
  <c r="CV5" i="6"/>
  <c r="CU5" i="6"/>
  <c r="CT5" i="6"/>
  <c r="CS5" i="6"/>
  <c r="CR5" i="6"/>
  <c r="CQ5" i="6"/>
  <c r="CP5" i="6"/>
  <c r="CO5" i="6"/>
  <c r="CN5" i="6"/>
  <c r="CM5" i="6"/>
  <c r="CL5" i="6"/>
  <c r="CK5" i="6"/>
  <c r="CJ5" i="6"/>
  <c r="CI5" i="6"/>
  <c r="CH5" i="6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T4" i="6"/>
  <c r="N7" i="6" s="1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D8" i="3"/>
  <c r="D13" i="3"/>
  <c r="AQ19" i="6"/>
  <c r="BG19" i="6" s="1"/>
  <c r="AG21" i="2"/>
  <c r="AG22" i="2" s="1"/>
  <c r="AG23" i="2" s="1"/>
  <c r="AG24" i="2" s="1"/>
  <c r="AG25" i="2" s="1"/>
  <c r="AG26" i="2" s="1"/>
  <c r="AG27" i="2" s="1"/>
  <c r="AG14" i="2"/>
  <c r="AG15" i="2" s="1"/>
  <c r="AG16" i="2" s="1"/>
  <c r="AG17" i="2" s="1"/>
  <c r="AG18" i="2" s="1"/>
  <c r="AG19" i="2" s="1"/>
  <c r="O13" i="2"/>
  <c r="U13" i="2" s="1"/>
  <c r="AG5" i="2"/>
  <c r="AN8" i="2"/>
  <c r="AM8" i="2"/>
  <c r="AO5" i="1"/>
  <c r="AO6" i="1"/>
  <c r="AO7" i="1"/>
  <c r="AO8" i="1"/>
  <c r="AO9" i="1"/>
  <c r="AO10" i="1"/>
  <c r="AO11" i="1"/>
  <c r="AO12" i="1"/>
  <c r="AO13" i="1"/>
  <c r="AO14" i="1"/>
  <c r="AO15" i="1"/>
  <c r="AO16" i="1"/>
  <c r="AO4" i="1"/>
  <c r="G10" i="1"/>
  <c r="G6" i="1"/>
  <c r="G12" i="1"/>
  <c r="B41" i="1"/>
  <c r="C41" i="1"/>
  <c r="B42" i="1"/>
  <c r="B43" i="1"/>
  <c r="C43" i="1"/>
  <c r="B44" i="1"/>
  <c r="B45" i="1"/>
  <c r="C45" i="1"/>
  <c r="B46" i="1"/>
  <c r="B47" i="1"/>
  <c r="C47" i="1"/>
  <c r="C40" i="1"/>
  <c r="G11" i="1"/>
  <c r="B6" i="1"/>
  <c r="G5" i="1"/>
  <c r="E13" i="1"/>
  <c r="G13" i="1" s="1"/>
  <c r="E14" i="1"/>
  <c r="G14" i="1" s="1"/>
  <c r="E15" i="1"/>
  <c r="G15" i="1" s="1"/>
  <c r="E16" i="1"/>
  <c r="G16" i="1" s="1"/>
  <c r="E17" i="1"/>
  <c r="G17" i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T3" i="2"/>
  <c r="T4" i="2"/>
  <c r="N7" i="2" s="1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AG6" i="2"/>
  <c r="BT10" i="2"/>
  <c r="BU10" i="2"/>
  <c r="BV10" i="2"/>
  <c r="BW10" i="2"/>
  <c r="BX10" i="2"/>
  <c r="BY10" i="2"/>
  <c r="BZ10" i="2"/>
  <c r="CA10" i="2"/>
  <c r="CB10" i="2"/>
  <c r="B11" i="2"/>
  <c r="D11" i="2"/>
  <c r="E11" i="2"/>
  <c r="F11" i="2"/>
  <c r="G11" i="2"/>
  <c r="B12" i="2"/>
  <c r="C12" i="2"/>
  <c r="D12" i="2"/>
  <c r="E12" i="2"/>
  <c r="F12" i="2"/>
  <c r="G12" i="2"/>
  <c r="C13" i="2"/>
  <c r="V13" i="2"/>
  <c r="W13" i="2"/>
  <c r="AC13" i="2"/>
  <c r="AF13" i="2" s="1"/>
  <c r="BT13" i="2"/>
  <c r="BT51" i="2" s="1"/>
  <c r="BU13" i="2"/>
  <c r="BU51" i="2" s="1"/>
  <c r="BV13" i="2"/>
  <c r="BV51" i="2" s="1"/>
  <c r="BW13" i="2"/>
  <c r="BW51" i="2" s="1"/>
  <c r="BX13" i="2"/>
  <c r="BX51" i="2" s="1"/>
  <c r="BY13" i="2"/>
  <c r="BY51" i="2" s="1"/>
  <c r="BZ13" i="2"/>
  <c r="BZ51" i="2" s="1"/>
  <c r="CA13" i="2"/>
  <c r="CA51" i="2" s="1"/>
  <c r="CB13" i="2"/>
  <c r="CB51" i="2" s="1"/>
  <c r="C14" i="2"/>
  <c r="C15" i="2"/>
  <c r="C16" i="2"/>
  <c r="C17" i="2"/>
  <c r="C18" i="2"/>
  <c r="C19" i="2"/>
  <c r="C20" i="2"/>
  <c r="C21" i="2"/>
  <c r="C22" i="2"/>
  <c r="C23" i="2"/>
  <c r="C24" i="2"/>
  <c r="C25" i="2"/>
  <c r="B26" i="2"/>
  <c r="J26" i="2"/>
  <c r="C26" i="2"/>
  <c r="C27" i="2"/>
  <c r="C28" i="2"/>
  <c r="C29" i="2"/>
  <c r="AG29" i="2"/>
  <c r="AG30" i="2" s="1"/>
  <c r="AG31" i="2" s="1"/>
  <c r="AG32" i="2" s="1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G7" i="1"/>
  <c r="L11" i="1"/>
  <c r="L13" i="1"/>
  <c r="K18" i="1"/>
  <c r="L18" i="1"/>
  <c r="L20" i="1"/>
  <c r="L21" i="1"/>
  <c r="G25" i="1"/>
  <c r="G26" i="1"/>
  <c r="G27" i="1"/>
  <c r="G28" i="1"/>
  <c r="G29" i="1"/>
  <c r="G30" i="1"/>
  <c r="G31" i="1"/>
  <c r="G32" i="1"/>
  <c r="G33" i="1"/>
  <c r="G34" i="1"/>
  <c r="G35" i="1"/>
  <c r="AZ10" i="2"/>
  <c r="AV10" i="2"/>
  <c r="AS10" i="2"/>
  <c r="BJ10" i="2"/>
  <c r="BB10" i="2"/>
  <c r="BK13" i="2"/>
  <c r="BK51" i="2" s="1"/>
  <c r="BM10" i="2"/>
  <c r="BN13" i="2"/>
  <c r="BN51" i="2" s="1"/>
  <c r="BK10" i="2"/>
  <c r="BL13" i="2"/>
  <c r="BL51" i="2" s="1"/>
  <c r="BG10" i="2"/>
  <c r="BI13" i="2"/>
  <c r="BI51" i="2" s="1"/>
  <c r="BS13" i="2"/>
  <c r="BS51" i="2" s="1"/>
  <c r="BN10" i="2"/>
  <c r="BS10" i="2"/>
  <c r="BL10" i="2"/>
  <c r="BM13" i="2"/>
  <c r="BM51" i="2" s="1"/>
  <c r="BJ13" i="2"/>
  <c r="BJ51" i="2" s="1"/>
  <c r="AR13" i="2"/>
  <c r="AR51" i="2" s="1"/>
  <c r="BG13" i="2"/>
  <c r="BG51" i="2" s="1"/>
  <c r="AU10" i="2"/>
  <c r="BD10" i="2"/>
  <c r="AU13" i="2"/>
  <c r="AU51" i="2"/>
  <c r="BE10" i="2"/>
  <c r="BI10" i="2"/>
  <c r="AT10" i="2"/>
  <c r="AT13" i="2"/>
  <c r="AT51" i="2" s="1"/>
  <c r="AS13" i="2"/>
  <c r="BO13" i="2"/>
  <c r="BO51" i="2" s="1"/>
  <c r="BP10" i="2"/>
  <c r="BO10" i="2"/>
  <c r="BR13" i="2"/>
  <c r="BR51" i="2"/>
  <c r="BR10" i="2"/>
  <c r="BA10" i="2"/>
  <c r="AZ13" i="2"/>
  <c r="AZ51" i="2" s="1"/>
  <c r="BA13" i="2"/>
  <c r="BA51" i="2"/>
  <c r="BC10" i="2"/>
  <c r="BB13" i="2"/>
  <c r="BB51" i="2" s="1"/>
  <c r="BC13" i="2"/>
  <c r="BC51" i="2" s="1"/>
  <c r="BQ10" i="2"/>
  <c r="BP13" i="2"/>
  <c r="BP51" i="2" s="1"/>
  <c r="BQ13" i="2"/>
  <c r="BQ51" i="2" s="1"/>
  <c r="AY13" i="2"/>
  <c r="AY51" i="2"/>
  <c r="AY10" i="2"/>
  <c r="AV13" i="2"/>
  <c r="AV51" i="2" s="1"/>
  <c r="AW10" i="2"/>
  <c r="AW13" i="2"/>
  <c r="AW51" i="2"/>
  <c r="AX13" i="2"/>
  <c r="AX51" i="2" s="1"/>
  <c r="AX10" i="2"/>
  <c r="BF13" i="2"/>
  <c r="BF51" i="2" s="1"/>
  <c r="BF10" i="2"/>
  <c r="BE13" i="2"/>
  <c r="BE51" i="2" s="1"/>
  <c r="BH10" i="2"/>
  <c r="AR10" i="2"/>
  <c r="BD13" i="2"/>
  <c r="BD51" i="2" s="1"/>
  <c r="BH13" i="2"/>
  <c r="BH51" i="2" s="1"/>
  <c r="B10" i="1"/>
  <c r="B11" i="1"/>
  <c r="B8" i="1"/>
  <c r="B7" i="1"/>
  <c r="B9" i="1"/>
  <c r="B12" i="1"/>
  <c r="K11" i="1"/>
  <c r="K8" i="1"/>
  <c r="B19" i="2"/>
  <c r="B24" i="2"/>
  <c r="J24" i="2"/>
  <c r="K23" i="1"/>
  <c r="K31" i="1"/>
  <c r="K25" i="1"/>
  <c r="B28" i="2"/>
  <c r="B18" i="2"/>
  <c r="J18" i="2" s="1"/>
  <c r="X13" i="2"/>
  <c r="B40" i="1"/>
  <c r="K33" i="1"/>
  <c r="K29" i="1"/>
  <c r="K27" i="1"/>
  <c r="B30" i="2"/>
  <c r="J30" i="2" s="1"/>
  <c r="B21" i="2"/>
  <c r="J21" i="2"/>
  <c r="K12" i="1"/>
  <c r="B20" i="2"/>
  <c r="J20" i="2" s="1"/>
  <c r="L12" i="1"/>
  <c r="K34" i="1"/>
  <c r="K32" i="1"/>
  <c r="K30" i="1"/>
  <c r="B36" i="2"/>
  <c r="B32" i="2"/>
  <c r="J32" i="2" s="1"/>
  <c r="B27" i="2"/>
  <c r="J27" i="2" s="1"/>
  <c r="L19" i="1"/>
  <c r="K17" i="1"/>
  <c r="B22" i="2"/>
  <c r="J22" i="2" s="1"/>
  <c r="B17" i="2"/>
  <c r="H11" i="1"/>
  <c r="C46" i="1" s="1"/>
  <c r="B29" i="2"/>
  <c r="K15" i="1"/>
  <c r="AG33" i="2"/>
  <c r="AG34" i="2" s="1"/>
  <c r="AG35" i="2" s="1"/>
  <c r="AG36" i="2" s="1"/>
  <c r="AG37" i="2" s="1"/>
  <c r="AG38" i="2" s="1"/>
  <c r="AG39" i="2" s="1"/>
  <c r="AG40" i="2" s="1"/>
  <c r="AG41" i="2" s="1"/>
  <c r="AG42" i="2" s="1"/>
  <c r="AG43" i="2" s="1"/>
  <c r="AG45" i="2" s="1"/>
  <c r="AG46" i="2" s="1"/>
  <c r="AD13" i="2"/>
  <c r="AE13" i="2" s="1"/>
  <c r="AS51" i="2"/>
  <c r="B42" i="2"/>
  <c r="J42" i="2" s="1"/>
  <c r="B40" i="2"/>
  <c r="J40" i="2" s="1"/>
  <c r="B38" i="2"/>
  <c r="J38" i="2" s="1"/>
  <c r="L22" i="1"/>
  <c r="K21" i="1"/>
  <c r="K20" i="1"/>
  <c r="K19" i="1"/>
  <c r="L14" i="1"/>
  <c r="K13" i="1"/>
  <c r="L9" i="1"/>
  <c r="L5" i="1"/>
  <c r="B35" i="2"/>
  <c r="B33" i="2"/>
  <c r="J33" i="2" s="1"/>
  <c r="B31" i="2"/>
  <c r="H7" i="1"/>
  <c r="C42" i="1" s="1"/>
  <c r="L34" i="1"/>
  <c r="L33" i="1"/>
  <c r="L32" i="1"/>
  <c r="L31" i="1"/>
  <c r="L30" i="1"/>
  <c r="L29" i="1"/>
  <c r="L28" i="1"/>
  <c r="L27" i="1"/>
  <c r="L26" i="1"/>
  <c r="L25" i="1"/>
  <c r="L24" i="1"/>
  <c r="L23" i="1"/>
  <c r="K22" i="1"/>
  <c r="L17" i="1"/>
  <c r="L16" i="1"/>
  <c r="L15" i="1"/>
  <c r="K14" i="1"/>
  <c r="L10" i="1"/>
  <c r="K9" i="1"/>
  <c r="B41" i="2"/>
  <c r="B39" i="2"/>
  <c r="J39" i="2" s="1"/>
  <c r="B37" i="2"/>
  <c r="J37" i="2" s="1"/>
  <c r="B25" i="2"/>
  <c r="J25" i="2" s="1"/>
  <c r="B23" i="2"/>
  <c r="K35" i="1"/>
  <c r="K28" i="1"/>
  <c r="K24" i="1"/>
  <c r="K16" i="1"/>
  <c r="K10" i="1"/>
  <c r="K7" i="1"/>
  <c r="B15" i="2"/>
  <c r="J15" i="2" s="1"/>
  <c r="L7" i="1"/>
  <c r="K6" i="1"/>
  <c r="B14" i="2"/>
  <c r="J14" i="2" s="1"/>
  <c r="L6" i="1"/>
  <c r="L8" i="1"/>
  <c r="B16" i="2"/>
  <c r="J16" i="2" s="1"/>
  <c r="K5" i="1"/>
  <c r="BB6" i="2" l="1"/>
  <c r="BS6" i="2"/>
  <c r="BH6" i="2"/>
  <c r="BD6" i="2"/>
  <c r="AR6" i="2"/>
  <c r="BP6" i="2"/>
  <c r="BZ6" i="2"/>
  <c r="BJ6" i="2"/>
  <c r="A8" i="12"/>
  <c r="A8" i="11"/>
  <c r="J17" i="6"/>
  <c r="B13" i="2"/>
  <c r="J13" i="2" s="1"/>
  <c r="M5" i="1"/>
  <c r="N5" i="1" s="1"/>
  <c r="S5" i="1" s="1"/>
  <c r="N33" i="1"/>
  <c r="M26" i="1"/>
  <c r="O26" i="1" s="1"/>
  <c r="Q26" i="1" s="1"/>
  <c r="J30" i="6"/>
  <c r="B24" i="6"/>
  <c r="A15" i="11" s="1"/>
  <c r="I9" i="9"/>
  <c r="J9" i="9" s="1"/>
  <c r="K9" i="9" s="1"/>
  <c r="N9" i="9" s="1"/>
  <c r="B16" i="11"/>
  <c r="P16" i="11" s="1"/>
  <c r="P29" i="1"/>
  <c r="R29" i="1" s="1"/>
  <c r="K26" i="1"/>
  <c r="B34" i="2"/>
  <c r="J34" i="2" s="1"/>
  <c r="S13" i="2"/>
  <c r="J23" i="6"/>
  <c r="M10" i="1"/>
  <c r="J42" i="6"/>
  <c r="B39" i="6"/>
  <c r="A30" i="11" s="1"/>
  <c r="B25" i="6"/>
  <c r="A16" i="11" s="1"/>
  <c r="AQ39" i="6"/>
  <c r="BG39" i="6" s="1"/>
  <c r="I11" i="9"/>
  <c r="J11" i="9" s="1"/>
  <c r="K11" i="9" s="1"/>
  <c r="B6" i="11"/>
  <c r="P6" i="11" s="1"/>
  <c r="B31" i="6"/>
  <c r="A22" i="11" s="1"/>
  <c r="J28" i="6"/>
  <c r="AQ25" i="6"/>
  <c r="BG25" i="6" s="1"/>
  <c r="I16" i="9"/>
  <c r="J16" i="9" s="1"/>
  <c r="K16" i="9" s="1"/>
  <c r="M30" i="1"/>
  <c r="Q33" i="1"/>
  <c r="V33" i="1" s="1"/>
  <c r="P33" i="1"/>
  <c r="R33" i="1" s="1"/>
  <c r="A29" i="12"/>
  <c r="J38" i="6"/>
  <c r="A29" i="11"/>
  <c r="O20" i="1"/>
  <c r="Q20" i="1" s="1"/>
  <c r="T20" i="1" s="1"/>
  <c r="N20" i="1"/>
  <c r="O22" i="1"/>
  <c r="Q22" i="1" s="1"/>
  <c r="T22" i="1" s="1"/>
  <c r="N22" i="1"/>
  <c r="A28" i="12"/>
  <c r="J37" i="6"/>
  <c r="A28" i="11"/>
  <c r="E7" i="8"/>
  <c r="E5" i="8"/>
  <c r="J36" i="6"/>
  <c r="A27" i="12"/>
  <c r="N24" i="1"/>
  <c r="O24" i="1"/>
  <c r="Q24" i="1" s="1"/>
  <c r="O34" i="1"/>
  <c r="Q34" i="1" s="1"/>
  <c r="V34" i="1" s="1"/>
  <c r="N34" i="1"/>
  <c r="A13" i="12"/>
  <c r="J22" i="6"/>
  <c r="A13" i="11"/>
  <c r="A7" i="12"/>
  <c r="J16" i="6"/>
  <c r="A7" i="11"/>
  <c r="N7" i="9"/>
  <c r="B26" i="11"/>
  <c r="P26" i="11" s="1"/>
  <c r="B26" i="12"/>
  <c r="P26" i="12" s="1"/>
  <c r="L35" i="1"/>
  <c r="DF13" i="6"/>
  <c r="I6" i="9"/>
  <c r="J6" i="9" s="1"/>
  <c r="K6" i="9" s="1"/>
  <c r="N6" i="9" s="1"/>
  <c r="B28" i="11"/>
  <c r="P28" i="11" s="1"/>
  <c r="B28" i="12"/>
  <c r="P28" i="12" s="1"/>
  <c r="B15" i="11"/>
  <c r="P15" i="11" s="1"/>
  <c r="B15" i="12"/>
  <c r="P15" i="12" s="1"/>
  <c r="B34" i="11"/>
  <c r="P34" i="11" s="1"/>
  <c r="B34" i="12"/>
  <c r="P34" i="12" s="1"/>
  <c r="V12" i="1"/>
  <c r="AH30" i="6"/>
  <c r="K20" i="12"/>
  <c r="L20" i="12" s="1"/>
  <c r="J13" i="6"/>
  <c r="AQ35" i="6"/>
  <c r="BG35" i="6" s="1"/>
  <c r="D4" i="8"/>
  <c r="C11" i="7"/>
  <c r="AK8" i="6"/>
  <c r="A4" i="11"/>
  <c r="B27" i="11"/>
  <c r="P27" i="11" s="1"/>
  <c r="B27" i="12"/>
  <c r="P27" i="12" s="1"/>
  <c r="B21" i="11"/>
  <c r="P21" i="11" s="1"/>
  <c r="B21" i="12"/>
  <c r="P21" i="12" s="1"/>
  <c r="B14" i="11"/>
  <c r="P14" i="11" s="1"/>
  <c r="B33" i="11"/>
  <c r="P33" i="11" s="1"/>
  <c r="B33" i="12"/>
  <c r="P33" i="12" s="1"/>
  <c r="M35" i="1"/>
  <c r="N35" i="1" s="1"/>
  <c r="J41" i="6"/>
  <c r="N12" i="1"/>
  <c r="J18" i="6"/>
  <c r="A9" i="12"/>
  <c r="M8" i="1"/>
  <c r="M28" i="1"/>
  <c r="B32" i="6"/>
  <c r="T12" i="1"/>
  <c r="O6" i="1"/>
  <c r="Q6" i="1" s="1"/>
  <c r="V6" i="1" s="1"/>
  <c r="AQ23" i="6"/>
  <c r="BG23" i="6" s="1"/>
  <c r="A3" i="11"/>
  <c r="A3" i="12"/>
  <c r="B25" i="11"/>
  <c r="P25" i="11" s="1"/>
  <c r="B25" i="12"/>
  <c r="P25" i="12" s="1"/>
  <c r="B19" i="11"/>
  <c r="P19" i="11" s="1"/>
  <c r="B19" i="12"/>
  <c r="P19" i="12" s="1"/>
  <c r="B13" i="11"/>
  <c r="P13" i="11" s="1"/>
  <c r="B13" i="12"/>
  <c r="P13" i="12" s="1"/>
  <c r="B32" i="11"/>
  <c r="P32" i="11" s="1"/>
  <c r="B32" i="12"/>
  <c r="P32" i="12" s="1"/>
  <c r="J39" i="6"/>
  <c r="A30" i="12"/>
  <c r="J24" i="6"/>
  <c r="B31" i="11"/>
  <c r="P31" i="11" s="1"/>
  <c r="B31" i="12"/>
  <c r="P31" i="12" s="1"/>
  <c r="B18" i="11"/>
  <c r="P18" i="11" s="1"/>
  <c r="B18" i="12"/>
  <c r="P18" i="12" s="1"/>
  <c r="B12" i="11"/>
  <c r="P12" i="11" s="1"/>
  <c r="B12" i="12"/>
  <c r="P12" i="12" s="1"/>
  <c r="A32" i="11"/>
  <c r="J35" i="6"/>
  <c r="A26" i="12"/>
  <c r="J31" i="6"/>
  <c r="A22" i="12"/>
  <c r="T30" i="12" s="1"/>
  <c r="M7" i="1"/>
  <c r="O7" i="1" s="1"/>
  <c r="Q7" i="1" s="1"/>
  <c r="B15" i="6"/>
  <c r="N11" i="9"/>
  <c r="O11" i="9" s="1"/>
  <c r="P11" i="9" s="1"/>
  <c r="B7" i="11"/>
  <c r="P7" i="11" s="1"/>
  <c r="B7" i="12"/>
  <c r="P7" i="12" s="1"/>
  <c r="AQ28" i="6"/>
  <c r="BG28" i="6" s="1"/>
  <c r="I12" i="9"/>
  <c r="J12" i="9" s="1"/>
  <c r="K12" i="9" s="1"/>
  <c r="B30" i="11"/>
  <c r="P30" i="11" s="1"/>
  <c r="B17" i="11"/>
  <c r="P17" i="11" s="1"/>
  <c r="B17" i="12"/>
  <c r="P17" i="12" s="1"/>
  <c r="B11" i="11"/>
  <c r="P11" i="11" s="1"/>
  <c r="B11" i="12"/>
  <c r="P11" i="12" s="1"/>
  <c r="B5" i="11"/>
  <c r="P5" i="11" s="1"/>
  <c r="B5" i="12"/>
  <c r="P5" i="12" s="1"/>
  <c r="J34" i="6"/>
  <c r="A25" i="12"/>
  <c r="B21" i="6"/>
  <c r="B19" i="6"/>
  <c r="B14" i="6"/>
  <c r="AH16" i="6"/>
  <c r="K7" i="12" s="1"/>
  <c r="L7" i="12" s="1"/>
  <c r="K6" i="12"/>
  <c r="L6" i="12" s="1"/>
  <c r="AU6" i="2"/>
  <c r="B23" i="11"/>
  <c r="P23" i="11" s="1"/>
  <c r="B23" i="12"/>
  <c r="P23" i="12" s="1"/>
  <c r="B10" i="11"/>
  <c r="P10" i="11" s="1"/>
  <c r="B10" i="12"/>
  <c r="P10" i="12" s="1"/>
  <c r="B4" i="11"/>
  <c r="P4" i="11" s="1"/>
  <c r="B4" i="12"/>
  <c r="P4" i="12" s="1"/>
  <c r="AE13" i="6"/>
  <c r="F4" i="12"/>
  <c r="B20" i="11"/>
  <c r="P20" i="11" s="1"/>
  <c r="B20" i="12"/>
  <c r="P20" i="12" s="1"/>
  <c r="B43" i="2"/>
  <c r="J43" i="2" s="1"/>
  <c r="AQ16" i="6"/>
  <c r="BG16" i="6" s="1"/>
  <c r="AQ21" i="6"/>
  <c r="BG21" i="6" s="1"/>
  <c r="AQ29" i="6"/>
  <c r="BG29" i="6" s="1"/>
  <c r="AQ33" i="6"/>
  <c r="BG33" i="6" s="1"/>
  <c r="I8" i="9"/>
  <c r="J8" i="9" s="1"/>
  <c r="K8" i="9" s="1"/>
  <c r="A26" i="11"/>
  <c r="A14" i="11"/>
  <c r="B29" i="11"/>
  <c r="P29" i="11" s="1"/>
  <c r="B29" i="12"/>
  <c r="P29" i="12" s="1"/>
  <c r="B22" i="11"/>
  <c r="P22" i="11" s="1"/>
  <c r="B9" i="11"/>
  <c r="P9" i="11" s="1"/>
  <c r="B9" i="12"/>
  <c r="P9" i="12" s="1"/>
  <c r="B3" i="11"/>
  <c r="P3" i="11" s="1"/>
  <c r="B3" i="12"/>
  <c r="P3" i="12" s="1"/>
  <c r="J25" i="6"/>
  <c r="A16" i="12"/>
  <c r="M15" i="1"/>
  <c r="J20" i="6"/>
  <c r="A11" i="12"/>
  <c r="K20" i="11"/>
  <c r="L20" i="11" s="1"/>
  <c r="AF13" i="6"/>
  <c r="C4" i="12"/>
  <c r="C4" i="11"/>
  <c r="AC13" i="6"/>
  <c r="AA13" i="6"/>
  <c r="I14" i="9"/>
  <c r="J14" i="9" s="1"/>
  <c r="K14" i="9" s="1"/>
  <c r="N14" i="9" s="1"/>
  <c r="CV6" i="6"/>
  <c r="CO6" i="6"/>
  <c r="BY6" i="6"/>
  <c r="CI6" i="6"/>
  <c r="CU6" i="6"/>
  <c r="CC6" i="6"/>
  <c r="CM6" i="6"/>
  <c r="DB6" i="6"/>
  <c r="CR6" i="6"/>
  <c r="CY6" i="6"/>
  <c r="BU6" i="6"/>
  <c r="CZ6" i="6"/>
  <c r="CH6" i="6"/>
  <c r="DE6" i="6"/>
  <c r="DD6" i="6"/>
  <c r="DC6" i="6"/>
  <c r="CG6" i="6"/>
  <c r="CQ6" i="6"/>
  <c r="DA6" i="6"/>
  <c r="BX6" i="6"/>
  <c r="CE6" i="6"/>
  <c r="CB6" i="6"/>
  <c r="CN6" i="6"/>
  <c r="CF6" i="6"/>
  <c r="CX6" i="6"/>
  <c r="CW6" i="6"/>
  <c r="BZ6" i="6"/>
  <c r="CK6" i="6"/>
  <c r="CD6" i="6"/>
  <c r="BV6" i="6"/>
  <c r="CS6" i="6"/>
  <c r="CP6" i="6"/>
  <c r="CA6" i="6"/>
  <c r="CL6" i="6"/>
  <c r="CJ6" i="6"/>
  <c r="CT6" i="6"/>
  <c r="BW6" i="6"/>
  <c r="J36" i="2"/>
  <c r="J28" i="2"/>
  <c r="CC51" i="2"/>
  <c r="J23" i="2"/>
  <c r="J41" i="2"/>
  <c r="J35" i="2"/>
  <c r="BX6" i="2"/>
  <c r="AV6" i="2"/>
  <c r="BL6" i="2"/>
  <c r="AS6" i="2"/>
  <c r="BN6" i="2"/>
  <c r="AT6" i="2"/>
  <c r="BK6" i="2"/>
  <c r="CA6" i="2"/>
  <c r="BG6" i="2"/>
  <c r="BV6" i="2"/>
  <c r="BU6" i="2"/>
  <c r="BE6" i="2"/>
  <c r="BO6" i="2"/>
  <c r="BC6" i="2"/>
  <c r="BF6" i="2"/>
  <c r="BQ6" i="2"/>
  <c r="BI6" i="2"/>
  <c r="AZ6" i="2"/>
  <c r="BY6" i="2"/>
  <c r="BR6" i="2"/>
  <c r="BW6" i="2"/>
  <c r="CB6" i="2"/>
  <c r="AW6" i="2"/>
  <c r="AX6" i="2"/>
  <c r="BM6" i="2"/>
  <c r="BA6" i="2"/>
  <c r="BT6" i="2"/>
  <c r="AY6" i="2"/>
  <c r="CC13" i="2"/>
  <c r="J31" i="2"/>
  <c r="DF51" i="6"/>
  <c r="N16" i="9"/>
  <c r="O16" i="9" s="1"/>
  <c r="P16" i="9" s="1"/>
  <c r="O7" i="9"/>
  <c r="P7" i="9" s="1"/>
  <c r="O5" i="1"/>
  <c r="Q5" i="1" s="1"/>
  <c r="E4" i="8"/>
  <c r="D7" i="8"/>
  <c r="N12" i="9"/>
  <c r="O12" i="9" s="1"/>
  <c r="P12" i="9" s="1"/>
  <c r="O9" i="9"/>
  <c r="P9" i="9" s="1"/>
  <c r="S13" i="6"/>
  <c r="D5" i="8"/>
  <c r="AX26" i="6"/>
  <c r="O14" i="9"/>
  <c r="P14" i="9" s="1"/>
  <c r="E6" i="8"/>
  <c r="E3" i="8"/>
  <c r="D6" i="8"/>
  <c r="O6" i="9"/>
  <c r="P6" i="9" s="1"/>
  <c r="AX16" i="6"/>
  <c r="AX24" i="6"/>
  <c r="W33" i="1"/>
  <c r="AA33" i="1" s="1"/>
  <c r="U33" i="1"/>
  <c r="Y33" i="1"/>
  <c r="O17" i="1"/>
  <c r="Q17" i="1" s="1"/>
  <c r="N17" i="1"/>
  <c r="AQ34" i="6"/>
  <c r="BG34" i="6" s="1"/>
  <c r="I15" i="9"/>
  <c r="J15" i="9" s="1"/>
  <c r="K15" i="9" s="1"/>
  <c r="I10" i="9"/>
  <c r="J10" i="9" s="1"/>
  <c r="K10" i="9" s="1"/>
  <c r="S33" i="1"/>
  <c r="W29" i="1"/>
  <c r="U29" i="1"/>
  <c r="Y29" i="1"/>
  <c r="A27" i="11"/>
  <c r="I17" i="9"/>
  <c r="J17" i="9" s="1"/>
  <c r="K17" i="9" s="1"/>
  <c r="I13" i="9"/>
  <c r="J13" i="9" s="1"/>
  <c r="K13" i="9" s="1"/>
  <c r="AX23" i="6" s="1"/>
  <c r="A34" i="11"/>
  <c r="J43" i="6"/>
  <c r="T29" i="1"/>
  <c r="V29" i="1"/>
  <c r="T33" i="1"/>
  <c r="N32" i="1"/>
  <c r="O32" i="1"/>
  <c r="Q32" i="1" s="1"/>
  <c r="X31" i="1"/>
  <c r="V31" i="1"/>
  <c r="S29" i="1"/>
  <c r="AB29" i="1" s="1"/>
  <c r="M18" i="1"/>
  <c r="B26" i="6"/>
  <c r="A17" i="12" s="1"/>
  <c r="M25" i="1"/>
  <c r="B33" i="6"/>
  <c r="A24" i="12" s="1"/>
  <c r="X34" i="1"/>
  <c r="X33" i="1"/>
  <c r="B40" i="6"/>
  <c r="A31" i="12" s="1"/>
  <c r="N31" i="1"/>
  <c r="P22" i="1"/>
  <c r="R22" i="1" s="1"/>
  <c r="S22" i="1"/>
  <c r="N9" i="1"/>
  <c r="O9" i="1"/>
  <c r="Q9" i="1" s="1"/>
  <c r="M27" i="1"/>
  <c r="T24" i="1"/>
  <c r="X24" i="1"/>
  <c r="N23" i="1"/>
  <c r="O23" i="1"/>
  <c r="Q23" i="1" s="1"/>
  <c r="X22" i="1"/>
  <c r="V22" i="1"/>
  <c r="M21" i="1"/>
  <c r="B29" i="6"/>
  <c r="A20" i="12" s="1"/>
  <c r="V20" i="1"/>
  <c r="M19" i="1"/>
  <c r="B27" i="6"/>
  <c r="A18" i="12" s="1"/>
  <c r="P16" i="1"/>
  <c r="R16" i="1" s="1"/>
  <c r="Q16" i="1"/>
  <c r="V24" i="1"/>
  <c r="O15" i="1"/>
  <c r="Q15" i="1" s="1"/>
  <c r="N15" i="1"/>
  <c r="N13" i="1"/>
  <c r="O13" i="1"/>
  <c r="Q13" i="1" s="1"/>
  <c r="P12" i="1"/>
  <c r="R12" i="1" s="1"/>
  <c r="S12" i="1" s="1"/>
  <c r="N10" i="1"/>
  <c r="O10" i="1"/>
  <c r="Q10" i="1" s="1"/>
  <c r="K7" i="11"/>
  <c r="L7" i="11" s="1"/>
  <c r="AH17" i="6"/>
  <c r="K8" i="12" s="1"/>
  <c r="L8" i="12" s="1"/>
  <c r="O14" i="1"/>
  <c r="Q14" i="1" s="1"/>
  <c r="N14" i="1"/>
  <c r="O11" i="1"/>
  <c r="T6" i="1"/>
  <c r="X6" i="1"/>
  <c r="K12" i="11"/>
  <c r="L12" i="11" s="1"/>
  <c r="AH22" i="6"/>
  <c r="K13" i="12" s="1"/>
  <c r="L13" i="12" s="1"/>
  <c r="P6" i="1"/>
  <c r="R6" i="1" s="1"/>
  <c r="AJ13" i="6"/>
  <c r="N7" i="1" l="1"/>
  <c r="AX27" i="6"/>
  <c r="AX31" i="6"/>
  <c r="T34" i="1"/>
  <c r="AX39" i="6"/>
  <c r="O30" i="1"/>
  <c r="Q30" i="1" s="1"/>
  <c r="N30" i="1"/>
  <c r="N26" i="1"/>
  <c r="P34" i="1"/>
  <c r="R34" i="1" s="1"/>
  <c r="U34" i="1" s="1"/>
  <c r="X20" i="1"/>
  <c r="A15" i="12"/>
  <c r="P20" i="1"/>
  <c r="R20" i="1" s="1"/>
  <c r="Y20" i="1" s="1"/>
  <c r="O35" i="1"/>
  <c r="Q35" i="1" s="1"/>
  <c r="T35" i="1" s="1"/>
  <c r="AX40" i="6"/>
  <c r="AX20" i="6"/>
  <c r="AX28" i="6"/>
  <c r="N8" i="9"/>
  <c r="O8" i="9" s="1"/>
  <c r="P8" i="9" s="1"/>
  <c r="K21" i="11"/>
  <c r="L21" i="11" s="1"/>
  <c r="K21" i="12"/>
  <c r="L21" i="12" s="1"/>
  <c r="AH31" i="6"/>
  <c r="H4" i="11"/>
  <c r="H4" i="12"/>
  <c r="AX32" i="6"/>
  <c r="AX13" i="6"/>
  <c r="BA13" i="6" s="1"/>
  <c r="BE13" i="6" s="1"/>
  <c r="J32" i="6"/>
  <c r="A23" i="12"/>
  <c r="A23" i="11"/>
  <c r="AX41" i="6"/>
  <c r="AX43" i="6"/>
  <c r="AX42" i="6"/>
  <c r="AX14" i="6"/>
  <c r="AX30" i="6"/>
  <c r="AX38" i="6"/>
  <c r="J14" i="6"/>
  <c r="A5" i="12"/>
  <c r="A5" i="11"/>
  <c r="O28" i="1"/>
  <c r="Q28" i="1" s="1"/>
  <c r="N28" i="1"/>
  <c r="AX46" i="6"/>
  <c r="AX22" i="6"/>
  <c r="A10" i="12"/>
  <c r="J19" i="6"/>
  <c r="A10" i="11"/>
  <c r="A6" i="12"/>
  <c r="A6" i="11"/>
  <c r="J15" i="6"/>
  <c r="N8" i="1"/>
  <c r="O8" i="1"/>
  <c r="Q8" i="1" s="1"/>
  <c r="AX17" i="6"/>
  <c r="AX33" i="6"/>
  <c r="AX29" i="6"/>
  <c r="AX37" i="6"/>
  <c r="J21" i="6"/>
  <c r="A12" i="12"/>
  <c r="A12" i="11"/>
  <c r="AA29" i="1"/>
  <c r="AX18" i="6"/>
  <c r="AX34" i="6"/>
  <c r="AX15" i="6"/>
  <c r="AX21" i="6"/>
  <c r="AX19" i="6"/>
  <c r="AX25" i="6"/>
  <c r="AX35" i="6"/>
  <c r="AX36" i="6"/>
  <c r="AX45" i="6"/>
  <c r="P24" i="1"/>
  <c r="R24" i="1" s="1"/>
  <c r="N4" i="11"/>
  <c r="N4" i="12"/>
  <c r="I4" i="11"/>
  <c r="I4" i="12"/>
  <c r="AG13" i="6"/>
  <c r="J4" i="12" s="1"/>
  <c r="F37" i="2"/>
  <c r="F37" i="6"/>
  <c r="AH18" i="6"/>
  <c r="K9" i="12" s="1"/>
  <c r="L9" i="12" s="1"/>
  <c r="K8" i="11"/>
  <c r="L8" i="11" s="1"/>
  <c r="J29" i="6"/>
  <c r="A20" i="11"/>
  <c r="T5" i="1"/>
  <c r="X5" i="1"/>
  <c r="V5" i="1"/>
  <c r="AH23" i="6"/>
  <c r="K14" i="12" s="1"/>
  <c r="L14" i="12" s="1"/>
  <c r="K13" i="11"/>
  <c r="L13" i="11" s="1"/>
  <c r="N19" i="1"/>
  <c r="O19" i="1"/>
  <c r="Q19" i="1" s="1"/>
  <c r="P23" i="1"/>
  <c r="R23" i="1" s="1"/>
  <c r="S23" i="1" s="1"/>
  <c r="T9" i="1"/>
  <c r="X9" i="1"/>
  <c r="V9" i="1"/>
  <c r="P31" i="1"/>
  <c r="R31" i="1" s="1"/>
  <c r="S31" i="1" s="1"/>
  <c r="J33" i="6"/>
  <c r="A24" i="11"/>
  <c r="O18" i="1"/>
  <c r="Q18" i="1" s="1"/>
  <c r="N18" i="1"/>
  <c r="Z33" i="1"/>
  <c r="P26" i="1"/>
  <c r="R26" i="1" s="1"/>
  <c r="S26" i="1" s="1"/>
  <c r="E37" i="2"/>
  <c r="E37" i="6"/>
  <c r="Y34" i="1"/>
  <c r="W34" i="1"/>
  <c r="T7" i="1"/>
  <c r="X7" i="1"/>
  <c r="V7" i="1"/>
  <c r="X15" i="1"/>
  <c r="T15" i="1"/>
  <c r="V15" i="1"/>
  <c r="J27" i="6"/>
  <c r="A18" i="11"/>
  <c r="O27" i="1"/>
  <c r="Q27" i="1" s="1"/>
  <c r="N27" i="1"/>
  <c r="P14" i="1"/>
  <c r="R14" i="1" s="1"/>
  <c r="S14" i="1" s="1"/>
  <c r="W12" i="1"/>
  <c r="AA12" i="1" s="1"/>
  <c r="Y12" i="1"/>
  <c r="AB12" i="1" s="1"/>
  <c r="U12" i="1"/>
  <c r="Z12" i="1" s="1"/>
  <c r="N21" i="1"/>
  <c r="O21" i="1"/>
  <c r="Q21" i="1" s="1"/>
  <c r="T14" i="1"/>
  <c r="X14" i="1"/>
  <c r="V14" i="1"/>
  <c r="V10" i="1"/>
  <c r="T10" i="1"/>
  <c r="X10" i="1"/>
  <c r="V16" i="1"/>
  <c r="T16" i="1"/>
  <c r="X16" i="1"/>
  <c r="P9" i="1"/>
  <c r="R9" i="1" s="1"/>
  <c r="S9" i="1" s="1"/>
  <c r="Y22" i="1"/>
  <c r="U22" i="1"/>
  <c r="Z22" i="1" s="1"/>
  <c r="W22" i="1"/>
  <c r="AA22" i="1" s="1"/>
  <c r="J40" i="6"/>
  <c r="A31" i="11"/>
  <c r="N25" i="1"/>
  <c r="O25" i="1"/>
  <c r="Q25" i="1" s="1"/>
  <c r="V26" i="1"/>
  <c r="T26" i="1"/>
  <c r="X26" i="1"/>
  <c r="Z29" i="1"/>
  <c r="X35" i="1"/>
  <c r="S34" i="1"/>
  <c r="AB34" i="1" s="1"/>
  <c r="P17" i="1"/>
  <c r="R17" i="1" s="1"/>
  <c r="S17" i="1" s="1"/>
  <c r="P5" i="1"/>
  <c r="R5" i="1" s="1"/>
  <c r="W6" i="1"/>
  <c r="U6" i="1"/>
  <c r="Y6" i="1"/>
  <c r="P13" i="1"/>
  <c r="R13" i="1" s="1"/>
  <c r="S13" i="1" s="1"/>
  <c r="X23" i="1"/>
  <c r="V23" i="1"/>
  <c r="T23" i="1"/>
  <c r="W20" i="1"/>
  <c r="J26" i="6"/>
  <c r="A17" i="11"/>
  <c r="P32" i="1"/>
  <c r="R32" i="1" s="1"/>
  <c r="S32" i="1" s="1"/>
  <c r="E41" i="6"/>
  <c r="E41" i="2"/>
  <c r="N17" i="9"/>
  <c r="O17" i="9" s="1"/>
  <c r="P17" i="9" s="1"/>
  <c r="N15" i="9"/>
  <c r="O15" i="9" s="1"/>
  <c r="P15" i="9" s="1"/>
  <c r="P7" i="1"/>
  <c r="R7" i="1" s="1"/>
  <c r="S6" i="1"/>
  <c r="Q11" i="1"/>
  <c r="P11" i="1"/>
  <c r="R11" i="1" s="1"/>
  <c r="P10" i="1"/>
  <c r="R10" i="1" s="1"/>
  <c r="X13" i="1"/>
  <c r="T13" i="1"/>
  <c r="V13" i="1"/>
  <c r="P15" i="1"/>
  <c r="R15" i="1" s="1"/>
  <c r="S15" i="1" s="1"/>
  <c r="U16" i="1"/>
  <c r="W16" i="1"/>
  <c r="S16" i="1"/>
  <c r="Y16" i="1"/>
  <c r="AB22" i="1"/>
  <c r="S20" i="1"/>
  <c r="AA20" i="1" s="1"/>
  <c r="AB33" i="1"/>
  <c r="X32" i="1"/>
  <c r="T32" i="1"/>
  <c r="V32" i="1"/>
  <c r="N13" i="9"/>
  <c r="O13" i="9" s="1"/>
  <c r="P13" i="9" s="1"/>
  <c r="N10" i="9"/>
  <c r="O10" i="9" s="1"/>
  <c r="P10" i="9" s="1"/>
  <c r="T17" i="1"/>
  <c r="V17" i="1"/>
  <c r="X17" i="1"/>
  <c r="U20" i="1" l="1"/>
  <c r="P35" i="1"/>
  <c r="R35" i="1" s="1"/>
  <c r="S35" i="1" s="1"/>
  <c r="P30" i="1"/>
  <c r="R30" i="1" s="1"/>
  <c r="S30" i="1"/>
  <c r="X30" i="1"/>
  <c r="V30" i="1"/>
  <c r="T30" i="1"/>
  <c r="J4" i="11"/>
  <c r="V35" i="1"/>
  <c r="AB6" i="1"/>
  <c r="AI13" i="6"/>
  <c r="M4" i="12" s="1"/>
  <c r="Z6" i="1"/>
  <c r="D14" i="2" s="1"/>
  <c r="P8" i="1"/>
  <c r="R8" i="1" s="1"/>
  <c r="P28" i="1"/>
  <c r="R28" i="1" s="1"/>
  <c r="S28" i="1" s="1"/>
  <c r="T28" i="1"/>
  <c r="X28" i="1"/>
  <c r="V28" i="1"/>
  <c r="W24" i="1"/>
  <c r="U24" i="1"/>
  <c r="Y24" i="1"/>
  <c r="S24" i="1"/>
  <c r="K22" i="12"/>
  <c r="L22" i="12" s="1"/>
  <c r="AH32" i="6"/>
  <c r="K22" i="11"/>
  <c r="L22" i="11" s="1"/>
  <c r="T8" i="1"/>
  <c r="X8" i="1"/>
  <c r="V8" i="1"/>
  <c r="F42" i="2"/>
  <c r="F42" i="6"/>
  <c r="AC12" i="1"/>
  <c r="D20" i="6"/>
  <c r="D20" i="2"/>
  <c r="E30" i="2"/>
  <c r="E30" i="6"/>
  <c r="Y10" i="1"/>
  <c r="U10" i="1"/>
  <c r="W10" i="1"/>
  <c r="W7" i="1"/>
  <c r="U7" i="1"/>
  <c r="Z7" i="1" s="1"/>
  <c r="Y7" i="1"/>
  <c r="W5" i="1"/>
  <c r="AA5" i="1" s="1"/>
  <c r="Y5" i="1"/>
  <c r="U5" i="1"/>
  <c r="Z5" i="1" s="1"/>
  <c r="AC29" i="1"/>
  <c r="D37" i="6"/>
  <c r="D37" i="2"/>
  <c r="Z34" i="1"/>
  <c r="AC22" i="1"/>
  <c r="D30" i="6"/>
  <c r="D30" i="2"/>
  <c r="E20" i="2"/>
  <c r="E20" i="6"/>
  <c r="AB16" i="1"/>
  <c r="X27" i="1"/>
  <c r="T27" i="1"/>
  <c r="V27" i="1"/>
  <c r="X18" i="1"/>
  <c r="T18" i="1"/>
  <c r="V18" i="1"/>
  <c r="P19" i="1"/>
  <c r="R19" i="1" s="1"/>
  <c r="S19" i="1" s="1"/>
  <c r="V11" i="1"/>
  <c r="T11" i="1"/>
  <c r="X11" i="1"/>
  <c r="P21" i="1"/>
  <c r="R21" i="1" s="1"/>
  <c r="S21" i="1"/>
  <c r="P27" i="1"/>
  <c r="R27" i="1" s="1"/>
  <c r="F20" i="6"/>
  <c r="F20" i="2"/>
  <c r="P18" i="1"/>
  <c r="R18" i="1" s="1"/>
  <c r="AA34" i="1"/>
  <c r="Z20" i="1"/>
  <c r="F30" i="6"/>
  <c r="F30" i="2"/>
  <c r="S10" i="1"/>
  <c r="AB10" i="1" s="1"/>
  <c r="F14" i="2"/>
  <c r="F14" i="6"/>
  <c r="AA6" i="1"/>
  <c r="S7" i="1"/>
  <c r="Y17" i="1"/>
  <c r="U17" i="1"/>
  <c r="Z17" i="1" s="1"/>
  <c r="W17" i="1"/>
  <c r="AA17" i="1" s="1"/>
  <c r="Z16" i="1"/>
  <c r="AC33" i="1"/>
  <c r="D41" i="2"/>
  <c r="D41" i="6"/>
  <c r="Y31" i="1"/>
  <c r="AB31" i="1" s="1"/>
  <c r="U31" i="1"/>
  <c r="Z31" i="1" s="1"/>
  <c r="W31" i="1"/>
  <c r="AA31" i="1" s="1"/>
  <c r="K9" i="11"/>
  <c r="L9" i="11" s="1"/>
  <c r="AH19" i="6"/>
  <c r="AB17" i="1"/>
  <c r="P25" i="1"/>
  <c r="R25" i="1" s="1"/>
  <c r="E28" i="2"/>
  <c r="E28" i="6"/>
  <c r="W14" i="1"/>
  <c r="AA14" i="1" s="1"/>
  <c r="U14" i="1"/>
  <c r="Z14" i="1" s="1"/>
  <c r="Y14" i="1"/>
  <c r="AB14" i="1" s="1"/>
  <c r="Y26" i="1"/>
  <c r="AB26" i="1" s="1"/>
  <c r="U26" i="1"/>
  <c r="W26" i="1"/>
  <c r="AA26" i="1" s="1"/>
  <c r="V19" i="1"/>
  <c r="X19" i="1"/>
  <c r="T19" i="1"/>
  <c r="F41" i="6"/>
  <c r="F41" i="2"/>
  <c r="U15" i="1"/>
  <c r="Z15" i="1" s="1"/>
  <c r="Y15" i="1"/>
  <c r="W15" i="1"/>
  <c r="AA15" i="1" s="1"/>
  <c r="AB20" i="1"/>
  <c r="Y11" i="1"/>
  <c r="W11" i="1"/>
  <c r="U11" i="1"/>
  <c r="S11" i="1"/>
  <c r="U32" i="1"/>
  <c r="Z32" i="1" s="1"/>
  <c r="W32" i="1"/>
  <c r="AA32" i="1" s="1"/>
  <c r="Y32" i="1"/>
  <c r="AB32" i="1" s="1"/>
  <c r="U13" i="1"/>
  <c r="Z13" i="1" s="1"/>
  <c r="W13" i="1"/>
  <c r="AA13" i="1" s="1"/>
  <c r="Y13" i="1"/>
  <c r="AB13" i="1" s="1"/>
  <c r="Z26" i="1"/>
  <c r="T25" i="1"/>
  <c r="X25" i="1"/>
  <c r="V25" i="1"/>
  <c r="W9" i="1"/>
  <c r="AA9" i="1" s="1"/>
  <c r="U9" i="1"/>
  <c r="Z9" i="1" s="1"/>
  <c r="Y9" i="1"/>
  <c r="AB9" i="1" s="1"/>
  <c r="AA16" i="1"/>
  <c r="V21" i="1"/>
  <c r="X21" i="1"/>
  <c r="T21" i="1"/>
  <c r="AB15" i="1"/>
  <c r="AB7" i="1"/>
  <c r="U35" i="1"/>
  <c r="Z35" i="1" s="1"/>
  <c r="Y35" i="1"/>
  <c r="AB35" i="1" s="1"/>
  <c r="W35" i="1"/>
  <c r="AA35" i="1" s="1"/>
  <c r="U23" i="1"/>
  <c r="Z23" i="1" s="1"/>
  <c r="Y23" i="1"/>
  <c r="AB23" i="1" s="1"/>
  <c r="W23" i="1"/>
  <c r="AA23" i="1" s="1"/>
  <c r="K14" i="11"/>
  <c r="L14" i="11" s="1"/>
  <c r="AH24" i="6"/>
  <c r="K15" i="12" s="1"/>
  <c r="L15" i="12" s="1"/>
  <c r="AB5" i="1"/>
  <c r="M4" i="11"/>
  <c r="AM13" i="6"/>
  <c r="AN13" i="6" s="1"/>
  <c r="AA30" i="1" l="1"/>
  <c r="D14" i="6"/>
  <c r="Y30" i="1"/>
  <c r="AB30" i="1" s="1"/>
  <c r="W30" i="1"/>
  <c r="U30" i="1"/>
  <c r="Z30" i="1" s="1"/>
  <c r="K23" i="12"/>
  <c r="L23" i="12" s="1"/>
  <c r="AH33" i="6"/>
  <c r="K23" i="11"/>
  <c r="L23" i="11" s="1"/>
  <c r="AB11" i="1"/>
  <c r="F19" i="2" s="1"/>
  <c r="AA24" i="1"/>
  <c r="Z24" i="1"/>
  <c r="AB24" i="1"/>
  <c r="W28" i="1"/>
  <c r="AA28" i="1" s="1"/>
  <c r="U28" i="1"/>
  <c r="Z28" i="1" s="1"/>
  <c r="Y28" i="1"/>
  <c r="AB28" i="1" s="1"/>
  <c r="U8" i="1"/>
  <c r="W8" i="1"/>
  <c r="Y8" i="1"/>
  <c r="S8" i="1"/>
  <c r="K10" i="11"/>
  <c r="L10" i="11" s="1"/>
  <c r="K10" i="12"/>
  <c r="L10" i="12" s="1"/>
  <c r="Z10" i="1"/>
  <c r="AA10" i="1"/>
  <c r="AC10" i="1" s="1"/>
  <c r="AA7" i="1"/>
  <c r="E15" i="6" s="1"/>
  <c r="F40" i="6"/>
  <c r="F40" i="2"/>
  <c r="AC17" i="1"/>
  <c r="D25" i="6"/>
  <c r="D25" i="2"/>
  <c r="E43" i="2"/>
  <c r="E43" i="6"/>
  <c r="E17" i="2"/>
  <c r="E17" i="6"/>
  <c r="AC13" i="1"/>
  <c r="D21" i="2"/>
  <c r="D21" i="6"/>
  <c r="E40" i="2"/>
  <c r="E40" i="6"/>
  <c r="E34" i="2"/>
  <c r="E34" i="6"/>
  <c r="F22" i="2"/>
  <c r="F22" i="6"/>
  <c r="AC31" i="1"/>
  <c r="D39" i="6"/>
  <c r="D39" i="2"/>
  <c r="AC9" i="1"/>
  <c r="D17" i="6"/>
  <c r="D17" i="2"/>
  <c r="E21" i="2"/>
  <c r="E21" i="6"/>
  <c r="AC15" i="1"/>
  <c r="D23" i="2"/>
  <c r="D23" i="6"/>
  <c r="E31" i="2"/>
  <c r="E31" i="6"/>
  <c r="F31" i="2"/>
  <c r="F31" i="6"/>
  <c r="AC32" i="1"/>
  <c r="D40" i="6"/>
  <c r="D40" i="2"/>
  <c r="E23" i="2"/>
  <c r="E23" i="6"/>
  <c r="AC14" i="1"/>
  <c r="D22" i="6"/>
  <c r="D22" i="2"/>
  <c r="E15" i="2"/>
  <c r="F18" i="2"/>
  <c r="F18" i="6"/>
  <c r="AC5" i="1"/>
  <c r="G13" i="6" s="1"/>
  <c r="D13" i="2"/>
  <c r="D13" i="6"/>
  <c r="F17" i="2"/>
  <c r="F17" i="6"/>
  <c r="F21" i="2"/>
  <c r="F21" i="6"/>
  <c r="E25" i="6"/>
  <c r="E25" i="2"/>
  <c r="E39" i="6"/>
  <c r="E39" i="2"/>
  <c r="F43" i="2"/>
  <c r="F43" i="6"/>
  <c r="W18" i="1"/>
  <c r="Y18" i="1"/>
  <c r="U18" i="1"/>
  <c r="E22" i="2"/>
  <c r="E22" i="6"/>
  <c r="F25" i="2"/>
  <c r="F25" i="6"/>
  <c r="E18" i="2"/>
  <c r="E18" i="6"/>
  <c r="F34" i="2"/>
  <c r="F34" i="6"/>
  <c r="AC20" i="1"/>
  <c r="D28" i="2"/>
  <c r="D28" i="6"/>
  <c r="E42" i="2"/>
  <c r="E42" i="6"/>
  <c r="Z11" i="1"/>
  <c r="Y19" i="1"/>
  <c r="AB19" i="1" s="1"/>
  <c r="W19" i="1"/>
  <c r="AA19" i="1" s="1"/>
  <c r="U19" i="1"/>
  <c r="Z19" i="1" s="1"/>
  <c r="F24" i="2"/>
  <c r="F24" i="6"/>
  <c r="AC35" i="1"/>
  <c r="D43" i="2"/>
  <c r="D43" i="6"/>
  <c r="F28" i="6"/>
  <c r="F28" i="2"/>
  <c r="D18" i="2"/>
  <c r="D18" i="6"/>
  <c r="AC23" i="1"/>
  <c r="D31" i="2"/>
  <c r="D31" i="6"/>
  <c r="K15" i="11"/>
  <c r="L15" i="11" s="1"/>
  <c r="AH25" i="6"/>
  <c r="K16" i="12" s="1"/>
  <c r="L16" i="12" s="1"/>
  <c r="E24" i="2"/>
  <c r="E24" i="6"/>
  <c r="U25" i="1"/>
  <c r="W25" i="1"/>
  <c r="Y25" i="1"/>
  <c r="G41" i="6"/>
  <c r="G41" i="2"/>
  <c r="AC16" i="1"/>
  <c r="D24" i="6"/>
  <c r="D24" i="2"/>
  <c r="E14" i="2"/>
  <c r="E14" i="6"/>
  <c r="Y21" i="1"/>
  <c r="AB21" i="1" s="1"/>
  <c r="W21" i="1"/>
  <c r="AA21" i="1" s="1"/>
  <c r="U21" i="1"/>
  <c r="Z21" i="1" s="1"/>
  <c r="AA11" i="1"/>
  <c r="G30" i="6"/>
  <c r="AC24" i="12" s="1"/>
  <c r="G30" i="2"/>
  <c r="G37" i="6"/>
  <c r="G37" i="2"/>
  <c r="AC6" i="1"/>
  <c r="F15" i="6"/>
  <c r="F15" i="2"/>
  <c r="D15" i="6"/>
  <c r="D15" i="2"/>
  <c r="E13" i="6"/>
  <c r="E13" i="2"/>
  <c r="U27" i="1"/>
  <c r="Y27" i="1"/>
  <c r="W27" i="1"/>
  <c r="G20" i="6"/>
  <c r="AC14" i="12" s="1"/>
  <c r="G20" i="2"/>
  <c r="F13" i="2"/>
  <c r="F13" i="6"/>
  <c r="F23" i="2"/>
  <c r="F23" i="6"/>
  <c r="AC26" i="1"/>
  <c r="D34" i="6"/>
  <c r="D34" i="2"/>
  <c r="S25" i="1"/>
  <c r="Z25" i="1" s="1"/>
  <c r="F39" i="2"/>
  <c r="F39" i="6"/>
  <c r="S18" i="1"/>
  <c r="S27" i="1"/>
  <c r="AA27" i="1" s="1"/>
  <c r="AC34" i="1"/>
  <c r="D42" i="2"/>
  <c r="D42" i="6"/>
  <c r="AT13" i="6"/>
  <c r="AO13" i="6"/>
  <c r="AP13" i="6" s="1"/>
  <c r="AR13" i="6"/>
  <c r="AU13" i="6"/>
  <c r="AW13" i="6" s="1"/>
  <c r="D38" i="2" l="1"/>
  <c r="AC30" i="1"/>
  <c r="D38" i="6"/>
  <c r="F38" i="2"/>
  <c r="F38" i="6"/>
  <c r="AB25" i="1"/>
  <c r="AB8" i="1"/>
  <c r="F16" i="2" s="1"/>
  <c r="AA8" i="1"/>
  <c r="E16" i="2" s="1"/>
  <c r="E38" i="2"/>
  <c r="E38" i="6"/>
  <c r="F36" i="2"/>
  <c r="F36" i="6"/>
  <c r="F32" i="6"/>
  <c r="F32" i="2"/>
  <c r="F19" i="6"/>
  <c r="D32" i="6"/>
  <c r="D32" i="2"/>
  <c r="AC24" i="1"/>
  <c r="E36" i="6"/>
  <c r="E36" i="2"/>
  <c r="F16" i="6"/>
  <c r="E32" i="6"/>
  <c r="E32" i="2"/>
  <c r="Z8" i="1"/>
  <c r="AB37" i="12"/>
  <c r="AD37" i="12" s="1"/>
  <c r="AE37" i="12" s="1"/>
  <c r="AF37" i="12" s="1"/>
  <c r="AD14" i="12"/>
  <c r="AE14" i="12" s="1"/>
  <c r="Z18" i="1"/>
  <c r="AC28" i="1"/>
  <c r="D36" i="6"/>
  <c r="D36" i="2"/>
  <c r="AC7" i="1"/>
  <c r="G15" i="6" s="1"/>
  <c r="AC9" i="12" s="1"/>
  <c r="AB47" i="12"/>
  <c r="AD47" i="12" s="1"/>
  <c r="AE47" i="12" s="1"/>
  <c r="AF47" i="12" s="1"/>
  <c r="AD24" i="12"/>
  <c r="AE24" i="12" s="1"/>
  <c r="K24" i="12"/>
  <c r="L24" i="12" s="1"/>
  <c r="K24" i="11"/>
  <c r="L24" i="11" s="1"/>
  <c r="AH34" i="6"/>
  <c r="E16" i="6"/>
  <c r="AA25" i="1"/>
  <c r="AB27" i="1"/>
  <c r="F35" i="2" s="1"/>
  <c r="E29" i="2"/>
  <c r="E29" i="6"/>
  <c r="D33" i="2"/>
  <c r="D33" i="6"/>
  <c r="AC19" i="1"/>
  <c r="D27" i="6"/>
  <c r="D27" i="2"/>
  <c r="E35" i="2"/>
  <c r="E35" i="6"/>
  <c r="D26" i="6"/>
  <c r="D26" i="2"/>
  <c r="AC21" i="1"/>
  <c r="D29" i="6"/>
  <c r="D29" i="2"/>
  <c r="I20" i="6"/>
  <c r="H20" i="6"/>
  <c r="I30" i="6"/>
  <c r="H30" i="6"/>
  <c r="G34" i="6"/>
  <c r="G34" i="2"/>
  <c r="E33" i="2"/>
  <c r="I37" i="2"/>
  <c r="H37" i="2"/>
  <c r="I41" i="6"/>
  <c r="H41" i="6"/>
  <c r="E27" i="2"/>
  <c r="E27" i="6"/>
  <c r="G18" i="6"/>
  <c r="AC12" i="12" s="1"/>
  <c r="G18" i="2"/>
  <c r="F27" i="2"/>
  <c r="F27" i="6"/>
  <c r="G22" i="6"/>
  <c r="AC16" i="12" s="1"/>
  <c r="G22" i="2"/>
  <c r="G23" i="6"/>
  <c r="AC17" i="12" s="1"/>
  <c r="G23" i="2"/>
  <c r="G39" i="6"/>
  <c r="G39" i="2"/>
  <c r="G25" i="6"/>
  <c r="AC19" i="12" s="1"/>
  <c r="G25" i="2"/>
  <c r="I41" i="2"/>
  <c r="H41" i="2"/>
  <c r="AA18" i="1"/>
  <c r="G42" i="6"/>
  <c r="G42" i="2"/>
  <c r="F29" i="2"/>
  <c r="F29" i="6"/>
  <c r="I37" i="6"/>
  <c r="H37" i="6"/>
  <c r="AB18" i="1"/>
  <c r="AH26" i="6"/>
  <c r="K17" i="12" s="1"/>
  <c r="L17" i="12" s="1"/>
  <c r="K16" i="11"/>
  <c r="L16" i="11" s="1"/>
  <c r="G31" i="6"/>
  <c r="G31" i="2"/>
  <c r="Z27" i="1"/>
  <c r="G28" i="6"/>
  <c r="AC22" i="12" s="1"/>
  <c r="G28" i="2"/>
  <c r="G13" i="2"/>
  <c r="G40" i="6"/>
  <c r="G40" i="2"/>
  <c r="G17" i="6"/>
  <c r="AC11" i="12" s="1"/>
  <c r="G21" i="6"/>
  <c r="AC15" i="12" s="1"/>
  <c r="G21" i="2"/>
  <c r="G14" i="6"/>
  <c r="AC8" i="12" s="1"/>
  <c r="G14" i="2"/>
  <c r="G43" i="6"/>
  <c r="G43" i="2"/>
  <c r="F33" i="2"/>
  <c r="F33" i="6"/>
  <c r="I20" i="2"/>
  <c r="H20" i="2"/>
  <c r="H30" i="2"/>
  <c r="I30" i="2"/>
  <c r="E19" i="2"/>
  <c r="E19" i="6"/>
  <c r="G24" i="6"/>
  <c r="AC18" i="12" s="1"/>
  <c r="G24" i="2"/>
  <c r="AC11" i="1"/>
  <c r="D19" i="2"/>
  <c r="D19" i="6"/>
  <c r="AZ13" i="6"/>
  <c r="AY13" i="6"/>
  <c r="AC25" i="1" l="1"/>
  <c r="G33" i="6" s="1"/>
  <c r="E33" i="6"/>
  <c r="AC18" i="1"/>
  <c r="G38" i="2"/>
  <c r="G38" i="6"/>
  <c r="AB32" i="12"/>
  <c r="AD32" i="12" s="1"/>
  <c r="AE32" i="12" s="1"/>
  <c r="AF32" i="12" s="1"/>
  <c r="AD9" i="12"/>
  <c r="AE9" i="12" s="1"/>
  <c r="AB45" i="12"/>
  <c r="AD45" i="12" s="1"/>
  <c r="AE45" i="12" s="1"/>
  <c r="AF45" i="12" s="1"/>
  <c r="AD22" i="12"/>
  <c r="AE22" i="12" s="1"/>
  <c r="D16" i="2"/>
  <c r="AC8" i="1"/>
  <c r="D16" i="6"/>
  <c r="G32" i="2"/>
  <c r="G32" i="6"/>
  <c r="AB40" i="12"/>
  <c r="AD40" i="12" s="1"/>
  <c r="AE40" i="12" s="1"/>
  <c r="AF40" i="12" s="1"/>
  <c r="AD17" i="12"/>
  <c r="AE17" i="12" s="1"/>
  <c r="AD8" i="12"/>
  <c r="AB31" i="12"/>
  <c r="F35" i="6"/>
  <c r="AD19" i="12"/>
  <c r="AE19" i="12" s="1"/>
  <c r="AB42" i="12"/>
  <c r="AD42" i="12" s="1"/>
  <c r="AE42" i="12" s="1"/>
  <c r="AF42" i="12" s="1"/>
  <c r="K25" i="12"/>
  <c r="L25" i="12" s="1"/>
  <c r="K25" i="11"/>
  <c r="L25" i="11" s="1"/>
  <c r="AH35" i="6"/>
  <c r="G36" i="6"/>
  <c r="G36" i="2"/>
  <c r="AB39" i="12"/>
  <c r="AD39" i="12" s="1"/>
  <c r="AE39" i="12" s="1"/>
  <c r="AF39" i="12" s="1"/>
  <c r="AD16" i="12"/>
  <c r="AE16" i="12" s="1"/>
  <c r="AB41" i="12"/>
  <c r="AD41" i="12" s="1"/>
  <c r="AE41" i="12" s="1"/>
  <c r="AF41" i="12" s="1"/>
  <c r="AD18" i="12"/>
  <c r="AE18" i="12" s="1"/>
  <c r="AB38" i="12"/>
  <c r="AD38" i="12" s="1"/>
  <c r="AE38" i="12" s="1"/>
  <c r="AF38" i="12" s="1"/>
  <c r="AD15" i="12"/>
  <c r="AE15" i="12" s="1"/>
  <c r="G15" i="2"/>
  <c r="AD11" i="12"/>
  <c r="AE11" i="12" s="1"/>
  <c r="AB34" i="12"/>
  <c r="AD34" i="12" s="1"/>
  <c r="AE34" i="12" s="1"/>
  <c r="AF34" i="12" s="1"/>
  <c r="AC25" i="12"/>
  <c r="AD12" i="12"/>
  <c r="AE12" i="12" s="1"/>
  <c r="AB35" i="12"/>
  <c r="AD35" i="12" s="1"/>
  <c r="AE35" i="12" s="1"/>
  <c r="AF35" i="12" s="1"/>
  <c r="G26" i="6"/>
  <c r="AC20" i="12" s="1"/>
  <c r="G26" i="2"/>
  <c r="I21" i="2"/>
  <c r="H21" i="2"/>
  <c r="H18" i="2"/>
  <c r="K30" i="2"/>
  <c r="I43" i="6"/>
  <c r="H43" i="6"/>
  <c r="I21" i="6"/>
  <c r="H21" i="6"/>
  <c r="I40" i="6"/>
  <c r="H40" i="6"/>
  <c r="I28" i="2"/>
  <c r="H28" i="2"/>
  <c r="K17" i="11"/>
  <c r="L17" i="11" s="1"/>
  <c r="AH27" i="6"/>
  <c r="K37" i="6"/>
  <c r="I42" i="6"/>
  <c r="H42" i="6"/>
  <c r="K41" i="2"/>
  <c r="I39" i="6"/>
  <c r="H39" i="6"/>
  <c r="I22" i="6"/>
  <c r="H22" i="6"/>
  <c r="I18" i="6"/>
  <c r="H18" i="6"/>
  <c r="I43" i="2"/>
  <c r="H43" i="2"/>
  <c r="H40" i="2"/>
  <c r="I40" i="2"/>
  <c r="I42" i="2"/>
  <c r="H42" i="2"/>
  <c r="H39" i="2"/>
  <c r="I39" i="2"/>
  <c r="I24" i="6"/>
  <c r="H24" i="6"/>
  <c r="H14" i="2"/>
  <c r="H17" i="2"/>
  <c r="H13" i="6"/>
  <c r="Y13" i="6"/>
  <c r="I13" i="6"/>
  <c r="I28" i="6"/>
  <c r="H28" i="6"/>
  <c r="AC27" i="1"/>
  <c r="D35" i="2"/>
  <c r="D35" i="6"/>
  <c r="I31" i="2"/>
  <c r="H31" i="2"/>
  <c r="F26" i="2"/>
  <c r="F26" i="6"/>
  <c r="E26" i="6"/>
  <c r="E26" i="2"/>
  <c r="I25" i="2"/>
  <c r="H25" i="2"/>
  <c r="I23" i="2"/>
  <c r="H23" i="2"/>
  <c r="K41" i="6"/>
  <c r="H34" i="2"/>
  <c r="I34" i="2"/>
  <c r="K30" i="6"/>
  <c r="G29" i="6"/>
  <c r="G29" i="2"/>
  <c r="G27" i="6"/>
  <c r="AC21" i="12" s="1"/>
  <c r="G27" i="2"/>
  <c r="G19" i="6"/>
  <c r="AC13" i="12" s="1"/>
  <c r="G19" i="2"/>
  <c r="H24" i="2"/>
  <c r="I24" i="2"/>
  <c r="H22" i="2"/>
  <c r="I22" i="2"/>
  <c r="I15" i="6"/>
  <c r="H15" i="6"/>
  <c r="K20" i="2"/>
  <c r="I14" i="6"/>
  <c r="H14" i="6"/>
  <c r="H17" i="6"/>
  <c r="H13" i="2"/>
  <c r="I31" i="6"/>
  <c r="E9" i="6" s="1"/>
  <c r="H31" i="6"/>
  <c r="I25" i="6"/>
  <c r="H25" i="6"/>
  <c r="I23" i="6"/>
  <c r="H23" i="6"/>
  <c r="K37" i="2"/>
  <c r="I34" i="6"/>
  <c r="H34" i="6"/>
  <c r="H15" i="2"/>
  <c r="K20" i="6"/>
  <c r="BD13" i="6"/>
  <c r="BF13" i="6"/>
  <c r="BH13" i="6" s="1"/>
  <c r="BB13" i="6"/>
  <c r="BC13" i="6" s="1"/>
  <c r="H38" i="6" l="1"/>
  <c r="I38" i="6"/>
  <c r="K38" i="6" s="1"/>
  <c r="G33" i="2"/>
  <c r="I38" i="2"/>
  <c r="K38" i="2" s="1"/>
  <c r="H38" i="2"/>
  <c r="K18" i="11"/>
  <c r="L18" i="11" s="1"/>
  <c r="K18" i="12"/>
  <c r="L18" i="12" s="1"/>
  <c r="I36" i="2"/>
  <c r="K36" i="2" s="1"/>
  <c r="BK36" i="2" s="1"/>
  <c r="BK74" i="2" s="1"/>
  <c r="H36" i="2"/>
  <c r="AD31" i="12"/>
  <c r="G16" i="2"/>
  <c r="G16" i="6"/>
  <c r="I32" i="2"/>
  <c r="K32" i="2" s="1"/>
  <c r="H32" i="2"/>
  <c r="AB36" i="12"/>
  <c r="AD36" i="12" s="1"/>
  <c r="AE36" i="12" s="1"/>
  <c r="AF36" i="12" s="1"/>
  <c r="AD13" i="12"/>
  <c r="AE13" i="12" s="1"/>
  <c r="H36" i="6"/>
  <c r="I36" i="6"/>
  <c r="K36" i="6" s="1"/>
  <c r="BZ36" i="6" s="1"/>
  <c r="BZ74" i="6" s="1"/>
  <c r="AE8" i="12"/>
  <c r="AD20" i="12"/>
  <c r="AE20" i="12" s="1"/>
  <c r="AB43" i="12"/>
  <c r="AD43" i="12" s="1"/>
  <c r="AE43" i="12" s="1"/>
  <c r="AF43" i="12" s="1"/>
  <c r="K26" i="12"/>
  <c r="L26" i="12" s="1"/>
  <c r="AH36" i="6"/>
  <c r="K26" i="11"/>
  <c r="L26" i="11" s="1"/>
  <c r="AB44" i="12"/>
  <c r="AD44" i="12" s="1"/>
  <c r="AE44" i="12" s="1"/>
  <c r="AF44" i="12" s="1"/>
  <c r="AD21" i="12"/>
  <c r="AE21" i="12" s="1"/>
  <c r="AC23" i="12"/>
  <c r="I29" i="6"/>
  <c r="AB48" i="12"/>
  <c r="AD48" i="12" s="1"/>
  <c r="AE48" i="12" s="1"/>
  <c r="AF48" i="12" s="1"/>
  <c r="AD25" i="12"/>
  <c r="AE25" i="12" s="1"/>
  <c r="H32" i="6"/>
  <c r="I32" i="6"/>
  <c r="K32" i="6" s="1"/>
  <c r="K31" i="6"/>
  <c r="K14" i="6"/>
  <c r="I29" i="2"/>
  <c r="H29" i="2"/>
  <c r="K14" i="2"/>
  <c r="K39" i="6"/>
  <c r="K34" i="6"/>
  <c r="K25" i="6"/>
  <c r="K15" i="6"/>
  <c r="I19" i="6"/>
  <c r="H19" i="6"/>
  <c r="H29" i="6"/>
  <c r="K34" i="2"/>
  <c r="K31" i="2"/>
  <c r="K24" i="6"/>
  <c r="K39" i="2"/>
  <c r="K42" i="2"/>
  <c r="AV36" i="2"/>
  <c r="AV74" i="2" s="1"/>
  <c r="BY36" i="2"/>
  <c r="BY74" i="2" s="1"/>
  <c r="CB36" i="2"/>
  <c r="CB74" i="2" s="1"/>
  <c r="AT36" i="2"/>
  <c r="AT74" i="2" s="1"/>
  <c r="BU36" i="2"/>
  <c r="BU74" i="2" s="1"/>
  <c r="BP36" i="2"/>
  <c r="BP74" i="2" s="1"/>
  <c r="AR36" i="2"/>
  <c r="K22" i="6"/>
  <c r="K42" i="6"/>
  <c r="K43" i="6"/>
  <c r="K21" i="2"/>
  <c r="I19" i="2"/>
  <c r="H19" i="2"/>
  <c r="AX20" i="2"/>
  <c r="AX58" i="2" s="1"/>
  <c r="BS20" i="2"/>
  <c r="BS58" i="2" s="1"/>
  <c r="BF20" i="2"/>
  <c r="BF58" i="2" s="1"/>
  <c r="AY20" i="2"/>
  <c r="AY58" i="2" s="1"/>
  <c r="AZ20" i="2"/>
  <c r="AZ58" i="2" s="1"/>
  <c r="AU20" i="2"/>
  <c r="AU58" i="2" s="1"/>
  <c r="AW20" i="2"/>
  <c r="AW58" i="2" s="1"/>
  <c r="BQ20" i="2"/>
  <c r="BQ58" i="2" s="1"/>
  <c r="BP20" i="2"/>
  <c r="BP58" i="2" s="1"/>
  <c r="BR20" i="2"/>
  <c r="BR58" i="2" s="1"/>
  <c r="BO20" i="2"/>
  <c r="BO58" i="2" s="1"/>
  <c r="BC20" i="2"/>
  <c r="BC58" i="2" s="1"/>
  <c r="BE20" i="2"/>
  <c r="BE58" i="2" s="1"/>
  <c r="BW20" i="2"/>
  <c r="BW58" i="2" s="1"/>
  <c r="AV20" i="2"/>
  <c r="AV58" i="2" s="1"/>
  <c r="BN20" i="2"/>
  <c r="BN58" i="2" s="1"/>
  <c r="BV20" i="2"/>
  <c r="BV58" i="2" s="1"/>
  <c r="BZ20" i="2"/>
  <c r="BZ58" i="2" s="1"/>
  <c r="BI20" i="2"/>
  <c r="BI58" i="2" s="1"/>
  <c r="BU20" i="2"/>
  <c r="BU58" i="2" s="1"/>
  <c r="BK20" i="2"/>
  <c r="BK58" i="2" s="1"/>
  <c r="BJ20" i="2"/>
  <c r="BJ58" i="2" s="1"/>
  <c r="BG20" i="2"/>
  <c r="BG58" i="2" s="1"/>
  <c r="BY20" i="2"/>
  <c r="BY58" i="2" s="1"/>
  <c r="BA20" i="2"/>
  <c r="BA58" i="2" s="1"/>
  <c r="BH20" i="2"/>
  <c r="BH58" i="2" s="1"/>
  <c r="CB20" i="2"/>
  <c r="CB58" i="2" s="1"/>
  <c r="BX20" i="2"/>
  <c r="BX58" i="2" s="1"/>
  <c r="AS20" i="2"/>
  <c r="AS58" i="2" s="1"/>
  <c r="BT20" i="2"/>
  <c r="BT58" i="2" s="1"/>
  <c r="AT20" i="2"/>
  <c r="AT58" i="2" s="1"/>
  <c r="BM20" i="2"/>
  <c r="BM58" i="2" s="1"/>
  <c r="BD20" i="2"/>
  <c r="BD58" i="2" s="1"/>
  <c r="BL20" i="2"/>
  <c r="BL58" i="2" s="1"/>
  <c r="BB20" i="2"/>
  <c r="BB58" i="2" s="1"/>
  <c r="CA20" i="2"/>
  <c r="CA58" i="2" s="1"/>
  <c r="AR20" i="2"/>
  <c r="K24" i="2"/>
  <c r="I27" i="2"/>
  <c r="H27" i="2"/>
  <c r="K25" i="2"/>
  <c r="BV36" i="6"/>
  <c r="BV74" i="6" s="1"/>
  <c r="BX36" i="6"/>
  <c r="BX74" i="6" s="1"/>
  <c r="CD36" i="6"/>
  <c r="CD74" i="6" s="1"/>
  <c r="CF36" i="6"/>
  <c r="CF74" i="6" s="1"/>
  <c r="CH36" i="6"/>
  <c r="CH74" i="6" s="1"/>
  <c r="CJ36" i="6"/>
  <c r="CJ74" i="6" s="1"/>
  <c r="CL36" i="6"/>
  <c r="CL74" i="6" s="1"/>
  <c r="CN36" i="6"/>
  <c r="CN74" i="6" s="1"/>
  <c r="CT36" i="6"/>
  <c r="CT74" i="6" s="1"/>
  <c r="CV36" i="6"/>
  <c r="CV74" i="6" s="1"/>
  <c r="CX36" i="6"/>
  <c r="CX74" i="6" s="1"/>
  <c r="CZ36" i="6"/>
  <c r="CZ74" i="6" s="1"/>
  <c r="DB36" i="6"/>
  <c r="DB74" i="6" s="1"/>
  <c r="DD36" i="6"/>
  <c r="DD74" i="6" s="1"/>
  <c r="CC36" i="6"/>
  <c r="CC74" i="6" s="1"/>
  <c r="CG36" i="6"/>
  <c r="CG74" i="6" s="1"/>
  <c r="CK36" i="6"/>
  <c r="CK74" i="6" s="1"/>
  <c r="CO36" i="6"/>
  <c r="CO74" i="6" s="1"/>
  <c r="CS36" i="6"/>
  <c r="CS74" i="6" s="1"/>
  <c r="CW36" i="6"/>
  <c r="CW74" i="6" s="1"/>
  <c r="DA36" i="6"/>
  <c r="DA74" i="6" s="1"/>
  <c r="BW36" i="6"/>
  <c r="BW74" i="6" s="1"/>
  <c r="CA36" i="6"/>
  <c r="CA74" i="6" s="1"/>
  <c r="CE36" i="6"/>
  <c r="CE74" i="6" s="1"/>
  <c r="CI36" i="6"/>
  <c r="CI74" i="6" s="1"/>
  <c r="CM36" i="6"/>
  <c r="CM74" i="6" s="1"/>
  <c r="CQ36" i="6"/>
  <c r="CQ74" i="6" s="1"/>
  <c r="CU36" i="6"/>
  <c r="CU74" i="6" s="1"/>
  <c r="DC36" i="6"/>
  <c r="DC74" i="6" s="1"/>
  <c r="I33" i="2"/>
  <c r="H33" i="2"/>
  <c r="K18" i="6"/>
  <c r="BI41" i="2"/>
  <c r="BI79" i="2" s="1"/>
  <c r="BX41" i="2"/>
  <c r="BX79" i="2" s="1"/>
  <c r="AY41" i="2"/>
  <c r="AY79" i="2" s="1"/>
  <c r="BU41" i="2"/>
  <c r="BU79" i="2" s="1"/>
  <c r="BR41" i="2"/>
  <c r="BR79" i="2" s="1"/>
  <c r="AW41" i="2"/>
  <c r="AW79" i="2" s="1"/>
  <c r="BD41" i="2"/>
  <c r="BD79" i="2" s="1"/>
  <c r="BN41" i="2"/>
  <c r="BN79" i="2" s="1"/>
  <c r="CB41" i="2"/>
  <c r="CB79" i="2" s="1"/>
  <c r="BO41" i="2"/>
  <c r="BO79" i="2" s="1"/>
  <c r="BY41" i="2"/>
  <c r="BY79" i="2" s="1"/>
  <c r="AS41" i="2"/>
  <c r="AS79" i="2" s="1"/>
  <c r="AU41" i="2"/>
  <c r="AU79" i="2" s="1"/>
  <c r="AT41" i="2"/>
  <c r="AT79" i="2" s="1"/>
  <c r="BL41" i="2"/>
  <c r="BL79" i="2" s="1"/>
  <c r="AV41" i="2"/>
  <c r="AV79" i="2" s="1"/>
  <c r="BW41" i="2"/>
  <c r="BW79" i="2" s="1"/>
  <c r="BV41" i="2"/>
  <c r="BV79" i="2" s="1"/>
  <c r="BM41" i="2"/>
  <c r="BM79" i="2" s="1"/>
  <c r="BT41" i="2"/>
  <c r="BT79" i="2" s="1"/>
  <c r="BQ41" i="2"/>
  <c r="BQ79" i="2" s="1"/>
  <c r="BP41" i="2"/>
  <c r="BP79" i="2" s="1"/>
  <c r="BJ41" i="2"/>
  <c r="BJ79" i="2" s="1"/>
  <c r="BG41" i="2"/>
  <c r="BG79" i="2" s="1"/>
  <c r="BK41" i="2"/>
  <c r="BK79" i="2" s="1"/>
  <c r="BZ41" i="2"/>
  <c r="BZ79" i="2" s="1"/>
  <c r="BS41" i="2"/>
  <c r="BS79" i="2" s="1"/>
  <c r="BE41" i="2"/>
  <c r="BE79" i="2" s="1"/>
  <c r="BH41" i="2"/>
  <c r="BH79" i="2" s="1"/>
  <c r="BB41" i="2"/>
  <c r="BB79" i="2" s="1"/>
  <c r="AZ41" i="2"/>
  <c r="AZ79" i="2" s="1"/>
  <c r="BF41" i="2"/>
  <c r="BF79" i="2" s="1"/>
  <c r="CA41" i="2"/>
  <c r="CA79" i="2" s="1"/>
  <c r="AX41" i="2"/>
  <c r="AX79" i="2" s="1"/>
  <c r="AR41" i="2"/>
  <c r="BA41" i="2"/>
  <c r="BA79" i="2" s="1"/>
  <c r="BC41" i="2"/>
  <c r="BC79" i="2" s="1"/>
  <c r="K28" i="2"/>
  <c r="K21" i="6"/>
  <c r="K18" i="2"/>
  <c r="I26" i="2"/>
  <c r="H26" i="2"/>
  <c r="BV41" i="6"/>
  <c r="BV79" i="6" s="1"/>
  <c r="BX41" i="6"/>
  <c r="BX79" i="6" s="1"/>
  <c r="BZ41" i="6"/>
  <c r="BZ79" i="6" s="1"/>
  <c r="CB41" i="6"/>
  <c r="CB79" i="6" s="1"/>
  <c r="CD41" i="6"/>
  <c r="CD79" i="6" s="1"/>
  <c r="CF41" i="6"/>
  <c r="CF79" i="6" s="1"/>
  <c r="CH41" i="6"/>
  <c r="CH79" i="6" s="1"/>
  <c r="CJ41" i="6"/>
  <c r="CJ79" i="6" s="1"/>
  <c r="CL41" i="6"/>
  <c r="CL79" i="6" s="1"/>
  <c r="CN41" i="6"/>
  <c r="CN79" i="6" s="1"/>
  <c r="CP41" i="6"/>
  <c r="CP79" i="6" s="1"/>
  <c r="CR41" i="6"/>
  <c r="CR79" i="6" s="1"/>
  <c r="CT41" i="6"/>
  <c r="CT79" i="6" s="1"/>
  <c r="CV41" i="6"/>
  <c r="CV79" i="6" s="1"/>
  <c r="CX41" i="6"/>
  <c r="CX79" i="6" s="1"/>
  <c r="CZ41" i="6"/>
  <c r="CZ79" i="6" s="1"/>
  <c r="DB41" i="6"/>
  <c r="DB79" i="6" s="1"/>
  <c r="DD41" i="6"/>
  <c r="DD79" i="6" s="1"/>
  <c r="BW41" i="6"/>
  <c r="BW79" i="6" s="1"/>
  <c r="CA41" i="6"/>
  <c r="CA79" i="6" s="1"/>
  <c r="CE41" i="6"/>
  <c r="CE79" i="6" s="1"/>
  <c r="CI41" i="6"/>
  <c r="CI79" i="6" s="1"/>
  <c r="CM41" i="6"/>
  <c r="CM79" i="6" s="1"/>
  <c r="CQ41" i="6"/>
  <c r="CQ79" i="6" s="1"/>
  <c r="CU41" i="6"/>
  <c r="CU79" i="6" s="1"/>
  <c r="CY41" i="6"/>
  <c r="CY79" i="6" s="1"/>
  <c r="DC41" i="6"/>
  <c r="DC79" i="6" s="1"/>
  <c r="BU41" i="6"/>
  <c r="CK41" i="6"/>
  <c r="CK79" i="6" s="1"/>
  <c r="DA41" i="6"/>
  <c r="DA79" i="6" s="1"/>
  <c r="BY41" i="6"/>
  <c r="BY79" i="6" s="1"/>
  <c r="CO41" i="6"/>
  <c r="CO79" i="6" s="1"/>
  <c r="DE41" i="6"/>
  <c r="DE79" i="6" s="1"/>
  <c r="CC41" i="6"/>
  <c r="CC79" i="6" s="1"/>
  <c r="CS41" i="6"/>
  <c r="CS79" i="6" s="1"/>
  <c r="CG41" i="6"/>
  <c r="CG79" i="6" s="1"/>
  <c r="CW41" i="6"/>
  <c r="CW79" i="6" s="1"/>
  <c r="G35" i="6"/>
  <c r="G35" i="2"/>
  <c r="K23" i="6"/>
  <c r="BU20" i="6"/>
  <c r="BZ20" i="6"/>
  <c r="BZ58" i="6" s="1"/>
  <c r="CC20" i="6"/>
  <c r="CC58" i="6" s="1"/>
  <c r="CH20" i="6"/>
  <c r="CH58" i="6" s="1"/>
  <c r="CK20" i="6"/>
  <c r="CK58" i="6" s="1"/>
  <c r="CP20" i="6"/>
  <c r="CP58" i="6" s="1"/>
  <c r="CS20" i="6"/>
  <c r="CS58" i="6" s="1"/>
  <c r="CX20" i="6"/>
  <c r="CX58" i="6" s="1"/>
  <c r="DA20" i="6"/>
  <c r="DA58" i="6" s="1"/>
  <c r="BX20" i="6"/>
  <c r="BX58" i="6" s="1"/>
  <c r="CE20" i="6"/>
  <c r="CE58" i="6" s="1"/>
  <c r="CI20" i="6"/>
  <c r="CI58" i="6" s="1"/>
  <c r="CL20" i="6"/>
  <c r="CL58" i="6" s="1"/>
  <c r="CW20" i="6"/>
  <c r="CW58" i="6" s="1"/>
  <c r="CZ20" i="6"/>
  <c r="CZ58" i="6" s="1"/>
  <c r="DD20" i="6"/>
  <c r="DD58" i="6" s="1"/>
  <c r="BY20" i="6"/>
  <c r="BY58" i="6" s="1"/>
  <c r="CB20" i="6"/>
  <c r="CB58" i="6" s="1"/>
  <c r="CF20" i="6"/>
  <c r="CF58" i="6" s="1"/>
  <c r="CM20" i="6"/>
  <c r="CM58" i="6" s="1"/>
  <c r="CQ20" i="6"/>
  <c r="CQ58" i="6" s="1"/>
  <c r="CT20" i="6"/>
  <c r="CT58" i="6" s="1"/>
  <c r="DE20" i="6"/>
  <c r="DE58" i="6" s="1"/>
  <c r="BW20" i="6"/>
  <c r="BW58" i="6" s="1"/>
  <c r="CD20" i="6"/>
  <c r="CD58" i="6" s="1"/>
  <c r="CR20" i="6"/>
  <c r="CR58" i="6" s="1"/>
  <c r="CG20" i="6"/>
  <c r="CG58" i="6" s="1"/>
  <c r="CN20" i="6"/>
  <c r="CN58" i="6" s="1"/>
  <c r="CU20" i="6"/>
  <c r="CU58" i="6" s="1"/>
  <c r="DB20" i="6"/>
  <c r="DB58" i="6" s="1"/>
  <c r="CA20" i="6"/>
  <c r="CA58" i="6" s="1"/>
  <c r="CO20" i="6"/>
  <c r="CO58" i="6" s="1"/>
  <c r="CV20" i="6"/>
  <c r="CV58" i="6" s="1"/>
  <c r="DC20" i="6"/>
  <c r="DC58" i="6" s="1"/>
  <c r="BV20" i="6"/>
  <c r="BV58" i="6" s="1"/>
  <c r="CY20" i="6"/>
  <c r="CY58" i="6" s="1"/>
  <c r="CJ20" i="6"/>
  <c r="CJ58" i="6" s="1"/>
  <c r="BR37" i="2"/>
  <c r="BR75" i="2" s="1"/>
  <c r="BA37" i="2"/>
  <c r="BA75" i="2" s="1"/>
  <c r="BC37" i="2"/>
  <c r="BC75" i="2" s="1"/>
  <c r="BI37" i="2"/>
  <c r="BI75" i="2" s="1"/>
  <c r="BL37" i="2"/>
  <c r="BL75" i="2" s="1"/>
  <c r="BH37" i="2"/>
  <c r="BH75" i="2" s="1"/>
  <c r="BQ37" i="2"/>
  <c r="BQ75" i="2" s="1"/>
  <c r="BS37" i="2"/>
  <c r="BS75" i="2" s="1"/>
  <c r="BT37" i="2"/>
  <c r="BT75" i="2" s="1"/>
  <c r="AS37" i="2"/>
  <c r="AS75" i="2" s="1"/>
  <c r="AW37" i="2"/>
  <c r="AW75" i="2" s="1"/>
  <c r="BN37" i="2"/>
  <c r="BN75" i="2" s="1"/>
  <c r="BB37" i="2"/>
  <c r="BB75" i="2" s="1"/>
  <c r="BG37" i="2"/>
  <c r="BG75" i="2" s="1"/>
  <c r="BW37" i="2"/>
  <c r="BW75" i="2" s="1"/>
  <c r="CB37" i="2"/>
  <c r="CB75" i="2" s="1"/>
  <c r="BJ37" i="2"/>
  <c r="BJ75" i="2" s="1"/>
  <c r="BK37" i="2"/>
  <c r="BK75" i="2" s="1"/>
  <c r="BU37" i="2"/>
  <c r="BU75" i="2" s="1"/>
  <c r="BM37" i="2"/>
  <c r="BM75" i="2" s="1"/>
  <c r="AY37" i="2"/>
  <c r="AY75" i="2" s="1"/>
  <c r="BP37" i="2"/>
  <c r="BP75" i="2" s="1"/>
  <c r="BZ37" i="2"/>
  <c r="BZ75" i="2" s="1"/>
  <c r="BD37" i="2"/>
  <c r="BD75" i="2" s="1"/>
  <c r="AR37" i="2"/>
  <c r="AU37" i="2"/>
  <c r="AU75" i="2" s="1"/>
  <c r="AV37" i="2"/>
  <c r="AV75" i="2" s="1"/>
  <c r="BO37" i="2"/>
  <c r="BO75" i="2" s="1"/>
  <c r="BX37" i="2"/>
  <c r="BX75" i="2" s="1"/>
  <c r="BF37" i="2"/>
  <c r="BF75" i="2" s="1"/>
  <c r="AZ37" i="2"/>
  <c r="AZ75" i="2" s="1"/>
  <c r="BV37" i="2"/>
  <c r="BV75" i="2" s="1"/>
  <c r="BE37" i="2"/>
  <c r="BE75" i="2" s="1"/>
  <c r="BY37" i="2"/>
  <c r="BY75" i="2" s="1"/>
  <c r="CA37" i="2"/>
  <c r="CA75" i="2" s="1"/>
  <c r="AT37" i="2"/>
  <c r="AT75" i="2" s="1"/>
  <c r="AX37" i="2"/>
  <c r="AX75" i="2" s="1"/>
  <c r="K22" i="2"/>
  <c r="I27" i="6"/>
  <c r="H27" i="6"/>
  <c r="BU30" i="6"/>
  <c r="BW30" i="6"/>
  <c r="BW68" i="6" s="1"/>
  <c r="BY30" i="6"/>
  <c r="BY68" i="6" s="1"/>
  <c r="CA30" i="6"/>
  <c r="CA68" i="6" s="1"/>
  <c r="CC30" i="6"/>
  <c r="CC68" i="6" s="1"/>
  <c r="CE30" i="6"/>
  <c r="CE68" i="6" s="1"/>
  <c r="CG30" i="6"/>
  <c r="CG68" i="6" s="1"/>
  <c r="CI30" i="6"/>
  <c r="CI68" i="6" s="1"/>
  <c r="CK30" i="6"/>
  <c r="CK68" i="6" s="1"/>
  <c r="CM30" i="6"/>
  <c r="CM68" i="6" s="1"/>
  <c r="CO30" i="6"/>
  <c r="CO68" i="6" s="1"/>
  <c r="CQ30" i="6"/>
  <c r="CQ68" i="6" s="1"/>
  <c r="CS30" i="6"/>
  <c r="CS68" i="6" s="1"/>
  <c r="CU30" i="6"/>
  <c r="CU68" i="6" s="1"/>
  <c r="CW30" i="6"/>
  <c r="CW68" i="6" s="1"/>
  <c r="CY30" i="6"/>
  <c r="CY68" i="6" s="1"/>
  <c r="DA30" i="6"/>
  <c r="DA68" i="6" s="1"/>
  <c r="DC30" i="6"/>
  <c r="DC68" i="6" s="1"/>
  <c r="DE30" i="6"/>
  <c r="DE68" i="6" s="1"/>
  <c r="BV30" i="6"/>
  <c r="BV68" i="6" s="1"/>
  <c r="BZ30" i="6"/>
  <c r="BZ68" i="6" s="1"/>
  <c r="CD30" i="6"/>
  <c r="CD68" i="6" s="1"/>
  <c r="CH30" i="6"/>
  <c r="CH68" i="6" s="1"/>
  <c r="CL30" i="6"/>
  <c r="CL68" i="6" s="1"/>
  <c r="CP30" i="6"/>
  <c r="CP68" i="6" s="1"/>
  <c r="CT30" i="6"/>
  <c r="CT68" i="6" s="1"/>
  <c r="CX30" i="6"/>
  <c r="CX68" i="6" s="1"/>
  <c r="DB30" i="6"/>
  <c r="DB68" i="6" s="1"/>
  <c r="BX30" i="6"/>
  <c r="BX68" i="6" s="1"/>
  <c r="CN30" i="6"/>
  <c r="CN68" i="6" s="1"/>
  <c r="DD30" i="6"/>
  <c r="DD68" i="6" s="1"/>
  <c r="CB30" i="6"/>
  <c r="CB68" i="6" s="1"/>
  <c r="CR30" i="6"/>
  <c r="CR68" i="6" s="1"/>
  <c r="CF30" i="6"/>
  <c r="CF68" i="6" s="1"/>
  <c r="CV30" i="6"/>
  <c r="CV68" i="6" s="1"/>
  <c r="CJ30" i="6"/>
  <c r="CJ68" i="6" s="1"/>
  <c r="CZ30" i="6"/>
  <c r="CZ68" i="6" s="1"/>
  <c r="K23" i="2"/>
  <c r="K28" i="6"/>
  <c r="BU38" i="6"/>
  <c r="BW38" i="6"/>
  <c r="BW76" i="6" s="1"/>
  <c r="BY38" i="6"/>
  <c r="BY76" i="6" s="1"/>
  <c r="CA38" i="6"/>
  <c r="CA76" i="6" s="1"/>
  <c r="CC38" i="6"/>
  <c r="CC76" i="6" s="1"/>
  <c r="CE38" i="6"/>
  <c r="CE76" i="6" s="1"/>
  <c r="CG38" i="6"/>
  <c r="CG76" i="6" s="1"/>
  <c r="CI38" i="6"/>
  <c r="CI76" i="6" s="1"/>
  <c r="CK38" i="6"/>
  <c r="CK76" i="6" s="1"/>
  <c r="CM38" i="6"/>
  <c r="CM76" i="6" s="1"/>
  <c r="CO38" i="6"/>
  <c r="CO76" i="6" s="1"/>
  <c r="CQ38" i="6"/>
  <c r="CQ76" i="6" s="1"/>
  <c r="CS38" i="6"/>
  <c r="CS76" i="6" s="1"/>
  <c r="CU38" i="6"/>
  <c r="CU76" i="6" s="1"/>
  <c r="CW38" i="6"/>
  <c r="CW76" i="6" s="1"/>
  <c r="CY38" i="6"/>
  <c r="CY76" i="6" s="1"/>
  <c r="DA38" i="6"/>
  <c r="DA76" i="6" s="1"/>
  <c r="DC38" i="6"/>
  <c r="DC76" i="6" s="1"/>
  <c r="DE38" i="6"/>
  <c r="DE76" i="6" s="1"/>
  <c r="BV38" i="6"/>
  <c r="BV76" i="6" s="1"/>
  <c r="BZ38" i="6"/>
  <c r="BZ76" i="6" s="1"/>
  <c r="CD38" i="6"/>
  <c r="CD76" i="6" s="1"/>
  <c r="CH38" i="6"/>
  <c r="CH76" i="6" s="1"/>
  <c r="CL38" i="6"/>
  <c r="CL76" i="6" s="1"/>
  <c r="CP38" i="6"/>
  <c r="CP76" i="6" s="1"/>
  <c r="CT38" i="6"/>
  <c r="CT76" i="6" s="1"/>
  <c r="CX38" i="6"/>
  <c r="CX76" i="6" s="1"/>
  <c r="DB38" i="6"/>
  <c r="DB76" i="6" s="1"/>
  <c r="CB38" i="6"/>
  <c r="CB76" i="6" s="1"/>
  <c r="CR38" i="6"/>
  <c r="CR76" i="6" s="1"/>
  <c r="CF38" i="6"/>
  <c r="CF76" i="6" s="1"/>
  <c r="CV38" i="6"/>
  <c r="CV76" i="6" s="1"/>
  <c r="CJ38" i="6"/>
  <c r="CJ76" i="6" s="1"/>
  <c r="CZ38" i="6"/>
  <c r="CZ76" i="6" s="1"/>
  <c r="BX38" i="6"/>
  <c r="BX76" i="6" s="1"/>
  <c r="CN38" i="6"/>
  <c r="CN76" i="6" s="1"/>
  <c r="DD38" i="6"/>
  <c r="DD76" i="6" s="1"/>
  <c r="K40" i="2"/>
  <c r="K43" i="2"/>
  <c r="I33" i="6"/>
  <c r="H33" i="6"/>
  <c r="BV37" i="6"/>
  <c r="BV75" i="6" s="1"/>
  <c r="BX37" i="6"/>
  <c r="BX75" i="6" s="1"/>
  <c r="BZ37" i="6"/>
  <c r="BZ75" i="6" s="1"/>
  <c r="CB37" i="6"/>
  <c r="CB75" i="6" s="1"/>
  <c r="CD37" i="6"/>
  <c r="CD75" i="6" s="1"/>
  <c r="CF37" i="6"/>
  <c r="CF75" i="6" s="1"/>
  <c r="CH37" i="6"/>
  <c r="CH75" i="6" s="1"/>
  <c r="CJ37" i="6"/>
  <c r="CJ75" i="6" s="1"/>
  <c r="CL37" i="6"/>
  <c r="CL75" i="6" s="1"/>
  <c r="CN37" i="6"/>
  <c r="CN75" i="6" s="1"/>
  <c r="CP37" i="6"/>
  <c r="CP75" i="6" s="1"/>
  <c r="CR37" i="6"/>
  <c r="CR75" i="6" s="1"/>
  <c r="CT37" i="6"/>
  <c r="CT75" i="6" s="1"/>
  <c r="CV37" i="6"/>
  <c r="CV75" i="6" s="1"/>
  <c r="CX37" i="6"/>
  <c r="CX75" i="6" s="1"/>
  <c r="CZ37" i="6"/>
  <c r="CZ75" i="6" s="1"/>
  <c r="DB37" i="6"/>
  <c r="DB75" i="6" s="1"/>
  <c r="DD37" i="6"/>
  <c r="DD75" i="6" s="1"/>
  <c r="BW37" i="6"/>
  <c r="BW75" i="6" s="1"/>
  <c r="CA37" i="6"/>
  <c r="CA75" i="6" s="1"/>
  <c r="CE37" i="6"/>
  <c r="CE75" i="6" s="1"/>
  <c r="CI37" i="6"/>
  <c r="CI75" i="6" s="1"/>
  <c r="CM37" i="6"/>
  <c r="CM75" i="6" s="1"/>
  <c r="CQ37" i="6"/>
  <c r="CQ75" i="6" s="1"/>
  <c r="CU37" i="6"/>
  <c r="CU75" i="6" s="1"/>
  <c r="CY37" i="6"/>
  <c r="CY75" i="6" s="1"/>
  <c r="DC37" i="6"/>
  <c r="DC75" i="6" s="1"/>
  <c r="BU37" i="6"/>
  <c r="BY37" i="6"/>
  <c r="BY75" i="6" s="1"/>
  <c r="CC37" i="6"/>
  <c r="CC75" i="6" s="1"/>
  <c r="CG37" i="6"/>
  <c r="CG75" i="6" s="1"/>
  <c r="CK37" i="6"/>
  <c r="CK75" i="6" s="1"/>
  <c r="CO37" i="6"/>
  <c r="CO75" i="6" s="1"/>
  <c r="CS37" i="6"/>
  <c r="CS75" i="6" s="1"/>
  <c r="CW37" i="6"/>
  <c r="CW75" i="6" s="1"/>
  <c r="DA37" i="6"/>
  <c r="DA75" i="6" s="1"/>
  <c r="DE37" i="6"/>
  <c r="DE75" i="6" s="1"/>
  <c r="AS38" i="2"/>
  <c r="AS76" i="2" s="1"/>
  <c r="BS38" i="2"/>
  <c r="BS76" i="2" s="1"/>
  <c r="BM38" i="2"/>
  <c r="BM76" i="2" s="1"/>
  <c r="BC38" i="2"/>
  <c r="BC76" i="2" s="1"/>
  <c r="BZ38" i="2"/>
  <c r="BZ76" i="2" s="1"/>
  <c r="CA38" i="2"/>
  <c r="CA76" i="2" s="1"/>
  <c r="AU38" i="2"/>
  <c r="AU76" i="2" s="1"/>
  <c r="BA38" i="2"/>
  <c r="BA76" i="2" s="1"/>
  <c r="BF38" i="2"/>
  <c r="BF76" i="2" s="1"/>
  <c r="AV38" i="2"/>
  <c r="AV76" i="2" s="1"/>
  <c r="BT38" i="2"/>
  <c r="BT76" i="2" s="1"/>
  <c r="BU38" i="2"/>
  <c r="BU76" i="2" s="1"/>
  <c r="AX38" i="2"/>
  <c r="AX76" i="2" s="1"/>
  <c r="AY38" i="2"/>
  <c r="AY76" i="2" s="1"/>
  <c r="BQ38" i="2"/>
  <c r="BQ76" i="2" s="1"/>
  <c r="BE38" i="2"/>
  <c r="BE76" i="2" s="1"/>
  <c r="BB38" i="2"/>
  <c r="BB76" i="2" s="1"/>
  <c r="AZ38" i="2"/>
  <c r="AZ76" i="2" s="1"/>
  <c r="AT38" i="2"/>
  <c r="AT76" i="2" s="1"/>
  <c r="BK38" i="2"/>
  <c r="BK76" i="2" s="1"/>
  <c r="CB38" i="2"/>
  <c r="CB76" i="2" s="1"/>
  <c r="BG38" i="2"/>
  <c r="BG76" i="2" s="1"/>
  <c r="BO38" i="2"/>
  <c r="BO76" i="2" s="1"/>
  <c r="BX38" i="2"/>
  <c r="BX76" i="2" s="1"/>
  <c r="BW38" i="2"/>
  <c r="BW76" i="2" s="1"/>
  <c r="BN38" i="2"/>
  <c r="BN76" i="2" s="1"/>
  <c r="AR38" i="2"/>
  <c r="BP38" i="2"/>
  <c r="BP76" i="2" s="1"/>
  <c r="AW38" i="2"/>
  <c r="AW76" i="2" s="1"/>
  <c r="BH38" i="2"/>
  <c r="BH76" i="2" s="1"/>
  <c r="BR38" i="2"/>
  <c r="BR76" i="2" s="1"/>
  <c r="BI38" i="2"/>
  <c r="BI76" i="2" s="1"/>
  <c r="BD38" i="2"/>
  <c r="BD76" i="2" s="1"/>
  <c r="BJ38" i="2"/>
  <c r="BJ76" i="2" s="1"/>
  <c r="BL38" i="2"/>
  <c r="BL76" i="2" s="1"/>
  <c r="BY38" i="2"/>
  <c r="BY76" i="2" s="1"/>
  <c r="BV38" i="2"/>
  <c r="BV76" i="2" s="1"/>
  <c r="K40" i="6"/>
  <c r="BO30" i="2"/>
  <c r="BO68" i="2" s="1"/>
  <c r="BL30" i="2"/>
  <c r="BL68" i="2" s="1"/>
  <c r="BN30" i="2"/>
  <c r="BN68" i="2" s="1"/>
  <c r="BT30" i="2"/>
  <c r="BT68" i="2" s="1"/>
  <c r="BG30" i="2"/>
  <c r="BG68" i="2" s="1"/>
  <c r="AV30" i="2"/>
  <c r="AV68" i="2" s="1"/>
  <c r="BJ30" i="2"/>
  <c r="BJ68" i="2" s="1"/>
  <c r="AU30" i="2"/>
  <c r="AU68" i="2" s="1"/>
  <c r="AZ30" i="2"/>
  <c r="AZ68" i="2" s="1"/>
  <c r="BX30" i="2"/>
  <c r="BX68" i="2" s="1"/>
  <c r="CA30" i="2"/>
  <c r="CA68" i="2" s="1"/>
  <c r="BR30" i="2"/>
  <c r="BR68" i="2" s="1"/>
  <c r="BZ30" i="2"/>
  <c r="BZ68" i="2" s="1"/>
  <c r="BS30" i="2"/>
  <c r="BS68" i="2" s="1"/>
  <c r="BP30" i="2"/>
  <c r="BP68" i="2" s="1"/>
  <c r="BY30" i="2"/>
  <c r="BY68" i="2" s="1"/>
  <c r="BK30" i="2"/>
  <c r="BK68" i="2" s="1"/>
  <c r="AR30" i="2"/>
  <c r="BC30" i="2"/>
  <c r="BC68" i="2" s="1"/>
  <c r="BE30" i="2"/>
  <c r="BE68" i="2" s="1"/>
  <c r="BU30" i="2"/>
  <c r="BU68" i="2" s="1"/>
  <c r="BF30" i="2"/>
  <c r="BF68" i="2" s="1"/>
  <c r="AY30" i="2"/>
  <c r="AY68" i="2" s="1"/>
  <c r="BA30" i="2"/>
  <c r="BA68" i="2" s="1"/>
  <c r="AX30" i="2"/>
  <c r="AX68" i="2" s="1"/>
  <c r="AS30" i="2"/>
  <c r="AS68" i="2" s="1"/>
  <c r="BV30" i="2"/>
  <c r="BV68" i="2" s="1"/>
  <c r="BQ30" i="2"/>
  <c r="BQ68" i="2" s="1"/>
  <c r="BM30" i="2"/>
  <c r="BM68" i="2" s="1"/>
  <c r="BW30" i="2"/>
  <c r="BW68" i="2" s="1"/>
  <c r="AW30" i="2"/>
  <c r="AW68" i="2" s="1"/>
  <c r="BD30" i="2"/>
  <c r="BD68" i="2" s="1"/>
  <c r="BI30" i="2"/>
  <c r="BI68" i="2" s="1"/>
  <c r="BB30" i="2"/>
  <c r="BB68" i="2" s="1"/>
  <c r="CB30" i="2"/>
  <c r="CB68" i="2" s="1"/>
  <c r="BH30" i="2"/>
  <c r="BH68" i="2" s="1"/>
  <c r="AT30" i="2"/>
  <c r="AT68" i="2" s="1"/>
  <c r="I26" i="6"/>
  <c r="H26" i="6"/>
  <c r="BR36" i="2" l="1"/>
  <c r="BR74" i="2" s="1"/>
  <c r="CA36" i="2"/>
  <c r="CA74" i="2" s="1"/>
  <c r="BT36" i="2"/>
  <c r="BT74" i="2" s="1"/>
  <c r="BB36" i="2"/>
  <c r="BB74" i="2" s="1"/>
  <c r="BM36" i="2"/>
  <c r="BM74" i="2" s="1"/>
  <c r="BH36" i="2"/>
  <c r="BH74" i="2" s="1"/>
  <c r="BJ36" i="2"/>
  <c r="BJ74" i="2" s="1"/>
  <c r="BZ36" i="2"/>
  <c r="BZ74" i="2" s="1"/>
  <c r="AY36" i="2"/>
  <c r="AY74" i="2" s="1"/>
  <c r="BW36" i="2"/>
  <c r="BW74" i="2" s="1"/>
  <c r="BQ36" i="2"/>
  <c r="BQ74" i="2" s="1"/>
  <c r="BO36" i="2"/>
  <c r="BO74" i="2" s="1"/>
  <c r="BV36" i="2"/>
  <c r="BV74" i="2" s="1"/>
  <c r="AS36" i="2"/>
  <c r="AS74" i="2" s="1"/>
  <c r="AZ36" i="2"/>
  <c r="AZ74" i="2" s="1"/>
  <c r="BI36" i="2"/>
  <c r="BI74" i="2" s="1"/>
  <c r="BD36" i="2"/>
  <c r="BD74" i="2" s="1"/>
  <c r="BE36" i="2"/>
  <c r="BE74" i="2" s="1"/>
  <c r="AU36" i="2"/>
  <c r="AU74" i="2" s="1"/>
  <c r="BC36" i="2"/>
  <c r="BC74" i="2" s="1"/>
  <c r="AW36" i="2"/>
  <c r="AW74" i="2" s="1"/>
  <c r="BS36" i="2"/>
  <c r="BS74" i="2" s="1"/>
  <c r="BL36" i="2"/>
  <c r="BL74" i="2" s="1"/>
  <c r="AX36" i="2"/>
  <c r="AX74" i="2" s="1"/>
  <c r="BF36" i="2"/>
  <c r="BF74" i="2" s="1"/>
  <c r="BX36" i="2"/>
  <c r="BX74" i="2" s="1"/>
  <c r="BG36" i="2"/>
  <c r="BG74" i="2" s="1"/>
  <c r="BA36" i="2"/>
  <c r="BA74" i="2" s="1"/>
  <c r="BN36" i="2"/>
  <c r="BN74" i="2" s="1"/>
  <c r="CY36" i="6"/>
  <c r="CY74" i="6" s="1"/>
  <c r="DE36" i="6"/>
  <c r="DE74" i="6" s="1"/>
  <c r="BY36" i="6"/>
  <c r="BY74" i="6" s="1"/>
  <c r="CR36" i="6"/>
  <c r="CR74" i="6" s="1"/>
  <c r="CB36" i="6"/>
  <c r="CB74" i="6" s="1"/>
  <c r="BU36" i="6"/>
  <c r="CP36" i="6"/>
  <c r="CP74" i="6" s="1"/>
  <c r="AC10" i="12"/>
  <c r="I16" i="6"/>
  <c r="K16" i="6" s="1"/>
  <c r="H16" i="6"/>
  <c r="H16" i="2"/>
  <c r="AE31" i="12"/>
  <c r="AB46" i="12"/>
  <c r="AD46" i="12" s="1"/>
  <c r="AE46" i="12" s="1"/>
  <c r="AF46" i="12" s="1"/>
  <c r="AD23" i="12"/>
  <c r="AE23" i="12" s="1"/>
  <c r="CR32" i="6"/>
  <c r="CR70" i="6" s="1"/>
  <c r="CK32" i="6"/>
  <c r="CK70" i="6" s="1"/>
  <c r="CI32" i="6"/>
  <c r="CI70" i="6" s="1"/>
  <c r="CD32" i="6"/>
  <c r="CD70" i="6" s="1"/>
  <c r="CU32" i="6"/>
  <c r="CU70" i="6" s="1"/>
  <c r="CP32" i="6"/>
  <c r="CP70" i="6" s="1"/>
  <c r="CN32" i="6"/>
  <c r="CN70" i="6" s="1"/>
  <c r="CO32" i="6"/>
  <c r="CO70" i="6" s="1"/>
  <c r="CM32" i="6"/>
  <c r="CM70" i="6" s="1"/>
  <c r="CZ32" i="6"/>
  <c r="CZ70" i="6" s="1"/>
  <c r="CS32" i="6"/>
  <c r="CS70" i="6" s="1"/>
  <c r="CQ32" i="6"/>
  <c r="CQ70" i="6" s="1"/>
  <c r="BV32" i="6"/>
  <c r="BV70" i="6" s="1"/>
  <c r="CH32" i="6"/>
  <c r="CH70" i="6" s="1"/>
  <c r="DE32" i="6"/>
  <c r="DE70" i="6" s="1"/>
  <c r="BW32" i="6"/>
  <c r="BW70" i="6" s="1"/>
  <c r="DC32" i="6"/>
  <c r="DC70" i="6" s="1"/>
  <c r="CX32" i="6"/>
  <c r="CX70" i="6" s="1"/>
  <c r="CV32" i="6"/>
  <c r="CV70" i="6" s="1"/>
  <c r="CG32" i="6"/>
  <c r="CG70" i="6" s="1"/>
  <c r="CB32" i="6"/>
  <c r="CB70" i="6" s="1"/>
  <c r="BU32" i="6"/>
  <c r="DA32" i="6"/>
  <c r="DA70" i="6" s="1"/>
  <c r="CY32" i="6"/>
  <c r="CY70" i="6" s="1"/>
  <c r="DB32" i="6"/>
  <c r="DB70" i="6" s="1"/>
  <c r="CF32" i="6"/>
  <c r="CF70" i="6" s="1"/>
  <c r="CE32" i="6"/>
  <c r="CE70" i="6" s="1"/>
  <c r="BZ32" i="6"/>
  <c r="BZ70" i="6" s="1"/>
  <c r="BX32" i="6"/>
  <c r="BX70" i="6" s="1"/>
  <c r="DD32" i="6"/>
  <c r="DD70" i="6" s="1"/>
  <c r="BY32" i="6"/>
  <c r="BY70" i="6" s="1"/>
  <c r="CJ32" i="6"/>
  <c r="CJ70" i="6" s="1"/>
  <c r="CC32" i="6"/>
  <c r="CC70" i="6" s="1"/>
  <c r="CA32" i="6"/>
  <c r="CA70" i="6" s="1"/>
  <c r="CL32" i="6"/>
  <c r="CL70" i="6" s="1"/>
  <c r="CT32" i="6"/>
  <c r="CT70" i="6" s="1"/>
  <c r="CW32" i="6"/>
  <c r="CW70" i="6" s="1"/>
  <c r="K27" i="12"/>
  <c r="L27" i="12" s="1"/>
  <c r="K27" i="11"/>
  <c r="L27" i="11" s="1"/>
  <c r="AH37" i="6"/>
  <c r="BG32" i="2"/>
  <c r="BG70" i="2" s="1"/>
  <c r="AV32" i="2"/>
  <c r="AV70" i="2" s="1"/>
  <c r="BB32" i="2"/>
  <c r="BB70" i="2" s="1"/>
  <c r="BP32" i="2"/>
  <c r="BP70" i="2" s="1"/>
  <c r="BC32" i="2"/>
  <c r="BC70" i="2" s="1"/>
  <c r="BW32" i="2"/>
  <c r="BW70" i="2" s="1"/>
  <c r="BF32" i="2"/>
  <c r="BF70" i="2" s="1"/>
  <c r="BM32" i="2"/>
  <c r="BM70" i="2" s="1"/>
  <c r="BQ32" i="2"/>
  <c r="BQ70" i="2" s="1"/>
  <c r="BE32" i="2"/>
  <c r="BE70" i="2" s="1"/>
  <c r="BI32" i="2"/>
  <c r="BI70" i="2" s="1"/>
  <c r="AW32" i="2"/>
  <c r="AW70" i="2" s="1"/>
  <c r="BX32" i="2"/>
  <c r="BX70" i="2" s="1"/>
  <c r="AX32" i="2"/>
  <c r="AX70" i="2" s="1"/>
  <c r="BJ32" i="2"/>
  <c r="BJ70" i="2" s="1"/>
  <c r="CB32" i="2"/>
  <c r="CB70" i="2" s="1"/>
  <c r="AU32" i="2"/>
  <c r="AU70" i="2" s="1"/>
  <c r="BH32" i="2"/>
  <c r="BH70" i="2" s="1"/>
  <c r="BD32" i="2"/>
  <c r="BD70" i="2" s="1"/>
  <c r="AY32" i="2"/>
  <c r="AY70" i="2" s="1"/>
  <c r="BS32" i="2"/>
  <c r="BS70" i="2" s="1"/>
  <c r="BN32" i="2"/>
  <c r="BN70" i="2" s="1"/>
  <c r="BL32" i="2"/>
  <c r="BL70" i="2" s="1"/>
  <c r="AR32" i="2"/>
  <c r="BT32" i="2"/>
  <c r="BT70" i="2" s="1"/>
  <c r="AS32" i="2"/>
  <c r="AS70" i="2" s="1"/>
  <c r="BO32" i="2"/>
  <c r="BO70" i="2" s="1"/>
  <c r="BA32" i="2"/>
  <c r="BA70" i="2" s="1"/>
  <c r="BU32" i="2"/>
  <c r="BU70" i="2" s="1"/>
  <c r="BV32" i="2"/>
  <c r="BV70" i="2" s="1"/>
  <c r="AZ32" i="2"/>
  <c r="AZ70" i="2" s="1"/>
  <c r="BZ32" i="2"/>
  <c r="BZ70" i="2" s="1"/>
  <c r="BR32" i="2"/>
  <c r="BR70" i="2" s="1"/>
  <c r="CA32" i="2"/>
  <c r="CA70" i="2" s="1"/>
  <c r="BY32" i="2"/>
  <c r="BY70" i="2" s="1"/>
  <c r="AT32" i="2"/>
  <c r="AT70" i="2" s="1"/>
  <c r="BK32" i="2"/>
  <c r="BK70" i="2" s="1"/>
  <c r="I35" i="2"/>
  <c r="H35" i="2"/>
  <c r="BU79" i="6"/>
  <c r="DF79" i="6" s="1"/>
  <c r="R41" i="6" s="1"/>
  <c r="L41" i="6"/>
  <c r="DF41" i="6"/>
  <c r="AR58" i="2"/>
  <c r="CC58" i="2" s="1"/>
  <c r="R20" i="2" s="1"/>
  <c r="CC20" i="2"/>
  <c r="L20" i="2"/>
  <c r="K19" i="2"/>
  <c r="BX43" i="6"/>
  <c r="BX81" i="6" s="1"/>
  <c r="CA43" i="6"/>
  <c r="CA81" i="6" s="1"/>
  <c r="CF43" i="6"/>
  <c r="CF81" i="6" s="1"/>
  <c r="CI43" i="6"/>
  <c r="CI81" i="6" s="1"/>
  <c r="CN43" i="6"/>
  <c r="CN81" i="6" s="1"/>
  <c r="CQ43" i="6"/>
  <c r="CQ81" i="6" s="1"/>
  <c r="CV43" i="6"/>
  <c r="CV81" i="6" s="1"/>
  <c r="CY43" i="6"/>
  <c r="CY81" i="6" s="1"/>
  <c r="DD43" i="6"/>
  <c r="DD81" i="6" s="1"/>
  <c r="BV43" i="6"/>
  <c r="BV81" i="6" s="1"/>
  <c r="BY43" i="6"/>
  <c r="BY81" i="6" s="1"/>
  <c r="CD43" i="6"/>
  <c r="CD81" i="6" s="1"/>
  <c r="CG43" i="6"/>
  <c r="CG81" i="6" s="1"/>
  <c r="CL43" i="6"/>
  <c r="CL81" i="6" s="1"/>
  <c r="CO43" i="6"/>
  <c r="CO81" i="6" s="1"/>
  <c r="CT43" i="6"/>
  <c r="CT81" i="6" s="1"/>
  <c r="CW43" i="6"/>
  <c r="CW81" i="6" s="1"/>
  <c r="DB43" i="6"/>
  <c r="DB81" i="6" s="1"/>
  <c r="DE43" i="6"/>
  <c r="DE81" i="6" s="1"/>
  <c r="BW43" i="6"/>
  <c r="BW81" i="6" s="1"/>
  <c r="CB43" i="6"/>
  <c r="CB81" i="6" s="1"/>
  <c r="CE43" i="6"/>
  <c r="CE81" i="6" s="1"/>
  <c r="CJ43" i="6"/>
  <c r="CJ81" i="6" s="1"/>
  <c r="CM43" i="6"/>
  <c r="CM81" i="6" s="1"/>
  <c r="CR43" i="6"/>
  <c r="CR81" i="6" s="1"/>
  <c r="CU43" i="6"/>
  <c r="CU81" i="6" s="1"/>
  <c r="CZ43" i="6"/>
  <c r="CZ81" i="6" s="1"/>
  <c r="DC43" i="6"/>
  <c r="DC81" i="6" s="1"/>
  <c r="CC43" i="6"/>
  <c r="CC81" i="6" s="1"/>
  <c r="CX43" i="6"/>
  <c r="CX81" i="6" s="1"/>
  <c r="BU43" i="6"/>
  <c r="CP43" i="6"/>
  <c r="CP81" i="6" s="1"/>
  <c r="DA43" i="6"/>
  <c r="DA81" i="6" s="1"/>
  <c r="CH43" i="6"/>
  <c r="CH81" i="6" s="1"/>
  <c r="CS43" i="6"/>
  <c r="CS81" i="6" s="1"/>
  <c r="BZ43" i="6"/>
  <c r="BZ81" i="6" s="1"/>
  <c r="CK43" i="6"/>
  <c r="CK81" i="6" s="1"/>
  <c r="BU22" i="6"/>
  <c r="BW22" i="6"/>
  <c r="BW60" i="6" s="1"/>
  <c r="BY22" i="6"/>
  <c r="BY60" i="6" s="1"/>
  <c r="CA22" i="6"/>
  <c r="CA60" i="6" s="1"/>
  <c r="CC22" i="6"/>
  <c r="CC60" i="6" s="1"/>
  <c r="CE22" i="6"/>
  <c r="CE60" i="6" s="1"/>
  <c r="CG22" i="6"/>
  <c r="CG60" i="6" s="1"/>
  <c r="CI22" i="6"/>
  <c r="CI60" i="6" s="1"/>
  <c r="CK22" i="6"/>
  <c r="CK60" i="6" s="1"/>
  <c r="CM22" i="6"/>
  <c r="CM60" i="6" s="1"/>
  <c r="CO22" i="6"/>
  <c r="CO60" i="6" s="1"/>
  <c r="CQ22" i="6"/>
  <c r="CQ60" i="6" s="1"/>
  <c r="CS22" i="6"/>
  <c r="CS60" i="6" s="1"/>
  <c r="CU22" i="6"/>
  <c r="CU60" i="6" s="1"/>
  <c r="CW22" i="6"/>
  <c r="CW60" i="6" s="1"/>
  <c r="CY22" i="6"/>
  <c r="CY60" i="6" s="1"/>
  <c r="DA22" i="6"/>
  <c r="DA60" i="6" s="1"/>
  <c r="DC22" i="6"/>
  <c r="DC60" i="6" s="1"/>
  <c r="DE22" i="6"/>
  <c r="DE60" i="6" s="1"/>
  <c r="BZ22" i="6"/>
  <c r="BZ60" i="6" s="1"/>
  <c r="CH22" i="6"/>
  <c r="CH60" i="6" s="1"/>
  <c r="CP22" i="6"/>
  <c r="CP60" i="6" s="1"/>
  <c r="CX22" i="6"/>
  <c r="CX60" i="6" s="1"/>
  <c r="BX22" i="6"/>
  <c r="BX60" i="6" s="1"/>
  <c r="CF22" i="6"/>
  <c r="CF60" i="6" s="1"/>
  <c r="CN22" i="6"/>
  <c r="CN60" i="6" s="1"/>
  <c r="CV22" i="6"/>
  <c r="CV60" i="6" s="1"/>
  <c r="DD22" i="6"/>
  <c r="DD60" i="6" s="1"/>
  <c r="CB22" i="6"/>
  <c r="CB60" i="6" s="1"/>
  <c r="CR22" i="6"/>
  <c r="CR60" i="6" s="1"/>
  <c r="CD22" i="6"/>
  <c r="CD60" i="6" s="1"/>
  <c r="CT22" i="6"/>
  <c r="CT60" i="6" s="1"/>
  <c r="CJ22" i="6"/>
  <c r="CJ60" i="6" s="1"/>
  <c r="CZ22" i="6"/>
  <c r="CZ60" i="6" s="1"/>
  <c r="DB22" i="6"/>
  <c r="DB60" i="6" s="1"/>
  <c r="CL22" i="6"/>
  <c r="CL60" i="6" s="1"/>
  <c r="BV22" i="6"/>
  <c r="BV60" i="6" s="1"/>
  <c r="AR74" i="2"/>
  <c r="BC42" i="2"/>
  <c r="BC80" i="2" s="1"/>
  <c r="BW42" i="2"/>
  <c r="BW80" i="2" s="1"/>
  <c r="BE42" i="2"/>
  <c r="BE80" i="2" s="1"/>
  <c r="BD42" i="2"/>
  <c r="BD80" i="2" s="1"/>
  <c r="BO42" i="2"/>
  <c r="BO80" i="2" s="1"/>
  <c r="BB42" i="2"/>
  <c r="BB80" i="2" s="1"/>
  <c r="AY42" i="2"/>
  <c r="AY80" i="2" s="1"/>
  <c r="AV42" i="2"/>
  <c r="AV80" i="2" s="1"/>
  <c r="AW42" i="2"/>
  <c r="AW80" i="2" s="1"/>
  <c r="CA42" i="2"/>
  <c r="CA80" i="2" s="1"/>
  <c r="BY42" i="2"/>
  <c r="BY80" i="2" s="1"/>
  <c r="AR42" i="2"/>
  <c r="BF42" i="2"/>
  <c r="BF80" i="2" s="1"/>
  <c r="AU42" i="2"/>
  <c r="AU80" i="2" s="1"/>
  <c r="BI42" i="2"/>
  <c r="BI80" i="2" s="1"/>
  <c r="AS42" i="2"/>
  <c r="AS80" i="2" s="1"/>
  <c r="BU42" i="2"/>
  <c r="BU80" i="2" s="1"/>
  <c r="BS42" i="2"/>
  <c r="BS80" i="2" s="1"/>
  <c r="BH42" i="2"/>
  <c r="BH80" i="2" s="1"/>
  <c r="BJ42" i="2"/>
  <c r="BJ80" i="2" s="1"/>
  <c r="BK42" i="2"/>
  <c r="BK80" i="2" s="1"/>
  <c r="BP42" i="2"/>
  <c r="BP80" i="2" s="1"/>
  <c r="BM42" i="2"/>
  <c r="BM80" i="2" s="1"/>
  <c r="BZ42" i="2"/>
  <c r="BZ80" i="2" s="1"/>
  <c r="BX42" i="2"/>
  <c r="BX80" i="2" s="1"/>
  <c r="BN42" i="2"/>
  <c r="BN80" i="2" s="1"/>
  <c r="BL42" i="2"/>
  <c r="BL80" i="2" s="1"/>
  <c r="AX42" i="2"/>
  <c r="AX80" i="2" s="1"/>
  <c r="AT42" i="2"/>
  <c r="AT80" i="2" s="1"/>
  <c r="CB42" i="2"/>
  <c r="CB80" i="2" s="1"/>
  <c r="BV42" i="2"/>
  <c r="BV80" i="2" s="1"/>
  <c r="BG42" i="2"/>
  <c r="BG80" i="2" s="1"/>
  <c r="BQ42" i="2"/>
  <c r="BQ80" i="2" s="1"/>
  <c r="BA42" i="2"/>
  <c r="BA80" i="2" s="1"/>
  <c r="BT42" i="2"/>
  <c r="BT80" i="2" s="1"/>
  <c r="AZ42" i="2"/>
  <c r="AZ80" i="2" s="1"/>
  <c r="BR42" i="2"/>
  <c r="BR80" i="2" s="1"/>
  <c r="BV24" i="6"/>
  <c r="BV62" i="6" s="1"/>
  <c r="BX24" i="6"/>
  <c r="BX62" i="6" s="1"/>
  <c r="BZ24" i="6"/>
  <c r="BZ62" i="6" s="1"/>
  <c r="CB24" i="6"/>
  <c r="CB62" i="6" s="1"/>
  <c r="CD24" i="6"/>
  <c r="CD62" i="6" s="1"/>
  <c r="CF24" i="6"/>
  <c r="CF62" i="6" s="1"/>
  <c r="CH24" i="6"/>
  <c r="CH62" i="6" s="1"/>
  <c r="CJ24" i="6"/>
  <c r="CJ62" i="6" s="1"/>
  <c r="CL24" i="6"/>
  <c r="CL62" i="6" s="1"/>
  <c r="CN24" i="6"/>
  <c r="CN62" i="6" s="1"/>
  <c r="CP24" i="6"/>
  <c r="CP62" i="6" s="1"/>
  <c r="CR24" i="6"/>
  <c r="CR62" i="6" s="1"/>
  <c r="CT24" i="6"/>
  <c r="CT62" i="6" s="1"/>
  <c r="CV24" i="6"/>
  <c r="CV62" i="6" s="1"/>
  <c r="CX24" i="6"/>
  <c r="CX62" i="6" s="1"/>
  <c r="BW24" i="6"/>
  <c r="BW62" i="6" s="1"/>
  <c r="CE24" i="6"/>
  <c r="CE62" i="6" s="1"/>
  <c r="CM24" i="6"/>
  <c r="CM62" i="6" s="1"/>
  <c r="CU24" i="6"/>
  <c r="CU62" i="6" s="1"/>
  <c r="CZ24" i="6"/>
  <c r="CZ62" i="6" s="1"/>
  <c r="DB24" i="6"/>
  <c r="DB62" i="6" s="1"/>
  <c r="DD24" i="6"/>
  <c r="DD62" i="6" s="1"/>
  <c r="BY24" i="6"/>
  <c r="BY62" i="6" s="1"/>
  <c r="CC24" i="6"/>
  <c r="CC62" i="6" s="1"/>
  <c r="CQ24" i="6"/>
  <c r="CQ62" i="6" s="1"/>
  <c r="DA24" i="6"/>
  <c r="DA62" i="6" s="1"/>
  <c r="CG24" i="6"/>
  <c r="CG62" i="6" s="1"/>
  <c r="CK24" i="6"/>
  <c r="CK62" i="6" s="1"/>
  <c r="CY24" i="6"/>
  <c r="CY62" i="6" s="1"/>
  <c r="CA24" i="6"/>
  <c r="CA62" i="6" s="1"/>
  <c r="CO24" i="6"/>
  <c r="CO62" i="6" s="1"/>
  <c r="CS24" i="6"/>
  <c r="CS62" i="6" s="1"/>
  <c r="DE24" i="6"/>
  <c r="DE62" i="6" s="1"/>
  <c r="BU24" i="6"/>
  <c r="CI24" i="6"/>
  <c r="CI62" i="6" s="1"/>
  <c r="CW24" i="6"/>
  <c r="CW62" i="6" s="1"/>
  <c r="DC24" i="6"/>
  <c r="DC62" i="6" s="1"/>
  <c r="BD31" i="2"/>
  <c r="BD69" i="2" s="1"/>
  <c r="BW31" i="2"/>
  <c r="BW69" i="2" s="1"/>
  <c r="BO31" i="2"/>
  <c r="BO69" i="2" s="1"/>
  <c r="BY31" i="2"/>
  <c r="BY69" i="2" s="1"/>
  <c r="BB31" i="2"/>
  <c r="BB69" i="2" s="1"/>
  <c r="AY31" i="2"/>
  <c r="AY69" i="2" s="1"/>
  <c r="BV31" i="2"/>
  <c r="BV69" i="2" s="1"/>
  <c r="BK31" i="2"/>
  <c r="BK69" i="2" s="1"/>
  <c r="BR31" i="2"/>
  <c r="BR69" i="2" s="1"/>
  <c r="BN31" i="2"/>
  <c r="BN69" i="2" s="1"/>
  <c r="CB31" i="2"/>
  <c r="CB69" i="2" s="1"/>
  <c r="BI31" i="2"/>
  <c r="BI69" i="2" s="1"/>
  <c r="BM31" i="2"/>
  <c r="BM69" i="2" s="1"/>
  <c r="BX31" i="2"/>
  <c r="BX69" i="2" s="1"/>
  <c r="AZ31" i="2"/>
  <c r="AZ69" i="2" s="1"/>
  <c r="BQ31" i="2"/>
  <c r="BQ69" i="2" s="1"/>
  <c r="BT31" i="2"/>
  <c r="BT69" i="2" s="1"/>
  <c r="BF31" i="2"/>
  <c r="BF69" i="2" s="1"/>
  <c r="AV31" i="2"/>
  <c r="AV69" i="2" s="1"/>
  <c r="AR31" i="2"/>
  <c r="BE31" i="2"/>
  <c r="BE69" i="2" s="1"/>
  <c r="BH31" i="2"/>
  <c r="BH69" i="2" s="1"/>
  <c r="AT31" i="2"/>
  <c r="AT69" i="2" s="1"/>
  <c r="AX31" i="2"/>
  <c r="AX69" i="2" s="1"/>
  <c r="AW31" i="2"/>
  <c r="AW69" i="2" s="1"/>
  <c r="AU31" i="2"/>
  <c r="AU69" i="2" s="1"/>
  <c r="BL31" i="2"/>
  <c r="BL69" i="2" s="1"/>
  <c r="BJ31" i="2"/>
  <c r="BJ69" i="2" s="1"/>
  <c r="BC31" i="2"/>
  <c r="BC69" i="2" s="1"/>
  <c r="AS31" i="2"/>
  <c r="AS69" i="2" s="1"/>
  <c r="BZ31" i="2"/>
  <c r="BZ69" i="2" s="1"/>
  <c r="BP31" i="2"/>
  <c r="BP69" i="2" s="1"/>
  <c r="BA31" i="2"/>
  <c r="BA69" i="2" s="1"/>
  <c r="BG31" i="2"/>
  <c r="BG69" i="2" s="1"/>
  <c r="BS31" i="2"/>
  <c r="BS69" i="2" s="1"/>
  <c r="CA31" i="2"/>
  <c r="CA69" i="2" s="1"/>
  <c r="BU31" i="2"/>
  <c r="BU69" i="2" s="1"/>
  <c r="K19" i="6"/>
  <c r="BU17" i="6"/>
  <c r="BX17" i="6"/>
  <c r="BX55" i="6" s="1"/>
  <c r="CC17" i="6"/>
  <c r="CC55" i="6" s="1"/>
  <c r="CF17" i="6"/>
  <c r="CF55" i="6" s="1"/>
  <c r="CK17" i="6"/>
  <c r="CK55" i="6" s="1"/>
  <c r="CN17" i="6"/>
  <c r="CN55" i="6" s="1"/>
  <c r="CS17" i="6"/>
  <c r="CS55" i="6" s="1"/>
  <c r="CV17" i="6"/>
  <c r="CV55" i="6" s="1"/>
  <c r="DA17" i="6"/>
  <c r="DA55" i="6" s="1"/>
  <c r="DD17" i="6"/>
  <c r="DD55" i="6" s="1"/>
  <c r="BV17" i="6"/>
  <c r="BV55" i="6" s="1"/>
  <c r="CA17" i="6"/>
  <c r="CA55" i="6" s="1"/>
  <c r="CD17" i="6"/>
  <c r="CD55" i="6" s="1"/>
  <c r="CI17" i="6"/>
  <c r="CI55" i="6" s="1"/>
  <c r="CL17" i="6"/>
  <c r="CL55" i="6" s="1"/>
  <c r="CQ17" i="6"/>
  <c r="CQ55" i="6" s="1"/>
  <c r="CT17" i="6"/>
  <c r="CT55" i="6" s="1"/>
  <c r="CY17" i="6"/>
  <c r="CY55" i="6" s="1"/>
  <c r="DB17" i="6"/>
  <c r="DB55" i="6" s="1"/>
  <c r="BY17" i="6"/>
  <c r="BY55" i="6" s="1"/>
  <c r="CJ17" i="6"/>
  <c r="CJ55" i="6" s="1"/>
  <c r="CO17" i="6"/>
  <c r="CO55" i="6" s="1"/>
  <c r="CZ17" i="6"/>
  <c r="CZ55" i="6" s="1"/>
  <c r="DE17" i="6"/>
  <c r="DE55" i="6" s="1"/>
  <c r="BW17" i="6"/>
  <c r="BW55" i="6" s="1"/>
  <c r="CE17" i="6"/>
  <c r="CE55" i="6" s="1"/>
  <c r="BZ17" i="6"/>
  <c r="BZ55" i="6" s="1"/>
  <c r="CG17" i="6"/>
  <c r="CG55" i="6" s="1"/>
  <c r="CM17" i="6"/>
  <c r="CM55" i="6" s="1"/>
  <c r="CU17" i="6"/>
  <c r="CU55" i="6" s="1"/>
  <c r="CR17" i="6"/>
  <c r="CR55" i="6" s="1"/>
  <c r="CH17" i="6"/>
  <c r="CH55" i="6" s="1"/>
  <c r="CW17" i="6"/>
  <c r="CW55" i="6" s="1"/>
  <c r="CX17" i="6"/>
  <c r="CX55" i="6" s="1"/>
  <c r="DC17" i="6"/>
  <c r="DC55" i="6" s="1"/>
  <c r="CB17" i="6"/>
  <c r="CB55" i="6" s="1"/>
  <c r="CP17" i="6"/>
  <c r="CP55" i="6" s="1"/>
  <c r="BU34" i="6"/>
  <c r="BW34" i="6"/>
  <c r="BW72" i="6" s="1"/>
  <c r="BY34" i="6"/>
  <c r="BY72" i="6" s="1"/>
  <c r="CA34" i="6"/>
  <c r="CA72" i="6" s="1"/>
  <c r="CC34" i="6"/>
  <c r="CC72" i="6" s="1"/>
  <c r="CE34" i="6"/>
  <c r="CE72" i="6" s="1"/>
  <c r="CG34" i="6"/>
  <c r="CG72" i="6" s="1"/>
  <c r="CI34" i="6"/>
  <c r="CI72" i="6" s="1"/>
  <c r="CK34" i="6"/>
  <c r="CK72" i="6" s="1"/>
  <c r="CM34" i="6"/>
  <c r="CM72" i="6" s="1"/>
  <c r="CO34" i="6"/>
  <c r="CO72" i="6" s="1"/>
  <c r="CQ34" i="6"/>
  <c r="CQ72" i="6" s="1"/>
  <c r="CS34" i="6"/>
  <c r="CS72" i="6" s="1"/>
  <c r="CU34" i="6"/>
  <c r="CU72" i="6" s="1"/>
  <c r="CW34" i="6"/>
  <c r="CW72" i="6" s="1"/>
  <c r="CY34" i="6"/>
  <c r="CY72" i="6" s="1"/>
  <c r="DA34" i="6"/>
  <c r="DA72" i="6" s="1"/>
  <c r="DC34" i="6"/>
  <c r="DC72" i="6" s="1"/>
  <c r="DE34" i="6"/>
  <c r="DE72" i="6" s="1"/>
  <c r="BX34" i="6"/>
  <c r="BX72" i="6" s="1"/>
  <c r="CF34" i="6"/>
  <c r="CF72" i="6" s="1"/>
  <c r="CN34" i="6"/>
  <c r="CN72" i="6" s="1"/>
  <c r="CV34" i="6"/>
  <c r="CV72" i="6" s="1"/>
  <c r="DD34" i="6"/>
  <c r="DD72" i="6" s="1"/>
  <c r="BV34" i="6"/>
  <c r="BV72" i="6" s="1"/>
  <c r="CD34" i="6"/>
  <c r="CD72" i="6" s="1"/>
  <c r="CL34" i="6"/>
  <c r="CL72" i="6" s="1"/>
  <c r="CT34" i="6"/>
  <c r="CT72" i="6" s="1"/>
  <c r="DB34" i="6"/>
  <c r="DB72" i="6" s="1"/>
  <c r="CB34" i="6"/>
  <c r="CB72" i="6" s="1"/>
  <c r="CJ34" i="6"/>
  <c r="CJ72" i="6" s="1"/>
  <c r="CR34" i="6"/>
  <c r="CR72" i="6" s="1"/>
  <c r="CZ34" i="6"/>
  <c r="CZ72" i="6" s="1"/>
  <c r="CP34" i="6"/>
  <c r="CP72" i="6" s="1"/>
  <c r="CH34" i="6"/>
  <c r="CH72" i="6" s="1"/>
  <c r="BZ34" i="6"/>
  <c r="BZ72" i="6" s="1"/>
  <c r="CX34" i="6"/>
  <c r="CX72" i="6" s="1"/>
  <c r="BU39" i="6"/>
  <c r="BW39" i="6"/>
  <c r="BW77" i="6" s="1"/>
  <c r="BY39" i="6"/>
  <c r="BY77" i="6" s="1"/>
  <c r="CA39" i="6"/>
  <c r="CA77" i="6" s="1"/>
  <c r="CC39" i="6"/>
  <c r="CC77" i="6" s="1"/>
  <c r="CE39" i="6"/>
  <c r="CE77" i="6" s="1"/>
  <c r="CG39" i="6"/>
  <c r="CG77" i="6" s="1"/>
  <c r="CI39" i="6"/>
  <c r="CI77" i="6" s="1"/>
  <c r="CK39" i="6"/>
  <c r="CK77" i="6" s="1"/>
  <c r="CM39" i="6"/>
  <c r="CM77" i="6" s="1"/>
  <c r="CO39" i="6"/>
  <c r="CO77" i="6" s="1"/>
  <c r="CQ39" i="6"/>
  <c r="CQ77" i="6" s="1"/>
  <c r="CS39" i="6"/>
  <c r="CS77" i="6" s="1"/>
  <c r="CU39" i="6"/>
  <c r="CU77" i="6" s="1"/>
  <c r="CW39" i="6"/>
  <c r="CW77" i="6" s="1"/>
  <c r="CY39" i="6"/>
  <c r="CY77" i="6" s="1"/>
  <c r="DA39" i="6"/>
  <c r="DA77" i="6" s="1"/>
  <c r="DC39" i="6"/>
  <c r="DC77" i="6" s="1"/>
  <c r="DE39" i="6"/>
  <c r="DE77" i="6" s="1"/>
  <c r="BX39" i="6"/>
  <c r="BX77" i="6" s="1"/>
  <c r="CB39" i="6"/>
  <c r="CB77" i="6" s="1"/>
  <c r="CF39" i="6"/>
  <c r="CF77" i="6" s="1"/>
  <c r="CJ39" i="6"/>
  <c r="CJ77" i="6" s="1"/>
  <c r="CN39" i="6"/>
  <c r="CN77" i="6" s="1"/>
  <c r="CR39" i="6"/>
  <c r="CR77" i="6" s="1"/>
  <c r="CV39" i="6"/>
  <c r="CV77" i="6" s="1"/>
  <c r="CZ39" i="6"/>
  <c r="CZ77" i="6" s="1"/>
  <c r="DD39" i="6"/>
  <c r="DD77" i="6" s="1"/>
  <c r="BV39" i="6"/>
  <c r="BV77" i="6" s="1"/>
  <c r="BZ39" i="6"/>
  <c r="BZ77" i="6" s="1"/>
  <c r="CD39" i="6"/>
  <c r="CD77" i="6" s="1"/>
  <c r="CH39" i="6"/>
  <c r="CH77" i="6" s="1"/>
  <c r="CL39" i="6"/>
  <c r="CL77" i="6" s="1"/>
  <c r="CP39" i="6"/>
  <c r="CP77" i="6" s="1"/>
  <c r="CT39" i="6"/>
  <c r="CT77" i="6" s="1"/>
  <c r="CX39" i="6"/>
  <c r="CX77" i="6" s="1"/>
  <c r="DB39" i="6"/>
  <c r="DB77" i="6" s="1"/>
  <c r="K29" i="2"/>
  <c r="BV14" i="6"/>
  <c r="BV52" i="6" s="1"/>
  <c r="BX14" i="6"/>
  <c r="BX52" i="6" s="1"/>
  <c r="BZ14" i="6"/>
  <c r="BZ52" i="6" s="1"/>
  <c r="CB14" i="6"/>
  <c r="CB52" i="6" s="1"/>
  <c r="CD14" i="6"/>
  <c r="CD52" i="6" s="1"/>
  <c r="CF14" i="6"/>
  <c r="CF52" i="6" s="1"/>
  <c r="CH14" i="6"/>
  <c r="CH52" i="6" s="1"/>
  <c r="CJ14" i="6"/>
  <c r="CJ52" i="6" s="1"/>
  <c r="CL14" i="6"/>
  <c r="CL52" i="6" s="1"/>
  <c r="CN14" i="6"/>
  <c r="CN52" i="6" s="1"/>
  <c r="CP14" i="6"/>
  <c r="CP52" i="6" s="1"/>
  <c r="CR14" i="6"/>
  <c r="CR52" i="6" s="1"/>
  <c r="CT14" i="6"/>
  <c r="CT52" i="6" s="1"/>
  <c r="CV14" i="6"/>
  <c r="CV52" i="6" s="1"/>
  <c r="CX14" i="6"/>
  <c r="CX52" i="6" s="1"/>
  <c r="CZ14" i="6"/>
  <c r="CZ52" i="6" s="1"/>
  <c r="DB14" i="6"/>
  <c r="DB52" i="6" s="1"/>
  <c r="DD14" i="6"/>
  <c r="DD52" i="6" s="1"/>
  <c r="CA14" i="6"/>
  <c r="CA52" i="6" s="1"/>
  <c r="CG14" i="6"/>
  <c r="CG52" i="6" s="1"/>
  <c r="CQ14" i="6"/>
  <c r="CQ52" i="6" s="1"/>
  <c r="CW14" i="6"/>
  <c r="CW52" i="6" s="1"/>
  <c r="BW14" i="6"/>
  <c r="BW52" i="6" s="1"/>
  <c r="CC14" i="6"/>
  <c r="CC52" i="6" s="1"/>
  <c r="CM14" i="6"/>
  <c r="CM52" i="6" s="1"/>
  <c r="CS14" i="6"/>
  <c r="CS52" i="6" s="1"/>
  <c r="DC14" i="6"/>
  <c r="DC52" i="6" s="1"/>
  <c r="BU14" i="6"/>
  <c r="CE14" i="6"/>
  <c r="CE52" i="6" s="1"/>
  <c r="DA14" i="6"/>
  <c r="DA52" i="6" s="1"/>
  <c r="CO14" i="6"/>
  <c r="CO52" i="6" s="1"/>
  <c r="DE14" i="6"/>
  <c r="DE52" i="6" s="1"/>
  <c r="CK14" i="6"/>
  <c r="CK52" i="6" s="1"/>
  <c r="CU14" i="6"/>
  <c r="CU52" i="6" s="1"/>
  <c r="BY14" i="6"/>
  <c r="BY52" i="6" s="1"/>
  <c r="CY14" i="6"/>
  <c r="CY52" i="6" s="1"/>
  <c r="CI14" i="6"/>
  <c r="CI52" i="6" s="1"/>
  <c r="K27" i="6"/>
  <c r="BV23" i="6"/>
  <c r="BV61" i="6" s="1"/>
  <c r="BY23" i="6"/>
  <c r="BY61" i="6" s="1"/>
  <c r="CD23" i="6"/>
  <c r="CD61" i="6" s="1"/>
  <c r="CG23" i="6"/>
  <c r="CG61" i="6" s="1"/>
  <c r="CL23" i="6"/>
  <c r="CL61" i="6" s="1"/>
  <c r="CO23" i="6"/>
  <c r="CO61" i="6" s="1"/>
  <c r="CT23" i="6"/>
  <c r="CT61" i="6" s="1"/>
  <c r="CW23" i="6"/>
  <c r="CW61" i="6" s="1"/>
  <c r="DB23" i="6"/>
  <c r="DB61" i="6" s="1"/>
  <c r="DE23" i="6"/>
  <c r="DE61" i="6" s="1"/>
  <c r="CC23" i="6"/>
  <c r="CC61" i="6" s="1"/>
  <c r="CF23" i="6"/>
  <c r="CF61" i="6" s="1"/>
  <c r="CJ23" i="6"/>
  <c r="CJ61" i="6" s="1"/>
  <c r="CQ23" i="6"/>
  <c r="CQ61" i="6" s="1"/>
  <c r="CU23" i="6"/>
  <c r="CU61" i="6" s="1"/>
  <c r="CX23" i="6"/>
  <c r="CX61" i="6" s="1"/>
  <c r="BW23" i="6"/>
  <c r="BW61" i="6" s="1"/>
  <c r="BZ23" i="6"/>
  <c r="BZ61" i="6" s="1"/>
  <c r="CK23" i="6"/>
  <c r="CK61" i="6" s="1"/>
  <c r="CN23" i="6"/>
  <c r="CN61" i="6" s="1"/>
  <c r="CR23" i="6"/>
  <c r="CR61" i="6" s="1"/>
  <c r="CY23" i="6"/>
  <c r="CY61" i="6" s="1"/>
  <c r="DC23" i="6"/>
  <c r="DC61" i="6" s="1"/>
  <c r="CA23" i="6"/>
  <c r="CA61" i="6" s="1"/>
  <c r="CE23" i="6"/>
  <c r="CE61" i="6" s="1"/>
  <c r="CH23" i="6"/>
  <c r="CH61" i="6" s="1"/>
  <c r="CS23" i="6"/>
  <c r="CS61" i="6" s="1"/>
  <c r="CV23" i="6"/>
  <c r="CV61" i="6" s="1"/>
  <c r="CZ23" i="6"/>
  <c r="CZ61" i="6" s="1"/>
  <c r="BU23" i="6"/>
  <c r="CI23" i="6"/>
  <c r="CI61" i="6" s="1"/>
  <c r="BX23" i="6"/>
  <c r="BX61" i="6" s="1"/>
  <c r="CM23" i="6"/>
  <c r="CM61" i="6" s="1"/>
  <c r="DA23" i="6"/>
  <c r="DA61" i="6" s="1"/>
  <c r="CB23" i="6"/>
  <c r="CB61" i="6" s="1"/>
  <c r="CP23" i="6"/>
  <c r="CP61" i="6" s="1"/>
  <c r="DD23" i="6"/>
  <c r="DD61" i="6" s="1"/>
  <c r="BU28" i="6"/>
  <c r="BW28" i="6"/>
  <c r="BW66" i="6" s="1"/>
  <c r="BY28" i="6"/>
  <c r="BY66" i="6" s="1"/>
  <c r="CA28" i="6"/>
  <c r="CA66" i="6" s="1"/>
  <c r="CC28" i="6"/>
  <c r="CC66" i="6" s="1"/>
  <c r="CE28" i="6"/>
  <c r="CE66" i="6" s="1"/>
  <c r="CG28" i="6"/>
  <c r="CG66" i="6" s="1"/>
  <c r="CI28" i="6"/>
  <c r="CI66" i="6" s="1"/>
  <c r="CK28" i="6"/>
  <c r="CK66" i="6" s="1"/>
  <c r="CM28" i="6"/>
  <c r="CM66" i="6" s="1"/>
  <c r="CO28" i="6"/>
  <c r="CO66" i="6" s="1"/>
  <c r="CQ28" i="6"/>
  <c r="CQ66" i="6" s="1"/>
  <c r="CS28" i="6"/>
  <c r="CS66" i="6" s="1"/>
  <c r="CU28" i="6"/>
  <c r="CU66" i="6" s="1"/>
  <c r="CW28" i="6"/>
  <c r="CW66" i="6" s="1"/>
  <c r="CY28" i="6"/>
  <c r="CY66" i="6" s="1"/>
  <c r="DA28" i="6"/>
  <c r="DA66" i="6" s="1"/>
  <c r="DC28" i="6"/>
  <c r="DC66" i="6" s="1"/>
  <c r="DE28" i="6"/>
  <c r="DE66" i="6" s="1"/>
  <c r="BV28" i="6"/>
  <c r="BV66" i="6" s="1"/>
  <c r="BZ28" i="6"/>
  <c r="BZ66" i="6" s="1"/>
  <c r="CD28" i="6"/>
  <c r="CD66" i="6" s="1"/>
  <c r="CH28" i="6"/>
  <c r="CH66" i="6" s="1"/>
  <c r="CL28" i="6"/>
  <c r="CL66" i="6" s="1"/>
  <c r="CP28" i="6"/>
  <c r="CP66" i="6" s="1"/>
  <c r="CT28" i="6"/>
  <c r="CT66" i="6" s="1"/>
  <c r="CX28" i="6"/>
  <c r="CX66" i="6" s="1"/>
  <c r="DB28" i="6"/>
  <c r="DB66" i="6" s="1"/>
  <c r="BX28" i="6"/>
  <c r="BX66" i="6" s="1"/>
  <c r="CN28" i="6"/>
  <c r="CN66" i="6" s="1"/>
  <c r="DD28" i="6"/>
  <c r="DD66" i="6" s="1"/>
  <c r="CB28" i="6"/>
  <c r="CB66" i="6" s="1"/>
  <c r="CR28" i="6"/>
  <c r="CR66" i="6" s="1"/>
  <c r="CF28" i="6"/>
  <c r="CF66" i="6" s="1"/>
  <c r="CV28" i="6"/>
  <c r="CV66" i="6" s="1"/>
  <c r="CJ28" i="6"/>
  <c r="CJ66" i="6" s="1"/>
  <c r="CZ28" i="6"/>
  <c r="CZ66" i="6" s="1"/>
  <c r="L30" i="6"/>
  <c r="BU68" i="6"/>
  <c r="DF68" i="6" s="1"/>
  <c r="R30" i="6" s="1"/>
  <c r="DF30" i="6"/>
  <c r="BQ22" i="2"/>
  <c r="BQ60" i="2" s="1"/>
  <c r="BB22" i="2"/>
  <c r="BB60" i="2" s="1"/>
  <c r="AU22" i="2"/>
  <c r="AU60" i="2" s="1"/>
  <c r="BD22" i="2"/>
  <c r="BD60" i="2" s="1"/>
  <c r="BR22" i="2"/>
  <c r="BR60" i="2" s="1"/>
  <c r="AT22" i="2"/>
  <c r="AT60" i="2" s="1"/>
  <c r="AY22" i="2"/>
  <c r="AY60" i="2" s="1"/>
  <c r="BT22" i="2"/>
  <c r="BT60" i="2" s="1"/>
  <c r="CB22" i="2"/>
  <c r="CB60" i="2" s="1"/>
  <c r="BF22" i="2"/>
  <c r="BF60" i="2" s="1"/>
  <c r="AZ22" i="2"/>
  <c r="AZ60" i="2" s="1"/>
  <c r="BH22" i="2"/>
  <c r="BH60" i="2" s="1"/>
  <c r="BM22" i="2"/>
  <c r="BM60" i="2" s="1"/>
  <c r="BI22" i="2"/>
  <c r="BI60" i="2" s="1"/>
  <c r="BN22" i="2"/>
  <c r="BN60" i="2" s="1"/>
  <c r="BS22" i="2"/>
  <c r="BS60" i="2" s="1"/>
  <c r="CA22" i="2"/>
  <c r="CA60" i="2" s="1"/>
  <c r="BJ22" i="2"/>
  <c r="BJ60" i="2" s="1"/>
  <c r="BZ22" i="2"/>
  <c r="BZ60" i="2" s="1"/>
  <c r="BG22" i="2"/>
  <c r="BG60" i="2" s="1"/>
  <c r="BP22" i="2"/>
  <c r="BP60" i="2" s="1"/>
  <c r="AX22" i="2"/>
  <c r="AX60" i="2" s="1"/>
  <c r="BO22" i="2"/>
  <c r="BO60" i="2" s="1"/>
  <c r="BY22" i="2"/>
  <c r="BY60" i="2" s="1"/>
  <c r="AS22" i="2"/>
  <c r="AS60" i="2" s="1"/>
  <c r="BE22" i="2"/>
  <c r="BE60" i="2" s="1"/>
  <c r="AW22" i="2"/>
  <c r="AW60" i="2" s="1"/>
  <c r="AR22" i="2"/>
  <c r="BV22" i="2"/>
  <c r="BV60" i="2" s="1"/>
  <c r="BK22" i="2"/>
  <c r="BK60" i="2" s="1"/>
  <c r="BC22" i="2"/>
  <c r="BC60" i="2" s="1"/>
  <c r="BW22" i="2"/>
  <c r="BW60" i="2" s="1"/>
  <c r="AV22" i="2"/>
  <c r="AV60" i="2" s="1"/>
  <c r="BX22" i="2"/>
  <c r="BX60" i="2" s="1"/>
  <c r="BU22" i="2"/>
  <c r="BU60" i="2" s="1"/>
  <c r="BL22" i="2"/>
  <c r="BL60" i="2" s="1"/>
  <c r="BA22" i="2"/>
  <c r="BA60" i="2" s="1"/>
  <c r="K26" i="6"/>
  <c r="BV40" i="6"/>
  <c r="BV78" i="6" s="1"/>
  <c r="BX40" i="6"/>
  <c r="BX78" i="6" s="1"/>
  <c r="BZ40" i="6"/>
  <c r="BZ78" i="6" s="1"/>
  <c r="CB40" i="6"/>
  <c r="CB78" i="6" s="1"/>
  <c r="CD40" i="6"/>
  <c r="CD78" i="6" s="1"/>
  <c r="CF40" i="6"/>
  <c r="CF78" i="6" s="1"/>
  <c r="CH40" i="6"/>
  <c r="CH78" i="6" s="1"/>
  <c r="CJ40" i="6"/>
  <c r="CJ78" i="6" s="1"/>
  <c r="CL40" i="6"/>
  <c r="CL78" i="6" s="1"/>
  <c r="CN40" i="6"/>
  <c r="CN78" i="6" s="1"/>
  <c r="CP40" i="6"/>
  <c r="CP78" i="6" s="1"/>
  <c r="CR40" i="6"/>
  <c r="CR78" i="6" s="1"/>
  <c r="CT40" i="6"/>
  <c r="CT78" i="6" s="1"/>
  <c r="CV40" i="6"/>
  <c r="CV78" i="6" s="1"/>
  <c r="CX40" i="6"/>
  <c r="CX78" i="6" s="1"/>
  <c r="CZ40" i="6"/>
  <c r="CZ78" i="6" s="1"/>
  <c r="DB40" i="6"/>
  <c r="DB78" i="6" s="1"/>
  <c r="DD40" i="6"/>
  <c r="DD78" i="6" s="1"/>
  <c r="BU40" i="6"/>
  <c r="BY40" i="6"/>
  <c r="BY78" i="6" s="1"/>
  <c r="CC40" i="6"/>
  <c r="CC78" i="6" s="1"/>
  <c r="CG40" i="6"/>
  <c r="CG78" i="6" s="1"/>
  <c r="CK40" i="6"/>
  <c r="CK78" i="6" s="1"/>
  <c r="CO40" i="6"/>
  <c r="CO78" i="6" s="1"/>
  <c r="CS40" i="6"/>
  <c r="CS78" i="6" s="1"/>
  <c r="CW40" i="6"/>
  <c r="CW78" i="6" s="1"/>
  <c r="DA40" i="6"/>
  <c r="DA78" i="6" s="1"/>
  <c r="DE40" i="6"/>
  <c r="DE78" i="6" s="1"/>
  <c r="BW40" i="6"/>
  <c r="BW78" i="6" s="1"/>
  <c r="CM40" i="6"/>
  <c r="CM78" i="6" s="1"/>
  <c r="DC40" i="6"/>
  <c r="DC78" i="6" s="1"/>
  <c r="CA40" i="6"/>
  <c r="CA78" i="6" s="1"/>
  <c r="CQ40" i="6"/>
  <c r="CQ78" i="6" s="1"/>
  <c r="CE40" i="6"/>
  <c r="CE78" i="6" s="1"/>
  <c r="CU40" i="6"/>
  <c r="CU78" i="6" s="1"/>
  <c r="CI40" i="6"/>
  <c r="CI78" i="6" s="1"/>
  <c r="CY40" i="6"/>
  <c r="CY78" i="6" s="1"/>
  <c r="AY40" i="2"/>
  <c r="AY78" i="2" s="1"/>
  <c r="BB40" i="2"/>
  <c r="BB78" i="2" s="1"/>
  <c r="BS40" i="2"/>
  <c r="BS78" i="2" s="1"/>
  <c r="BD40" i="2"/>
  <c r="BD78" i="2" s="1"/>
  <c r="BJ40" i="2"/>
  <c r="BJ78" i="2" s="1"/>
  <c r="AV40" i="2"/>
  <c r="AV78" i="2" s="1"/>
  <c r="BW40" i="2"/>
  <c r="BW78" i="2" s="1"/>
  <c r="AT40" i="2"/>
  <c r="AT78" i="2" s="1"/>
  <c r="BU40" i="2"/>
  <c r="BU78" i="2" s="1"/>
  <c r="BP40" i="2"/>
  <c r="BP78" i="2" s="1"/>
  <c r="BV40" i="2"/>
  <c r="BV78" i="2" s="1"/>
  <c r="BG40" i="2"/>
  <c r="BG78" i="2" s="1"/>
  <c r="BC40" i="2"/>
  <c r="BC78" i="2" s="1"/>
  <c r="BO40" i="2"/>
  <c r="BO78" i="2" s="1"/>
  <c r="CB40" i="2"/>
  <c r="CB78" i="2" s="1"/>
  <c r="AX40" i="2"/>
  <c r="AX78" i="2" s="1"/>
  <c r="BX40" i="2"/>
  <c r="BX78" i="2" s="1"/>
  <c r="AU40" i="2"/>
  <c r="AU78" i="2" s="1"/>
  <c r="BR40" i="2"/>
  <c r="BR78" i="2" s="1"/>
  <c r="BF40" i="2"/>
  <c r="BF78" i="2" s="1"/>
  <c r="AZ40" i="2"/>
  <c r="AZ78" i="2" s="1"/>
  <c r="BK40" i="2"/>
  <c r="BK78" i="2" s="1"/>
  <c r="AR40" i="2"/>
  <c r="BY40" i="2"/>
  <c r="BY78" i="2" s="1"/>
  <c r="BL40" i="2"/>
  <c r="BL78" i="2" s="1"/>
  <c r="CA40" i="2"/>
  <c r="CA78" i="2" s="1"/>
  <c r="BQ40" i="2"/>
  <c r="BQ78" i="2" s="1"/>
  <c r="BN40" i="2"/>
  <c r="BN78" i="2" s="1"/>
  <c r="BH40" i="2"/>
  <c r="BH78" i="2" s="1"/>
  <c r="BZ40" i="2"/>
  <c r="BZ78" i="2" s="1"/>
  <c r="AW40" i="2"/>
  <c r="AW78" i="2" s="1"/>
  <c r="BM40" i="2"/>
  <c r="BM78" i="2" s="1"/>
  <c r="BI40" i="2"/>
  <c r="BI78" i="2" s="1"/>
  <c r="BT40" i="2"/>
  <c r="BT78" i="2" s="1"/>
  <c r="BA40" i="2"/>
  <c r="BA78" i="2" s="1"/>
  <c r="BE40" i="2"/>
  <c r="BE78" i="2" s="1"/>
  <c r="AS40" i="2"/>
  <c r="AS78" i="2" s="1"/>
  <c r="BU58" i="6"/>
  <c r="DF58" i="6" s="1"/>
  <c r="R20" i="6" s="1"/>
  <c r="L20" i="6"/>
  <c r="DF20" i="6"/>
  <c r="I35" i="6"/>
  <c r="H35" i="6"/>
  <c r="K26" i="2"/>
  <c r="BV21" i="6"/>
  <c r="BV59" i="6" s="1"/>
  <c r="BX21" i="6"/>
  <c r="BX59" i="6" s="1"/>
  <c r="BZ21" i="6"/>
  <c r="BZ59" i="6" s="1"/>
  <c r="CB21" i="6"/>
  <c r="CB59" i="6" s="1"/>
  <c r="CD21" i="6"/>
  <c r="CD59" i="6" s="1"/>
  <c r="CF21" i="6"/>
  <c r="CF59" i="6" s="1"/>
  <c r="CH21" i="6"/>
  <c r="CH59" i="6" s="1"/>
  <c r="CJ21" i="6"/>
  <c r="CJ59" i="6" s="1"/>
  <c r="CL21" i="6"/>
  <c r="CL59" i="6" s="1"/>
  <c r="CN21" i="6"/>
  <c r="CN59" i="6" s="1"/>
  <c r="CP21" i="6"/>
  <c r="CP59" i="6" s="1"/>
  <c r="CR21" i="6"/>
  <c r="CR59" i="6" s="1"/>
  <c r="CT21" i="6"/>
  <c r="CT59" i="6" s="1"/>
  <c r="CV21" i="6"/>
  <c r="CV59" i="6" s="1"/>
  <c r="CX21" i="6"/>
  <c r="CX59" i="6" s="1"/>
  <c r="CZ21" i="6"/>
  <c r="CZ59" i="6" s="1"/>
  <c r="DB21" i="6"/>
  <c r="DB59" i="6" s="1"/>
  <c r="DD21" i="6"/>
  <c r="DD59" i="6" s="1"/>
  <c r="CA21" i="6"/>
  <c r="CA59" i="6" s="1"/>
  <c r="CI21" i="6"/>
  <c r="CI59" i="6" s="1"/>
  <c r="CQ21" i="6"/>
  <c r="CQ59" i="6" s="1"/>
  <c r="CY21" i="6"/>
  <c r="CY59" i="6" s="1"/>
  <c r="BU21" i="6"/>
  <c r="BY21" i="6"/>
  <c r="BY59" i="6" s="1"/>
  <c r="CM21" i="6"/>
  <c r="CM59" i="6" s="1"/>
  <c r="DA21" i="6"/>
  <c r="DA59" i="6" s="1"/>
  <c r="DE21" i="6"/>
  <c r="DE59" i="6" s="1"/>
  <c r="CC21" i="6"/>
  <c r="CC59" i="6" s="1"/>
  <c r="CG21" i="6"/>
  <c r="CG59" i="6" s="1"/>
  <c r="CU21" i="6"/>
  <c r="CU59" i="6" s="1"/>
  <c r="CW21" i="6"/>
  <c r="CW59" i="6" s="1"/>
  <c r="BW21" i="6"/>
  <c r="BW59" i="6" s="1"/>
  <c r="CK21" i="6"/>
  <c r="CK59" i="6" s="1"/>
  <c r="CE21" i="6"/>
  <c r="CE59" i="6" s="1"/>
  <c r="CS21" i="6"/>
  <c r="CS59" i="6" s="1"/>
  <c r="DC21" i="6"/>
  <c r="DC59" i="6" s="1"/>
  <c r="CO21" i="6"/>
  <c r="CO59" i="6" s="1"/>
  <c r="K27" i="2"/>
  <c r="K29" i="6"/>
  <c r="AW14" i="2"/>
  <c r="AW52" i="2" s="1"/>
  <c r="BH14" i="2"/>
  <c r="BH52" i="2" s="1"/>
  <c r="AU14" i="2"/>
  <c r="AU52" i="2" s="1"/>
  <c r="BA14" i="2"/>
  <c r="BA52" i="2" s="1"/>
  <c r="BJ14" i="2"/>
  <c r="BJ52" i="2" s="1"/>
  <c r="BT14" i="2"/>
  <c r="BT52" i="2" s="1"/>
  <c r="BZ14" i="2"/>
  <c r="BZ52" i="2" s="1"/>
  <c r="BK14" i="2"/>
  <c r="BK52" i="2" s="1"/>
  <c r="BO14" i="2"/>
  <c r="BO52" i="2" s="1"/>
  <c r="BC14" i="2"/>
  <c r="BC52" i="2" s="1"/>
  <c r="CB14" i="2"/>
  <c r="CB52" i="2" s="1"/>
  <c r="BN14" i="2"/>
  <c r="BN52" i="2" s="1"/>
  <c r="BP14" i="2"/>
  <c r="BP52" i="2" s="1"/>
  <c r="BF14" i="2"/>
  <c r="BF52" i="2" s="1"/>
  <c r="BV14" i="2"/>
  <c r="BV52" i="2" s="1"/>
  <c r="BW14" i="2"/>
  <c r="BW52" i="2" s="1"/>
  <c r="CA14" i="2"/>
  <c r="CA52" i="2" s="1"/>
  <c r="AZ14" i="2"/>
  <c r="AZ52" i="2" s="1"/>
  <c r="BM14" i="2"/>
  <c r="BM52" i="2" s="1"/>
  <c r="BL14" i="2"/>
  <c r="BL52" i="2" s="1"/>
  <c r="BS14" i="2"/>
  <c r="BS52" i="2" s="1"/>
  <c r="BQ14" i="2"/>
  <c r="BQ52" i="2" s="1"/>
  <c r="BR14" i="2"/>
  <c r="BR52" i="2" s="1"/>
  <c r="BG14" i="2"/>
  <c r="BG52" i="2" s="1"/>
  <c r="AS14" i="2"/>
  <c r="AS52" i="2" s="1"/>
  <c r="AR14" i="2"/>
  <c r="BD14" i="2"/>
  <c r="BD52" i="2" s="1"/>
  <c r="BY14" i="2"/>
  <c r="BY52" i="2" s="1"/>
  <c r="AY14" i="2"/>
  <c r="AY52" i="2" s="1"/>
  <c r="AT14" i="2"/>
  <c r="AT52" i="2" s="1"/>
  <c r="AX14" i="2"/>
  <c r="AX52" i="2" s="1"/>
  <c r="BX14" i="2"/>
  <c r="BX52" i="2" s="1"/>
  <c r="AV14" i="2"/>
  <c r="AV52" i="2" s="1"/>
  <c r="BB14" i="2"/>
  <c r="BB52" i="2" s="1"/>
  <c r="BI14" i="2"/>
  <c r="BI52" i="2" s="1"/>
  <c r="BU14" i="2"/>
  <c r="BU52" i="2" s="1"/>
  <c r="BE14" i="2"/>
  <c r="BE52" i="2" s="1"/>
  <c r="AR76" i="2"/>
  <c r="CC76" i="2" s="1"/>
  <c r="R38" i="2" s="1"/>
  <c r="L38" i="2"/>
  <c r="CC38" i="2"/>
  <c r="BW18" i="2"/>
  <c r="BW56" i="2" s="1"/>
  <c r="BA18" i="2"/>
  <c r="BA56" i="2" s="1"/>
  <c r="AY18" i="2"/>
  <c r="AY56" i="2" s="1"/>
  <c r="BZ18" i="2"/>
  <c r="BZ56" i="2" s="1"/>
  <c r="CB18" i="2"/>
  <c r="CB56" i="2" s="1"/>
  <c r="BM18" i="2"/>
  <c r="BM56" i="2" s="1"/>
  <c r="BP18" i="2"/>
  <c r="BP56" i="2" s="1"/>
  <c r="AR18" i="2"/>
  <c r="BI18" i="2"/>
  <c r="BI56" i="2" s="1"/>
  <c r="BN18" i="2"/>
  <c r="BN56" i="2" s="1"/>
  <c r="BV18" i="2"/>
  <c r="BV56" i="2" s="1"/>
  <c r="BD18" i="2"/>
  <c r="BD56" i="2" s="1"/>
  <c r="BS18" i="2"/>
  <c r="BS56" i="2" s="1"/>
  <c r="AS18" i="2"/>
  <c r="AS56" i="2" s="1"/>
  <c r="BE18" i="2"/>
  <c r="BE56" i="2" s="1"/>
  <c r="CA18" i="2"/>
  <c r="CA56" i="2" s="1"/>
  <c r="BB18" i="2"/>
  <c r="BB56" i="2" s="1"/>
  <c r="AV18" i="2"/>
  <c r="AV56" i="2" s="1"/>
  <c r="BH18" i="2"/>
  <c r="BH56" i="2" s="1"/>
  <c r="BK18" i="2"/>
  <c r="BK56" i="2" s="1"/>
  <c r="BY18" i="2"/>
  <c r="BY56" i="2" s="1"/>
  <c r="AT18" i="2"/>
  <c r="AT56" i="2" s="1"/>
  <c r="BT18" i="2"/>
  <c r="BT56" i="2" s="1"/>
  <c r="BO18" i="2"/>
  <c r="BO56" i="2" s="1"/>
  <c r="BQ18" i="2"/>
  <c r="BQ56" i="2" s="1"/>
  <c r="BJ18" i="2"/>
  <c r="BJ56" i="2" s="1"/>
  <c r="BG18" i="2"/>
  <c r="BG56" i="2" s="1"/>
  <c r="BF18" i="2"/>
  <c r="BF56" i="2" s="1"/>
  <c r="BC18" i="2"/>
  <c r="BC56" i="2" s="1"/>
  <c r="AU18" i="2"/>
  <c r="AU56" i="2" s="1"/>
  <c r="BU18" i="2"/>
  <c r="BU56" i="2" s="1"/>
  <c r="AX18" i="2"/>
  <c r="AX56" i="2" s="1"/>
  <c r="BR18" i="2"/>
  <c r="BR56" i="2" s="1"/>
  <c r="AW18" i="2"/>
  <c r="AW56" i="2" s="1"/>
  <c r="AZ18" i="2"/>
  <c r="AZ56" i="2" s="1"/>
  <c r="BL18" i="2"/>
  <c r="BL56" i="2" s="1"/>
  <c r="BX18" i="2"/>
  <c r="BX56" i="2" s="1"/>
  <c r="BN28" i="2"/>
  <c r="BN66" i="2" s="1"/>
  <c r="BP28" i="2"/>
  <c r="BP66" i="2" s="1"/>
  <c r="AW28" i="2"/>
  <c r="AW66" i="2" s="1"/>
  <c r="AZ28" i="2"/>
  <c r="AZ66" i="2" s="1"/>
  <c r="BO28" i="2"/>
  <c r="BO66" i="2" s="1"/>
  <c r="BM28" i="2"/>
  <c r="BM66" i="2" s="1"/>
  <c r="BB28" i="2"/>
  <c r="BB66" i="2" s="1"/>
  <c r="AV28" i="2"/>
  <c r="AV66" i="2" s="1"/>
  <c r="BS28" i="2"/>
  <c r="BS66" i="2" s="1"/>
  <c r="BC28" i="2"/>
  <c r="BC66" i="2" s="1"/>
  <c r="AU28" i="2"/>
  <c r="AU66" i="2" s="1"/>
  <c r="AT28" i="2"/>
  <c r="AT66" i="2" s="1"/>
  <c r="BV28" i="2"/>
  <c r="BV66" i="2" s="1"/>
  <c r="BG28" i="2"/>
  <c r="BG66" i="2" s="1"/>
  <c r="BW28" i="2"/>
  <c r="BW66" i="2" s="1"/>
  <c r="BA28" i="2"/>
  <c r="BA66" i="2" s="1"/>
  <c r="BT28" i="2"/>
  <c r="BT66" i="2" s="1"/>
  <c r="AS28" i="2"/>
  <c r="AS66" i="2" s="1"/>
  <c r="AX28" i="2"/>
  <c r="AX66" i="2" s="1"/>
  <c r="BZ28" i="2"/>
  <c r="BZ66" i="2" s="1"/>
  <c r="CB28" i="2"/>
  <c r="CB66" i="2" s="1"/>
  <c r="BU28" i="2"/>
  <c r="BU66" i="2" s="1"/>
  <c r="BY28" i="2"/>
  <c r="BY66" i="2" s="1"/>
  <c r="BF28" i="2"/>
  <c r="BF66" i="2" s="1"/>
  <c r="BJ28" i="2"/>
  <c r="BJ66" i="2" s="1"/>
  <c r="AR28" i="2"/>
  <c r="CA28" i="2"/>
  <c r="CA66" i="2" s="1"/>
  <c r="BR28" i="2"/>
  <c r="BR66" i="2" s="1"/>
  <c r="BK28" i="2"/>
  <c r="BK66" i="2" s="1"/>
  <c r="BD28" i="2"/>
  <c r="BD66" i="2" s="1"/>
  <c r="BH28" i="2"/>
  <c r="BH66" i="2" s="1"/>
  <c r="BE28" i="2"/>
  <c r="BE66" i="2" s="1"/>
  <c r="AY28" i="2"/>
  <c r="AY66" i="2" s="1"/>
  <c r="BI28" i="2"/>
  <c r="BI66" i="2" s="1"/>
  <c r="BQ28" i="2"/>
  <c r="BQ66" i="2" s="1"/>
  <c r="BX28" i="2"/>
  <c r="BX66" i="2" s="1"/>
  <c r="BL28" i="2"/>
  <c r="BL66" i="2" s="1"/>
  <c r="BU18" i="6"/>
  <c r="BW18" i="6"/>
  <c r="BW56" i="6" s="1"/>
  <c r="BY18" i="6"/>
  <c r="BY56" i="6" s="1"/>
  <c r="CA18" i="6"/>
  <c r="CA56" i="6" s="1"/>
  <c r="BV18" i="6"/>
  <c r="BV56" i="6" s="1"/>
  <c r="CB18" i="6"/>
  <c r="CB56" i="6" s="1"/>
  <c r="CD18" i="6"/>
  <c r="CD56" i="6" s="1"/>
  <c r="CF18" i="6"/>
  <c r="CF56" i="6" s="1"/>
  <c r="CH18" i="6"/>
  <c r="CH56" i="6" s="1"/>
  <c r="CJ18" i="6"/>
  <c r="CJ56" i="6" s="1"/>
  <c r="CL18" i="6"/>
  <c r="CL56" i="6" s="1"/>
  <c r="CN18" i="6"/>
  <c r="CN56" i="6" s="1"/>
  <c r="CP18" i="6"/>
  <c r="CP56" i="6" s="1"/>
  <c r="CR18" i="6"/>
  <c r="CR56" i="6" s="1"/>
  <c r="CT18" i="6"/>
  <c r="CT56" i="6" s="1"/>
  <c r="CV18" i="6"/>
  <c r="CV56" i="6" s="1"/>
  <c r="CX18" i="6"/>
  <c r="CX56" i="6" s="1"/>
  <c r="CZ18" i="6"/>
  <c r="CZ56" i="6" s="1"/>
  <c r="DB18" i="6"/>
  <c r="DB56" i="6" s="1"/>
  <c r="DD18" i="6"/>
  <c r="DD56" i="6" s="1"/>
  <c r="BX18" i="6"/>
  <c r="BX56" i="6" s="1"/>
  <c r="CC18" i="6"/>
  <c r="CC56" i="6" s="1"/>
  <c r="CG18" i="6"/>
  <c r="CG56" i="6" s="1"/>
  <c r="CK18" i="6"/>
  <c r="CK56" i="6" s="1"/>
  <c r="CO18" i="6"/>
  <c r="CO56" i="6" s="1"/>
  <c r="CS18" i="6"/>
  <c r="CS56" i="6" s="1"/>
  <c r="CW18" i="6"/>
  <c r="CW56" i="6" s="1"/>
  <c r="DA18" i="6"/>
  <c r="DA56" i="6" s="1"/>
  <c r="DE18" i="6"/>
  <c r="DE56" i="6" s="1"/>
  <c r="BZ18" i="6"/>
  <c r="BZ56" i="6" s="1"/>
  <c r="CE18" i="6"/>
  <c r="CE56" i="6" s="1"/>
  <c r="CU18" i="6"/>
  <c r="CU56" i="6" s="1"/>
  <c r="CQ18" i="6"/>
  <c r="CQ56" i="6" s="1"/>
  <c r="CY18" i="6"/>
  <c r="CY56" i="6" s="1"/>
  <c r="DC18" i="6"/>
  <c r="DC56" i="6" s="1"/>
  <c r="CI18" i="6"/>
  <c r="CI56" i="6" s="1"/>
  <c r="CM18" i="6"/>
  <c r="CM56" i="6" s="1"/>
  <c r="BB24" i="2"/>
  <c r="BB62" i="2" s="1"/>
  <c r="BJ24" i="2"/>
  <c r="BJ62" i="2" s="1"/>
  <c r="BH24" i="2"/>
  <c r="BH62" i="2" s="1"/>
  <c r="AU24" i="2"/>
  <c r="AU62" i="2" s="1"/>
  <c r="BU24" i="2"/>
  <c r="BU62" i="2" s="1"/>
  <c r="BS24" i="2"/>
  <c r="BS62" i="2" s="1"/>
  <c r="BV24" i="2"/>
  <c r="BV62" i="2" s="1"/>
  <c r="AX24" i="2"/>
  <c r="AX62" i="2" s="1"/>
  <c r="BM24" i="2"/>
  <c r="BM62" i="2" s="1"/>
  <c r="BO24" i="2"/>
  <c r="BO62" i="2" s="1"/>
  <c r="BY24" i="2"/>
  <c r="BY62" i="2" s="1"/>
  <c r="CB24" i="2"/>
  <c r="CB62" i="2" s="1"/>
  <c r="BZ24" i="2"/>
  <c r="BZ62" i="2" s="1"/>
  <c r="BX24" i="2"/>
  <c r="BX62" i="2" s="1"/>
  <c r="BL24" i="2"/>
  <c r="BL62" i="2" s="1"/>
  <c r="AW24" i="2"/>
  <c r="AW62" i="2" s="1"/>
  <c r="BD24" i="2"/>
  <c r="BD62" i="2" s="1"/>
  <c r="CA24" i="2"/>
  <c r="CA62" i="2" s="1"/>
  <c r="BQ24" i="2"/>
  <c r="BQ62" i="2" s="1"/>
  <c r="BE24" i="2"/>
  <c r="BE62" i="2" s="1"/>
  <c r="BA24" i="2"/>
  <c r="BA62" i="2" s="1"/>
  <c r="BR24" i="2"/>
  <c r="BR62" i="2" s="1"/>
  <c r="BN24" i="2"/>
  <c r="BN62" i="2" s="1"/>
  <c r="BP24" i="2"/>
  <c r="BP62" i="2" s="1"/>
  <c r="AZ24" i="2"/>
  <c r="AZ62" i="2" s="1"/>
  <c r="BI24" i="2"/>
  <c r="BI62" i="2" s="1"/>
  <c r="BF24" i="2"/>
  <c r="BF62" i="2" s="1"/>
  <c r="AR24" i="2"/>
  <c r="AT24" i="2"/>
  <c r="AT62" i="2" s="1"/>
  <c r="AV24" i="2"/>
  <c r="AV62" i="2" s="1"/>
  <c r="BT24" i="2"/>
  <c r="BT62" i="2" s="1"/>
  <c r="BG24" i="2"/>
  <c r="BG62" i="2" s="1"/>
  <c r="BK24" i="2"/>
  <c r="BK62" i="2" s="1"/>
  <c r="BW24" i="2"/>
  <c r="BW62" i="2" s="1"/>
  <c r="AY24" i="2"/>
  <c r="AY62" i="2" s="1"/>
  <c r="BC24" i="2"/>
  <c r="BC62" i="2" s="1"/>
  <c r="AS24" i="2"/>
  <c r="AS62" i="2" s="1"/>
  <c r="BU75" i="6"/>
  <c r="DF75" i="6" s="1"/>
  <c r="R37" i="6" s="1"/>
  <c r="L37" i="6"/>
  <c r="DF37" i="6"/>
  <c r="AY43" i="2"/>
  <c r="AY81" i="2" s="1"/>
  <c r="BE43" i="2"/>
  <c r="BE81" i="2" s="1"/>
  <c r="BP43" i="2"/>
  <c r="BP81" i="2" s="1"/>
  <c r="CB43" i="2"/>
  <c r="CB81" i="2" s="1"/>
  <c r="AU43" i="2"/>
  <c r="AU81" i="2" s="1"/>
  <c r="BB43" i="2"/>
  <c r="BB81" i="2" s="1"/>
  <c r="AW43" i="2"/>
  <c r="AW81" i="2" s="1"/>
  <c r="BR43" i="2"/>
  <c r="BR81" i="2" s="1"/>
  <c r="BD43" i="2"/>
  <c r="BD81" i="2" s="1"/>
  <c r="BM43" i="2"/>
  <c r="BM81" i="2" s="1"/>
  <c r="BT43" i="2"/>
  <c r="BT81" i="2" s="1"/>
  <c r="AZ43" i="2"/>
  <c r="AZ81" i="2" s="1"/>
  <c r="BU43" i="2"/>
  <c r="BU81" i="2" s="1"/>
  <c r="AS43" i="2"/>
  <c r="AS81" i="2" s="1"/>
  <c r="BX43" i="2"/>
  <c r="BX81" i="2" s="1"/>
  <c r="AV43" i="2"/>
  <c r="AV81" i="2" s="1"/>
  <c r="BF43" i="2"/>
  <c r="BF81" i="2" s="1"/>
  <c r="BN43" i="2"/>
  <c r="BN81" i="2" s="1"/>
  <c r="BJ43" i="2"/>
  <c r="BJ81" i="2" s="1"/>
  <c r="BL43" i="2"/>
  <c r="BL81" i="2" s="1"/>
  <c r="BK43" i="2"/>
  <c r="BK81" i="2" s="1"/>
  <c r="BS43" i="2"/>
  <c r="BS81" i="2" s="1"/>
  <c r="BW43" i="2"/>
  <c r="BW81" i="2" s="1"/>
  <c r="BZ43" i="2"/>
  <c r="BZ81" i="2" s="1"/>
  <c r="BO43" i="2"/>
  <c r="BO81" i="2" s="1"/>
  <c r="BQ43" i="2"/>
  <c r="BQ81" i="2" s="1"/>
  <c r="BH43" i="2"/>
  <c r="BH81" i="2" s="1"/>
  <c r="BC43" i="2"/>
  <c r="BC81" i="2" s="1"/>
  <c r="BA43" i="2"/>
  <c r="BA81" i="2" s="1"/>
  <c r="AR43" i="2"/>
  <c r="AT43" i="2"/>
  <c r="AT81" i="2" s="1"/>
  <c r="BV43" i="2"/>
  <c r="BV81" i="2" s="1"/>
  <c r="AX43" i="2"/>
  <c r="AX81" i="2" s="1"/>
  <c r="BY43" i="2"/>
  <c r="BY81" i="2" s="1"/>
  <c r="CA43" i="2"/>
  <c r="CA81" i="2" s="1"/>
  <c r="BI43" i="2"/>
  <c r="BI81" i="2" s="1"/>
  <c r="BG43" i="2"/>
  <c r="BG81" i="2" s="1"/>
  <c r="AR68" i="2"/>
  <c r="CC68" i="2" s="1"/>
  <c r="R30" i="2" s="1"/>
  <c r="L30" i="2"/>
  <c r="CC30" i="2"/>
  <c r="K33" i="6"/>
  <c r="L38" i="6"/>
  <c r="BU76" i="6"/>
  <c r="DF76" i="6" s="1"/>
  <c r="R38" i="6" s="1"/>
  <c r="DF38" i="6"/>
  <c r="AV23" i="2"/>
  <c r="AV61" i="2" s="1"/>
  <c r="BB23" i="2"/>
  <c r="BB61" i="2" s="1"/>
  <c r="BQ23" i="2"/>
  <c r="BQ61" i="2" s="1"/>
  <c r="AW23" i="2"/>
  <c r="AW61" i="2" s="1"/>
  <c r="AS23" i="2"/>
  <c r="AS61" i="2" s="1"/>
  <c r="BC23" i="2"/>
  <c r="BC61" i="2" s="1"/>
  <c r="BJ23" i="2"/>
  <c r="BJ61" i="2" s="1"/>
  <c r="AR23" i="2"/>
  <c r="BI23" i="2"/>
  <c r="BI61" i="2" s="1"/>
  <c r="BS23" i="2"/>
  <c r="BS61" i="2" s="1"/>
  <c r="BE23" i="2"/>
  <c r="BE61" i="2" s="1"/>
  <c r="BH23" i="2"/>
  <c r="BH61" i="2" s="1"/>
  <c r="CA23" i="2"/>
  <c r="CA61" i="2" s="1"/>
  <c r="BG23" i="2"/>
  <c r="BG61" i="2" s="1"/>
  <c r="BY23" i="2"/>
  <c r="BY61" i="2" s="1"/>
  <c r="AT23" i="2"/>
  <c r="AT61" i="2" s="1"/>
  <c r="BM23" i="2"/>
  <c r="BM61" i="2" s="1"/>
  <c r="BZ23" i="2"/>
  <c r="BZ61" i="2" s="1"/>
  <c r="BN23" i="2"/>
  <c r="BN61" i="2" s="1"/>
  <c r="BR23" i="2"/>
  <c r="BR61" i="2" s="1"/>
  <c r="BD23" i="2"/>
  <c r="BD61" i="2" s="1"/>
  <c r="BW23" i="2"/>
  <c r="BW61" i="2" s="1"/>
  <c r="BV23" i="2"/>
  <c r="BV61" i="2" s="1"/>
  <c r="BX23" i="2"/>
  <c r="BX61" i="2" s="1"/>
  <c r="BP23" i="2"/>
  <c r="BP61" i="2" s="1"/>
  <c r="BO23" i="2"/>
  <c r="BO61" i="2" s="1"/>
  <c r="BL23" i="2"/>
  <c r="BL61" i="2" s="1"/>
  <c r="BA23" i="2"/>
  <c r="BA61" i="2" s="1"/>
  <c r="BU23" i="2"/>
  <c r="BU61" i="2" s="1"/>
  <c r="BK23" i="2"/>
  <c r="BK61" i="2" s="1"/>
  <c r="BT23" i="2"/>
  <c r="BT61" i="2" s="1"/>
  <c r="CB23" i="2"/>
  <c r="CB61" i="2" s="1"/>
  <c r="AU23" i="2"/>
  <c r="AU61" i="2" s="1"/>
  <c r="BF23" i="2"/>
  <c r="BF61" i="2" s="1"/>
  <c r="AZ23" i="2"/>
  <c r="AZ61" i="2" s="1"/>
  <c r="AY23" i="2"/>
  <c r="AY61" i="2" s="1"/>
  <c r="AX23" i="2"/>
  <c r="AX61" i="2" s="1"/>
  <c r="L37" i="2"/>
  <c r="CC37" i="2"/>
  <c r="AR75" i="2"/>
  <c r="CC75" i="2" s="1"/>
  <c r="R37" i="2" s="1"/>
  <c r="CC41" i="2"/>
  <c r="AR79" i="2"/>
  <c r="CC79" i="2" s="1"/>
  <c r="R41" i="2" s="1"/>
  <c r="L41" i="2"/>
  <c r="K33" i="2"/>
  <c r="BU74" i="6"/>
  <c r="BV25" i="2"/>
  <c r="BV63" i="2" s="1"/>
  <c r="BG25" i="2"/>
  <c r="BG63" i="2" s="1"/>
  <c r="BY25" i="2"/>
  <c r="BY63" i="2" s="1"/>
  <c r="BF25" i="2"/>
  <c r="BF63" i="2" s="1"/>
  <c r="BN25" i="2"/>
  <c r="BN63" i="2" s="1"/>
  <c r="AY25" i="2"/>
  <c r="AY63" i="2" s="1"/>
  <c r="BT25" i="2"/>
  <c r="BT63" i="2" s="1"/>
  <c r="BQ25" i="2"/>
  <c r="BQ63" i="2" s="1"/>
  <c r="BD25" i="2"/>
  <c r="BD63" i="2" s="1"/>
  <c r="BL25" i="2"/>
  <c r="BL63" i="2" s="1"/>
  <c r="BP25" i="2"/>
  <c r="BP63" i="2" s="1"/>
  <c r="AV25" i="2"/>
  <c r="AV63" i="2" s="1"/>
  <c r="BE25" i="2"/>
  <c r="BE63" i="2" s="1"/>
  <c r="BC25" i="2"/>
  <c r="BC63" i="2" s="1"/>
  <c r="BI25" i="2"/>
  <c r="BI63" i="2" s="1"/>
  <c r="AS25" i="2"/>
  <c r="AS63" i="2" s="1"/>
  <c r="BB25" i="2"/>
  <c r="BB63" i="2" s="1"/>
  <c r="AR25" i="2"/>
  <c r="BS25" i="2"/>
  <c r="BS63" i="2" s="1"/>
  <c r="BA25" i="2"/>
  <c r="BA63" i="2" s="1"/>
  <c r="AZ25" i="2"/>
  <c r="AZ63" i="2" s="1"/>
  <c r="BX25" i="2"/>
  <c r="BX63" i="2" s="1"/>
  <c r="BZ25" i="2"/>
  <c r="BZ63" i="2" s="1"/>
  <c r="BM25" i="2"/>
  <c r="BM63" i="2" s="1"/>
  <c r="AU25" i="2"/>
  <c r="AU63" i="2" s="1"/>
  <c r="BU25" i="2"/>
  <c r="BU63" i="2" s="1"/>
  <c r="AT25" i="2"/>
  <c r="AT63" i="2" s="1"/>
  <c r="AW25" i="2"/>
  <c r="AW63" i="2" s="1"/>
  <c r="BR25" i="2"/>
  <c r="BR63" i="2" s="1"/>
  <c r="BH25" i="2"/>
  <c r="BH63" i="2" s="1"/>
  <c r="BW25" i="2"/>
  <c r="BW63" i="2" s="1"/>
  <c r="BJ25" i="2"/>
  <c r="BJ63" i="2" s="1"/>
  <c r="CA25" i="2"/>
  <c r="CA63" i="2" s="1"/>
  <c r="CB25" i="2"/>
  <c r="CB63" i="2" s="1"/>
  <c r="AX25" i="2"/>
  <c r="AX63" i="2" s="1"/>
  <c r="BO25" i="2"/>
  <c r="BO63" i="2" s="1"/>
  <c r="BK25" i="2"/>
  <c r="BK63" i="2" s="1"/>
  <c r="BX21" i="2"/>
  <c r="BX59" i="2" s="1"/>
  <c r="BN21" i="2"/>
  <c r="BN59" i="2" s="1"/>
  <c r="BM21" i="2"/>
  <c r="BM59" i="2" s="1"/>
  <c r="AT21" i="2"/>
  <c r="AT59" i="2" s="1"/>
  <c r="AZ21" i="2"/>
  <c r="AZ59" i="2" s="1"/>
  <c r="BF21" i="2"/>
  <c r="BF59" i="2" s="1"/>
  <c r="BG21" i="2"/>
  <c r="BG59" i="2" s="1"/>
  <c r="BH21" i="2"/>
  <c r="BH59" i="2" s="1"/>
  <c r="BW21" i="2"/>
  <c r="BW59" i="2" s="1"/>
  <c r="AR21" i="2"/>
  <c r="BP21" i="2"/>
  <c r="BP59" i="2" s="1"/>
  <c r="AX21" i="2"/>
  <c r="AX59" i="2" s="1"/>
  <c r="BB21" i="2"/>
  <c r="BB59" i="2" s="1"/>
  <c r="BD21" i="2"/>
  <c r="BD59" i="2" s="1"/>
  <c r="BC21" i="2"/>
  <c r="BC59" i="2" s="1"/>
  <c r="BO21" i="2"/>
  <c r="BO59" i="2" s="1"/>
  <c r="BV21" i="2"/>
  <c r="BV59" i="2" s="1"/>
  <c r="AV21" i="2"/>
  <c r="AV59" i="2" s="1"/>
  <c r="AU21" i="2"/>
  <c r="BQ21" i="2"/>
  <c r="BQ59" i="2" s="1"/>
  <c r="BS21" i="2"/>
  <c r="BS59" i="2" s="1"/>
  <c r="BJ21" i="2"/>
  <c r="BJ59" i="2" s="1"/>
  <c r="CA21" i="2"/>
  <c r="CA59" i="2" s="1"/>
  <c r="BR21" i="2"/>
  <c r="BR59" i="2" s="1"/>
  <c r="CB21" i="2"/>
  <c r="CB59" i="2" s="1"/>
  <c r="BI21" i="2"/>
  <c r="BI59" i="2" s="1"/>
  <c r="BA21" i="2"/>
  <c r="BA59" i="2" s="1"/>
  <c r="BU21" i="2"/>
  <c r="BU59" i="2" s="1"/>
  <c r="AS21" i="2"/>
  <c r="AS59" i="2" s="1"/>
  <c r="BE21" i="2"/>
  <c r="BE59" i="2" s="1"/>
  <c r="BZ21" i="2"/>
  <c r="BZ59" i="2" s="1"/>
  <c r="BT21" i="2"/>
  <c r="BT59" i="2" s="1"/>
  <c r="AW21" i="2"/>
  <c r="AW59" i="2" s="1"/>
  <c r="BK21" i="2"/>
  <c r="BK59" i="2" s="1"/>
  <c r="BL21" i="2"/>
  <c r="BL59" i="2" s="1"/>
  <c r="BY21" i="2"/>
  <c r="BY59" i="2" s="1"/>
  <c r="AY21" i="2"/>
  <c r="AY59" i="2" s="1"/>
  <c r="BU42" i="6"/>
  <c r="BW42" i="6"/>
  <c r="BW80" i="6" s="1"/>
  <c r="BY42" i="6"/>
  <c r="BY80" i="6" s="1"/>
  <c r="CA42" i="6"/>
  <c r="CA80" i="6" s="1"/>
  <c r="CC42" i="6"/>
  <c r="CC80" i="6" s="1"/>
  <c r="CE42" i="6"/>
  <c r="CE80" i="6" s="1"/>
  <c r="CG42" i="6"/>
  <c r="CG80" i="6" s="1"/>
  <c r="CI42" i="6"/>
  <c r="CI80" i="6" s="1"/>
  <c r="CK42" i="6"/>
  <c r="CK80" i="6" s="1"/>
  <c r="CM42" i="6"/>
  <c r="CM80" i="6" s="1"/>
  <c r="CO42" i="6"/>
  <c r="CO80" i="6" s="1"/>
  <c r="CQ42" i="6"/>
  <c r="CQ80" i="6" s="1"/>
  <c r="CS42" i="6"/>
  <c r="CS80" i="6" s="1"/>
  <c r="CU42" i="6"/>
  <c r="CU80" i="6" s="1"/>
  <c r="CW42" i="6"/>
  <c r="CW80" i="6" s="1"/>
  <c r="CY42" i="6"/>
  <c r="CY80" i="6" s="1"/>
  <c r="DA42" i="6"/>
  <c r="DA80" i="6" s="1"/>
  <c r="DC42" i="6"/>
  <c r="DC80" i="6" s="1"/>
  <c r="DE42" i="6"/>
  <c r="DE80" i="6" s="1"/>
  <c r="BX42" i="6"/>
  <c r="BX80" i="6" s="1"/>
  <c r="CB42" i="6"/>
  <c r="CB80" i="6" s="1"/>
  <c r="CH42" i="6"/>
  <c r="CH80" i="6" s="1"/>
  <c r="CP42" i="6"/>
  <c r="CP80" i="6" s="1"/>
  <c r="CX42" i="6"/>
  <c r="CX80" i="6" s="1"/>
  <c r="CF42" i="6"/>
  <c r="CF80" i="6" s="1"/>
  <c r="CN42" i="6"/>
  <c r="CN80" i="6" s="1"/>
  <c r="CV42" i="6"/>
  <c r="CV80" i="6" s="1"/>
  <c r="DD42" i="6"/>
  <c r="DD80" i="6" s="1"/>
  <c r="BV42" i="6"/>
  <c r="BV80" i="6" s="1"/>
  <c r="BZ42" i="6"/>
  <c r="BZ80" i="6" s="1"/>
  <c r="CD42" i="6"/>
  <c r="CD80" i="6" s="1"/>
  <c r="CL42" i="6"/>
  <c r="CL80" i="6" s="1"/>
  <c r="CT42" i="6"/>
  <c r="CT80" i="6" s="1"/>
  <c r="DB42" i="6"/>
  <c r="DB80" i="6" s="1"/>
  <c r="CZ42" i="6"/>
  <c r="CZ80" i="6" s="1"/>
  <c r="CR42" i="6"/>
  <c r="CR80" i="6" s="1"/>
  <c r="CJ42" i="6"/>
  <c r="CJ80" i="6" s="1"/>
  <c r="CB39" i="2"/>
  <c r="CB77" i="2" s="1"/>
  <c r="BG39" i="2"/>
  <c r="BG77" i="2" s="1"/>
  <c r="AT39" i="2"/>
  <c r="AT77" i="2" s="1"/>
  <c r="BR39" i="2"/>
  <c r="BR77" i="2" s="1"/>
  <c r="BM39" i="2"/>
  <c r="BM77" i="2" s="1"/>
  <c r="BQ39" i="2"/>
  <c r="BQ77" i="2" s="1"/>
  <c r="BD39" i="2"/>
  <c r="BD77" i="2" s="1"/>
  <c r="BE39" i="2"/>
  <c r="BE77" i="2" s="1"/>
  <c r="AW39" i="2"/>
  <c r="AW77" i="2" s="1"/>
  <c r="BJ39" i="2"/>
  <c r="BJ77" i="2" s="1"/>
  <c r="AV39" i="2"/>
  <c r="AV77" i="2" s="1"/>
  <c r="CA39" i="2"/>
  <c r="CA77" i="2" s="1"/>
  <c r="BK39" i="2"/>
  <c r="BK77" i="2" s="1"/>
  <c r="BA39" i="2"/>
  <c r="BA77" i="2" s="1"/>
  <c r="AX39" i="2"/>
  <c r="AX77" i="2" s="1"/>
  <c r="BT39" i="2"/>
  <c r="BT77" i="2" s="1"/>
  <c r="BN39" i="2"/>
  <c r="BN77" i="2" s="1"/>
  <c r="BX39" i="2"/>
  <c r="BX77" i="2" s="1"/>
  <c r="BF39" i="2"/>
  <c r="BF77" i="2" s="1"/>
  <c r="AR39" i="2"/>
  <c r="BO39" i="2"/>
  <c r="BO77" i="2" s="1"/>
  <c r="BI39" i="2"/>
  <c r="BI77" i="2" s="1"/>
  <c r="AU39" i="2"/>
  <c r="AU77" i="2" s="1"/>
  <c r="BZ39" i="2"/>
  <c r="BZ77" i="2" s="1"/>
  <c r="AZ39" i="2"/>
  <c r="AZ77" i="2" s="1"/>
  <c r="BY39" i="2"/>
  <c r="BY77" i="2" s="1"/>
  <c r="BH39" i="2"/>
  <c r="BH77" i="2" s="1"/>
  <c r="BV39" i="2"/>
  <c r="BV77" i="2" s="1"/>
  <c r="BL39" i="2"/>
  <c r="BL77" i="2" s="1"/>
  <c r="BP39" i="2"/>
  <c r="BP77" i="2" s="1"/>
  <c r="BS39" i="2"/>
  <c r="BS77" i="2" s="1"/>
  <c r="BC39" i="2"/>
  <c r="BC77" i="2" s="1"/>
  <c r="BW39" i="2"/>
  <c r="BW77" i="2" s="1"/>
  <c r="AS39" i="2"/>
  <c r="AS77" i="2" s="1"/>
  <c r="AY39" i="2"/>
  <c r="AY77" i="2" s="1"/>
  <c r="BU39" i="2"/>
  <c r="BU77" i="2" s="1"/>
  <c r="BB39" i="2"/>
  <c r="BB77" i="2" s="1"/>
  <c r="BF17" i="2"/>
  <c r="BF55" i="2" s="1"/>
  <c r="BS17" i="2"/>
  <c r="BS55" i="2" s="1"/>
  <c r="BG17" i="2"/>
  <c r="BG55" i="2" s="1"/>
  <c r="BQ17" i="2"/>
  <c r="BQ55" i="2" s="1"/>
  <c r="AT17" i="2"/>
  <c r="AT55" i="2" s="1"/>
  <c r="BW17" i="2"/>
  <c r="BW55" i="2" s="1"/>
  <c r="BY17" i="2"/>
  <c r="BY55" i="2" s="1"/>
  <c r="BK17" i="2"/>
  <c r="BK55" i="2" s="1"/>
  <c r="BN17" i="2"/>
  <c r="BN55" i="2" s="1"/>
  <c r="AX17" i="2"/>
  <c r="AX55" i="2" s="1"/>
  <c r="BJ17" i="2"/>
  <c r="BJ55" i="2" s="1"/>
  <c r="BP17" i="2"/>
  <c r="BP55" i="2" s="1"/>
  <c r="BA17" i="2"/>
  <c r="BA55" i="2" s="1"/>
  <c r="AR17" i="2"/>
  <c r="BV17" i="2"/>
  <c r="BV55" i="2" s="1"/>
  <c r="AV17" i="2"/>
  <c r="AV55" i="2" s="1"/>
  <c r="AS17" i="2"/>
  <c r="AS55" i="2" s="1"/>
  <c r="BI17" i="2"/>
  <c r="BI55" i="2" s="1"/>
  <c r="BL17" i="2"/>
  <c r="BL55" i="2" s="1"/>
  <c r="BZ17" i="2"/>
  <c r="BZ55" i="2" s="1"/>
  <c r="AZ17" i="2"/>
  <c r="AZ55" i="2" s="1"/>
  <c r="BE17" i="2"/>
  <c r="BE55" i="2" s="1"/>
  <c r="BO17" i="2"/>
  <c r="BO55" i="2" s="1"/>
  <c r="BC17" i="2"/>
  <c r="BC55" i="2" s="1"/>
  <c r="BR17" i="2"/>
  <c r="BR55" i="2" s="1"/>
  <c r="BD17" i="2"/>
  <c r="BD55" i="2" s="1"/>
  <c r="AU17" i="2"/>
  <c r="AU55" i="2" s="1"/>
  <c r="BT17" i="2"/>
  <c r="BT55" i="2" s="1"/>
  <c r="CB17" i="2"/>
  <c r="CB55" i="2" s="1"/>
  <c r="BX17" i="2"/>
  <c r="BX55" i="2" s="1"/>
  <c r="BM17" i="2"/>
  <c r="BM55" i="2" s="1"/>
  <c r="CA17" i="2"/>
  <c r="CA55" i="2" s="1"/>
  <c r="BU17" i="2"/>
  <c r="BU55" i="2" s="1"/>
  <c r="AY17" i="2"/>
  <c r="AY55" i="2" s="1"/>
  <c r="BB17" i="2"/>
  <c r="BB55" i="2" s="1"/>
  <c r="AW17" i="2"/>
  <c r="AW55" i="2" s="1"/>
  <c r="BH17" i="2"/>
  <c r="BH55" i="2" s="1"/>
  <c r="AV34" i="2"/>
  <c r="AV72" i="2" s="1"/>
  <c r="BI34" i="2"/>
  <c r="BI72" i="2" s="1"/>
  <c r="AR34" i="2"/>
  <c r="BS34" i="2"/>
  <c r="BS72" i="2" s="1"/>
  <c r="BZ34" i="2"/>
  <c r="BZ72" i="2" s="1"/>
  <c r="BG34" i="2"/>
  <c r="BG72" i="2" s="1"/>
  <c r="BH34" i="2"/>
  <c r="BH72" i="2" s="1"/>
  <c r="BB34" i="2"/>
  <c r="BB72" i="2" s="1"/>
  <c r="BT34" i="2"/>
  <c r="BT72" i="2" s="1"/>
  <c r="BX34" i="2"/>
  <c r="BX72" i="2" s="1"/>
  <c r="BF34" i="2"/>
  <c r="BF72" i="2" s="1"/>
  <c r="BN34" i="2"/>
  <c r="BN72" i="2" s="1"/>
  <c r="CB34" i="2"/>
  <c r="CB72" i="2" s="1"/>
  <c r="BE34" i="2"/>
  <c r="BE72" i="2" s="1"/>
  <c r="AW34" i="2"/>
  <c r="AW72" i="2" s="1"/>
  <c r="BR34" i="2"/>
  <c r="BR72" i="2" s="1"/>
  <c r="BJ34" i="2"/>
  <c r="BJ72" i="2" s="1"/>
  <c r="BW34" i="2"/>
  <c r="BW72" i="2" s="1"/>
  <c r="BV34" i="2"/>
  <c r="BV72" i="2" s="1"/>
  <c r="AX34" i="2"/>
  <c r="AX72" i="2" s="1"/>
  <c r="AT34" i="2"/>
  <c r="AT72" i="2" s="1"/>
  <c r="AS34" i="2"/>
  <c r="AS72" i="2" s="1"/>
  <c r="BC34" i="2"/>
  <c r="BC72" i="2" s="1"/>
  <c r="BM34" i="2"/>
  <c r="BM72" i="2" s="1"/>
  <c r="BK34" i="2"/>
  <c r="BK72" i="2" s="1"/>
  <c r="BU34" i="2"/>
  <c r="BU72" i="2" s="1"/>
  <c r="BY34" i="2"/>
  <c r="BY72" i="2" s="1"/>
  <c r="BA34" i="2"/>
  <c r="BA72" i="2" s="1"/>
  <c r="BD34" i="2"/>
  <c r="BD72" i="2" s="1"/>
  <c r="AY34" i="2"/>
  <c r="AY72" i="2" s="1"/>
  <c r="BQ34" i="2"/>
  <c r="BQ72" i="2" s="1"/>
  <c r="BP34" i="2"/>
  <c r="BP72" i="2" s="1"/>
  <c r="CA34" i="2"/>
  <c r="CA72" i="2" s="1"/>
  <c r="AZ34" i="2"/>
  <c r="AZ72" i="2" s="1"/>
  <c r="AU34" i="2"/>
  <c r="AU72" i="2" s="1"/>
  <c r="BO34" i="2"/>
  <c r="BO72" i="2" s="1"/>
  <c r="BL34" i="2"/>
  <c r="BL72" i="2" s="1"/>
  <c r="BV15" i="6"/>
  <c r="BV53" i="6" s="1"/>
  <c r="BX15" i="6"/>
  <c r="BX53" i="6" s="1"/>
  <c r="BZ15" i="6"/>
  <c r="BZ53" i="6" s="1"/>
  <c r="CB15" i="6"/>
  <c r="CB53" i="6" s="1"/>
  <c r="CD15" i="6"/>
  <c r="CD53" i="6" s="1"/>
  <c r="CF15" i="6"/>
  <c r="CF53" i="6" s="1"/>
  <c r="CH15" i="6"/>
  <c r="CH53" i="6" s="1"/>
  <c r="CJ15" i="6"/>
  <c r="CJ53" i="6" s="1"/>
  <c r="CL15" i="6"/>
  <c r="CL53" i="6" s="1"/>
  <c r="CN15" i="6"/>
  <c r="CN53" i="6" s="1"/>
  <c r="CP15" i="6"/>
  <c r="CP53" i="6" s="1"/>
  <c r="CR15" i="6"/>
  <c r="CR53" i="6" s="1"/>
  <c r="CT15" i="6"/>
  <c r="CT53" i="6" s="1"/>
  <c r="CV15" i="6"/>
  <c r="CV53" i="6" s="1"/>
  <c r="CX15" i="6"/>
  <c r="CX53" i="6" s="1"/>
  <c r="CZ15" i="6"/>
  <c r="CZ53" i="6" s="1"/>
  <c r="DB15" i="6"/>
  <c r="DB53" i="6" s="1"/>
  <c r="DD15" i="6"/>
  <c r="DD53" i="6" s="1"/>
  <c r="BU15" i="6"/>
  <c r="BY15" i="6"/>
  <c r="BY53" i="6" s="1"/>
  <c r="CC15" i="6"/>
  <c r="CC53" i="6" s="1"/>
  <c r="CG15" i="6"/>
  <c r="CG53" i="6" s="1"/>
  <c r="CK15" i="6"/>
  <c r="CK53" i="6" s="1"/>
  <c r="CO15" i="6"/>
  <c r="CO53" i="6" s="1"/>
  <c r="CS15" i="6"/>
  <c r="CS53" i="6" s="1"/>
  <c r="CW15" i="6"/>
  <c r="CW53" i="6" s="1"/>
  <c r="DE15" i="6"/>
  <c r="DE53" i="6" s="1"/>
  <c r="CE15" i="6"/>
  <c r="CE53" i="6" s="1"/>
  <c r="CU15" i="6"/>
  <c r="CU53" i="6" s="1"/>
  <c r="CY15" i="6"/>
  <c r="CY53" i="6" s="1"/>
  <c r="DC15" i="6"/>
  <c r="DC53" i="6" s="1"/>
  <c r="CA15" i="6"/>
  <c r="CA53" i="6" s="1"/>
  <c r="CQ15" i="6"/>
  <c r="CQ53" i="6" s="1"/>
  <c r="BW15" i="6"/>
  <c r="BW53" i="6" s="1"/>
  <c r="CI15" i="6"/>
  <c r="CI53" i="6" s="1"/>
  <c r="CM15" i="6"/>
  <c r="CM53" i="6" s="1"/>
  <c r="DA15" i="6"/>
  <c r="DA53" i="6" s="1"/>
  <c r="BU25" i="6"/>
  <c r="BW25" i="6"/>
  <c r="BW63" i="6" s="1"/>
  <c r="BY25" i="6"/>
  <c r="BY63" i="6" s="1"/>
  <c r="CA25" i="6"/>
  <c r="CA63" i="6" s="1"/>
  <c r="CC25" i="6"/>
  <c r="CC63" i="6" s="1"/>
  <c r="CE25" i="6"/>
  <c r="CE63" i="6" s="1"/>
  <c r="CG25" i="6"/>
  <c r="CG63" i="6" s="1"/>
  <c r="CI25" i="6"/>
  <c r="CI63" i="6" s="1"/>
  <c r="CK25" i="6"/>
  <c r="CK63" i="6" s="1"/>
  <c r="CM25" i="6"/>
  <c r="CM63" i="6" s="1"/>
  <c r="CO25" i="6"/>
  <c r="CO63" i="6" s="1"/>
  <c r="CQ25" i="6"/>
  <c r="CQ63" i="6" s="1"/>
  <c r="CS25" i="6"/>
  <c r="CS63" i="6" s="1"/>
  <c r="CU25" i="6"/>
  <c r="CU63" i="6" s="1"/>
  <c r="CW25" i="6"/>
  <c r="CW63" i="6" s="1"/>
  <c r="CY25" i="6"/>
  <c r="CY63" i="6" s="1"/>
  <c r="DA25" i="6"/>
  <c r="DA63" i="6" s="1"/>
  <c r="DC25" i="6"/>
  <c r="DC63" i="6" s="1"/>
  <c r="DE25" i="6"/>
  <c r="DE63" i="6" s="1"/>
  <c r="CB25" i="6"/>
  <c r="CB63" i="6" s="1"/>
  <c r="CJ25" i="6"/>
  <c r="CJ63" i="6" s="1"/>
  <c r="CR25" i="6"/>
  <c r="CR63" i="6" s="1"/>
  <c r="CZ25" i="6"/>
  <c r="CZ63" i="6" s="1"/>
  <c r="BZ25" i="6"/>
  <c r="BZ63" i="6" s="1"/>
  <c r="CH25" i="6"/>
  <c r="CH63" i="6" s="1"/>
  <c r="CP25" i="6"/>
  <c r="CP63" i="6" s="1"/>
  <c r="CX25" i="6"/>
  <c r="CX63" i="6" s="1"/>
  <c r="CF25" i="6"/>
  <c r="CF63" i="6" s="1"/>
  <c r="CV25" i="6"/>
  <c r="CV63" i="6" s="1"/>
  <c r="BV25" i="6"/>
  <c r="BV63" i="6" s="1"/>
  <c r="CL25" i="6"/>
  <c r="CL63" i="6" s="1"/>
  <c r="DB25" i="6"/>
  <c r="DB63" i="6" s="1"/>
  <c r="BX25" i="6"/>
  <c r="BX63" i="6" s="1"/>
  <c r="CN25" i="6"/>
  <c r="CN63" i="6" s="1"/>
  <c r="DD25" i="6"/>
  <c r="DD63" i="6" s="1"/>
  <c r="CD25" i="6"/>
  <c r="CD63" i="6" s="1"/>
  <c r="CT25" i="6"/>
  <c r="CT63" i="6" s="1"/>
  <c r="BL15" i="2"/>
  <c r="BL53" i="2" s="1"/>
  <c r="AX15" i="2"/>
  <c r="AX53" i="2" s="1"/>
  <c r="BH15" i="2"/>
  <c r="BH53" i="2" s="1"/>
  <c r="BA15" i="2"/>
  <c r="BA53" i="2" s="1"/>
  <c r="AS15" i="2"/>
  <c r="AS53" i="2" s="1"/>
  <c r="BX15" i="2"/>
  <c r="BX53" i="2" s="1"/>
  <c r="BQ15" i="2"/>
  <c r="BQ53" i="2" s="1"/>
  <c r="BR15" i="2"/>
  <c r="BR53" i="2" s="1"/>
  <c r="BM15" i="2"/>
  <c r="BM53" i="2" s="1"/>
  <c r="BY15" i="2"/>
  <c r="BY53" i="2" s="1"/>
  <c r="BC15" i="2"/>
  <c r="BC53" i="2" s="1"/>
  <c r="AZ15" i="2"/>
  <c r="AZ53" i="2" s="1"/>
  <c r="BV15" i="2"/>
  <c r="BV53" i="2" s="1"/>
  <c r="BI15" i="2"/>
  <c r="BI53" i="2" s="1"/>
  <c r="CA15" i="2"/>
  <c r="CA53" i="2" s="1"/>
  <c r="BE15" i="2"/>
  <c r="BE53" i="2" s="1"/>
  <c r="AR15" i="2"/>
  <c r="BT15" i="2"/>
  <c r="BT53" i="2" s="1"/>
  <c r="BN15" i="2"/>
  <c r="BN53" i="2" s="1"/>
  <c r="BB15" i="2"/>
  <c r="BB53" i="2" s="1"/>
  <c r="BS15" i="2"/>
  <c r="BS53" i="2" s="1"/>
  <c r="AU15" i="2"/>
  <c r="AU53" i="2" s="1"/>
  <c r="BO15" i="2"/>
  <c r="BO53" i="2" s="1"/>
  <c r="BP15" i="2"/>
  <c r="BP53" i="2" s="1"/>
  <c r="BJ15" i="2"/>
  <c r="BJ53" i="2" s="1"/>
  <c r="BK15" i="2"/>
  <c r="BK53" i="2" s="1"/>
  <c r="AW15" i="2"/>
  <c r="AW53" i="2" s="1"/>
  <c r="AY15" i="2"/>
  <c r="AY53" i="2" s="1"/>
  <c r="BW15" i="2"/>
  <c r="BW53" i="2" s="1"/>
  <c r="BF15" i="2"/>
  <c r="BF53" i="2" s="1"/>
  <c r="BD15" i="2"/>
  <c r="BD53" i="2" s="1"/>
  <c r="AV15" i="2"/>
  <c r="AV53" i="2" s="1"/>
  <c r="BU15" i="2"/>
  <c r="BU53" i="2" s="1"/>
  <c r="AT15" i="2"/>
  <c r="AT53" i="2" s="1"/>
  <c r="CB15" i="2"/>
  <c r="CB53" i="2" s="1"/>
  <c r="BZ15" i="2"/>
  <c r="BZ53" i="2" s="1"/>
  <c r="BG15" i="2"/>
  <c r="BG53" i="2" s="1"/>
  <c r="BV31" i="6"/>
  <c r="BV69" i="6" s="1"/>
  <c r="BX31" i="6"/>
  <c r="BX69" i="6" s="1"/>
  <c r="BZ31" i="6"/>
  <c r="BZ69" i="6" s="1"/>
  <c r="CB31" i="6"/>
  <c r="CB69" i="6" s="1"/>
  <c r="CD31" i="6"/>
  <c r="CD69" i="6" s="1"/>
  <c r="CF31" i="6"/>
  <c r="CF69" i="6" s="1"/>
  <c r="CH31" i="6"/>
  <c r="CH69" i="6" s="1"/>
  <c r="CJ31" i="6"/>
  <c r="CJ69" i="6" s="1"/>
  <c r="CL31" i="6"/>
  <c r="CL69" i="6" s="1"/>
  <c r="CN31" i="6"/>
  <c r="CN69" i="6" s="1"/>
  <c r="CP31" i="6"/>
  <c r="CP69" i="6" s="1"/>
  <c r="CR31" i="6"/>
  <c r="CR69" i="6" s="1"/>
  <c r="CT31" i="6"/>
  <c r="CT69" i="6" s="1"/>
  <c r="CV31" i="6"/>
  <c r="CV69" i="6" s="1"/>
  <c r="CX31" i="6"/>
  <c r="CX69" i="6" s="1"/>
  <c r="CZ31" i="6"/>
  <c r="CZ69" i="6" s="1"/>
  <c r="DB31" i="6"/>
  <c r="DB69" i="6" s="1"/>
  <c r="DD31" i="6"/>
  <c r="DD69" i="6" s="1"/>
  <c r="BU31" i="6"/>
  <c r="BY31" i="6"/>
  <c r="BY69" i="6" s="1"/>
  <c r="CC31" i="6"/>
  <c r="CC69" i="6" s="1"/>
  <c r="CG31" i="6"/>
  <c r="CG69" i="6" s="1"/>
  <c r="CK31" i="6"/>
  <c r="CK69" i="6" s="1"/>
  <c r="CO31" i="6"/>
  <c r="CO69" i="6" s="1"/>
  <c r="CS31" i="6"/>
  <c r="CS69" i="6" s="1"/>
  <c r="CW31" i="6"/>
  <c r="CW69" i="6" s="1"/>
  <c r="DA31" i="6"/>
  <c r="DA69" i="6" s="1"/>
  <c r="DE31" i="6"/>
  <c r="DE69" i="6" s="1"/>
  <c r="BW31" i="6"/>
  <c r="BW69" i="6" s="1"/>
  <c r="CA31" i="6"/>
  <c r="CA69" i="6" s="1"/>
  <c r="CE31" i="6"/>
  <c r="CE69" i="6" s="1"/>
  <c r="CI31" i="6"/>
  <c r="CI69" i="6" s="1"/>
  <c r="CM31" i="6"/>
  <c r="CM69" i="6" s="1"/>
  <c r="CQ31" i="6"/>
  <c r="CQ69" i="6" s="1"/>
  <c r="CU31" i="6"/>
  <c r="CU69" i="6" s="1"/>
  <c r="CY31" i="6"/>
  <c r="CY69" i="6" s="1"/>
  <c r="DC31" i="6"/>
  <c r="DC69" i="6" s="1"/>
  <c r="L14" i="2" l="1"/>
  <c r="L36" i="2"/>
  <c r="CC36" i="2"/>
  <c r="CC74" i="2"/>
  <c r="R36" i="2" s="1"/>
  <c r="DF74" i="6"/>
  <c r="R36" i="6" s="1"/>
  <c r="DF36" i="6"/>
  <c r="L36" i="6"/>
  <c r="AF31" i="12"/>
  <c r="L32" i="6"/>
  <c r="DF32" i="6"/>
  <c r="BU70" i="6"/>
  <c r="DF70" i="6" s="1"/>
  <c r="R32" i="6" s="1"/>
  <c r="BT16" i="2"/>
  <c r="BT54" i="2" s="1"/>
  <c r="BD16" i="2"/>
  <c r="BD54" i="2" s="1"/>
  <c r="BH16" i="2"/>
  <c r="BH54" i="2" s="1"/>
  <c r="BB16" i="2"/>
  <c r="BB54" i="2" s="1"/>
  <c r="BA16" i="2"/>
  <c r="BA54" i="2" s="1"/>
  <c r="BU16" i="2"/>
  <c r="BU54" i="2" s="1"/>
  <c r="BF16" i="2"/>
  <c r="BF54" i="2" s="1"/>
  <c r="AY16" i="2"/>
  <c r="AY54" i="2" s="1"/>
  <c r="BV16" i="2"/>
  <c r="BV54" i="2" s="1"/>
  <c r="BK16" i="2"/>
  <c r="BK54" i="2" s="1"/>
  <c r="AT16" i="2"/>
  <c r="AT54" i="2" s="1"/>
  <c r="BW16" i="2"/>
  <c r="BW54" i="2" s="1"/>
  <c r="BE16" i="2"/>
  <c r="BE54" i="2" s="1"/>
  <c r="AZ16" i="2"/>
  <c r="AZ54" i="2" s="1"/>
  <c r="BN16" i="2"/>
  <c r="BN54" i="2" s="1"/>
  <c r="BG16" i="2"/>
  <c r="BG54" i="2" s="1"/>
  <c r="CA16" i="2"/>
  <c r="CA54" i="2" s="1"/>
  <c r="BL16" i="2"/>
  <c r="BL54" i="2" s="1"/>
  <c r="BO16" i="2"/>
  <c r="BO54" i="2" s="1"/>
  <c r="BQ16" i="2"/>
  <c r="BQ54" i="2" s="1"/>
  <c r="BZ16" i="2"/>
  <c r="BZ54" i="2" s="1"/>
  <c r="BP16" i="2"/>
  <c r="BP54" i="2" s="1"/>
  <c r="CB16" i="2"/>
  <c r="CB54" i="2" s="1"/>
  <c r="BX16" i="2"/>
  <c r="BX54" i="2" s="1"/>
  <c r="AU54" i="2"/>
  <c r="BR16" i="2"/>
  <c r="BR54" i="2" s="1"/>
  <c r="BI16" i="2"/>
  <c r="BI54" i="2" s="1"/>
  <c r="BJ16" i="2"/>
  <c r="BJ54" i="2" s="1"/>
  <c r="AS16" i="2"/>
  <c r="AS54" i="2" s="1"/>
  <c r="AR16" i="2"/>
  <c r="AX54" i="2"/>
  <c r="AV16" i="2"/>
  <c r="AV54" i="2" s="1"/>
  <c r="BC16" i="2"/>
  <c r="BC54" i="2" s="1"/>
  <c r="AW16" i="2"/>
  <c r="AW54" i="2" s="1"/>
  <c r="BM16" i="2"/>
  <c r="BM54" i="2" s="1"/>
  <c r="BS16" i="2"/>
  <c r="BS54" i="2" s="1"/>
  <c r="BY16" i="2"/>
  <c r="BY54" i="2" s="1"/>
  <c r="CC32" i="2"/>
  <c r="L32" i="2"/>
  <c r="AR70" i="2"/>
  <c r="CC70" i="2" s="1"/>
  <c r="R32" i="2" s="1"/>
  <c r="K28" i="12"/>
  <c r="L28" i="12" s="1"/>
  <c r="K28" i="11"/>
  <c r="L28" i="11" s="1"/>
  <c r="AH38" i="6"/>
  <c r="CA16" i="6"/>
  <c r="CA54" i="6" s="1"/>
  <c r="CZ16" i="6"/>
  <c r="CZ54" i="6" s="1"/>
  <c r="CY16" i="6"/>
  <c r="CY54" i="6" s="1"/>
  <c r="CC16" i="6"/>
  <c r="CC54" i="6" s="1"/>
  <c r="CO16" i="6"/>
  <c r="CO54" i="6" s="1"/>
  <c r="CD16" i="6"/>
  <c r="CD54" i="6" s="1"/>
  <c r="DB16" i="6"/>
  <c r="DB54" i="6" s="1"/>
  <c r="BU16" i="6"/>
  <c r="CR16" i="6"/>
  <c r="CR54" i="6" s="1"/>
  <c r="BZ16" i="6"/>
  <c r="BZ54" i="6" s="1"/>
  <c r="CI16" i="6"/>
  <c r="CI54" i="6" s="1"/>
  <c r="DD16" i="6"/>
  <c r="DD54" i="6" s="1"/>
  <c r="BY16" i="6"/>
  <c r="BY54" i="6" s="1"/>
  <c r="DC16" i="6"/>
  <c r="DC54" i="6" s="1"/>
  <c r="CG16" i="6"/>
  <c r="CG54" i="6" s="1"/>
  <c r="CL16" i="6"/>
  <c r="CL54" i="6" s="1"/>
  <c r="BX16" i="6"/>
  <c r="BX54" i="6" s="1"/>
  <c r="CF16" i="6"/>
  <c r="CF54" i="6" s="1"/>
  <c r="CK16" i="6"/>
  <c r="CK54" i="6" s="1"/>
  <c r="CH16" i="6"/>
  <c r="CH54" i="6" s="1"/>
  <c r="CQ16" i="6"/>
  <c r="CQ54" i="6" s="1"/>
  <c r="CB16" i="6"/>
  <c r="CB54" i="6" s="1"/>
  <c r="CJ16" i="6"/>
  <c r="CJ54" i="6" s="1"/>
  <c r="CU16" i="6"/>
  <c r="CU54" i="6" s="1"/>
  <c r="CT16" i="6"/>
  <c r="CT54" i="6" s="1"/>
  <c r="CE16" i="6"/>
  <c r="CE54" i="6" s="1"/>
  <c r="CM16" i="6"/>
  <c r="CM54" i="6" s="1"/>
  <c r="DA16" i="6"/>
  <c r="DA54" i="6" s="1"/>
  <c r="BV16" i="6"/>
  <c r="BV54" i="6" s="1"/>
  <c r="CX16" i="6"/>
  <c r="CX54" i="6" s="1"/>
  <c r="CS16" i="6"/>
  <c r="CS54" i="6" s="1"/>
  <c r="BW16" i="6"/>
  <c r="BW54" i="6" s="1"/>
  <c r="CV16" i="6"/>
  <c r="CV54" i="6" s="1"/>
  <c r="CP16" i="6"/>
  <c r="CP54" i="6" s="1"/>
  <c r="CW16" i="6"/>
  <c r="CW54" i="6" s="1"/>
  <c r="CN16" i="6"/>
  <c r="CN54" i="6" s="1"/>
  <c r="DE16" i="6"/>
  <c r="DE54" i="6" s="1"/>
  <c r="AD10" i="12"/>
  <c r="AB33" i="12"/>
  <c r="L18" i="2"/>
  <c r="CC18" i="2"/>
  <c r="AR56" i="2"/>
  <c r="CC56" i="2" s="1"/>
  <c r="R18" i="2" s="1"/>
  <c r="BU29" i="6"/>
  <c r="BW29" i="6"/>
  <c r="BW67" i="6" s="1"/>
  <c r="BY29" i="6"/>
  <c r="BY67" i="6" s="1"/>
  <c r="CA29" i="6"/>
  <c r="CA67" i="6" s="1"/>
  <c r="CC29" i="6"/>
  <c r="CC67" i="6" s="1"/>
  <c r="CE29" i="6"/>
  <c r="CE67" i="6" s="1"/>
  <c r="CG29" i="6"/>
  <c r="CG67" i="6" s="1"/>
  <c r="CI29" i="6"/>
  <c r="CI67" i="6" s="1"/>
  <c r="CK29" i="6"/>
  <c r="CK67" i="6" s="1"/>
  <c r="CM29" i="6"/>
  <c r="CM67" i="6" s="1"/>
  <c r="CO29" i="6"/>
  <c r="CO67" i="6" s="1"/>
  <c r="CQ29" i="6"/>
  <c r="CQ67" i="6" s="1"/>
  <c r="CS29" i="6"/>
  <c r="CS67" i="6" s="1"/>
  <c r="CU29" i="6"/>
  <c r="CU67" i="6" s="1"/>
  <c r="CW29" i="6"/>
  <c r="CW67" i="6" s="1"/>
  <c r="CY29" i="6"/>
  <c r="CY67" i="6" s="1"/>
  <c r="DA29" i="6"/>
  <c r="DA67" i="6" s="1"/>
  <c r="DC29" i="6"/>
  <c r="DC67" i="6" s="1"/>
  <c r="DE29" i="6"/>
  <c r="DE67" i="6" s="1"/>
  <c r="BV29" i="6"/>
  <c r="BV67" i="6" s="1"/>
  <c r="BZ29" i="6"/>
  <c r="BZ67" i="6" s="1"/>
  <c r="CD29" i="6"/>
  <c r="CD67" i="6" s="1"/>
  <c r="CH29" i="6"/>
  <c r="CH67" i="6" s="1"/>
  <c r="CL29" i="6"/>
  <c r="CL67" i="6" s="1"/>
  <c r="CP29" i="6"/>
  <c r="CP67" i="6" s="1"/>
  <c r="CT29" i="6"/>
  <c r="CT67" i="6" s="1"/>
  <c r="CX29" i="6"/>
  <c r="CX67" i="6" s="1"/>
  <c r="DB29" i="6"/>
  <c r="DB67" i="6" s="1"/>
  <c r="BX29" i="6"/>
  <c r="BX67" i="6" s="1"/>
  <c r="CB29" i="6"/>
  <c r="CB67" i="6" s="1"/>
  <c r="CF29" i="6"/>
  <c r="CF67" i="6" s="1"/>
  <c r="CJ29" i="6"/>
  <c r="CJ67" i="6" s="1"/>
  <c r="CN29" i="6"/>
  <c r="CN67" i="6" s="1"/>
  <c r="CR29" i="6"/>
  <c r="CR67" i="6" s="1"/>
  <c r="CV29" i="6"/>
  <c r="CV67" i="6" s="1"/>
  <c r="CZ29" i="6"/>
  <c r="CZ67" i="6" s="1"/>
  <c r="DD29" i="6"/>
  <c r="DD67" i="6" s="1"/>
  <c r="BU69" i="6"/>
  <c r="DF69" i="6" s="1"/>
  <c r="R31" i="6" s="1"/>
  <c r="L31" i="6"/>
  <c r="DF31" i="6"/>
  <c r="BW33" i="2"/>
  <c r="BW71" i="2" s="1"/>
  <c r="AT33" i="2"/>
  <c r="AT71" i="2" s="1"/>
  <c r="BC33" i="2"/>
  <c r="BC71" i="2" s="1"/>
  <c r="AR33" i="2"/>
  <c r="BM33" i="2"/>
  <c r="BM71" i="2" s="1"/>
  <c r="BD33" i="2"/>
  <c r="BD71" i="2" s="1"/>
  <c r="BL33" i="2"/>
  <c r="BL71" i="2" s="1"/>
  <c r="AS33" i="2"/>
  <c r="AS71" i="2" s="1"/>
  <c r="BZ33" i="2"/>
  <c r="BZ71" i="2" s="1"/>
  <c r="CA33" i="2"/>
  <c r="CA71" i="2" s="1"/>
  <c r="BE33" i="2"/>
  <c r="BE71" i="2" s="1"/>
  <c r="BN33" i="2"/>
  <c r="BN71" i="2" s="1"/>
  <c r="CB33" i="2"/>
  <c r="CB71" i="2" s="1"/>
  <c r="BU33" i="2"/>
  <c r="BU71" i="2" s="1"/>
  <c r="BX33" i="2"/>
  <c r="BX71" i="2" s="1"/>
  <c r="BI33" i="2"/>
  <c r="BI71" i="2" s="1"/>
  <c r="BR33" i="2"/>
  <c r="BR71" i="2" s="1"/>
  <c r="BK33" i="2"/>
  <c r="BK71" i="2" s="1"/>
  <c r="BA33" i="2"/>
  <c r="BA71" i="2" s="1"/>
  <c r="BH33" i="2"/>
  <c r="BH71" i="2" s="1"/>
  <c r="BT33" i="2"/>
  <c r="BT71" i="2" s="1"/>
  <c r="AV33" i="2"/>
  <c r="AV71" i="2" s="1"/>
  <c r="BJ33" i="2"/>
  <c r="BJ71" i="2" s="1"/>
  <c r="BO33" i="2"/>
  <c r="BO71" i="2" s="1"/>
  <c r="BB33" i="2"/>
  <c r="BB71" i="2" s="1"/>
  <c r="BS33" i="2"/>
  <c r="BS71" i="2" s="1"/>
  <c r="BG33" i="2"/>
  <c r="BG71" i="2" s="1"/>
  <c r="BY33" i="2"/>
  <c r="BY71" i="2" s="1"/>
  <c r="AZ33" i="2"/>
  <c r="AZ71" i="2" s="1"/>
  <c r="AW33" i="2"/>
  <c r="AW71" i="2" s="1"/>
  <c r="AU33" i="2"/>
  <c r="AU71" i="2" s="1"/>
  <c r="BQ33" i="2"/>
  <c r="BQ71" i="2" s="1"/>
  <c r="AY33" i="2"/>
  <c r="AY71" i="2" s="1"/>
  <c r="AX33" i="2"/>
  <c r="AX71" i="2" s="1"/>
  <c r="BF33" i="2"/>
  <c r="BF71" i="2" s="1"/>
  <c r="BP33" i="2"/>
  <c r="BP71" i="2" s="1"/>
  <c r="BV33" i="2"/>
  <c r="BV71" i="2" s="1"/>
  <c r="N38" i="2"/>
  <c r="W38" i="2" s="1"/>
  <c r="P38" i="2"/>
  <c r="AR52" i="2"/>
  <c r="CC52" i="2" s="1"/>
  <c r="R14" i="2" s="1"/>
  <c r="CC14" i="2"/>
  <c r="K35" i="6"/>
  <c r="CC22" i="2"/>
  <c r="L22" i="2"/>
  <c r="AR60" i="2"/>
  <c r="CC60" i="2" s="1"/>
  <c r="R22" i="2" s="1"/>
  <c r="L28" i="6"/>
  <c r="BU66" i="6"/>
  <c r="DF66" i="6" s="1"/>
  <c r="R28" i="6" s="1"/>
  <c r="DF28" i="6"/>
  <c r="BU27" i="6"/>
  <c r="BW27" i="6"/>
  <c r="BW65" i="6" s="1"/>
  <c r="BY27" i="6"/>
  <c r="BY65" i="6" s="1"/>
  <c r="CA27" i="6"/>
  <c r="CA65" i="6" s="1"/>
  <c r="CC27" i="6"/>
  <c r="CC65" i="6" s="1"/>
  <c r="CE27" i="6"/>
  <c r="CE65" i="6" s="1"/>
  <c r="CG27" i="6"/>
  <c r="CG65" i="6" s="1"/>
  <c r="CI27" i="6"/>
  <c r="CI65" i="6" s="1"/>
  <c r="CK27" i="6"/>
  <c r="CK65" i="6" s="1"/>
  <c r="CM27" i="6"/>
  <c r="CM65" i="6" s="1"/>
  <c r="CO27" i="6"/>
  <c r="CO65" i="6" s="1"/>
  <c r="CQ27" i="6"/>
  <c r="CQ65" i="6" s="1"/>
  <c r="CS27" i="6"/>
  <c r="CS65" i="6" s="1"/>
  <c r="CU27" i="6"/>
  <c r="CU65" i="6" s="1"/>
  <c r="CW27" i="6"/>
  <c r="CW65" i="6" s="1"/>
  <c r="CY27" i="6"/>
  <c r="CY65" i="6" s="1"/>
  <c r="DA27" i="6"/>
  <c r="DA65" i="6" s="1"/>
  <c r="DC27" i="6"/>
  <c r="DC65" i="6" s="1"/>
  <c r="DE27" i="6"/>
  <c r="DE65" i="6" s="1"/>
  <c r="BV27" i="6"/>
  <c r="BV65" i="6" s="1"/>
  <c r="BZ27" i="6"/>
  <c r="BZ65" i="6" s="1"/>
  <c r="CD27" i="6"/>
  <c r="CD65" i="6" s="1"/>
  <c r="CH27" i="6"/>
  <c r="CH65" i="6" s="1"/>
  <c r="CL27" i="6"/>
  <c r="CL65" i="6" s="1"/>
  <c r="CP27" i="6"/>
  <c r="CP65" i="6" s="1"/>
  <c r="CT27" i="6"/>
  <c r="CT65" i="6" s="1"/>
  <c r="CX27" i="6"/>
  <c r="CX65" i="6" s="1"/>
  <c r="DB27" i="6"/>
  <c r="DB65" i="6" s="1"/>
  <c r="BX27" i="6"/>
  <c r="BX65" i="6" s="1"/>
  <c r="CB27" i="6"/>
  <c r="CB65" i="6" s="1"/>
  <c r="CF27" i="6"/>
  <c r="CF65" i="6" s="1"/>
  <c r="CJ27" i="6"/>
  <c r="CJ65" i="6" s="1"/>
  <c r="CN27" i="6"/>
  <c r="CN65" i="6" s="1"/>
  <c r="CR27" i="6"/>
  <c r="CR65" i="6" s="1"/>
  <c r="CV27" i="6"/>
  <c r="CV65" i="6" s="1"/>
  <c r="CZ27" i="6"/>
  <c r="CZ65" i="6" s="1"/>
  <c r="DD27" i="6"/>
  <c r="DD65" i="6" s="1"/>
  <c r="AR53" i="2"/>
  <c r="CC53" i="2" s="1"/>
  <c r="R15" i="2" s="1"/>
  <c r="L15" i="2"/>
  <c r="P15" i="2" s="1"/>
  <c r="CC15" i="2"/>
  <c r="N30" i="2"/>
  <c r="P30" i="2"/>
  <c r="L28" i="2"/>
  <c r="CC28" i="2"/>
  <c r="AR66" i="2"/>
  <c r="CC66" i="2" s="1"/>
  <c r="R28" i="2" s="1"/>
  <c r="N20" i="2"/>
  <c r="W20" i="2" s="1"/>
  <c r="P20" i="2"/>
  <c r="CC21" i="2"/>
  <c r="L21" i="2"/>
  <c r="AR59" i="2"/>
  <c r="CC59" i="2" s="1"/>
  <c r="R21" i="2" s="1"/>
  <c r="N38" i="6"/>
  <c r="W38" i="6" s="1"/>
  <c r="C29" i="12" s="1"/>
  <c r="P38" i="6"/>
  <c r="L25" i="6"/>
  <c r="BU63" i="6"/>
  <c r="DF63" i="6" s="1"/>
  <c r="R25" i="6" s="1"/>
  <c r="DF25" i="6"/>
  <c r="BU53" i="6"/>
  <c r="DF53" i="6" s="1"/>
  <c r="R15" i="6" s="1"/>
  <c r="L15" i="6"/>
  <c r="DF15" i="6"/>
  <c r="CC25" i="2"/>
  <c r="AR63" i="2"/>
  <c r="CC63" i="2" s="1"/>
  <c r="R25" i="2" s="1"/>
  <c r="L25" i="2"/>
  <c r="N36" i="6"/>
  <c r="W36" i="6" s="1"/>
  <c r="C27" i="12" s="1"/>
  <c r="P36" i="6"/>
  <c r="N41" i="2"/>
  <c r="P41" i="2"/>
  <c r="BW33" i="6"/>
  <c r="BW71" i="6" s="1"/>
  <c r="BZ33" i="6"/>
  <c r="BZ71" i="6" s="1"/>
  <c r="CE33" i="6"/>
  <c r="CE71" i="6" s="1"/>
  <c r="CH33" i="6"/>
  <c r="CH71" i="6" s="1"/>
  <c r="CM33" i="6"/>
  <c r="CM71" i="6" s="1"/>
  <c r="CP33" i="6"/>
  <c r="CP71" i="6" s="1"/>
  <c r="CU33" i="6"/>
  <c r="CU71" i="6" s="1"/>
  <c r="CX33" i="6"/>
  <c r="CX71" i="6" s="1"/>
  <c r="DC33" i="6"/>
  <c r="DC71" i="6" s="1"/>
  <c r="BU33" i="6"/>
  <c r="BX33" i="6"/>
  <c r="BX71" i="6" s="1"/>
  <c r="CC33" i="6"/>
  <c r="CC71" i="6" s="1"/>
  <c r="CF33" i="6"/>
  <c r="CF71" i="6" s="1"/>
  <c r="CK33" i="6"/>
  <c r="CK71" i="6" s="1"/>
  <c r="CN33" i="6"/>
  <c r="CN71" i="6" s="1"/>
  <c r="CS33" i="6"/>
  <c r="CS71" i="6" s="1"/>
  <c r="CV33" i="6"/>
  <c r="CV71" i="6" s="1"/>
  <c r="DA33" i="6"/>
  <c r="DA71" i="6" s="1"/>
  <c r="DD33" i="6"/>
  <c r="DD71" i="6" s="1"/>
  <c r="BV33" i="6"/>
  <c r="BV71" i="6" s="1"/>
  <c r="CA33" i="6"/>
  <c r="CA71" i="6" s="1"/>
  <c r="CD33" i="6"/>
  <c r="CD71" i="6" s="1"/>
  <c r="CI33" i="6"/>
  <c r="CI71" i="6" s="1"/>
  <c r="CL33" i="6"/>
  <c r="CL71" i="6" s="1"/>
  <c r="CQ33" i="6"/>
  <c r="CQ71" i="6" s="1"/>
  <c r="CT33" i="6"/>
  <c r="CT71" i="6" s="1"/>
  <c r="CY33" i="6"/>
  <c r="CY71" i="6" s="1"/>
  <c r="DB33" i="6"/>
  <c r="DB71" i="6" s="1"/>
  <c r="BY33" i="6"/>
  <c r="BY71" i="6" s="1"/>
  <c r="CJ33" i="6"/>
  <c r="CJ71" i="6" s="1"/>
  <c r="DE33" i="6"/>
  <c r="DE71" i="6" s="1"/>
  <c r="CB33" i="6"/>
  <c r="CB71" i="6" s="1"/>
  <c r="CW33" i="6"/>
  <c r="CW71" i="6" s="1"/>
  <c r="CO33" i="6"/>
  <c r="CO71" i="6" s="1"/>
  <c r="CZ33" i="6"/>
  <c r="CZ71" i="6" s="1"/>
  <c r="CG33" i="6"/>
  <c r="CG71" i="6" s="1"/>
  <c r="CR33" i="6"/>
  <c r="CR71" i="6" s="1"/>
  <c r="AR81" i="2"/>
  <c r="CC81" i="2" s="1"/>
  <c r="R43" i="2" s="1"/>
  <c r="L43" i="2"/>
  <c r="CC43" i="2"/>
  <c r="CC24" i="2"/>
  <c r="AR62" i="2"/>
  <c r="CC62" i="2" s="1"/>
  <c r="R24" i="2" s="1"/>
  <c r="L24" i="2"/>
  <c r="AW27" i="2"/>
  <c r="AW65" i="2" s="1"/>
  <c r="BX27" i="2"/>
  <c r="BX65" i="2" s="1"/>
  <c r="BJ27" i="2"/>
  <c r="BJ65" i="2" s="1"/>
  <c r="BT27" i="2"/>
  <c r="BT65" i="2" s="1"/>
  <c r="AZ27" i="2"/>
  <c r="AZ65" i="2" s="1"/>
  <c r="BD27" i="2"/>
  <c r="BD65" i="2" s="1"/>
  <c r="AY27" i="2"/>
  <c r="AY65" i="2" s="1"/>
  <c r="BA27" i="2"/>
  <c r="BA65" i="2" s="1"/>
  <c r="BR27" i="2"/>
  <c r="BR65" i="2" s="1"/>
  <c r="BO27" i="2"/>
  <c r="BO65" i="2" s="1"/>
  <c r="AR27" i="2"/>
  <c r="BQ27" i="2"/>
  <c r="BQ65" i="2" s="1"/>
  <c r="AV27" i="2"/>
  <c r="AV65" i="2" s="1"/>
  <c r="BB27" i="2"/>
  <c r="BB65" i="2" s="1"/>
  <c r="BM27" i="2"/>
  <c r="BM65" i="2" s="1"/>
  <c r="AU27" i="2"/>
  <c r="AU65" i="2" s="1"/>
  <c r="AT27" i="2"/>
  <c r="AT65" i="2" s="1"/>
  <c r="BP27" i="2"/>
  <c r="BP65" i="2" s="1"/>
  <c r="BL27" i="2"/>
  <c r="BL65" i="2" s="1"/>
  <c r="BG27" i="2"/>
  <c r="BG65" i="2" s="1"/>
  <c r="BK27" i="2"/>
  <c r="BK65" i="2" s="1"/>
  <c r="BY27" i="2"/>
  <c r="BY65" i="2" s="1"/>
  <c r="BV27" i="2"/>
  <c r="BV65" i="2" s="1"/>
  <c r="BZ27" i="2"/>
  <c r="BZ65" i="2" s="1"/>
  <c r="AX27" i="2"/>
  <c r="AX65" i="2" s="1"/>
  <c r="BI27" i="2"/>
  <c r="BI65" i="2" s="1"/>
  <c r="CA27" i="2"/>
  <c r="CA65" i="2" s="1"/>
  <c r="BC27" i="2"/>
  <c r="BC65" i="2" s="1"/>
  <c r="BU27" i="2"/>
  <c r="BU65" i="2" s="1"/>
  <c r="BW27" i="2"/>
  <c r="BW65" i="2" s="1"/>
  <c r="BE27" i="2"/>
  <c r="BE65" i="2" s="1"/>
  <c r="CB27" i="2"/>
  <c r="CB65" i="2" s="1"/>
  <c r="BH27" i="2"/>
  <c r="BH65" i="2" s="1"/>
  <c r="BS27" i="2"/>
  <c r="BS65" i="2" s="1"/>
  <c r="BF27" i="2"/>
  <c r="BF65" i="2" s="1"/>
  <c r="BN27" i="2"/>
  <c r="BN65" i="2" s="1"/>
  <c r="AS27" i="2"/>
  <c r="AS65" i="2" s="1"/>
  <c r="BU59" i="6"/>
  <c r="DF59" i="6" s="1"/>
  <c r="R21" i="6" s="1"/>
  <c r="L21" i="6"/>
  <c r="DF21" i="6"/>
  <c r="BI26" i="2"/>
  <c r="BI64" i="2" s="1"/>
  <c r="CB26" i="2"/>
  <c r="CB64" i="2" s="1"/>
  <c r="BR26" i="2"/>
  <c r="BR64" i="2" s="1"/>
  <c r="AR26" i="2"/>
  <c r="BH26" i="2"/>
  <c r="BH64" i="2" s="1"/>
  <c r="AZ26" i="2"/>
  <c r="AZ64" i="2" s="1"/>
  <c r="BU26" i="2"/>
  <c r="BU64" i="2" s="1"/>
  <c r="BZ26" i="2"/>
  <c r="BZ64" i="2" s="1"/>
  <c r="BC26" i="2"/>
  <c r="BC64" i="2" s="1"/>
  <c r="BL26" i="2"/>
  <c r="BL64" i="2" s="1"/>
  <c r="BX26" i="2"/>
  <c r="BX64" i="2" s="1"/>
  <c r="BB26" i="2"/>
  <c r="BB64" i="2" s="1"/>
  <c r="BG26" i="2"/>
  <c r="BG64" i="2" s="1"/>
  <c r="AV26" i="2"/>
  <c r="AV64" i="2" s="1"/>
  <c r="BW26" i="2"/>
  <c r="BW64" i="2" s="1"/>
  <c r="AT26" i="2"/>
  <c r="AT64" i="2" s="1"/>
  <c r="BV26" i="2"/>
  <c r="BV64" i="2" s="1"/>
  <c r="BQ26" i="2"/>
  <c r="BQ64" i="2" s="1"/>
  <c r="AU26" i="2"/>
  <c r="AU64" i="2" s="1"/>
  <c r="CA26" i="2"/>
  <c r="CA64" i="2" s="1"/>
  <c r="BS26" i="2"/>
  <c r="BS64" i="2" s="1"/>
  <c r="BE26" i="2"/>
  <c r="BE64" i="2" s="1"/>
  <c r="AY26" i="2"/>
  <c r="AY64" i="2" s="1"/>
  <c r="BJ26" i="2"/>
  <c r="BJ64" i="2" s="1"/>
  <c r="BO26" i="2"/>
  <c r="BO64" i="2" s="1"/>
  <c r="BF26" i="2"/>
  <c r="BF64" i="2" s="1"/>
  <c r="BM26" i="2"/>
  <c r="BM64" i="2" s="1"/>
  <c r="BA26" i="2"/>
  <c r="BA64" i="2" s="1"/>
  <c r="BD26" i="2"/>
  <c r="BD64" i="2" s="1"/>
  <c r="AX26" i="2"/>
  <c r="AX64" i="2" s="1"/>
  <c r="AW26" i="2"/>
  <c r="AW64" i="2" s="1"/>
  <c r="BN26" i="2"/>
  <c r="BN64" i="2" s="1"/>
  <c r="BK26" i="2"/>
  <c r="BK64" i="2" s="1"/>
  <c r="BY26" i="2"/>
  <c r="BY64" i="2" s="1"/>
  <c r="AS26" i="2"/>
  <c r="AS64" i="2" s="1"/>
  <c r="BP26" i="2"/>
  <c r="BP64" i="2" s="1"/>
  <c r="BT26" i="2"/>
  <c r="BT64" i="2" s="1"/>
  <c r="BU78" i="6"/>
  <c r="DF78" i="6" s="1"/>
  <c r="R40" i="6" s="1"/>
  <c r="L40" i="6"/>
  <c r="DF40" i="6"/>
  <c r="BU26" i="6"/>
  <c r="BZ26" i="6"/>
  <c r="BZ64" i="6" s="1"/>
  <c r="CC26" i="6"/>
  <c r="CC64" i="6" s="1"/>
  <c r="CH26" i="6"/>
  <c r="CH64" i="6" s="1"/>
  <c r="BX26" i="6"/>
  <c r="BX64" i="6" s="1"/>
  <c r="CA26" i="6"/>
  <c r="CA64" i="6" s="1"/>
  <c r="CF26" i="6"/>
  <c r="CF64" i="6" s="1"/>
  <c r="CI26" i="6"/>
  <c r="CI64" i="6" s="1"/>
  <c r="CK26" i="6"/>
  <c r="CK64" i="6" s="1"/>
  <c r="CM26" i="6"/>
  <c r="CM64" i="6" s="1"/>
  <c r="CO26" i="6"/>
  <c r="CO64" i="6" s="1"/>
  <c r="CQ26" i="6"/>
  <c r="CQ64" i="6" s="1"/>
  <c r="CS26" i="6"/>
  <c r="CS64" i="6" s="1"/>
  <c r="CU26" i="6"/>
  <c r="CU64" i="6" s="1"/>
  <c r="CW26" i="6"/>
  <c r="CW64" i="6" s="1"/>
  <c r="CY26" i="6"/>
  <c r="CY64" i="6" s="1"/>
  <c r="DA26" i="6"/>
  <c r="DA64" i="6" s="1"/>
  <c r="DC26" i="6"/>
  <c r="DC64" i="6" s="1"/>
  <c r="DE26" i="6"/>
  <c r="DE64" i="6" s="1"/>
  <c r="BV26" i="6"/>
  <c r="BV64" i="6" s="1"/>
  <c r="CG26" i="6"/>
  <c r="CG64" i="6" s="1"/>
  <c r="BW26" i="6"/>
  <c r="BW64" i="6" s="1"/>
  <c r="CB26" i="6"/>
  <c r="CB64" i="6" s="1"/>
  <c r="CL26" i="6"/>
  <c r="CL64" i="6" s="1"/>
  <c r="CP26" i="6"/>
  <c r="CP64" i="6" s="1"/>
  <c r="CT26" i="6"/>
  <c r="CT64" i="6" s="1"/>
  <c r="CX26" i="6"/>
  <c r="CX64" i="6" s="1"/>
  <c r="DB26" i="6"/>
  <c r="DB64" i="6" s="1"/>
  <c r="BY26" i="6"/>
  <c r="BY64" i="6" s="1"/>
  <c r="CD26" i="6"/>
  <c r="CD64" i="6" s="1"/>
  <c r="CN26" i="6"/>
  <c r="CN64" i="6" s="1"/>
  <c r="DD26" i="6"/>
  <c r="DD64" i="6" s="1"/>
  <c r="CR26" i="6"/>
  <c r="CR64" i="6" s="1"/>
  <c r="CE26" i="6"/>
  <c r="CE64" i="6" s="1"/>
  <c r="CV26" i="6"/>
  <c r="CV64" i="6" s="1"/>
  <c r="CJ26" i="6"/>
  <c r="CJ64" i="6" s="1"/>
  <c r="CZ26" i="6"/>
  <c r="CZ64" i="6" s="1"/>
  <c r="BU61" i="6"/>
  <c r="DF61" i="6" s="1"/>
  <c r="R23" i="6" s="1"/>
  <c r="L23" i="6"/>
  <c r="DF23" i="6"/>
  <c r="L39" i="6"/>
  <c r="BU77" i="6"/>
  <c r="DF77" i="6" s="1"/>
  <c r="R39" i="6" s="1"/>
  <c r="DF39" i="6"/>
  <c r="BU55" i="6"/>
  <c r="DF55" i="6" s="1"/>
  <c r="R17" i="6" s="1"/>
  <c r="L17" i="6"/>
  <c r="DF17" i="6"/>
  <c r="L34" i="2"/>
  <c r="CC34" i="2"/>
  <c r="AR72" i="2"/>
  <c r="CC72" i="2" s="1"/>
  <c r="R34" i="2" s="1"/>
  <c r="L42" i="6"/>
  <c r="BU80" i="6"/>
  <c r="DF80" i="6" s="1"/>
  <c r="R42" i="6" s="1"/>
  <c r="DF42" i="6"/>
  <c r="N37" i="2"/>
  <c r="P37" i="2"/>
  <c r="BU52" i="6"/>
  <c r="DF52" i="6" s="1"/>
  <c r="R14" i="6" s="1"/>
  <c r="DF14" i="6"/>
  <c r="BY29" i="2"/>
  <c r="BY67" i="2" s="1"/>
  <c r="AU29" i="2"/>
  <c r="AU67" i="2" s="1"/>
  <c r="BW29" i="2"/>
  <c r="BW67" i="2" s="1"/>
  <c r="BD29" i="2"/>
  <c r="BD67" i="2" s="1"/>
  <c r="BO29" i="2"/>
  <c r="BO67" i="2" s="1"/>
  <c r="BE29" i="2"/>
  <c r="BE67" i="2" s="1"/>
  <c r="BA29" i="2"/>
  <c r="BA67" i="2" s="1"/>
  <c r="CB29" i="2"/>
  <c r="CB67" i="2" s="1"/>
  <c r="BB29" i="2"/>
  <c r="BB67" i="2" s="1"/>
  <c r="BK29" i="2"/>
  <c r="BK67" i="2" s="1"/>
  <c r="CA29" i="2"/>
  <c r="CA67" i="2" s="1"/>
  <c r="BH29" i="2"/>
  <c r="BH67" i="2" s="1"/>
  <c r="BU29" i="2"/>
  <c r="BU67" i="2" s="1"/>
  <c r="BV29" i="2"/>
  <c r="BV67" i="2" s="1"/>
  <c r="BS29" i="2"/>
  <c r="BS67" i="2" s="1"/>
  <c r="AW29" i="2"/>
  <c r="AW67" i="2" s="1"/>
  <c r="AY29" i="2"/>
  <c r="AY67" i="2" s="1"/>
  <c r="AR29" i="2"/>
  <c r="AS29" i="2"/>
  <c r="AS67" i="2" s="1"/>
  <c r="BP29" i="2"/>
  <c r="BP67" i="2" s="1"/>
  <c r="BN29" i="2"/>
  <c r="BN67" i="2" s="1"/>
  <c r="BT29" i="2"/>
  <c r="BT67" i="2" s="1"/>
  <c r="AV29" i="2"/>
  <c r="AV67" i="2" s="1"/>
  <c r="BL29" i="2"/>
  <c r="BL67" i="2" s="1"/>
  <c r="BR29" i="2"/>
  <c r="BR67" i="2" s="1"/>
  <c r="BJ29" i="2"/>
  <c r="BJ67" i="2" s="1"/>
  <c r="BG29" i="2"/>
  <c r="BG67" i="2" s="1"/>
  <c r="AZ29" i="2"/>
  <c r="AZ67" i="2" s="1"/>
  <c r="BZ29" i="2"/>
  <c r="BZ67" i="2" s="1"/>
  <c r="BM29" i="2"/>
  <c r="BM67" i="2" s="1"/>
  <c r="BI29" i="2"/>
  <c r="BI67" i="2" s="1"/>
  <c r="BC29" i="2"/>
  <c r="BC67" i="2" s="1"/>
  <c r="BF29" i="2"/>
  <c r="BF67" i="2" s="1"/>
  <c r="AX67" i="2"/>
  <c r="BX29" i="2"/>
  <c r="BX67" i="2" s="1"/>
  <c r="AT29" i="2"/>
  <c r="AT67" i="2" s="1"/>
  <c r="BQ29" i="2"/>
  <c r="BQ67" i="2" s="1"/>
  <c r="L34" i="6"/>
  <c r="BU72" i="6"/>
  <c r="DF72" i="6" s="1"/>
  <c r="R34" i="6" s="1"/>
  <c r="DF34" i="6"/>
  <c r="BU19" i="6"/>
  <c r="BW19" i="6"/>
  <c r="BW57" i="6" s="1"/>
  <c r="BY19" i="6"/>
  <c r="BY57" i="6" s="1"/>
  <c r="CA19" i="6"/>
  <c r="CA57" i="6" s="1"/>
  <c r="CC19" i="6"/>
  <c r="CC57" i="6" s="1"/>
  <c r="CE19" i="6"/>
  <c r="CE57" i="6" s="1"/>
  <c r="CG19" i="6"/>
  <c r="CG57" i="6" s="1"/>
  <c r="CI19" i="6"/>
  <c r="CI57" i="6" s="1"/>
  <c r="CK19" i="6"/>
  <c r="CK57" i="6" s="1"/>
  <c r="CM19" i="6"/>
  <c r="CM57" i="6" s="1"/>
  <c r="CO19" i="6"/>
  <c r="CO57" i="6" s="1"/>
  <c r="CQ19" i="6"/>
  <c r="CQ57" i="6" s="1"/>
  <c r="CS19" i="6"/>
  <c r="CS57" i="6" s="1"/>
  <c r="CU19" i="6"/>
  <c r="CU57" i="6" s="1"/>
  <c r="CW19" i="6"/>
  <c r="CW57" i="6" s="1"/>
  <c r="CY19" i="6"/>
  <c r="CY57" i="6" s="1"/>
  <c r="DA19" i="6"/>
  <c r="DA57" i="6" s="1"/>
  <c r="DC19" i="6"/>
  <c r="DC57" i="6" s="1"/>
  <c r="DE19" i="6"/>
  <c r="DE57" i="6" s="1"/>
  <c r="CB19" i="6"/>
  <c r="CB57" i="6" s="1"/>
  <c r="CJ19" i="6"/>
  <c r="CJ57" i="6" s="1"/>
  <c r="CR19" i="6"/>
  <c r="CR57" i="6" s="1"/>
  <c r="CZ19" i="6"/>
  <c r="CZ57" i="6" s="1"/>
  <c r="CD19" i="6"/>
  <c r="CD57" i="6" s="1"/>
  <c r="CH19" i="6"/>
  <c r="CH57" i="6" s="1"/>
  <c r="CV19" i="6"/>
  <c r="CV57" i="6" s="1"/>
  <c r="BX19" i="6"/>
  <c r="BX57" i="6" s="1"/>
  <c r="CL19" i="6"/>
  <c r="CL57" i="6" s="1"/>
  <c r="CP19" i="6"/>
  <c r="CP57" i="6" s="1"/>
  <c r="DD19" i="6"/>
  <c r="DD57" i="6" s="1"/>
  <c r="CX19" i="6"/>
  <c r="CX57" i="6" s="1"/>
  <c r="BV19" i="6"/>
  <c r="BV57" i="6" s="1"/>
  <c r="CF19" i="6"/>
  <c r="CF57" i="6" s="1"/>
  <c r="CT19" i="6"/>
  <c r="CT57" i="6" s="1"/>
  <c r="BZ19" i="6"/>
  <c r="BZ57" i="6" s="1"/>
  <c r="DB19" i="6"/>
  <c r="DB57" i="6" s="1"/>
  <c r="CN19" i="6"/>
  <c r="CN57" i="6" s="1"/>
  <c r="W30" i="2"/>
  <c r="N37" i="6"/>
  <c r="P37" i="6"/>
  <c r="AR55" i="2"/>
  <c r="CC55" i="2" s="1"/>
  <c r="R17" i="2" s="1"/>
  <c r="CC17" i="2"/>
  <c r="L39" i="2"/>
  <c r="CC39" i="2"/>
  <c r="AR77" i="2"/>
  <c r="CC77" i="2" s="1"/>
  <c r="R39" i="2" s="1"/>
  <c r="AR61" i="2"/>
  <c r="CC61" i="2" s="1"/>
  <c r="R23" i="2" s="1"/>
  <c r="L23" i="2"/>
  <c r="CC23" i="2"/>
  <c r="L18" i="6"/>
  <c r="BU56" i="6"/>
  <c r="DF56" i="6" s="1"/>
  <c r="R18" i="6" s="1"/>
  <c r="DF18" i="6"/>
  <c r="N20" i="6"/>
  <c r="P20" i="6"/>
  <c r="AR78" i="2"/>
  <c r="CC78" i="2" s="1"/>
  <c r="R40" i="2" s="1"/>
  <c r="L40" i="2"/>
  <c r="CC40" i="2"/>
  <c r="N30" i="6"/>
  <c r="AB72" i="12" s="1"/>
  <c r="P30" i="6"/>
  <c r="AR69" i="2"/>
  <c r="CC69" i="2" s="1"/>
  <c r="R31" i="2" s="1"/>
  <c r="L31" i="2"/>
  <c r="CC31" i="2"/>
  <c r="BU62" i="6"/>
  <c r="DF62" i="6" s="1"/>
  <c r="R24" i="6" s="1"/>
  <c r="L24" i="6"/>
  <c r="DF24" i="6"/>
  <c r="L42" i="2"/>
  <c r="AR80" i="2"/>
  <c r="CC80" i="2" s="1"/>
  <c r="R42" i="2" s="1"/>
  <c r="CC42" i="2"/>
  <c r="N36" i="2"/>
  <c r="W36" i="2" s="1"/>
  <c r="P36" i="2"/>
  <c r="L22" i="6"/>
  <c r="BU60" i="6"/>
  <c r="DF60" i="6" s="1"/>
  <c r="R22" i="6" s="1"/>
  <c r="DF22" i="6"/>
  <c r="BU81" i="6"/>
  <c r="DF81" i="6" s="1"/>
  <c r="R43" i="6" s="1"/>
  <c r="L43" i="6"/>
  <c r="DF43" i="6"/>
  <c r="BN19" i="2"/>
  <c r="BN57" i="2" s="1"/>
  <c r="BM19" i="2"/>
  <c r="BM57" i="2" s="1"/>
  <c r="BV19" i="2"/>
  <c r="BV57" i="2" s="1"/>
  <c r="BT19" i="2"/>
  <c r="BT57" i="2" s="1"/>
  <c r="BA19" i="2"/>
  <c r="BA57" i="2" s="1"/>
  <c r="BR19" i="2"/>
  <c r="BR57" i="2" s="1"/>
  <c r="AV57" i="2"/>
  <c r="BE19" i="2"/>
  <c r="BE57" i="2" s="1"/>
  <c r="AT19" i="2"/>
  <c r="AT57" i="2" s="1"/>
  <c r="BL19" i="2"/>
  <c r="BL57" i="2" s="1"/>
  <c r="BZ19" i="2"/>
  <c r="BZ57" i="2" s="1"/>
  <c r="BF19" i="2"/>
  <c r="BF57" i="2" s="1"/>
  <c r="AX19" i="2"/>
  <c r="AX57" i="2" s="1"/>
  <c r="BQ19" i="2"/>
  <c r="BQ57" i="2" s="1"/>
  <c r="BB19" i="2"/>
  <c r="BB57" i="2" s="1"/>
  <c r="BS19" i="2"/>
  <c r="BS57" i="2" s="1"/>
  <c r="BI19" i="2"/>
  <c r="BI57" i="2" s="1"/>
  <c r="BY19" i="2"/>
  <c r="BY57" i="2" s="1"/>
  <c r="AZ19" i="2"/>
  <c r="AZ57" i="2" s="1"/>
  <c r="BO19" i="2"/>
  <c r="BO57" i="2" s="1"/>
  <c r="BC19" i="2"/>
  <c r="BC57" i="2" s="1"/>
  <c r="BU19" i="2"/>
  <c r="BU57" i="2" s="1"/>
  <c r="CA19" i="2"/>
  <c r="CA57" i="2" s="1"/>
  <c r="BP19" i="2"/>
  <c r="BP57" i="2" s="1"/>
  <c r="BX19" i="2"/>
  <c r="BX57" i="2" s="1"/>
  <c r="BJ19" i="2"/>
  <c r="BJ57" i="2" s="1"/>
  <c r="AW19" i="2"/>
  <c r="AW57" i="2" s="1"/>
  <c r="AR19" i="2"/>
  <c r="BH19" i="2"/>
  <c r="BH57" i="2" s="1"/>
  <c r="AS19" i="2"/>
  <c r="AS57" i="2" s="1"/>
  <c r="AY19" i="2"/>
  <c r="AY57" i="2" s="1"/>
  <c r="BD19" i="2"/>
  <c r="BD57" i="2" s="1"/>
  <c r="CB19" i="2"/>
  <c r="CB57" i="2" s="1"/>
  <c r="AU19" i="2"/>
  <c r="AU57" i="2" s="1"/>
  <c r="BK19" i="2"/>
  <c r="BK57" i="2" s="1"/>
  <c r="BG19" i="2"/>
  <c r="BG57" i="2" s="1"/>
  <c r="BW19" i="2"/>
  <c r="BW57" i="2" s="1"/>
  <c r="N41" i="6"/>
  <c r="W41" i="6" s="1"/>
  <c r="C32" i="12" s="1"/>
  <c r="P41" i="6"/>
  <c r="K35" i="2"/>
  <c r="L16" i="2" l="1"/>
  <c r="N18" i="2"/>
  <c r="O18" i="2" s="1"/>
  <c r="M18" i="2" s="1"/>
  <c r="N16" i="2"/>
  <c r="DF16" i="6"/>
  <c r="BU54" i="6"/>
  <c r="DF54" i="6" s="1"/>
  <c r="R16" i="6" s="1"/>
  <c r="K29" i="12"/>
  <c r="L29" i="12" s="1"/>
  <c r="AH39" i="6"/>
  <c r="K29" i="11"/>
  <c r="L29" i="11" s="1"/>
  <c r="AD33" i="12"/>
  <c r="AE10" i="12"/>
  <c r="AE26" i="12" s="1"/>
  <c r="N32" i="2"/>
  <c r="P32" i="2"/>
  <c r="CC16" i="2"/>
  <c r="AR54" i="2"/>
  <c r="CC54" i="2" s="1"/>
  <c r="R16" i="2" s="1"/>
  <c r="P32" i="6"/>
  <c r="N32" i="6"/>
  <c r="W20" i="6"/>
  <c r="AF20" i="6" s="1"/>
  <c r="I11" i="12" s="1"/>
  <c r="AB62" i="12"/>
  <c r="AA41" i="6"/>
  <c r="AF41" i="6"/>
  <c r="I32" i="12" s="1"/>
  <c r="C32" i="11"/>
  <c r="AC41" i="6"/>
  <c r="N43" i="6"/>
  <c r="P43" i="6"/>
  <c r="N24" i="6"/>
  <c r="AB66" i="12" s="1"/>
  <c r="P24" i="6"/>
  <c r="O37" i="2"/>
  <c r="AC37" i="2"/>
  <c r="BU64" i="6"/>
  <c r="DF64" i="6" s="1"/>
  <c r="R26" i="6" s="1"/>
  <c r="L26" i="6"/>
  <c r="DF26" i="6"/>
  <c r="AF38" i="6"/>
  <c r="I29" i="12" s="1"/>
  <c r="AA38" i="6"/>
  <c r="C29" i="11"/>
  <c r="AC38" i="6"/>
  <c r="N43" i="2"/>
  <c r="W43" i="2" s="1"/>
  <c r="P43" i="2"/>
  <c r="N25" i="2"/>
  <c r="W25" i="2" s="1"/>
  <c r="P25" i="2"/>
  <c r="N15" i="6"/>
  <c r="N25" i="6"/>
  <c r="P25" i="6"/>
  <c r="V30" i="2"/>
  <c r="T30" i="2"/>
  <c r="L27" i="6"/>
  <c r="BU65" i="6"/>
  <c r="DF65" i="6" s="1"/>
  <c r="R27" i="6" s="1"/>
  <c r="DF27" i="6"/>
  <c r="BV35" i="6"/>
  <c r="BV73" i="6" s="1"/>
  <c r="BY35" i="6"/>
  <c r="BY73" i="6" s="1"/>
  <c r="CD35" i="6"/>
  <c r="CD73" i="6" s="1"/>
  <c r="CG35" i="6"/>
  <c r="CG73" i="6" s="1"/>
  <c r="BW35" i="6"/>
  <c r="BW73" i="6" s="1"/>
  <c r="CB35" i="6"/>
  <c r="CB73" i="6" s="1"/>
  <c r="CE35" i="6"/>
  <c r="CE73" i="6" s="1"/>
  <c r="CJ35" i="6"/>
  <c r="CJ73" i="6" s="1"/>
  <c r="CL35" i="6"/>
  <c r="CL73" i="6" s="1"/>
  <c r="CN35" i="6"/>
  <c r="CN73" i="6" s="1"/>
  <c r="CP35" i="6"/>
  <c r="CP73" i="6" s="1"/>
  <c r="CR35" i="6"/>
  <c r="CR73" i="6" s="1"/>
  <c r="CT35" i="6"/>
  <c r="CT73" i="6" s="1"/>
  <c r="CV35" i="6"/>
  <c r="CV73" i="6" s="1"/>
  <c r="CX35" i="6"/>
  <c r="CX73" i="6" s="1"/>
  <c r="CZ35" i="6"/>
  <c r="CZ73" i="6" s="1"/>
  <c r="DB35" i="6"/>
  <c r="DB73" i="6" s="1"/>
  <c r="DD35" i="6"/>
  <c r="DD73" i="6" s="1"/>
  <c r="BX35" i="6"/>
  <c r="BX73" i="6" s="1"/>
  <c r="CI35" i="6"/>
  <c r="CI73" i="6" s="1"/>
  <c r="CM35" i="6"/>
  <c r="CM73" i="6" s="1"/>
  <c r="CQ35" i="6"/>
  <c r="CQ73" i="6" s="1"/>
  <c r="CU35" i="6"/>
  <c r="CU73" i="6" s="1"/>
  <c r="CY35" i="6"/>
  <c r="CY73" i="6" s="1"/>
  <c r="DC35" i="6"/>
  <c r="DC73" i="6" s="1"/>
  <c r="BU35" i="6"/>
  <c r="BZ35" i="6"/>
  <c r="BZ73" i="6" s="1"/>
  <c r="CA35" i="6"/>
  <c r="CA73" i="6" s="1"/>
  <c r="CF35" i="6"/>
  <c r="CF73" i="6" s="1"/>
  <c r="CK35" i="6"/>
  <c r="CK73" i="6" s="1"/>
  <c r="CO35" i="6"/>
  <c r="CO73" i="6" s="1"/>
  <c r="CS35" i="6"/>
  <c r="CS73" i="6" s="1"/>
  <c r="CW35" i="6"/>
  <c r="CW73" i="6" s="1"/>
  <c r="DA35" i="6"/>
  <c r="DA73" i="6" s="1"/>
  <c r="DE35" i="6"/>
  <c r="DE73" i="6" s="1"/>
  <c r="CC35" i="6"/>
  <c r="CC73" i="6" s="1"/>
  <c r="CH35" i="6"/>
  <c r="CH73" i="6" s="1"/>
  <c r="T38" i="2"/>
  <c r="V38" i="2"/>
  <c r="V41" i="6"/>
  <c r="T41" i="6"/>
  <c r="N28" i="2"/>
  <c r="P28" i="2"/>
  <c r="AD36" i="2"/>
  <c r="X36" i="2"/>
  <c r="N28" i="6"/>
  <c r="P28" i="6"/>
  <c r="O41" i="6"/>
  <c r="S41" i="6" s="1"/>
  <c r="AB41" i="6"/>
  <c r="F32" i="12" s="1"/>
  <c r="V36" i="2"/>
  <c r="T36" i="2"/>
  <c r="V30" i="6"/>
  <c r="AC72" i="12" s="1"/>
  <c r="T30" i="6"/>
  <c r="N23" i="2"/>
  <c r="W23" i="2" s="1"/>
  <c r="P23" i="2"/>
  <c r="P17" i="2"/>
  <c r="P17" i="6"/>
  <c r="O36" i="2"/>
  <c r="S36" i="2" s="1"/>
  <c r="AC36" i="2"/>
  <c r="N42" i="2"/>
  <c r="P42" i="2"/>
  <c r="AB30" i="6"/>
  <c r="F21" i="12" s="1"/>
  <c r="O30" i="6"/>
  <c r="N18" i="6"/>
  <c r="AB60" i="12" s="1"/>
  <c r="P18" i="6"/>
  <c r="AD30" i="2"/>
  <c r="X30" i="2"/>
  <c r="L19" i="6"/>
  <c r="BU57" i="6"/>
  <c r="DF57" i="6" s="1"/>
  <c r="R19" i="6" s="1"/>
  <c r="DF19" i="6"/>
  <c r="CC29" i="2"/>
  <c r="L29" i="2"/>
  <c r="AR67" i="2"/>
  <c r="CC67" i="2" s="1"/>
  <c r="R29" i="2" s="1"/>
  <c r="V37" i="2"/>
  <c r="T37" i="2"/>
  <c r="N34" i="2"/>
  <c r="P34" i="2"/>
  <c r="W30" i="6"/>
  <c r="N40" i="6"/>
  <c r="P40" i="6"/>
  <c r="AR64" i="2"/>
  <c r="CC64" i="2" s="1"/>
  <c r="R26" i="2" s="1"/>
  <c r="L26" i="2"/>
  <c r="CC26" i="2"/>
  <c r="W37" i="2"/>
  <c r="V36" i="6"/>
  <c r="T36" i="6"/>
  <c r="V38" i="6"/>
  <c r="T38" i="6"/>
  <c r="N21" i="2"/>
  <c r="W21" i="2" s="1"/>
  <c r="P21" i="2"/>
  <c r="T20" i="2"/>
  <c r="V20" i="2"/>
  <c r="N15" i="2"/>
  <c r="W15" i="2" s="1"/>
  <c r="N22" i="2"/>
  <c r="W22" i="2" s="1"/>
  <c r="P22" i="2"/>
  <c r="N14" i="2"/>
  <c r="W14" i="2" s="1"/>
  <c r="P14" i="2"/>
  <c r="AR71" i="2"/>
  <c r="CC71" i="2" s="1"/>
  <c r="R33" i="2" s="1"/>
  <c r="L33" i="2"/>
  <c r="CC33" i="2"/>
  <c r="W18" i="2"/>
  <c r="S18" i="2" s="1"/>
  <c r="P18" i="2"/>
  <c r="N22" i="6"/>
  <c r="P22" i="6"/>
  <c r="AB20" i="6"/>
  <c r="F11" i="12" s="1"/>
  <c r="O20" i="6"/>
  <c r="AF36" i="6"/>
  <c r="I27" i="12" s="1"/>
  <c r="AA36" i="6"/>
  <c r="C27" i="11"/>
  <c r="AC36" i="6"/>
  <c r="O37" i="6"/>
  <c r="AB37" i="6"/>
  <c r="F28" i="12" s="1"/>
  <c r="W34" i="2"/>
  <c r="N23" i="6"/>
  <c r="P23" i="6"/>
  <c r="AR65" i="2"/>
  <c r="CC65" i="2" s="1"/>
  <c r="R27" i="2" s="1"/>
  <c r="L27" i="2"/>
  <c r="CC27" i="2"/>
  <c r="N24" i="2"/>
  <c r="P24" i="2"/>
  <c r="O41" i="2"/>
  <c r="AC41" i="2"/>
  <c r="N40" i="2"/>
  <c r="P40" i="2"/>
  <c r="N34" i="6"/>
  <c r="P34" i="6"/>
  <c r="AB56" i="12"/>
  <c r="P14" i="6"/>
  <c r="N39" i="6"/>
  <c r="W39" i="6" s="1"/>
  <c r="C30" i="12" s="1"/>
  <c r="P39" i="6"/>
  <c r="BP35" i="2"/>
  <c r="BP73" i="2" s="1"/>
  <c r="BI35" i="2"/>
  <c r="BI73" i="2" s="1"/>
  <c r="BU35" i="2"/>
  <c r="BU73" i="2" s="1"/>
  <c r="AS35" i="2"/>
  <c r="AS73" i="2" s="1"/>
  <c r="AV35" i="2"/>
  <c r="AV73" i="2" s="1"/>
  <c r="AZ35" i="2"/>
  <c r="AZ73" i="2" s="1"/>
  <c r="BV35" i="2"/>
  <c r="BV73" i="2" s="1"/>
  <c r="BZ35" i="2"/>
  <c r="BZ73" i="2" s="1"/>
  <c r="AU35" i="2"/>
  <c r="AU73" i="2" s="1"/>
  <c r="BA35" i="2"/>
  <c r="BA73" i="2" s="1"/>
  <c r="BC35" i="2"/>
  <c r="BC73" i="2" s="1"/>
  <c r="BE35" i="2"/>
  <c r="BE73" i="2" s="1"/>
  <c r="AX35" i="2"/>
  <c r="AX73" i="2" s="1"/>
  <c r="BX35" i="2"/>
  <c r="BX73" i="2" s="1"/>
  <c r="BN35" i="2"/>
  <c r="BN73" i="2" s="1"/>
  <c r="CA35" i="2"/>
  <c r="CA73" i="2" s="1"/>
  <c r="BW35" i="2"/>
  <c r="BW73" i="2" s="1"/>
  <c r="BQ35" i="2"/>
  <c r="BQ73" i="2" s="1"/>
  <c r="BB35" i="2"/>
  <c r="BB73" i="2" s="1"/>
  <c r="BT35" i="2"/>
  <c r="BT73" i="2" s="1"/>
  <c r="CB35" i="2"/>
  <c r="CB73" i="2" s="1"/>
  <c r="AW35" i="2"/>
  <c r="AW73" i="2" s="1"/>
  <c r="BD35" i="2"/>
  <c r="BD73" i="2" s="1"/>
  <c r="BO35" i="2"/>
  <c r="BO73" i="2" s="1"/>
  <c r="BY35" i="2"/>
  <c r="BY73" i="2" s="1"/>
  <c r="AT35" i="2"/>
  <c r="AT73" i="2" s="1"/>
  <c r="BL35" i="2"/>
  <c r="BL73" i="2" s="1"/>
  <c r="BR35" i="2"/>
  <c r="BR73" i="2" s="1"/>
  <c r="AR35" i="2"/>
  <c r="AY35" i="2"/>
  <c r="AY73" i="2" s="1"/>
  <c r="BF35" i="2"/>
  <c r="BF73" i="2" s="1"/>
  <c r="BH35" i="2"/>
  <c r="BH73" i="2" s="1"/>
  <c r="BS35" i="2"/>
  <c r="BS73" i="2" s="1"/>
  <c r="BK35" i="2"/>
  <c r="BK73" i="2" s="1"/>
  <c r="BG35" i="2"/>
  <c r="BG73" i="2" s="1"/>
  <c r="BJ35" i="2"/>
  <c r="BJ73" i="2" s="1"/>
  <c r="BM35" i="2"/>
  <c r="BM73" i="2" s="1"/>
  <c r="CC19" i="2"/>
  <c r="L19" i="2"/>
  <c r="AR57" i="2"/>
  <c r="CC57" i="2" s="1"/>
  <c r="R19" i="2" s="1"/>
  <c r="N31" i="2"/>
  <c r="P31" i="2"/>
  <c r="V20" i="6"/>
  <c r="AC62" i="12" s="1"/>
  <c r="T20" i="6"/>
  <c r="W41" i="2"/>
  <c r="N39" i="2"/>
  <c r="P39" i="2"/>
  <c r="V37" i="6"/>
  <c r="T37" i="6"/>
  <c r="N42" i="6"/>
  <c r="P42" i="6"/>
  <c r="X20" i="2"/>
  <c r="AD20" i="2"/>
  <c r="N21" i="6"/>
  <c r="P21" i="6"/>
  <c r="AD38" i="2"/>
  <c r="X38" i="2"/>
  <c r="W37" i="6"/>
  <c r="C28" i="12" s="1"/>
  <c r="BU71" i="6"/>
  <c r="DF71" i="6" s="1"/>
  <c r="R33" i="6" s="1"/>
  <c r="L33" i="6"/>
  <c r="DF33" i="6"/>
  <c r="V41" i="2"/>
  <c r="T41" i="2"/>
  <c r="AB36" i="6"/>
  <c r="F27" i="12" s="1"/>
  <c r="O36" i="6"/>
  <c r="S36" i="6" s="1"/>
  <c r="AB38" i="6"/>
  <c r="F29" i="12" s="1"/>
  <c r="O38" i="6"/>
  <c r="S38" i="6" s="1"/>
  <c r="O20" i="2"/>
  <c r="S20" i="2" s="1"/>
  <c r="AC20" i="2"/>
  <c r="O30" i="2"/>
  <c r="AC30" i="2"/>
  <c r="AC38" i="2"/>
  <c r="O38" i="2"/>
  <c r="S38" i="2" s="1"/>
  <c r="N31" i="6"/>
  <c r="P31" i="6"/>
  <c r="L29" i="6"/>
  <c r="BU67" i="6"/>
  <c r="DF67" i="6" s="1"/>
  <c r="R29" i="6" s="1"/>
  <c r="DF29" i="6"/>
  <c r="V15" i="2" l="1"/>
  <c r="AC20" i="6"/>
  <c r="C11" i="11"/>
  <c r="AA20" i="6"/>
  <c r="W22" i="6"/>
  <c r="AB64" i="12"/>
  <c r="C21" i="12"/>
  <c r="AA72" i="12"/>
  <c r="V32" i="6"/>
  <c r="T32" i="6"/>
  <c r="AE33" i="12"/>
  <c r="W21" i="6"/>
  <c r="AB63" i="12"/>
  <c r="W28" i="6"/>
  <c r="AA28" i="6" s="1"/>
  <c r="AB70" i="12"/>
  <c r="P16" i="2"/>
  <c r="W16" i="2"/>
  <c r="K30" i="12"/>
  <c r="L30" i="12" s="1"/>
  <c r="AH40" i="6"/>
  <c r="K30" i="11"/>
  <c r="L30" i="11" s="1"/>
  <c r="T32" i="2"/>
  <c r="V32" i="2"/>
  <c r="W23" i="6"/>
  <c r="AB65" i="12"/>
  <c r="W24" i="6"/>
  <c r="AA24" i="6" s="1"/>
  <c r="W25" i="6"/>
  <c r="AB67" i="12"/>
  <c r="W32" i="2"/>
  <c r="O32" i="2"/>
  <c r="AC32" i="2"/>
  <c r="W31" i="6"/>
  <c r="C22" i="11" s="1"/>
  <c r="AB73" i="12"/>
  <c r="W17" i="6"/>
  <c r="AF17" i="6" s="1"/>
  <c r="I8" i="12" s="1"/>
  <c r="AB59" i="12"/>
  <c r="C11" i="12"/>
  <c r="AA62" i="12"/>
  <c r="AB15" i="6"/>
  <c r="F6" i="12" s="1"/>
  <c r="AB57" i="12"/>
  <c r="W32" i="6"/>
  <c r="AB32" i="6"/>
  <c r="O32" i="6"/>
  <c r="P16" i="6"/>
  <c r="N16" i="6"/>
  <c r="W16" i="6" s="1"/>
  <c r="V28" i="6"/>
  <c r="AC70" i="12" s="1"/>
  <c r="W15" i="6"/>
  <c r="AA15" i="6" s="1"/>
  <c r="AC23" i="6"/>
  <c r="AF39" i="6"/>
  <c r="I30" i="12" s="1"/>
  <c r="C30" i="11"/>
  <c r="AA39" i="6"/>
  <c r="AC39" i="6"/>
  <c r="X15" i="2"/>
  <c r="AD15" i="2"/>
  <c r="X21" i="2"/>
  <c r="AD21" i="2"/>
  <c r="AF31" i="6"/>
  <c r="I22" i="12" s="1"/>
  <c r="X18" i="2"/>
  <c r="AD18" i="2"/>
  <c r="AE38" i="6"/>
  <c r="AG38" i="6" s="1"/>
  <c r="J29" i="12" s="1"/>
  <c r="F29" i="11"/>
  <c r="W19" i="2"/>
  <c r="P19" i="2"/>
  <c r="AR73" i="2"/>
  <c r="CC73" i="2" s="1"/>
  <c r="R35" i="2" s="1"/>
  <c r="L35" i="2"/>
  <c r="CC35" i="2"/>
  <c r="O40" i="2"/>
  <c r="AC40" i="2"/>
  <c r="W40" i="2"/>
  <c r="O43" i="6"/>
  <c r="AB43" i="6"/>
  <c r="F34" i="12" s="1"/>
  <c r="V23" i="6"/>
  <c r="AC65" i="12" s="1"/>
  <c r="T23" i="6"/>
  <c r="M20" i="6"/>
  <c r="Y20" i="6"/>
  <c r="Q20" i="6"/>
  <c r="U20" i="6"/>
  <c r="Z20" i="6" s="1"/>
  <c r="V18" i="2"/>
  <c r="T18" i="2"/>
  <c r="N33" i="2"/>
  <c r="P33" i="2"/>
  <c r="O14" i="2"/>
  <c r="S14" i="2" s="1"/>
  <c r="AC14" i="2"/>
  <c r="T21" i="2"/>
  <c r="V21" i="2"/>
  <c r="N26" i="2"/>
  <c r="W26" i="2" s="1"/>
  <c r="P26" i="2"/>
  <c r="T34" i="2"/>
  <c r="V34" i="2"/>
  <c r="N29" i="2"/>
  <c r="P29" i="2"/>
  <c r="N19" i="6"/>
  <c r="AB61" i="12" s="1"/>
  <c r="P19" i="6"/>
  <c r="X17" i="2"/>
  <c r="AH17" i="2" s="1"/>
  <c r="AD17" i="2"/>
  <c r="M30" i="6"/>
  <c r="Y30" i="6"/>
  <c r="Q30" i="6"/>
  <c r="U30" i="6"/>
  <c r="Z30" i="6" s="1"/>
  <c r="AC42" i="2"/>
  <c r="O42" i="2"/>
  <c r="AB17" i="6"/>
  <c r="F8" i="12" s="1"/>
  <c r="O17" i="6"/>
  <c r="O17" i="2"/>
  <c r="AC17" i="2"/>
  <c r="O28" i="2"/>
  <c r="AC28" i="2"/>
  <c r="AB25" i="6"/>
  <c r="F16" i="12" s="1"/>
  <c r="O25" i="6"/>
  <c r="T25" i="2"/>
  <c r="V25" i="2"/>
  <c r="V43" i="2"/>
  <c r="T43" i="2"/>
  <c r="AJ41" i="6"/>
  <c r="I32" i="11"/>
  <c r="AF38" i="2"/>
  <c r="AE38" i="2"/>
  <c r="V21" i="6"/>
  <c r="AC63" i="12" s="1"/>
  <c r="T21" i="6"/>
  <c r="AB42" i="6"/>
  <c r="F33" i="12" s="1"/>
  <c r="O42" i="6"/>
  <c r="T39" i="2"/>
  <c r="V39" i="2"/>
  <c r="V14" i="6"/>
  <c r="AC56" i="12" s="1"/>
  <c r="T14" i="6"/>
  <c r="AB34" i="6"/>
  <c r="F25" i="12" s="1"/>
  <c r="O34" i="6"/>
  <c r="O24" i="2"/>
  <c r="AC24" i="2"/>
  <c r="X34" i="2"/>
  <c r="AD34" i="2"/>
  <c r="V22" i="6"/>
  <c r="AC64" i="12" s="1"/>
  <c r="T22" i="6"/>
  <c r="AB40" i="6"/>
  <c r="F31" i="12" s="1"/>
  <c r="O40" i="6"/>
  <c r="C8" i="11"/>
  <c r="AC17" i="6"/>
  <c r="W42" i="6"/>
  <c r="C33" i="12" s="1"/>
  <c r="V28" i="2"/>
  <c r="T28" i="2"/>
  <c r="N26" i="6"/>
  <c r="AB68" i="12" s="1"/>
  <c r="P26" i="6"/>
  <c r="V24" i="6"/>
  <c r="AC66" i="12" s="1"/>
  <c r="T24" i="6"/>
  <c r="AF28" i="6"/>
  <c r="I19" i="12" s="1"/>
  <c r="AC28" i="6"/>
  <c r="V39" i="6"/>
  <c r="T39" i="6"/>
  <c r="M20" i="2"/>
  <c r="Y20" i="2"/>
  <c r="Q20" i="2"/>
  <c r="U20" i="2"/>
  <c r="Z20" i="2" s="1"/>
  <c r="AA20" i="2" s="1"/>
  <c r="AE36" i="6"/>
  <c r="F27" i="11"/>
  <c r="AH20" i="2"/>
  <c r="AC39" i="2"/>
  <c r="O39" i="2"/>
  <c r="AF22" i="6"/>
  <c r="I13" i="12" s="1"/>
  <c r="AA22" i="6"/>
  <c r="C13" i="11"/>
  <c r="AC22" i="6"/>
  <c r="AB39" i="6"/>
  <c r="F30" i="12" s="1"/>
  <c r="O39" i="6"/>
  <c r="AB14" i="6"/>
  <c r="F5" i="12" s="1"/>
  <c r="O14" i="6"/>
  <c r="W39" i="2"/>
  <c r="W42" i="2"/>
  <c r="M41" i="2"/>
  <c r="Y41" i="2"/>
  <c r="Q41" i="2"/>
  <c r="U41" i="2"/>
  <c r="Z41" i="2" s="1"/>
  <c r="AB23" i="6"/>
  <c r="F14" i="12" s="1"/>
  <c r="O23" i="6"/>
  <c r="AE37" i="6"/>
  <c r="F28" i="11"/>
  <c r="AE20" i="6"/>
  <c r="AG20" i="6" s="1"/>
  <c r="J11" i="12" s="1"/>
  <c r="F11" i="11"/>
  <c r="AB22" i="6"/>
  <c r="F13" i="12" s="1"/>
  <c r="O22" i="6"/>
  <c r="AC18" i="2"/>
  <c r="W33" i="2"/>
  <c r="V22" i="2"/>
  <c r="T22" i="2"/>
  <c r="W28" i="2"/>
  <c r="AF15" i="6"/>
  <c r="I6" i="12" s="1"/>
  <c r="C6" i="11"/>
  <c r="AD37" i="2"/>
  <c r="AE37" i="2" s="1"/>
  <c r="X37" i="2"/>
  <c r="S37" i="2"/>
  <c r="AF30" i="6"/>
  <c r="I21" i="12" s="1"/>
  <c r="AA30" i="6"/>
  <c r="C21" i="11"/>
  <c r="AC30" i="6"/>
  <c r="S30" i="6"/>
  <c r="AC34" i="2"/>
  <c r="O34" i="2"/>
  <c r="AH30" i="2"/>
  <c r="AD23" i="2"/>
  <c r="AE30" i="6"/>
  <c r="F21" i="11"/>
  <c r="AF36" i="2"/>
  <c r="AE36" i="2"/>
  <c r="T23" i="2"/>
  <c r="V23" i="2"/>
  <c r="AE41" i="6"/>
  <c r="F32" i="11"/>
  <c r="T28" i="6"/>
  <c r="AH36" i="2"/>
  <c r="L35" i="6"/>
  <c r="BU73" i="6"/>
  <c r="DF73" i="6" s="1"/>
  <c r="R35" i="6" s="1"/>
  <c r="DF35" i="6"/>
  <c r="V15" i="6"/>
  <c r="AC57" i="12" s="1"/>
  <c r="T15" i="6"/>
  <c r="O43" i="2"/>
  <c r="S43" i="2" s="1"/>
  <c r="AC43" i="2"/>
  <c r="AJ38" i="6"/>
  <c r="I29" i="11"/>
  <c r="AF37" i="2"/>
  <c r="AB24" i="6"/>
  <c r="F15" i="12" s="1"/>
  <c r="O24" i="6"/>
  <c r="V31" i="6"/>
  <c r="AC73" i="12" s="1"/>
  <c r="T31" i="6"/>
  <c r="Y30" i="2"/>
  <c r="Q30" i="2"/>
  <c r="U30" i="2"/>
  <c r="Z30" i="2" s="1"/>
  <c r="AA30" i="2" s="1"/>
  <c r="AF37" i="6"/>
  <c r="I28" i="12" s="1"/>
  <c r="AA37" i="6"/>
  <c r="C28" i="11"/>
  <c r="AC37" i="6"/>
  <c r="S37" i="6"/>
  <c r="O31" i="2"/>
  <c r="AC31" i="2"/>
  <c r="AD14" i="2"/>
  <c r="X14" i="2"/>
  <c r="AJ36" i="6"/>
  <c r="I27" i="11"/>
  <c r="O15" i="2"/>
  <c r="S15" i="2" s="1"/>
  <c r="AC15" i="2"/>
  <c r="AB18" i="6"/>
  <c r="F9" i="12" s="1"/>
  <c r="O18" i="6"/>
  <c r="V17" i="6"/>
  <c r="AC59" i="12" s="1"/>
  <c r="T17" i="6"/>
  <c r="AF21" i="6"/>
  <c r="I12" i="12" s="1"/>
  <c r="AA21" i="6"/>
  <c r="C12" i="11"/>
  <c r="AC21" i="6"/>
  <c r="X22" i="2"/>
  <c r="AD22" i="2"/>
  <c r="W24" i="2"/>
  <c r="W18" i="6"/>
  <c r="AF20" i="2"/>
  <c r="AE20" i="2"/>
  <c r="M36" i="6"/>
  <c r="Y36" i="6"/>
  <c r="Q36" i="6"/>
  <c r="U36" i="6"/>
  <c r="Z36" i="6" s="1"/>
  <c r="E27" i="12" s="1"/>
  <c r="AH38" i="2"/>
  <c r="AB21" i="6"/>
  <c r="F12" i="12" s="1"/>
  <c r="O21" i="6"/>
  <c r="AF41" i="2"/>
  <c r="W34" i="6"/>
  <c r="C25" i="12" s="1"/>
  <c r="AB31" i="6"/>
  <c r="F22" i="12" s="1"/>
  <c r="T9" i="12" s="1"/>
  <c r="U18" i="12" s="1"/>
  <c r="U20" i="12" s="1"/>
  <c r="O31" i="6"/>
  <c r="N33" i="6"/>
  <c r="W33" i="6" s="1"/>
  <c r="C24" i="12" s="1"/>
  <c r="P33" i="6"/>
  <c r="N29" i="6"/>
  <c r="AB71" i="12" s="1"/>
  <c r="P29" i="6"/>
  <c r="M38" i="2"/>
  <c r="Y38" i="2"/>
  <c r="Q38" i="2"/>
  <c r="U38" i="2"/>
  <c r="Z38" i="2" s="1"/>
  <c r="AA38" i="2" s="1"/>
  <c r="AF30" i="2"/>
  <c r="AE30" i="2"/>
  <c r="M38" i="6"/>
  <c r="Y38" i="6"/>
  <c r="Q38" i="6"/>
  <c r="U38" i="6"/>
  <c r="Z38" i="6" s="1"/>
  <c r="W40" i="6"/>
  <c r="C31" i="12" s="1"/>
  <c r="V42" i="6"/>
  <c r="T42" i="6"/>
  <c r="X41" i="2"/>
  <c r="S41" i="2"/>
  <c r="AD41" i="2"/>
  <c r="AE41" i="2" s="1"/>
  <c r="T31" i="2"/>
  <c r="V31" i="2"/>
  <c r="V34" i="6"/>
  <c r="T34" i="6"/>
  <c r="V40" i="2"/>
  <c r="T40" i="2"/>
  <c r="W43" i="6"/>
  <c r="V24" i="2"/>
  <c r="T24" i="2"/>
  <c r="N27" i="2"/>
  <c r="P27" i="2"/>
  <c r="M37" i="6"/>
  <c r="Y37" i="6"/>
  <c r="Q37" i="6"/>
  <c r="U37" i="6"/>
  <c r="Z37" i="6" s="1"/>
  <c r="W31" i="2"/>
  <c r="V14" i="2"/>
  <c r="T14" i="2"/>
  <c r="O22" i="2"/>
  <c r="AC22" i="2"/>
  <c r="T15" i="2"/>
  <c r="AC21" i="2"/>
  <c r="O21" i="2"/>
  <c r="S21" i="2" s="1"/>
  <c r="X25" i="2"/>
  <c r="AD25" i="2"/>
  <c r="AD43" i="2"/>
  <c r="X43" i="2"/>
  <c r="V40" i="6"/>
  <c r="T40" i="6"/>
  <c r="W14" i="6"/>
  <c r="S30" i="2"/>
  <c r="V18" i="6"/>
  <c r="AC60" i="12" s="1"/>
  <c r="T18" i="6"/>
  <c r="T42" i="2"/>
  <c r="V42" i="2"/>
  <c r="M36" i="2"/>
  <c r="Y36" i="2"/>
  <c r="Q36" i="2"/>
  <c r="U36" i="2"/>
  <c r="Z36" i="2" s="1"/>
  <c r="AA36" i="2" s="1"/>
  <c r="T17" i="2"/>
  <c r="O23" i="2"/>
  <c r="AC23" i="2"/>
  <c r="AF24" i="6"/>
  <c r="I15" i="12" s="1"/>
  <c r="M41" i="6"/>
  <c r="Y41" i="6"/>
  <c r="Q41" i="6"/>
  <c r="U41" i="6"/>
  <c r="AB28" i="6"/>
  <c r="F19" i="12" s="1"/>
  <c r="O28" i="6"/>
  <c r="AF25" i="6"/>
  <c r="I16" i="12" s="1"/>
  <c r="AA25" i="6"/>
  <c r="C16" i="11"/>
  <c r="S25" i="6"/>
  <c r="AC25" i="6"/>
  <c r="Z41" i="6"/>
  <c r="N27" i="6"/>
  <c r="P27" i="6"/>
  <c r="V25" i="6"/>
  <c r="AC67" i="12" s="1"/>
  <c r="T25" i="6"/>
  <c r="O15" i="6"/>
  <c r="S15" i="6" s="1"/>
  <c r="AC25" i="2"/>
  <c r="O25" i="2"/>
  <c r="M37" i="2"/>
  <c r="Y37" i="2"/>
  <c r="Q37" i="2"/>
  <c r="U37" i="2"/>
  <c r="Z37" i="2" s="1"/>
  <c r="V43" i="6"/>
  <c r="T43" i="6"/>
  <c r="S20" i="6"/>
  <c r="I11" i="11"/>
  <c r="AJ20" i="6"/>
  <c r="V16" i="2" l="1"/>
  <c r="S23" i="6"/>
  <c r="AA17" i="6"/>
  <c r="C19" i="11"/>
  <c r="C9" i="12"/>
  <c r="AA60" i="12"/>
  <c r="C6" i="12"/>
  <c r="AA57" i="12"/>
  <c r="Y32" i="6"/>
  <c r="Q32" i="6"/>
  <c r="U32" i="6"/>
  <c r="Z32" i="6" s="1"/>
  <c r="M32" i="6"/>
  <c r="C8" i="12"/>
  <c r="AA59" i="12"/>
  <c r="C16" i="12"/>
  <c r="AA67" i="12"/>
  <c r="AF33" i="12"/>
  <c r="AF49" i="12" s="1"/>
  <c r="F23" i="12"/>
  <c r="AE32" i="6"/>
  <c r="F23" i="11"/>
  <c r="T16" i="2"/>
  <c r="C7" i="12"/>
  <c r="AA58" i="12"/>
  <c r="AC16" i="6"/>
  <c r="AF16" i="6"/>
  <c r="AA16" i="6"/>
  <c r="C7" i="11"/>
  <c r="C14" i="12"/>
  <c r="AA65" i="12"/>
  <c r="O16" i="2"/>
  <c r="AC16" i="2"/>
  <c r="AF32" i="2"/>
  <c r="Z32" i="2"/>
  <c r="C19" i="12"/>
  <c r="AA70" i="12"/>
  <c r="W27" i="6"/>
  <c r="AA27" i="6" s="1"/>
  <c r="AB69" i="12"/>
  <c r="C15" i="12"/>
  <c r="AA66" i="12"/>
  <c r="C23" i="12"/>
  <c r="AF32" i="6"/>
  <c r="AA32" i="6"/>
  <c r="C23" i="11"/>
  <c r="AC32" i="6"/>
  <c r="S32" i="6"/>
  <c r="AA23" i="6"/>
  <c r="S32" i="2"/>
  <c r="M32" i="2"/>
  <c r="Y32" i="2"/>
  <c r="Q32" i="2"/>
  <c r="U32" i="2"/>
  <c r="C5" i="12"/>
  <c r="AA56" i="12"/>
  <c r="C22" i="12"/>
  <c r="T8" i="12" s="1"/>
  <c r="U21" i="12" s="1"/>
  <c r="AA73" i="12"/>
  <c r="AC24" i="6"/>
  <c r="AC31" i="6"/>
  <c r="C14" i="11"/>
  <c r="AB58" i="12"/>
  <c r="AB16" i="6"/>
  <c r="O16" i="6"/>
  <c r="AD32" i="2"/>
  <c r="AE32" i="2" s="1"/>
  <c r="X32" i="2"/>
  <c r="C12" i="12"/>
  <c r="AA63" i="12"/>
  <c r="C13" i="12"/>
  <c r="AA64" i="12"/>
  <c r="C15" i="11"/>
  <c r="AA31" i="6"/>
  <c r="AF23" i="6"/>
  <c r="I14" i="12" s="1"/>
  <c r="V16" i="6"/>
  <c r="AC58" i="12" s="1"/>
  <c r="T16" i="6"/>
  <c r="K31" i="12"/>
  <c r="L31" i="12" s="1"/>
  <c r="AH41" i="6"/>
  <c r="K31" i="11"/>
  <c r="L31" i="11" s="1"/>
  <c r="AC15" i="6"/>
  <c r="E29" i="11"/>
  <c r="E29" i="12"/>
  <c r="N27" i="11"/>
  <c r="N27" i="12"/>
  <c r="H11" i="11"/>
  <c r="H11" i="12"/>
  <c r="H27" i="11"/>
  <c r="H27" i="12"/>
  <c r="N32" i="11"/>
  <c r="N32" i="12"/>
  <c r="N11" i="11"/>
  <c r="N11" i="12"/>
  <c r="H21" i="11"/>
  <c r="H21" i="12"/>
  <c r="H28" i="11"/>
  <c r="H28" i="12"/>
  <c r="H32" i="11"/>
  <c r="H32" i="12"/>
  <c r="E11" i="11"/>
  <c r="E11" i="12"/>
  <c r="E21" i="11"/>
  <c r="E21" i="12"/>
  <c r="H29" i="11"/>
  <c r="H29" i="12"/>
  <c r="AF43" i="6"/>
  <c r="I34" i="12" s="1"/>
  <c r="C34" i="12"/>
  <c r="N29" i="11"/>
  <c r="N29" i="12"/>
  <c r="E28" i="11"/>
  <c r="E28" i="12"/>
  <c r="E32" i="11"/>
  <c r="E32" i="12"/>
  <c r="X38" i="6"/>
  <c r="AG36" i="6"/>
  <c r="J27" i="12" s="1"/>
  <c r="AF27" i="6"/>
  <c r="I18" i="12" s="1"/>
  <c r="C18" i="11"/>
  <c r="E27" i="11"/>
  <c r="X36" i="6"/>
  <c r="X31" i="2"/>
  <c r="S31" i="2"/>
  <c r="AD31" i="2"/>
  <c r="AE31" i="2" s="1"/>
  <c r="AF33" i="6"/>
  <c r="I24" i="12" s="1"/>
  <c r="AA33" i="6"/>
  <c r="C24" i="11"/>
  <c r="AC33" i="6"/>
  <c r="AH23" i="2"/>
  <c r="AE14" i="6"/>
  <c r="F5" i="11"/>
  <c r="Y17" i="2"/>
  <c r="Q17" i="2"/>
  <c r="U17" i="2"/>
  <c r="Z17" i="2" s="1"/>
  <c r="AA17" i="2" s="1"/>
  <c r="M18" i="6"/>
  <c r="Y18" i="6"/>
  <c r="Q18" i="6"/>
  <c r="U18" i="6"/>
  <c r="Z18" i="6" s="1"/>
  <c r="AE43" i="2"/>
  <c r="AF43" i="2"/>
  <c r="AF34" i="2"/>
  <c r="AE34" i="2"/>
  <c r="S28" i="2"/>
  <c r="X28" i="2"/>
  <c r="AD28" i="2"/>
  <c r="AE28" i="2" s="1"/>
  <c r="M22" i="6"/>
  <c r="Y22" i="6"/>
  <c r="Q22" i="6"/>
  <c r="U22" i="6"/>
  <c r="S42" i="2"/>
  <c r="X42" i="2"/>
  <c r="AD42" i="2"/>
  <c r="AE42" i="2" s="1"/>
  <c r="M39" i="6"/>
  <c r="Y39" i="6"/>
  <c r="Q39" i="6"/>
  <c r="U39" i="6"/>
  <c r="Z39" i="6" s="1"/>
  <c r="E30" i="12" s="1"/>
  <c r="M39" i="2"/>
  <c r="Y39" i="2"/>
  <c r="Q39" i="2"/>
  <c r="U39" i="2"/>
  <c r="Z39" i="2" s="1"/>
  <c r="V26" i="6"/>
  <c r="AC68" i="12" s="1"/>
  <c r="T26" i="6"/>
  <c r="AF42" i="6"/>
  <c r="I33" i="12" s="1"/>
  <c r="AA42" i="6"/>
  <c r="C33" i="11"/>
  <c r="AC42" i="6"/>
  <c r="S42" i="6"/>
  <c r="AH34" i="2"/>
  <c r="AE34" i="6"/>
  <c r="F25" i="11"/>
  <c r="M42" i="6"/>
  <c r="Y42" i="6"/>
  <c r="Q42" i="6"/>
  <c r="U42" i="6"/>
  <c r="Z42" i="6" s="1"/>
  <c r="AG41" i="6"/>
  <c r="J32" i="12" s="1"/>
  <c r="M25" i="6"/>
  <c r="Y25" i="6"/>
  <c r="Q25" i="6"/>
  <c r="U25" i="6"/>
  <c r="Z25" i="6" s="1"/>
  <c r="M28" i="2"/>
  <c r="Y28" i="2"/>
  <c r="Q28" i="2"/>
  <c r="U28" i="2"/>
  <c r="Z28" i="2" s="1"/>
  <c r="M17" i="6"/>
  <c r="Y17" i="6"/>
  <c r="Q17" i="6"/>
  <c r="U17" i="6"/>
  <c r="Z17" i="6" s="1"/>
  <c r="E8" i="12" s="1"/>
  <c r="S17" i="2"/>
  <c r="V33" i="2"/>
  <c r="T33" i="2"/>
  <c r="M43" i="6"/>
  <c r="Y43" i="6"/>
  <c r="Q43" i="6"/>
  <c r="U43" i="6"/>
  <c r="Z43" i="6" s="1"/>
  <c r="M40" i="2"/>
  <c r="Y40" i="2"/>
  <c r="Q40" i="2"/>
  <c r="U40" i="2"/>
  <c r="Z40" i="2" s="1"/>
  <c r="V19" i="2"/>
  <c r="T19" i="2"/>
  <c r="AH18" i="2"/>
  <c r="AH15" i="2"/>
  <c r="M25" i="2"/>
  <c r="Q25" i="2"/>
  <c r="U25" i="2"/>
  <c r="Z25" i="2" s="1"/>
  <c r="AA25" i="2" s="1"/>
  <c r="M28" i="6"/>
  <c r="Y28" i="6"/>
  <c r="Q28" i="6"/>
  <c r="U28" i="6"/>
  <c r="Z28" i="6" s="1"/>
  <c r="E19" i="12" s="1"/>
  <c r="AF21" i="2"/>
  <c r="AE21" i="2"/>
  <c r="AN20" i="2" s="1"/>
  <c r="AE22" i="2"/>
  <c r="AF22" i="2"/>
  <c r="O27" i="2"/>
  <c r="AC27" i="2"/>
  <c r="AD19" i="2"/>
  <c r="X19" i="2"/>
  <c r="M24" i="6"/>
  <c r="Y24" i="6"/>
  <c r="Q24" i="6"/>
  <c r="U24" i="6"/>
  <c r="Z24" i="6" s="1"/>
  <c r="E15" i="12" s="1"/>
  <c r="M34" i="2"/>
  <c r="Y34" i="2"/>
  <c r="Q34" i="2"/>
  <c r="U34" i="2"/>
  <c r="AE23" i="6"/>
  <c r="F14" i="11"/>
  <c r="AF42" i="2"/>
  <c r="V19" i="6"/>
  <c r="AC61" i="12" s="1"/>
  <c r="T19" i="6"/>
  <c r="AC29" i="2"/>
  <c r="O29" i="2"/>
  <c r="V26" i="2"/>
  <c r="T26" i="2"/>
  <c r="F34" i="11"/>
  <c r="AE43" i="6"/>
  <c r="AF40" i="2"/>
  <c r="AF25" i="2"/>
  <c r="AE25" i="2"/>
  <c r="AE28" i="6"/>
  <c r="F19" i="11"/>
  <c r="AH43" i="2"/>
  <c r="S25" i="2"/>
  <c r="M22" i="2"/>
  <c r="Y22" i="2"/>
  <c r="Q22" i="2"/>
  <c r="U22" i="2"/>
  <c r="Z22" i="2" s="1"/>
  <c r="AA22" i="2" s="1"/>
  <c r="M31" i="6"/>
  <c r="Y31" i="6"/>
  <c r="Q31" i="6"/>
  <c r="U31" i="6"/>
  <c r="Z31" i="6" s="1"/>
  <c r="E22" i="12" s="1"/>
  <c r="X24" i="2"/>
  <c r="S24" i="2"/>
  <c r="AD24" i="2"/>
  <c r="AE24" i="2" s="1"/>
  <c r="Q15" i="2"/>
  <c r="U15" i="2"/>
  <c r="AA15" i="2" s="1"/>
  <c r="AF31" i="2"/>
  <c r="M15" i="6"/>
  <c r="Y15" i="6"/>
  <c r="Q15" i="6"/>
  <c r="U15" i="6"/>
  <c r="Z15" i="6" s="1"/>
  <c r="X15" i="6" s="1"/>
  <c r="I15" i="11"/>
  <c r="AJ24" i="6"/>
  <c r="AF14" i="6"/>
  <c r="I5" i="12" s="1"/>
  <c r="AA14" i="6"/>
  <c r="C5" i="11"/>
  <c r="AC14" i="6"/>
  <c r="S14" i="6"/>
  <c r="AH25" i="2"/>
  <c r="T27" i="2"/>
  <c r="V27" i="2"/>
  <c r="AH41" i="2"/>
  <c r="AA41" i="2"/>
  <c r="V33" i="6"/>
  <c r="T33" i="6"/>
  <c r="F22" i="11"/>
  <c r="AE31" i="6"/>
  <c r="AG31" i="6" s="1"/>
  <c r="J22" i="12" s="1"/>
  <c r="M21" i="6"/>
  <c r="Y21" i="6"/>
  <c r="Q21" i="6"/>
  <c r="U21" i="6"/>
  <c r="Z21" i="6" s="1"/>
  <c r="E12" i="12" s="1"/>
  <c r="S21" i="6"/>
  <c r="AJ21" i="6"/>
  <c r="I12" i="11"/>
  <c r="AE18" i="6"/>
  <c r="F9" i="11"/>
  <c r="AI36" i="6"/>
  <c r="M27" i="12" s="1"/>
  <c r="J27" i="11"/>
  <c r="M31" i="2"/>
  <c r="Y31" i="2"/>
  <c r="Q31" i="2"/>
  <c r="U31" i="2"/>
  <c r="Z31" i="2" s="1"/>
  <c r="X37" i="6"/>
  <c r="X20" i="6"/>
  <c r="M43" i="2"/>
  <c r="Y43" i="2"/>
  <c r="Q43" i="2"/>
  <c r="U43" i="2"/>
  <c r="Z43" i="2" s="1"/>
  <c r="AA43" i="2" s="1"/>
  <c r="AM36" i="2"/>
  <c r="AN36" i="2"/>
  <c r="X30" i="6"/>
  <c r="AH37" i="2"/>
  <c r="AA37" i="2"/>
  <c r="AD33" i="2"/>
  <c r="X33" i="2"/>
  <c r="AE22" i="6"/>
  <c r="AG22" i="6" s="1"/>
  <c r="J13" i="12" s="1"/>
  <c r="F13" i="11"/>
  <c r="S39" i="2"/>
  <c r="X39" i="2"/>
  <c r="AD39" i="2"/>
  <c r="AE39" i="2" s="1"/>
  <c r="F30" i="11"/>
  <c r="AE39" i="6"/>
  <c r="AF39" i="2"/>
  <c r="AJ28" i="6"/>
  <c r="I19" i="11"/>
  <c r="AB26" i="6"/>
  <c r="F17" i="12" s="1"/>
  <c r="O26" i="6"/>
  <c r="S17" i="6"/>
  <c r="I8" i="11"/>
  <c r="AJ17" i="6"/>
  <c r="Z22" i="6"/>
  <c r="AF24" i="2"/>
  <c r="F33" i="11"/>
  <c r="AE42" i="6"/>
  <c r="AE25" i="6"/>
  <c r="F16" i="11"/>
  <c r="AE17" i="6"/>
  <c r="F8" i="11"/>
  <c r="AB19" i="6"/>
  <c r="F10" i="12" s="1"/>
  <c r="O19" i="6"/>
  <c r="Z34" i="2"/>
  <c r="AA34" i="2" s="1"/>
  <c r="AC26" i="2"/>
  <c r="O26" i="2"/>
  <c r="AC33" i="2"/>
  <c r="O33" i="2"/>
  <c r="S33" i="2" s="1"/>
  <c r="AD40" i="2"/>
  <c r="AE40" i="2" s="1"/>
  <c r="X40" i="2"/>
  <c r="S40" i="2"/>
  <c r="AH21" i="2"/>
  <c r="S39" i="6"/>
  <c r="AJ39" i="6"/>
  <c r="I30" i="11"/>
  <c r="J11" i="11"/>
  <c r="AI20" i="6"/>
  <c r="M11" i="12" s="1"/>
  <c r="AB27" i="6"/>
  <c r="F18" i="12" s="1"/>
  <c r="O27" i="6"/>
  <c r="S27" i="6" s="1"/>
  <c r="M23" i="2"/>
  <c r="Y23" i="2"/>
  <c r="Q23" i="2"/>
  <c r="U23" i="2"/>
  <c r="Z23" i="2" s="1"/>
  <c r="AA23" i="2" s="1"/>
  <c r="AB29" i="6"/>
  <c r="F20" i="12" s="1"/>
  <c r="O29" i="6"/>
  <c r="AA18" i="6"/>
  <c r="C9" i="11"/>
  <c r="AF18" i="6"/>
  <c r="I9" i="12" s="1"/>
  <c r="AC18" i="6"/>
  <c r="S18" i="6"/>
  <c r="AF15" i="2"/>
  <c r="AE15" i="2"/>
  <c r="AI38" i="6"/>
  <c r="M29" i="12" s="1"/>
  <c r="J29" i="11"/>
  <c r="N35" i="6"/>
  <c r="W35" i="6" s="1"/>
  <c r="C26" i="12" s="1"/>
  <c r="P35" i="6"/>
  <c r="AD26" i="2"/>
  <c r="X26" i="2"/>
  <c r="AJ15" i="6"/>
  <c r="I6" i="11"/>
  <c r="Y18" i="2"/>
  <c r="Q18" i="2"/>
  <c r="AA18" i="2"/>
  <c r="AE40" i="6"/>
  <c r="F31" i="11"/>
  <c r="M34" i="6"/>
  <c r="Y34" i="6"/>
  <c r="Q34" i="6"/>
  <c r="U34" i="6"/>
  <c r="Z34" i="6" s="1"/>
  <c r="AF28" i="2"/>
  <c r="M14" i="2"/>
  <c r="Y14" i="2"/>
  <c r="Q14" i="2"/>
  <c r="U14" i="2"/>
  <c r="Z14" i="2" s="1"/>
  <c r="AA14" i="2" s="1"/>
  <c r="W27" i="2"/>
  <c r="AE24" i="6"/>
  <c r="F15" i="11"/>
  <c r="AE15" i="6"/>
  <c r="F6" i="11"/>
  <c r="V27" i="6"/>
  <c r="AC69" i="12" s="1"/>
  <c r="T27" i="6"/>
  <c r="AJ25" i="6"/>
  <c r="I16" i="11"/>
  <c r="S24" i="6"/>
  <c r="AF23" i="2"/>
  <c r="AE23" i="2"/>
  <c r="M21" i="2"/>
  <c r="Q21" i="2"/>
  <c r="U21" i="2"/>
  <c r="AA21" i="2" s="1"/>
  <c r="C34" i="11"/>
  <c r="AA43" i="6"/>
  <c r="S43" i="6"/>
  <c r="AC43" i="6"/>
  <c r="AF40" i="6"/>
  <c r="I31" i="12" s="1"/>
  <c r="AA40" i="6"/>
  <c r="C31" i="11"/>
  <c r="AC40" i="6"/>
  <c r="S40" i="6"/>
  <c r="V29" i="6"/>
  <c r="T29" i="6"/>
  <c r="AB33" i="6"/>
  <c r="F24" i="12" s="1"/>
  <c r="O33" i="6"/>
  <c r="S33" i="6" s="1"/>
  <c r="AA34" i="6"/>
  <c r="C25" i="11"/>
  <c r="AF34" i="6"/>
  <c r="I25" i="12" s="1"/>
  <c r="AC34" i="6"/>
  <c r="S34" i="6"/>
  <c r="AE21" i="6"/>
  <c r="F12" i="11"/>
  <c r="S22" i="2"/>
  <c r="W29" i="2"/>
  <c r="AH14" i="2"/>
  <c r="AJ37" i="6"/>
  <c r="I28" i="11"/>
  <c r="AG37" i="6"/>
  <c r="X41" i="6"/>
  <c r="AM37" i="2"/>
  <c r="AN37" i="2"/>
  <c r="S23" i="2"/>
  <c r="AJ30" i="6"/>
  <c r="I21" i="11"/>
  <c r="AG30" i="6"/>
  <c r="J21" i="12" s="1"/>
  <c r="AF18" i="2"/>
  <c r="AE18" i="2"/>
  <c r="M23" i="6"/>
  <c r="Y23" i="6"/>
  <c r="Q23" i="6"/>
  <c r="U23" i="6"/>
  <c r="Z23" i="6" s="1"/>
  <c r="M14" i="6"/>
  <c r="Y14" i="6"/>
  <c r="Q14" i="6"/>
  <c r="U14" i="6"/>
  <c r="Z14" i="6" s="1"/>
  <c r="S22" i="6"/>
  <c r="I13" i="11"/>
  <c r="AJ22" i="6"/>
  <c r="W29" i="6"/>
  <c r="S28" i="6"/>
  <c r="M40" i="6"/>
  <c r="Y40" i="6"/>
  <c r="Q40" i="6"/>
  <c r="U40" i="6"/>
  <c r="Z40" i="6" s="1"/>
  <c r="S34" i="2"/>
  <c r="M24" i="2"/>
  <c r="Y24" i="2"/>
  <c r="Q24" i="2"/>
  <c r="U24" i="2"/>
  <c r="Z24" i="2" s="1"/>
  <c r="W26" i="6"/>
  <c r="AF17" i="2"/>
  <c r="AE17" i="2"/>
  <c r="M42" i="2"/>
  <c r="Y42" i="2"/>
  <c r="Q42" i="2"/>
  <c r="U42" i="2"/>
  <c r="Z42" i="2" s="1"/>
  <c r="V29" i="2"/>
  <c r="T29" i="2"/>
  <c r="AF14" i="2"/>
  <c r="AE14" i="2"/>
  <c r="W19" i="6"/>
  <c r="N35" i="2"/>
  <c r="W35" i="2" s="1"/>
  <c r="P35" i="2"/>
  <c r="AC19" i="2"/>
  <c r="O19" i="2"/>
  <c r="S31" i="6"/>
  <c r="I22" i="11"/>
  <c r="AJ31" i="6"/>
  <c r="I14" i="11"/>
  <c r="AJ23" i="6"/>
  <c r="M16" i="2" l="1"/>
  <c r="U16" i="2"/>
  <c r="Q16" i="2"/>
  <c r="AM20" i="2"/>
  <c r="AC27" i="6"/>
  <c r="I23" i="12"/>
  <c r="AG32" i="6"/>
  <c r="I23" i="11"/>
  <c r="AJ32" i="6"/>
  <c r="AB4" i="6"/>
  <c r="AC71" i="12"/>
  <c r="I7" i="12"/>
  <c r="AJ16" i="6"/>
  <c r="I7" i="11"/>
  <c r="AG16" i="6"/>
  <c r="BL16" i="6" s="1"/>
  <c r="C10" i="12"/>
  <c r="AA61" i="12"/>
  <c r="E23" i="11"/>
  <c r="E23" i="12"/>
  <c r="C20" i="12"/>
  <c r="AA71" i="12"/>
  <c r="S16" i="6"/>
  <c r="M16" i="6"/>
  <c r="Y16" i="6"/>
  <c r="U16" i="6"/>
  <c r="Z16" i="6" s="1"/>
  <c r="Q16" i="6"/>
  <c r="U22" i="12"/>
  <c r="AF16" i="2"/>
  <c r="H23" i="12"/>
  <c r="H23" i="11"/>
  <c r="AH32" i="2"/>
  <c r="AA32" i="2"/>
  <c r="S16" i="2"/>
  <c r="X16" i="2"/>
  <c r="AH16" i="2" s="1"/>
  <c r="AD16" i="2"/>
  <c r="AE16" i="2" s="1"/>
  <c r="F7" i="12"/>
  <c r="AE16" i="6"/>
  <c r="F7" i="11"/>
  <c r="C18" i="12"/>
  <c r="AA69" i="12"/>
  <c r="K32" i="12"/>
  <c r="L32" i="12" s="1"/>
  <c r="K32" i="11"/>
  <c r="L32" i="11" s="1"/>
  <c r="AH42" i="6"/>
  <c r="C17" i="12"/>
  <c r="AA68" i="12"/>
  <c r="X32" i="6"/>
  <c r="X14" i="6"/>
  <c r="D5" i="11" s="1"/>
  <c r="E14" i="11"/>
  <c r="E14" i="12"/>
  <c r="E13" i="11"/>
  <c r="E13" i="12"/>
  <c r="N22" i="11"/>
  <c r="N22" i="12"/>
  <c r="D32" i="11"/>
  <c r="D32" i="12"/>
  <c r="N16" i="11"/>
  <c r="N16" i="12"/>
  <c r="D6" i="11"/>
  <c r="D6" i="12"/>
  <c r="E16" i="11"/>
  <c r="E16" i="12"/>
  <c r="BM37" i="6"/>
  <c r="J28" i="12"/>
  <c r="H12" i="11"/>
  <c r="H12" i="12"/>
  <c r="E33" i="11"/>
  <c r="E33" i="12"/>
  <c r="E34" i="11"/>
  <c r="E34" i="12"/>
  <c r="D11" i="11"/>
  <c r="D11" i="12"/>
  <c r="H6" i="11"/>
  <c r="H6" i="12"/>
  <c r="H31" i="11"/>
  <c r="H31" i="12"/>
  <c r="N30" i="11"/>
  <c r="N30" i="12"/>
  <c r="H16" i="11"/>
  <c r="H16" i="12"/>
  <c r="H13" i="11"/>
  <c r="H13" i="12"/>
  <c r="N15" i="11"/>
  <c r="N15" i="12"/>
  <c r="H8" i="11"/>
  <c r="H8" i="12"/>
  <c r="H25" i="11"/>
  <c r="H25" i="12"/>
  <c r="N21" i="11"/>
  <c r="N21" i="12"/>
  <c r="N28" i="11"/>
  <c r="N28" i="12"/>
  <c r="N6" i="11"/>
  <c r="N6" i="12"/>
  <c r="N19" i="11"/>
  <c r="N19" i="12"/>
  <c r="D28" i="11"/>
  <c r="D28" i="12"/>
  <c r="H34" i="11"/>
  <c r="H34" i="12"/>
  <c r="E6" i="11"/>
  <c r="E6" i="12"/>
  <c r="E31" i="11"/>
  <c r="E31" i="12"/>
  <c r="H33" i="11"/>
  <c r="H33" i="12"/>
  <c r="N12" i="11"/>
  <c r="N12" i="12"/>
  <c r="H22" i="11"/>
  <c r="H22" i="12"/>
  <c r="D29" i="11"/>
  <c r="D29" i="12"/>
  <c r="H15" i="11"/>
  <c r="H15" i="12"/>
  <c r="H30" i="11"/>
  <c r="H30" i="12"/>
  <c r="H14" i="11"/>
  <c r="H14" i="12"/>
  <c r="D27" i="11"/>
  <c r="D27" i="12"/>
  <c r="E9" i="11"/>
  <c r="E9" i="12"/>
  <c r="N13" i="11"/>
  <c r="N13" i="12"/>
  <c r="N8" i="11"/>
  <c r="N8" i="12"/>
  <c r="D21" i="11"/>
  <c r="D21" i="12"/>
  <c r="H9" i="11"/>
  <c r="H9" i="12"/>
  <c r="N14" i="11"/>
  <c r="N14" i="12"/>
  <c r="E25" i="11"/>
  <c r="E25" i="12"/>
  <c r="H19" i="11"/>
  <c r="H19" i="12"/>
  <c r="H5" i="11"/>
  <c r="H5" i="12"/>
  <c r="E5" i="11"/>
  <c r="E5" i="12"/>
  <c r="X23" i="6"/>
  <c r="AG15" i="6"/>
  <c r="AG23" i="6"/>
  <c r="BM23" i="6" s="1"/>
  <c r="E22" i="11"/>
  <c r="X31" i="6"/>
  <c r="AN40" i="2"/>
  <c r="AM40" i="2"/>
  <c r="E19" i="11"/>
  <c r="X28" i="6"/>
  <c r="E30" i="11"/>
  <c r="X39" i="6"/>
  <c r="AM24" i="2"/>
  <c r="AN24" i="2"/>
  <c r="E12" i="11"/>
  <c r="X21" i="6"/>
  <c r="E8" i="11"/>
  <c r="X17" i="6"/>
  <c r="X35" i="2"/>
  <c r="AD35" i="2"/>
  <c r="E15" i="11"/>
  <c r="X24" i="6"/>
  <c r="AN31" i="2"/>
  <c r="AM31" i="2"/>
  <c r="AN30" i="2"/>
  <c r="AM30" i="2"/>
  <c r="AN14" i="2"/>
  <c r="AM14" i="2"/>
  <c r="AM13" i="2"/>
  <c r="AN13" i="2"/>
  <c r="M19" i="2"/>
  <c r="Y19" i="2"/>
  <c r="Q19" i="2"/>
  <c r="U19" i="2"/>
  <c r="Z19" i="2" s="1"/>
  <c r="AA19" i="2" s="1"/>
  <c r="AF26" i="6"/>
  <c r="I17" i="12" s="1"/>
  <c r="AA26" i="6"/>
  <c r="C17" i="11"/>
  <c r="AC26" i="6"/>
  <c r="S26" i="6"/>
  <c r="AF35" i="6"/>
  <c r="I26" i="12" s="1"/>
  <c r="C26" i="11"/>
  <c r="AA35" i="6"/>
  <c r="AC35" i="6"/>
  <c r="AJ43" i="6"/>
  <c r="I34" i="11"/>
  <c r="AG43" i="6"/>
  <c r="J34" i="12" s="1"/>
  <c r="AM23" i="2"/>
  <c r="AN23" i="2"/>
  <c r="M29" i="6"/>
  <c r="Y29" i="6"/>
  <c r="Q29" i="6"/>
  <c r="U29" i="6"/>
  <c r="Z29" i="6" s="1"/>
  <c r="AE27" i="6"/>
  <c r="AG27" i="6" s="1"/>
  <c r="J18" i="12" s="1"/>
  <c r="F18" i="11"/>
  <c r="M26" i="2"/>
  <c r="Y26" i="2"/>
  <c r="Q26" i="2"/>
  <c r="U26" i="2"/>
  <c r="Z26" i="2" s="1"/>
  <c r="AA26" i="2" s="1"/>
  <c r="AE26" i="6"/>
  <c r="F17" i="11"/>
  <c r="AM36" i="6"/>
  <c r="AN36" i="6" s="1"/>
  <c r="M27" i="11"/>
  <c r="AK36" i="6"/>
  <c r="AN42" i="2"/>
  <c r="AM42" i="2"/>
  <c r="S19" i="2"/>
  <c r="BM31" i="6"/>
  <c r="BL32" i="6"/>
  <c r="AI31" i="6"/>
  <c r="M22" i="12" s="1"/>
  <c r="BM32" i="6"/>
  <c r="J22" i="11"/>
  <c r="AF19" i="2"/>
  <c r="AE19" i="2"/>
  <c r="AM18" i="2" s="1"/>
  <c r="AF19" i="6"/>
  <c r="I10" i="12" s="1"/>
  <c r="C10" i="11"/>
  <c r="AA19" i="6"/>
  <c r="AC19" i="6"/>
  <c r="S19" i="6"/>
  <c r="AM17" i="2"/>
  <c r="AN17" i="2"/>
  <c r="AF29" i="6"/>
  <c r="I20" i="12" s="1"/>
  <c r="AA29" i="6"/>
  <c r="C20" i="11"/>
  <c r="S29" i="6"/>
  <c r="AC29" i="6"/>
  <c r="S29" i="2"/>
  <c r="X29" i="2"/>
  <c r="AD29" i="2"/>
  <c r="AE29" i="2" s="1"/>
  <c r="X34" i="6"/>
  <c r="X40" i="6"/>
  <c r="AG25" i="6"/>
  <c r="J16" i="12" s="1"/>
  <c r="AD27" i="2"/>
  <c r="AE27" i="2" s="1"/>
  <c r="S27" i="2"/>
  <c r="X27" i="2"/>
  <c r="AG18" i="6"/>
  <c r="J9" i="12" s="1"/>
  <c r="AJ18" i="6"/>
  <c r="I9" i="11"/>
  <c r="AE29" i="6"/>
  <c r="F20" i="11"/>
  <c r="AG39" i="6"/>
  <c r="J30" i="12" s="1"/>
  <c r="AE26" i="2"/>
  <c r="AF26" i="2"/>
  <c r="AG17" i="6"/>
  <c r="J8" i="12" s="1"/>
  <c r="AG28" i="6"/>
  <c r="J19" i="12" s="1"/>
  <c r="I5" i="11"/>
  <c r="AJ14" i="6"/>
  <c r="AG14" i="6"/>
  <c r="J5" i="12" s="1"/>
  <c r="X25" i="6"/>
  <c r="AF29" i="2"/>
  <c r="AF27" i="2"/>
  <c r="AN21" i="2"/>
  <c r="AM21" i="2"/>
  <c r="AI41" i="6"/>
  <c r="M32" i="12" s="1"/>
  <c r="J32" i="11"/>
  <c r="AH42" i="2"/>
  <c r="AA42" i="2"/>
  <c r="AA28" i="2"/>
  <c r="AH28" i="2"/>
  <c r="AJ27" i="6"/>
  <c r="I18" i="11"/>
  <c r="O35" i="2"/>
  <c r="S35" i="2" s="1"/>
  <c r="AC35" i="2"/>
  <c r="AI30" i="6"/>
  <c r="M21" i="12" s="1"/>
  <c r="J21" i="11"/>
  <c r="BL31" i="6"/>
  <c r="BM38" i="6"/>
  <c r="BL38" i="6"/>
  <c r="J28" i="11"/>
  <c r="AI37" i="6"/>
  <c r="M28" i="12" s="1"/>
  <c r="AK38" i="6"/>
  <c r="AM38" i="6"/>
  <c r="AN38" i="6" s="1"/>
  <c r="M29" i="11"/>
  <c r="AA40" i="2"/>
  <c r="AH40" i="2"/>
  <c r="F10" i="11"/>
  <c r="AE19" i="6"/>
  <c r="AM39" i="2"/>
  <c r="AN39" i="2"/>
  <c r="M29" i="2"/>
  <c r="Y29" i="2"/>
  <c r="Q29" i="2"/>
  <c r="U29" i="2"/>
  <c r="Z29" i="2" s="1"/>
  <c r="AN22" i="2"/>
  <c r="AM22" i="2"/>
  <c r="V35" i="2"/>
  <c r="T35" i="2"/>
  <c r="M33" i="6"/>
  <c r="Y33" i="6"/>
  <c r="Q33" i="6"/>
  <c r="U33" i="6"/>
  <c r="Z33" i="6" s="1"/>
  <c r="E24" i="12" s="1"/>
  <c r="AJ40" i="6"/>
  <c r="I31" i="11"/>
  <c r="AG40" i="6"/>
  <c r="J31" i="12" s="1"/>
  <c r="X43" i="6"/>
  <c r="AH26" i="2"/>
  <c r="V35" i="6"/>
  <c r="T35" i="6"/>
  <c r="M33" i="2"/>
  <c r="Y33" i="2"/>
  <c r="Q33" i="2"/>
  <c r="U33" i="2"/>
  <c r="Z33" i="2" s="1"/>
  <c r="AA33" i="2" s="1"/>
  <c r="AN38" i="2"/>
  <c r="X22" i="6"/>
  <c r="AA39" i="2"/>
  <c r="AH39" i="2"/>
  <c r="AH33" i="2"/>
  <c r="AH24" i="2"/>
  <c r="AA24" i="2"/>
  <c r="AH19" i="2"/>
  <c r="M27" i="2"/>
  <c r="Y27" i="2"/>
  <c r="Q27" i="2"/>
  <c r="U27" i="2"/>
  <c r="Z27" i="2" s="1"/>
  <c r="X42" i="6"/>
  <c r="AN43" i="2"/>
  <c r="AM43" i="2"/>
  <c r="AA31" i="2"/>
  <c r="AH31" i="2"/>
  <c r="AM41" i="2"/>
  <c r="J13" i="11"/>
  <c r="AI22" i="6"/>
  <c r="M13" i="12" s="1"/>
  <c r="AG34" i="6"/>
  <c r="J25" i="12" s="1"/>
  <c r="AJ34" i="6"/>
  <c r="I25" i="11"/>
  <c r="AE33" i="6"/>
  <c r="AG33" i="6" s="1"/>
  <c r="J24" i="12" s="1"/>
  <c r="F24" i="11"/>
  <c r="S26" i="2"/>
  <c r="O35" i="6"/>
  <c r="S35" i="6" s="1"/>
  <c r="AB35" i="6"/>
  <c r="F26" i="12" s="1"/>
  <c r="X18" i="6"/>
  <c r="M27" i="6"/>
  <c r="Y27" i="6"/>
  <c r="Q27" i="6"/>
  <c r="U27" i="6"/>
  <c r="Z27" i="6" s="1"/>
  <c r="E18" i="12" s="1"/>
  <c r="AM20" i="6"/>
  <c r="AN20" i="6" s="1"/>
  <c r="AK20" i="6"/>
  <c r="M11" i="11"/>
  <c r="AF33" i="2"/>
  <c r="AE33" i="2"/>
  <c r="M19" i="6"/>
  <c r="Y19" i="6"/>
  <c r="Q19" i="6"/>
  <c r="U19" i="6"/>
  <c r="Z19" i="6" s="1"/>
  <c r="AM38" i="2"/>
  <c r="M26" i="6"/>
  <c r="Y26" i="6"/>
  <c r="Q26" i="6"/>
  <c r="U26" i="6"/>
  <c r="Z26" i="6" s="1"/>
  <c r="BL37" i="6"/>
  <c r="AG21" i="6"/>
  <c r="J12" i="12" s="1"/>
  <c r="AG24" i="6"/>
  <c r="AJ42" i="6"/>
  <c r="AG42" i="6"/>
  <c r="J33" i="12" s="1"/>
  <c r="I33" i="11"/>
  <c r="AJ33" i="6"/>
  <c r="I24" i="11"/>
  <c r="AN41" i="2"/>
  <c r="D5" i="12" l="1"/>
  <c r="AN28" i="2"/>
  <c r="AM28" i="2"/>
  <c r="AN18" i="2"/>
  <c r="AM16" i="2"/>
  <c r="AM15" i="2"/>
  <c r="AN15" i="2"/>
  <c r="AN16" i="2"/>
  <c r="D23" i="12"/>
  <c r="D23" i="11"/>
  <c r="E7" i="12"/>
  <c r="E7" i="11"/>
  <c r="N23" i="11"/>
  <c r="N23" i="12"/>
  <c r="K33" i="12"/>
  <c r="L33" i="12" s="1"/>
  <c r="K33" i="11"/>
  <c r="L33" i="11" s="1"/>
  <c r="AH43" i="6"/>
  <c r="J7" i="12"/>
  <c r="AI16" i="6"/>
  <c r="J7" i="11"/>
  <c r="J23" i="12"/>
  <c r="J23" i="11"/>
  <c r="AI32" i="6"/>
  <c r="H7" i="11"/>
  <c r="H7" i="12"/>
  <c r="N7" i="11"/>
  <c r="N7" i="12"/>
  <c r="X16" i="6"/>
  <c r="N9" i="11"/>
  <c r="N9" i="12"/>
  <c r="D31" i="11"/>
  <c r="D31" i="12"/>
  <c r="H17" i="11"/>
  <c r="H17" i="12"/>
  <c r="E10" i="11"/>
  <c r="E10" i="12"/>
  <c r="D12" i="11"/>
  <c r="D12" i="12"/>
  <c r="N24" i="11"/>
  <c r="N24" i="12"/>
  <c r="E20" i="11"/>
  <c r="E20" i="12"/>
  <c r="H18" i="11"/>
  <c r="H18" i="12"/>
  <c r="D15" i="11"/>
  <c r="D15" i="12"/>
  <c r="D22" i="11"/>
  <c r="D22" i="12"/>
  <c r="E17" i="11"/>
  <c r="E17" i="12"/>
  <c r="H24" i="11"/>
  <c r="H24" i="12"/>
  <c r="N31" i="11"/>
  <c r="N31" i="12"/>
  <c r="O29" i="11"/>
  <c r="O29" i="12"/>
  <c r="D25" i="11"/>
  <c r="D25" i="12"/>
  <c r="N34" i="11"/>
  <c r="N34" i="12"/>
  <c r="BL24" i="6"/>
  <c r="J15" i="12"/>
  <c r="D33" i="11"/>
  <c r="D33" i="12"/>
  <c r="H20" i="11"/>
  <c r="H20" i="12"/>
  <c r="D34" i="11"/>
  <c r="D34" i="12"/>
  <c r="D9" i="11"/>
  <c r="D9" i="12"/>
  <c r="D30" i="11"/>
  <c r="D30" i="12"/>
  <c r="AI23" i="6"/>
  <c r="M14" i="12" s="1"/>
  <c r="J14" i="12"/>
  <c r="N18" i="11"/>
  <c r="N18" i="12"/>
  <c r="D13" i="11"/>
  <c r="D13" i="12"/>
  <c r="N33" i="11"/>
  <c r="N33" i="12"/>
  <c r="N25" i="11"/>
  <c r="N25" i="12"/>
  <c r="H10" i="11"/>
  <c r="H10" i="12"/>
  <c r="D16" i="11"/>
  <c r="D16" i="12"/>
  <c r="O27" i="11"/>
  <c r="O27" i="12"/>
  <c r="AI15" i="6"/>
  <c r="J6" i="12"/>
  <c r="O11" i="11"/>
  <c r="O11" i="12"/>
  <c r="D8" i="11"/>
  <c r="D8" i="12"/>
  <c r="D19" i="11"/>
  <c r="D19" i="12"/>
  <c r="D14" i="11"/>
  <c r="D14" i="12"/>
  <c r="N5" i="11"/>
  <c r="N5" i="12"/>
  <c r="BL23" i="6"/>
  <c r="J14" i="11"/>
  <c r="BM16" i="6"/>
  <c r="J6" i="11"/>
  <c r="E18" i="11"/>
  <c r="X27" i="6"/>
  <c r="E24" i="11"/>
  <c r="X33" i="6"/>
  <c r="AN27" i="2"/>
  <c r="AM27" i="2"/>
  <c r="AI21" i="6"/>
  <c r="M12" i="12" s="1"/>
  <c r="J12" i="11"/>
  <c r="BL22" i="6"/>
  <c r="BM22" i="6"/>
  <c r="BM21" i="6"/>
  <c r="BL21" i="6"/>
  <c r="AE35" i="6"/>
  <c r="F26" i="11"/>
  <c r="AK23" i="6"/>
  <c r="I20" i="11"/>
  <c r="AG29" i="6"/>
  <c r="AJ29" i="6"/>
  <c r="I17" i="11"/>
  <c r="AJ26" i="6"/>
  <c r="AG26" i="6"/>
  <c r="J17" i="12" s="1"/>
  <c r="AH35" i="2"/>
  <c r="BL43" i="6"/>
  <c r="BM43" i="6"/>
  <c r="J33" i="11"/>
  <c r="AI42" i="6"/>
  <c r="M33" i="12" s="1"/>
  <c r="M35" i="6"/>
  <c r="Y35" i="6"/>
  <c r="Q35" i="6"/>
  <c r="U35" i="6"/>
  <c r="Z35" i="6" s="1"/>
  <c r="E26" i="12" s="1"/>
  <c r="BM41" i="6"/>
  <c r="BL41" i="6"/>
  <c r="J31" i="11"/>
  <c r="AI40" i="6"/>
  <c r="M31" i="12" s="1"/>
  <c r="AR38" i="6"/>
  <c r="AO38" i="6"/>
  <c r="AP38" i="6" s="1"/>
  <c r="AS38" i="6" s="1"/>
  <c r="BA38" i="6" s="1"/>
  <c r="M21" i="11"/>
  <c r="AK30" i="6"/>
  <c r="AM30" i="6"/>
  <c r="AN30" i="6" s="1"/>
  <c r="BM42" i="6"/>
  <c r="AN26" i="2"/>
  <c r="AM26" i="2"/>
  <c r="AI25" i="6"/>
  <c r="M16" i="12" s="1"/>
  <c r="J16" i="11"/>
  <c r="X19" i="6"/>
  <c r="BM34" i="6"/>
  <c r="J24" i="11"/>
  <c r="AI33" i="6"/>
  <c r="M24" i="12" s="1"/>
  <c r="BL34" i="6"/>
  <c r="BL33" i="6"/>
  <c r="BM33" i="6"/>
  <c r="AK22" i="6"/>
  <c r="AM22" i="6"/>
  <c r="AN22" i="6" s="1"/>
  <c r="M13" i="11"/>
  <c r="BM28" i="6"/>
  <c r="J18" i="11"/>
  <c r="BL28" i="6"/>
  <c r="AI27" i="6"/>
  <c r="M18" i="12" s="1"/>
  <c r="AN19" i="2"/>
  <c r="AM19" i="2"/>
  <c r="AM31" i="6"/>
  <c r="AN31" i="6" s="1"/>
  <c r="AK31" i="6"/>
  <c r="M22" i="11"/>
  <c r="J34" i="11"/>
  <c r="AI43" i="6"/>
  <c r="M34" i="12" s="1"/>
  <c r="AI24" i="6"/>
  <c r="M15" i="12" s="1"/>
  <c r="J15" i="11"/>
  <c r="BL25" i="6"/>
  <c r="BM25" i="6"/>
  <c r="AM33" i="2"/>
  <c r="AN33" i="2"/>
  <c r="AN32" i="2"/>
  <c r="AM32" i="2"/>
  <c r="AR20" i="6"/>
  <c r="AO20" i="6"/>
  <c r="AP20" i="6" s="1"/>
  <c r="AS20" i="6" s="1"/>
  <c r="BA20" i="6" s="1"/>
  <c r="AI34" i="6"/>
  <c r="M25" i="12" s="1"/>
  <c r="J25" i="11"/>
  <c r="BM24" i="6"/>
  <c r="M6" i="11"/>
  <c r="AM15" i="6"/>
  <c r="AN15" i="6" s="1"/>
  <c r="AE35" i="2"/>
  <c r="AF35" i="2"/>
  <c r="M32" i="11"/>
  <c r="AM41" i="6"/>
  <c r="AN41" i="6" s="1"/>
  <c r="AK41" i="6"/>
  <c r="AI14" i="6"/>
  <c r="M5" i="12" s="1"/>
  <c r="BL15" i="6"/>
  <c r="J5" i="11"/>
  <c r="BL14" i="6"/>
  <c r="BM15" i="6"/>
  <c r="BM14" i="6"/>
  <c r="J19" i="11"/>
  <c r="AI28" i="6"/>
  <c r="M19" i="12" s="1"/>
  <c r="BL40" i="6"/>
  <c r="J30" i="11"/>
  <c r="BM40" i="6"/>
  <c r="AI39" i="6"/>
  <c r="M30" i="12" s="1"/>
  <c r="BM39" i="6"/>
  <c r="BL39" i="6"/>
  <c r="AH27" i="2"/>
  <c r="AA27" i="2"/>
  <c r="AH29" i="2"/>
  <c r="AA29" i="2"/>
  <c r="AN25" i="2"/>
  <c r="AR36" i="6"/>
  <c r="AO36" i="6"/>
  <c r="AP36" i="6" s="1"/>
  <c r="AS36" i="6" s="1"/>
  <c r="BA36" i="6" s="1"/>
  <c r="AM37" i="6"/>
  <c r="AN37" i="6" s="1"/>
  <c r="M28" i="11"/>
  <c r="AK37" i="6"/>
  <c r="M35" i="2"/>
  <c r="Y35" i="2"/>
  <c r="Q35" i="2"/>
  <c r="U35" i="2"/>
  <c r="Z35" i="2" s="1"/>
  <c r="AA35" i="2" s="1"/>
  <c r="BL42" i="6"/>
  <c r="AM29" i="2"/>
  <c r="AN29" i="2"/>
  <c r="J8" i="11"/>
  <c r="AI17" i="6"/>
  <c r="M8" i="12" s="1"/>
  <c r="BM18" i="6"/>
  <c r="BL18" i="6"/>
  <c r="BM17" i="6"/>
  <c r="BL17" i="6"/>
  <c r="AI18" i="6"/>
  <c r="M9" i="12" s="1"/>
  <c r="J9" i="11"/>
  <c r="X29" i="6"/>
  <c r="AJ19" i="6"/>
  <c r="I10" i="11"/>
  <c r="AG19" i="6"/>
  <c r="J10" i="12" s="1"/>
  <c r="AM25" i="2"/>
  <c r="AJ35" i="6"/>
  <c r="I26" i="11"/>
  <c r="X26" i="6"/>
  <c r="M23" i="12" l="1"/>
  <c r="M23" i="11"/>
  <c r="AM32" i="6"/>
  <c r="AN32" i="6" s="1"/>
  <c r="AK32" i="6"/>
  <c r="K34" i="12"/>
  <c r="L34" i="12" s="1"/>
  <c r="K34" i="11"/>
  <c r="L34" i="11" s="1"/>
  <c r="AH45" i="6"/>
  <c r="AH46" i="6" s="1"/>
  <c r="D7" i="11"/>
  <c r="D7" i="12"/>
  <c r="M7" i="12"/>
  <c r="M7" i="11"/>
  <c r="AM16" i="6"/>
  <c r="AN16" i="6" s="1"/>
  <c r="AK16" i="6"/>
  <c r="O13" i="11"/>
  <c r="O13" i="12"/>
  <c r="BL26" i="6"/>
  <c r="O21" i="11"/>
  <c r="O21" i="12"/>
  <c r="AM23" i="6"/>
  <c r="AN23" i="6" s="1"/>
  <c r="D20" i="11"/>
  <c r="D20" i="12"/>
  <c r="O28" i="11"/>
  <c r="O28" i="12"/>
  <c r="BM26" i="6"/>
  <c r="D17" i="11"/>
  <c r="D17" i="12"/>
  <c r="H26" i="11"/>
  <c r="G38" i="11" s="1"/>
  <c r="H26" i="12"/>
  <c r="N17" i="11"/>
  <c r="N17" i="12"/>
  <c r="N20" i="11"/>
  <c r="J43" i="11" s="1"/>
  <c r="N20" i="12"/>
  <c r="D24" i="11"/>
  <c r="D24" i="12"/>
  <c r="N10" i="11"/>
  <c r="N10" i="12"/>
  <c r="O14" i="11"/>
  <c r="O14" i="12"/>
  <c r="N26" i="11"/>
  <c r="N26" i="12"/>
  <c r="BM29" i="6"/>
  <c r="J20" i="12"/>
  <c r="O22" i="11"/>
  <c r="O22" i="12"/>
  <c r="D18" i="11"/>
  <c r="D18" i="12"/>
  <c r="O32" i="11"/>
  <c r="O32" i="12"/>
  <c r="D10" i="11"/>
  <c r="D10" i="12"/>
  <c r="M14" i="11"/>
  <c r="AK15" i="6"/>
  <c r="M6" i="12"/>
  <c r="BL29" i="6"/>
  <c r="AG35" i="6"/>
  <c r="BM36" i="6" s="1"/>
  <c r="AU20" i="6"/>
  <c r="AW20" i="6" s="1"/>
  <c r="AZ20" i="6" s="1"/>
  <c r="BB20" i="6" s="1"/>
  <c r="BC20" i="6" s="1"/>
  <c r="AU38" i="6"/>
  <c r="AW38" i="6" s="1"/>
  <c r="AZ38" i="6" s="1"/>
  <c r="BB38" i="6" s="1"/>
  <c r="BC38" i="6" s="1"/>
  <c r="AU36" i="6"/>
  <c r="AW36" i="6" s="1"/>
  <c r="AZ36" i="6" s="1"/>
  <c r="BD36" i="6" s="1"/>
  <c r="E26" i="11"/>
  <c r="X35" i="6"/>
  <c r="AI19" i="6"/>
  <c r="M10" i="12" s="1"/>
  <c r="J10" i="11"/>
  <c r="BL20" i="6"/>
  <c r="BM20" i="6"/>
  <c r="AM17" i="6"/>
  <c r="AN17" i="6" s="1"/>
  <c r="AK17" i="6"/>
  <c r="M8" i="11"/>
  <c r="AK39" i="6"/>
  <c r="AM39" i="6"/>
  <c r="AN39" i="6" s="1"/>
  <c r="M30" i="11"/>
  <c r="BM19" i="6"/>
  <c r="BE20" i="6"/>
  <c r="AK33" i="6"/>
  <c r="AM33" i="6"/>
  <c r="AN33" i="6" s="1"/>
  <c r="M24" i="11"/>
  <c r="AM40" i="6"/>
  <c r="AN40" i="6" s="1"/>
  <c r="AK40" i="6"/>
  <c r="M31" i="11"/>
  <c r="AK42" i="6"/>
  <c r="AM42" i="6"/>
  <c r="AN42" i="6" s="1"/>
  <c r="M33" i="11"/>
  <c r="AT36" i="6"/>
  <c r="AM35" i="2"/>
  <c r="AN35" i="2"/>
  <c r="AM34" i="2"/>
  <c r="AN34" i="2"/>
  <c r="AM34" i="6"/>
  <c r="AN34" i="6" s="1"/>
  <c r="AK34" i="6"/>
  <c r="M25" i="11"/>
  <c r="M15" i="11"/>
  <c r="AK24" i="6"/>
  <c r="AM24" i="6"/>
  <c r="AN24" i="6" s="1"/>
  <c r="M18" i="11"/>
  <c r="AK27" i="6"/>
  <c r="AM27" i="6"/>
  <c r="AN27" i="6" s="1"/>
  <c r="M16" i="11"/>
  <c r="AK25" i="6"/>
  <c r="AM25" i="6"/>
  <c r="AN25" i="6" s="1"/>
  <c r="AR30" i="6"/>
  <c r="AO30" i="6"/>
  <c r="AP30" i="6" s="1"/>
  <c r="AS30" i="6" s="1"/>
  <c r="BA30" i="6" s="1"/>
  <c r="AT38" i="6"/>
  <c r="BL19" i="6"/>
  <c r="AY20" i="6"/>
  <c r="AO22" i="6"/>
  <c r="AP22" i="6" s="1"/>
  <c r="AS22" i="6" s="1"/>
  <c r="BA22" i="6" s="1"/>
  <c r="AR22" i="6"/>
  <c r="AM21" i="6"/>
  <c r="AN21" i="6" s="1"/>
  <c r="AK21" i="6"/>
  <c r="M12" i="11"/>
  <c r="AM28" i="6"/>
  <c r="AN28" i="6" s="1"/>
  <c r="M19" i="11"/>
  <c r="AK28" i="6"/>
  <c r="AM14" i="6"/>
  <c r="AN14" i="6" s="1"/>
  <c r="M5" i="11"/>
  <c r="AK14" i="6"/>
  <c r="AM18" i="6"/>
  <c r="AN18" i="6" s="1"/>
  <c r="M9" i="11"/>
  <c r="AK18" i="6"/>
  <c r="AO37" i="6"/>
  <c r="AP37" i="6" s="1"/>
  <c r="AS37" i="6" s="1"/>
  <c r="BA37" i="6" s="1"/>
  <c r="AR37" i="6"/>
  <c r="BE36" i="6"/>
  <c r="AO41" i="6"/>
  <c r="AP41" i="6" s="1"/>
  <c r="AS41" i="6" s="1"/>
  <c r="BA41" i="6" s="1"/>
  <c r="AR41" i="6"/>
  <c r="AR15" i="6"/>
  <c r="AO15" i="6"/>
  <c r="AP15" i="6" s="1"/>
  <c r="AS15" i="6" s="1"/>
  <c r="BA15" i="6" s="1"/>
  <c r="AT20" i="6"/>
  <c r="M34" i="11"/>
  <c r="AK43" i="6"/>
  <c r="AM43" i="6"/>
  <c r="AN43" i="6" s="1"/>
  <c r="AO31" i="6"/>
  <c r="AP31" i="6" s="1"/>
  <c r="AS31" i="6" s="1"/>
  <c r="BA31" i="6" s="1"/>
  <c r="AR31" i="6"/>
  <c r="BE38" i="6"/>
  <c r="J17" i="11"/>
  <c r="AI26" i="6"/>
  <c r="M17" i="12" s="1"/>
  <c r="BL27" i="6"/>
  <c r="BM27" i="6"/>
  <c r="BM30" i="6"/>
  <c r="AI29" i="6"/>
  <c r="M20" i="12" s="1"/>
  <c r="BL30" i="6"/>
  <c r="J20" i="11"/>
  <c r="AO23" i="6"/>
  <c r="AP23" i="6" s="1"/>
  <c r="AS23" i="6" s="1"/>
  <c r="BA23" i="6" s="1"/>
  <c r="AR23" i="6"/>
  <c r="O7" i="11" l="1"/>
  <c r="O7" i="12"/>
  <c r="AR16" i="6"/>
  <c r="AO16" i="6"/>
  <c r="AP16" i="6" s="1"/>
  <c r="AS16" i="6" s="1"/>
  <c r="O23" i="11"/>
  <c r="O23" i="12"/>
  <c r="AR32" i="6"/>
  <c r="AO32" i="6"/>
  <c r="AP32" i="6" s="1"/>
  <c r="AS32" i="6" s="1"/>
  <c r="BM35" i="6"/>
  <c r="AN10" i="2"/>
  <c r="C46" i="2" s="1"/>
  <c r="I38" i="1" s="1"/>
  <c r="J38" i="1" s="1"/>
  <c r="K38" i="1" s="1"/>
  <c r="BL36" i="6"/>
  <c r="AM10" i="2"/>
  <c r="C45" i="2" s="1"/>
  <c r="I37" i="1" s="1"/>
  <c r="J37" i="1" s="1"/>
  <c r="M37" i="1" s="1"/>
  <c r="O33" i="11"/>
  <c r="O33" i="12"/>
  <c r="O25" i="11"/>
  <c r="O25" i="12"/>
  <c r="O24" i="11"/>
  <c r="O24" i="12"/>
  <c r="O8" i="11"/>
  <c r="O8" i="12"/>
  <c r="O9" i="11"/>
  <c r="O9" i="12"/>
  <c r="O6" i="12"/>
  <c r="O6" i="11"/>
  <c r="O18" i="11"/>
  <c r="O18" i="12"/>
  <c r="O31" i="11"/>
  <c r="O31" i="12"/>
  <c r="O15" i="11"/>
  <c r="O15" i="12"/>
  <c r="O30" i="11"/>
  <c r="O30" i="12"/>
  <c r="BL35" i="6"/>
  <c r="BL11" i="6" s="1"/>
  <c r="C45" i="6" s="1"/>
  <c r="AQ45" i="6" s="1"/>
  <c r="BG45" i="6" s="1"/>
  <c r="J26" i="12"/>
  <c r="O19" i="11"/>
  <c r="O19" i="12"/>
  <c r="D26" i="11"/>
  <c r="D26" i="12"/>
  <c r="M37" i="11"/>
  <c r="N37" i="11" s="1"/>
  <c r="O37" i="11" s="1"/>
  <c r="O38" i="11" s="1"/>
  <c r="O39" i="11" s="1"/>
  <c r="AI35" i="6"/>
  <c r="M26" i="12" s="1"/>
  <c r="O34" i="11"/>
  <c r="O34" i="12"/>
  <c r="O12" i="11"/>
  <c r="O12" i="12"/>
  <c r="J26" i="11"/>
  <c r="O16" i="11"/>
  <c r="O16" i="12"/>
  <c r="O5" i="11"/>
  <c r="O5" i="12"/>
  <c r="AY38" i="6"/>
  <c r="AT30" i="6"/>
  <c r="AU37" i="6"/>
  <c r="AW37" i="6" s="1"/>
  <c r="AZ37" i="6" s="1"/>
  <c r="BD37" i="6" s="1"/>
  <c r="AU41" i="6"/>
  <c r="AW41" i="6" s="1"/>
  <c r="AZ41" i="6" s="1"/>
  <c r="BD41" i="6" s="1"/>
  <c r="BM11" i="6"/>
  <c r="C46" i="6" s="1"/>
  <c r="AQ46" i="6" s="1"/>
  <c r="BG46" i="6" s="1"/>
  <c r="AT15" i="6"/>
  <c r="AU30" i="6"/>
  <c r="AW30" i="6" s="1"/>
  <c r="AY30" i="6" s="1"/>
  <c r="AY36" i="6"/>
  <c r="AU31" i="6"/>
  <c r="AW31" i="6" s="1"/>
  <c r="AY31" i="6" s="1"/>
  <c r="BF36" i="6"/>
  <c r="BH36" i="6" s="1"/>
  <c r="AT37" i="6"/>
  <c r="AR14" i="6"/>
  <c r="AO14" i="6"/>
  <c r="AP14" i="6" s="1"/>
  <c r="AS14" i="6" s="1"/>
  <c r="BA14" i="6" s="1"/>
  <c r="AO17" i="6"/>
  <c r="AP17" i="6" s="1"/>
  <c r="AS17" i="6" s="1"/>
  <c r="BA17" i="6" s="1"/>
  <c r="AR17" i="6"/>
  <c r="AK19" i="6"/>
  <c r="M10" i="11"/>
  <c r="AM19" i="6"/>
  <c r="AN19" i="6" s="1"/>
  <c r="AU23" i="6"/>
  <c r="AW23" i="6" s="1"/>
  <c r="BE15" i="6"/>
  <c r="AO18" i="6"/>
  <c r="AP18" i="6" s="1"/>
  <c r="AS18" i="6" s="1"/>
  <c r="BA18" i="6" s="1"/>
  <c r="AR18" i="6"/>
  <c r="AO21" i="6"/>
  <c r="AP21" i="6" s="1"/>
  <c r="AS21" i="6" s="1"/>
  <c r="BA21" i="6" s="1"/>
  <c r="AR21" i="6"/>
  <c r="BE22" i="6"/>
  <c r="M26" i="11"/>
  <c r="BE30" i="6"/>
  <c r="AR24" i="6"/>
  <c r="AO24" i="6"/>
  <c r="AP24" i="6" s="1"/>
  <c r="AS24" i="6" s="1"/>
  <c r="BA24" i="6" s="1"/>
  <c r="AY41" i="6"/>
  <c r="BE31" i="6"/>
  <c r="BE41" i="6"/>
  <c r="BE37" i="6"/>
  <c r="AT22" i="6"/>
  <c r="AR27" i="6"/>
  <c r="AO27" i="6"/>
  <c r="AP27" i="6" s="1"/>
  <c r="AS27" i="6" s="1"/>
  <c r="BA27" i="6" s="1"/>
  <c r="AR34" i="6"/>
  <c r="AO34" i="6"/>
  <c r="AP34" i="6" s="1"/>
  <c r="AS34" i="6" s="1"/>
  <c r="BA34" i="6" s="1"/>
  <c r="BE23" i="6"/>
  <c r="AZ31" i="6"/>
  <c r="BB31" i="6" s="1"/>
  <c r="BC31" i="6" s="1"/>
  <c r="BF38" i="6"/>
  <c r="BH38" i="6" s="1"/>
  <c r="BD38" i="6"/>
  <c r="AT23" i="6"/>
  <c r="M20" i="11"/>
  <c r="AK29" i="6"/>
  <c r="AM29" i="6"/>
  <c r="AN29" i="6" s="1"/>
  <c r="AK26" i="6"/>
  <c r="AM26" i="6"/>
  <c r="AN26" i="6" s="1"/>
  <c r="M17" i="11"/>
  <c r="AT31" i="6"/>
  <c r="AR43" i="6"/>
  <c r="AO43" i="6"/>
  <c r="AP43" i="6" s="1"/>
  <c r="AS43" i="6" s="1"/>
  <c r="BA43" i="6" s="1"/>
  <c r="AU15" i="6"/>
  <c r="AW15" i="6" s="1"/>
  <c r="AT41" i="6"/>
  <c r="BB36" i="6"/>
  <c r="BC36" i="6" s="1"/>
  <c r="AR28" i="6"/>
  <c r="AO28" i="6"/>
  <c r="AP28" i="6" s="1"/>
  <c r="AS28" i="6" s="1"/>
  <c r="BA28" i="6" s="1"/>
  <c r="AU22" i="6"/>
  <c r="AW22" i="6" s="1"/>
  <c r="BF20" i="6"/>
  <c r="BH20" i="6" s="1"/>
  <c r="BD20" i="6"/>
  <c r="AR25" i="6"/>
  <c r="AO25" i="6"/>
  <c r="AP25" i="6" s="1"/>
  <c r="AS25" i="6" s="1"/>
  <c r="BA25" i="6" s="1"/>
  <c r="AO42" i="6"/>
  <c r="AP42" i="6" s="1"/>
  <c r="AS42" i="6" s="1"/>
  <c r="BA42" i="6" s="1"/>
  <c r="AR42" i="6"/>
  <c r="AO40" i="6"/>
  <c r="AP40" i="6" s="1"/>
  <c r="AS40" i="6" s="1"/>
  <c r="BA40" i="6" s="1"/>
  <c r="AR40" i="6"/>
  <c r="AO33" i="6"/>
  <c r="AP33" i="6" s="1"/>
  <c r="AS33" i="6" s="1"/>
  <c r="BA33" i="6" s="1"/>
  <c r="AR33" i="6"/>
  <c r="AO39" i="6"/>
  <c r="AP39" i="6" s="1"/>
  <c r="AS39" i="6" s="1"/>
  <c r="BA39" i="6" s="1"/>
  <c r="AR39" i="6"/>
  <c r="B45" i="2" l="1"/>
  <c r="J45" i="2" s="1"/>
  <c r="B45" i="6"/>
  <c r="J45" i="6" s="1"/>
  <c r="L38" i="1"/>
  <c r="K37" i="1"/>
  <c r="L37" i="1"/>
  <c r="M38" i="1"/>
  <c r="N38" i="1" s="1"/>
  <c r="B46" i="6"/>
  <c r="J46" i="6" s="1"/>
  <c r="B46" i="2"/>
  <c r="J46" i="2" s="1"/>
  <c r="BA32" i="6"/>
  <c r="BE32" i="6" s="1"/>
  <c r="AU32" i="6"/>
  <c r="AW32" i="6" s="1"/>
  <c r="AT32" i="6"/>
  <c r="BA16" i="6"/>
  <c r="BE16" i="6" s="1"/>
  <c r="AU16" i="6"/>
  <c r="AW16" i="6" s="1"/>
  <c r="AY37" i="6"/>
  <c r="AT16" i="6"/>
  <c r="O20" i="11"/>
  <c r="K43" i="11" s="1"/>
  <c r="L43" i="11" s="1"/>
  <c r="O20" i="12"/>
  <c r="N38" i="11"/>
  <c r="N39" i="11" s="1"/>
  <c r="O10" i="11"/>
  <c r="O10" i="12"/>
  <c r="AM35" i="6"/>
  <c r="AN35" i="6" s="1"/>
  <c r="AO35" i="6" s="1"/>
  <c r="AP35" i="6" s="1"/>
  <c r="AS35" i="6" s="1"/>
  <c r="BA35" i="6" s="1"/>
  <c r="O17" i="11"/>
  <c r="O17" i="12"/>
  <c r="AK35" i="6"/>
  <c r="AZ30" i="6"/>
  <c r="BD30" i="6" s="1"/>
  <c r="BF41" i="6"/>
  <c r="BH41" i="6" s="1"/>
  <c r="AU27" i="6"/>
  <c r="AW27" i="6" s="1"/>
  <c r="AZ27" i="6" s="1"/>
  <c r="AT24" i="6"/>
  <c r="AT34" i="6"/>
  <c r="AT21" i="6"/>
  <c r="AU18" i="6"/>
  <c r="AW18" i="6" s="1"/>
  <c r="AZ18" i="6" s="1"/>
  <c r="BB18" i="6" s="1"/>
  <c r="BC18" i="6" s="1"/>
  <c r="AU34" i="6"/>
  <c r="AW34" i="6" s="1"/>
  <c r="AZ34" i="6" s="1"/>
  <c r="AT27" i="6"/>
  <c r="AU21" i="6"/>
  <c r="AW21" i="6" s="1"/>
  <c r="AY21" i="6" s="1"/>
  <c r="AT18" i="6"/>
  <c r="AU14" i="6"/>
  <c r="AW14" i="6" s="1"/>
  <c r="AY14" i="6" s="1"/>
  <c r="AT14" i="6"/>
  <c r="BE43" i="6"/>
  <c r="BE40" i="6"/>
  <c r="BB37" i="6"/>
  <c r="BC37" i="6" s="1"/>
  <c r="BE17" i="6"/>
  <c r="AZ22" i="6"/>
  <c r="BF22" i="6" s="1"/>
  <c r="BH22" i="6" s="1"/>
  <c r="AY22" i="6"/>
  <c r="AR26" i="6"/>
  <c r="AO26" i="6"/>
  <c r="AP26" i="6" s="1"/>
  <c r="AS26" i="6" s="1"/>
  <c r="BA26" i="6" s="1"/>
  <c r="BE33" i="6"/>
  <c r="BE42" i="6"/>
  <c r="AU28" i="6"/>
  <c r="AW28" i="6" s="1"/>
  <c r="AY15" i="6"/>
  <c r="AZ15" i="6"/>
  <c r="BF15" i="6" s="1"/>
  <c r="BH15" i="6" s="1"/>
  <c r="AU39" i="6"/>
  <c r="AW39" i="6" s="1"/>
  <c r="AU33" i="6"/>
  <c r="AW33" i="6" s="1"/>
  <c r="AU40" i="6"/>
  <c r="AW40" i="6" s="1"/>
  <c r="AU42" i="6"/>
  <c r="AW42" i="6" s="1"/>
  <c r="AU25" i="6"/>
  <c r="AW25" i="6" s="1"/>
  <c r="AT28" i="6"/>
  <c r="AU43" i="6"/>
  <c r="AW43" i="6" s="1"/>
  <c r="AR29" i="6"/>
  <c r="AO29" i="6"/>
  <c r="AP29" i="6" s="1"/>
  <c r="AS29" i="6" s="1"/>
  <c r="BA29" i="6" s="1"/>
  <c r="BE34" i="6"/>
  <c r="BE27" i="6"/>
  <c r="BF37" i="6"/>
  <c r="BH37" i="6" s="1"/>
  <c r="AU24" i="6"/>
  <c r="AW24" i="6" s="1"/>
  <c r="AZ23" i="6"/>
  <c r="AY23" i="6"/>
  <c r="AT17" i="6"/>
  <c r="BE14" i="6"/>
  <c r="BE25" i="6"/>
  <c r="AY18" i="6"/>
  <c r="BE39" i="6"/>
  <c r="AT39" i="6"/>
  <c r="AT33" i="6"/>
  <c r="AT40" i="6"/>
  <c r="AT42" i="6"/>
  <c r="AT25" i="6"/>
  <c r="BE28" i="6"/>
  <c r="AT43" i="6"/>
  <c r="N37" i="1"/>
  <c r="O37" i="1"/>
  <c r="Q37" i="1" s="1"/>
  <c r="BF31" i="6"/>
  <c r="BH31" i="6" s="1"/>
  <c r="BD31" i="6"/>
  <c r="BB41" i="6"/>
  <c r="BC41" i="6" s="1"/>
  <c r="BE24" i="6"/>
  <c r="BE21" i="6"/>
  <c r="BE18" i="6"/>
  <c r="AR19" i="6"/>
  <c r="AO19" i="6"/>
  <c r="AP19" i="6" s="1"/>
  <c r="AS19" i="6" s="1"/>
  <c r="BA19" i="6" s="1"/>
  <c r="AU17" i="6"/>
  <c r="AW17" i="6" s="1"/>
  <c r="O38" i="1" l="1"/>
  <c r="Q38" i="1" s="1"/>
  <c r="T38" i="1" s="1"/>
  <c r="AY16" i="6"/>
  <c r="AZ16" i="6"/>
  <c r="BF16" i="6" s="1"/>
  <c r="BH16" i="6" s="1"/>
  <c r="AY32" i="6"/>
  <c r="AZ32" i="6"/>
  <c r="AZ21" i="6"/>
  <c r="BB21" i="6" s="1"/>
  <c r="BC21" i="6" s="1"/>
  <c r="AR35" i="6"/>
  <c r="AZ14" i="6"/>
  <c r="BB14" i="6" s="1"/>
  <c r="BC14" i="6" s="1"/>
  <c r="AY27" i="6"/>
  <c r="O26" i="11"/>
  <c r="O26" i="12"/>
  <c r="BF30" i="6"/>
  <c r="BH30" i="6" s="1"/>
  <c r="BB30" i="6"/>
  <c r="BC30" i="6" s="1"/>
  <c r="BD27" i="6"/>
  <c r="BB27" i="6"/>
  <c r="BC27" i="6" s="1"/>
  <c r="BF27" i="6"/>
  <c r="BH27" i="6" s="1"/>
  <c r="AU29" i="6"/>
  <c r="AW29" i="6" s="1"/>
  <c r="AZ29" i="6" s="1"/>
  <c r="BD29" i="6" s="1"/>
  <c r="BD34" i="6"/>
  <c r="BB34" i="6"/>
  <c r="BC34" i="6" s="1"/>
  <c r="AT29" i="6"/>
  <c r="AU19" i="6"/>
  <c r="AW19" i="6" s="1"/>
  <c r="AY19" i="6" s="1"/>
  <c r="AY34" i="6"/>
  <c r="BF34" i="6"/>
  <c r="BH34" i="6" s="1"/>
  <c r="AZ17" i="6"/>
  <c r="BF17" i="6" s="1"/>
  <c r="BH17" i="6" s="1"/>
  <c r="AY17" i="6"/>
  <c r="BE26" i="6"/>
  <c r="BE35" i="6"/>
  <c r="P37" i="1"/>
  <c r="R37" i="1" s="1"/>
  <c r="S37" i="1" s="1"/>
  <c r="AZ24" i="6"/>
  <c r="AY24" i="6"/>
  <c r="AZ33" i="6"/>
  <c r="AY33" i="6"/>
  <c r="BD15" i="6"/>
  <c r="BB15" i="6"/>
  <c r="BC15" i="6" s="1"/>
  <c r="X37" i="1"/>
  <c r="V37" i="1"/>
  <c r="T37" i="1"/>
  <c r="BD23" i="6"/>
  <c r="BB23" i="6"/>
  <c r="BC23" i="6" s="1"/>
  <c r="AZ40" i="6"/>
  <c r="BF40" i="6" s="1"/>
  <c r="BH40" i="6" s="1"/>
  <c r="AY40" i="6"/>
  <c r="AT19" i="6"/>
  <c r="AU35" i="6"/>
  <c r="AW35" i="6" s="1"/>
  <c r="BE29" i="6"/>
  <c r="AY25" i="6"/>
  <c r="AZ25" i="6"/>
  <c r="BF25" i="6" s="1"/>
  <c r="BH25" i="6" s="1"/>
  <c r="AY39" i="6"/>
  <c r="AZ39" i="6"/>
  <c r="AU26" i="6"/>
  <c r="AW26" i="6" s="1"/>
  <c r="AZ43" i="6"/>
  <c r="BF43" i="6" s="1"/>
  <c r="BH43" i="6" s="1"/>
  <c r="AY43" i="6"/>
  <c r="BE19" i="6"/>
  <c r="AT35" i="6"/>
  <c r="BF18" i="6"/>
  <c r="BH18" i="6" s="1"/>
  <c r="BD18" i="6"/>
  <c r="BF23" i="6"/>
  <c r="BH23" i="6" s="1"/>
  <c r="AZ42" i="6"/>
  <c r="AY42" i="6"/>
  <c r="AZ28" i="6"/>
  <c r="BF28" i="6" s="1"/>
  <c r="BH28" i="6" s="1"/>
  <c r="AY28" i="6"/>
  <c r="AT26" i="6"/>
  <c r="BD22" i="6"/>
  <c r="BB22" i="6"/>
  <c r="BC22" i="6" s="1"/>
  <c r="V38" i="1" l="1"/>
  <c r="P38" i="1"/>
  <c r="R38" i="1" s="1"/>
  <c r="S38" i="1" s="1"/>
  <c r="X38" i="1"/>
  <c r="BF21" i="6"/>
  <c r="BH21" i="6" s="1"/>
  <c r="BF14" i="6"/>
  <c r="BH14" i="6" s="1"/>
  <c r="BD32" i="6"/>
  <c r="BB32" i="6"/>
  <c r="BC32" i="6" s="1"/>
  <c r="BF32" i="6"/>
  <c r="BH32" i="6" s="1"/>
  <c r="BD16" i="6"/>
  <c r="BB16" i="6"/>
  <c r="BC16" i="6" s="1"/>
  <c r="BD21" i="6"/>
  <c r="AY29" i="6"/>
  <c r="BD14" i="6"/>
  <c r="AZ19" i="6"/>
  <c r="BF19" i="6" s="1"/>
  <c r="BH19" i="6" s="1"/>
  <c r="BF24" i="6"/>
  <c r="BH24" i="6" s="1"/>
  <c r="BD24" i="6"/>
  <c r="BB24" i="6"/>
  <c r="BC24" i="6" s="1"/>
  <c r="AZ26" i="6"/>
  <c r="AY26" i="6"/>
  <c r="U37" i="1"/>
  <c r="Z37" i="1" s="1"/>
  <c r="Y37" i="1"/>
  <c r="AB37" i="1" s="1"/>
  <c r="W37" i="1"/>
  <c r="AA37" i="1" s="1"/>
  <c r="BD43" i="6"/>
  <c r="BB43" i="6"/>
  <c r="BC43" i="6" s="1"/>
  <c r="BD25" i="6"/>
  <c r="BB25" i="6"/>
  <c r="BC25" i="6" s="1"/>
  <c r="BD42" i="6"/>
  <c r="BB42" i="6"/>
  <c r="BC42" i="6" s="1"/>
  <c r="BF39" i="6"/>
  <c r="BH39" i="6" s="1"/>
  <c r="BD39" i="6"/>
  <c r="BB39" i="6"/>
  <c r="BC39" i="6" s="1"/>
  <c r="BB29" i="6"/>
  <c r="BC29" i="6" s="1"/>
  <c r="BF42" i="6"/>
  <c r="BH42" i="6" s="1"/>
  <c r="BF33" i="6"/>
  <c r="BH33" i="6" s="1"/>
  <c r="BD33" i="6"/>
  <c r="BB33" i="6"/>
  <c r="BC33" i="6" s="1"/>
  <c r="BD28" i="6"/>
  <c r="BB28" i="6"/>
  <c r="BC28" i="6" s="1"/>
  <c r="AY35" i="6"/>
  <c r="AZ35" i="6"/>
  <c r="BF29" i="6"/>
  <c r="BH29" i="6" s="1"/>
  <c r="BD40" i="6"/>
  <c r="BB40" i="6"/>
  <c r="BC40" i="6" s="1"/>
  <c r="BD17" i="6"/>
  <c r="BB17" i="6"/>
  <c r="BC17" i="6" s="1"/>
  <c r="Y38" i="1" l="1"/>
  <c r="AB38" i="1" s="1"/>
  <c r="F46" i="2" s="1"/>
  <c r="U38" i="1"/>
  <c r="Z38" i="1" s="1"/>
  <c r="D46" i="6" s="1"/>
  <c r="W38" i="1"/>
  <c r="AA38" i="1" s="1"/>
  <c r="E46" i="2" s="1"/>
  <c r="BD19" i="6"/>
  <c r="BB19" i="6"/>
  <c r="BC19" i="6" s="1"/>
  <c r="D45" i="2"/>
  <c r="AC37" i="1"/>
  <c r="D45" i="6"/>
  <c r="BD35" i="6"/>
  <c r="BB35" i="6"/>
  <c r="BC35" i="6" s="1"/>
  <c r="E45" i="2"/>
  <c r="E45" i="6"/>
  <c r="BF35" i="6"/>
  <c r="BH35" i="6" s="1"/>
  <c r="BF26" i="6"/>
  <c r="BH26" i="6" s="1"/>
  <c r="BD26" i="6"/>
  <c r="BB26" i="6"/>
  <c r="BC26" i="6" s="1"/>
  <c r="F45" i="6"/>
  <c r="F45" i="2"/>
  <c r="E46" i="6" l="1"/>
  <c r="D46" i="2"/>
  <c r="F46" i="6"/>
  <c r="AC38" i="1"/>
  <c r="G46" i="6" s="1"/>
  <c r="G45" i="6"/>
  <c r="G45" i="2"/>
  <c r="G46" i="2" l="1"/>
  <c r="H46" i="2" s="1"/>
  <c r="I45" i="6"/>
  <c r="H45" i="6"/>
  <c r="I45" i="2"/>
  <c r="H45" i="2"/>
  <c r="I46" i="6"/>
  <c r="H46" i="6"/>
  <c r="I46" i="2" l="1"/>
  <c r="K46" i="2" s="1"/>
  <c r="K46" i="6"/>
  <c r="K45" i="6"/>
  <c r="K45" i="2"/>
  <c r="BE48" i="2" l="1"/>
  <c r="AS48" i="2"/>
  <c r="BA48" i="2"/>
  <c r="CT48" i="6"/>
  <c r="BU48" i="6"/>
  <c r="CO45" i="6"/>
  <c r="CO83" i="6" s="1"/>
  <c r="BW48" i="6"/>
  <c r="CG48" i="6"/>
  <c r="CY45" i="6"/>
  <c r="CY83" i="6" s="1"/>
  <c r="CJ48" i="6"/>
  <c r="CG45" i="6"/>
  <c r="CG83" i="6" s="1"/>
  <c r="DB48" i="6"/>
  <c r="CC48" i="6"/>
  <c r="CF45" i="6"/>
  <c r="CF83" i="6" s="1"/>
  <c r="BY45" i="6"/>
  <c r="BY83" i="6" s="1"/>
  <c r="CX48" i="6"/>
  <c r="BY48" i="6"/>
  <c r="CB45" i="6"/>
  <c r="CB83" i="6" s="1"/>
  <c r="CP45" i="6"/>
  <c r="CP83" i="6" s="1"/>
  <c r="CD48" i="6"/>
  <c r="DD45" i="6"/>
  <c r="DD83" i="6" s="1"/>
  <c r="BX45" i="6"/>
  <c r="BX83" i="6" s="1"/>
  <c r="CM45" i="6"/>
  <c r="CM83" i="6" s="1"/>
  <c r="CL45" i="6"/>
  <c r="CL83" i="6" s="1"/>
  <c r="BU45" i="6"/>
  <c r="CP48" i="6"/>
  <c r="DE45" i="6"/>
  <c r="DE83" i="6" s="1"/>
  <c r="CJ45" i="6"/>
  <c r="CJ83" i="6" s="1"/>
  <c r="CD45" i="6"/>
  <c r="CD83" i="6" s="1"/>
  <c r="CZ48" i="6"/>
  <c r="CL48" i="6"/>
  <c r="CR48" i="6"/>
  <c r="CE45" i="6"/>
  <c r="CE83" i="6" s="1"/>
  <c r="BV45" i="6"/>
  <c r="BV83" i="6" s="1"/>
  <c r="CX45" i="6"/>
  <c r="CX83" i="6" s="1"/>
  <c r="CH48" i="6"/>
  <c r="CB48" i="6"/>
  <c r="CA45" i="6"/>
  <c r="CA83" i="6" s="1"/>
  <c r="CF48" i="6"/>
  <c r="CK48" i="6"/>
  <c r="DC45" i="6"/>
  <c r="DC83" i="6" s="1"/>
  <c r="DA45" i="6"/>
  <c r="DA83" i="6" s="1"/>
  <c r="CM48" i="6"/>
  <c r="CZ45" i="6"/>
  <c r="CZ83" i="6" s="1"/>
  <c r="CS48" i="6"/>
  <c r="CU45" i="6"/>
  <c r="CU83" i="6" s="1"/>
  <c r="CK45" i="6"/>
  <c r="CK83" i="6" s="1"/>
  <c r="CE48" i="6"/>
  <c r="CT45" i="6"/>
  <c r="CT83" i="6" s="1"/>
  <c r="CQ48" i="6"/>
  <c r="CH45" i="6"/>
  <c r="CH83" i="6" s="1"/>
  <c r="BZ48" i="6"/>
  <c r="CY48" i="6"/>
  <c r="CV45" i="6"/>
  <c r="CV83" i="6" s="1"/>
  <c r="DE48" i="6"/>
  <c r="CC45" i="6"/>
  <c r="CC83" i="6" s="1"/>
  <c r="BZ45" i="6"/>
  <c r="BZ83" i="6" s="1"/>
  <c r="CR45" i="6"/>
  <c r="CR83" i="6" s="1"/>
  <c r="CW45" i="6"/>
  <c r="CW83" i="6" s="1"/>
  <c r="BX48" i="6"/>
  <c r="CN48" i="6"/>
  <c r="CA48" i="6"/>
  <c r="CN45" i="6"/>
  <c r="CN83" i="6" s="1"/>
  <c r="BW45" i="6"/>
  <c r="BW83" i="6" s="1"/>
  <c r="CW48" i="6"/>
  <c r="DD48" i="6"/>
  <c r="CS45" i="6"/>
  <c r="CS83" i="6" s="1"/>
  <c r="CI48" i="6"/>
  <c r="DB45" i="6"/>
  <c r="DB83" i="6" s="1"/>
  <c r="CV48" i="6"/>
  <c r="CO48" i="6"/>
  <c r="CQ45" i="6"/>
  <c r="CQ83" i="6" s="1"/>
  <c r="DA48" i="6"/>
  <c r="DC48" i="6"/>
  <c r="CI45" i="6"/>
  <c r="CI83" i="6" s="1"/>
  <c r="BV48" i="6"/>
  <c r="CU48" i="6"/>
  <c r="AV46" i="2"/>
  <c r="AV84" i="2" s="1"/>
  <c r="AT46" i="2"/>
  <c r="AT84" i="2" s="1"/>
  <c r="BW46" i="2"/>
  <c r="BW84" i="2" s="1"/>
  <c r="BZ46" i="2"/>
  <c r="BZ84" i="2" s="1"/>
  <c r="BM46" i="2"/>
  <c r="BM84" i="2" s="1"/>
  <c r="BD46" i="2"/>
  <c r="BD84" i="2" s="1"/>
  <c r="BT46" i="2"/>
  <c r="BT84" i="2" s="1"/>
  <c r="BL46" i="2"/>
  <c r="BL84" i="2" s="1"/>
  <c r="BB46" i="2"/>
  <c r="BB84" i="2" s="1"/>
  <c r="BC46" i="2"/>
  <c r="BC84" i="2" s="1"/>
  <c r="AY46" i="2"/>
  <c r="AY84" i="2" s="1"/>
  <c r="BR46" i="2"/>
  <c r="BR84" i="2" s="1"/>
  <c r="AS46" i="2"/>
  <c r="AS84" i="2" s="1"/>
  <c r="BX46" i="2"/>
  <c r="BX84" i="2" s="1"/>
  <c r="CB46" i="2"/>
  <c r="CB84" i="2" s="1"/>
  <c r="BY46" i="2"/>
  <c r="BY84" i="2" s="1"/>
  <c r="BO46" i="2"/>
  <c r="BO84" i="2" s="1"/>
  <c r="AX46" i="2"/>
  <c r="AX84" i="2" s="1"/>
  <c r="BH46" i="2"/>
  <c r="BH84" i="2" s="1"/>
  <c r="BA46" i="2"/>
  <c r="BA84" i="2" s="1"/>
  <c r="AU46" i="2"/>
  <c r="AU84" i="2" s="1"/>
  <c r="CA46" i="2"/>
  <c r="CA84" i="2" s="1"/>
  <c r="BG46" i="2"/>
  <c r="BG84" i="2" s="1"/>
  <c r="BF46" i="2"/>
  <c r="BF84" i="2" s="1"/>
  <c r="AZ46" i="2"/>
  <c r="AZ84" i="2" s="1"/>
  <c r="AR46" i="2"/>
  <c r="BN46" i="2"/>
  <c r="BN84" i="2" s="1"/>
  <c r="AW46" i="2"/>
  <c r="AW84" i="2" s="1"/>
  <c r="BI46" i="2"/>
  <c r="BI84" i="2" s="1"/>
  <c r="BP46" i="2"/>
  <c r="BP84" i="2" s="1"/>
  <c r="BQ46" i="2"/>
  <c r="BQ84" i="2" s="1"/>
  <c r="BV46" i="2"/>
  <c r="BV84" i="2" s="1"/>
  <c r="BK46" i="2"/>
  <c r="BK84" i="2" s="1"/>
  <c r="BS46" i="2"/>
  <c r="BS84" i="2" s="1"/>
  <c r="BE46" i="2"/>
  <c r="BE84" i="2" s="1"/>
  <c r="BJ46" i="2"/>
  <c r="BJ84" i="2" s="1"/>
  <c r="BU46" i="2"/>
  <c r="BU84" i="2" s="1"/>
  <c r="AX45" i="2"/>
  <c r="AX83" i="2" s="1"/>
  <c r="AZ48" i="2"/>
  <c r="AV48" i="2"/>
  <c r="BQ45" i="2"/>
  <c r="BQ83" i="2" s="1"/>
  <c r="BQ48" i="2"/>
  <c r="BZ45" i="2"/>
  <c r="BZ83" i="2" s="1"/>
  <c r="BU48" i="2"/>
  <c r="AY45" i="2"/>
  <c r="AY83" i="2" s="1"/>
  <c r="CB45" i="2"/>
  <c r="CB83" i="2" s="1"/>
  <c r="BT45" i="2"/>
  <c r="BT83" i="2" s="1"/>
  <c r="BE45" i="2"/>
  <c r="BE83" i="2" s="1"/>
  <c r="BC48" i="2"/>
  <c r="BH45" i="2"/>
  <c r="BH83" i="2" s="1"/>
  <c r="BS45" i="2"/>
  <c r="BS83" i="2" s="1"/>
  <c r="BP48" i="2"/>
  <c r="BP45" i="2"/>
  <c r="BP83" i="2" s="1"/>
  <c r="AU48" i="2"/>
  <c r="BO45" i="2"/>
  <c r="BO83" i="2" s="1"/>
  <c r="BM45" i="2"/>
  <c r="BM83" i="2" s="1"/>
  <c r="BJ48" i="2"/>
  <c r="BB48" i="2"/>
  <c r="BY45" i="2"/>
  <c r="BY83" i="2" s="1"/>
  <c r="BA45" i="2"/>
  <c r="BA83" i="2" s="1"/>
  <c r="BI45" i="2"/>
  <c r="BI83" i="2" s="1"/>
  <c r="AT48" i="2"/>
  <c r="BD48" i="2"/>
  <c r="BR48" i="2"/>
  <c r="AU45" i="2"/>
  <c r="AU83" i="2" s="1"/>
  <c r="AR48" i="2"/>
  <c r="BO48" i="2"/>
  <c r="AZ45" i="2"/>
  <c r="AZ83" i="2" s="1"/>
  <c r="BW45" i="2"/>
  <c r="BW83" i="2" s="1"/>
  <c r="AY48" i="2"/>
  <c r="BG45" i="2"/>
  <c r="BG83" i="2" s="1"/>
  <c r="BL45" i="2"/>
  <c r="BL83" i="2" s="1"/>
  <c r="BI48" i="2"/>
  <c r="BU45" i="2"/>
  <c r="BU83" i="2" s="1"/>
  <c r="AV45" i="2"/>
  <c r="AV83" i="2" s="1"/>
  <c r="AR45" i="2"/>
  <c r="BL48" i="2"/>
  <c r="BX48" i="2"/>
  <c r="BT48" i="2"/>
  <c r="BH48" i="2"/>
  <c r="BC45" i="2"/>
  <c r="BC83" i="2" s="1"/>
  <c r="AW45" i="2"/>
  <c r="AW83" i="2" s="1"/>
  <c r="AS45" i="2"/>
  <c r="AS83" i="2" s="1"/>
  <c r="BK48" i="2"/>
  <c r="BX45" i="2"/>
  <c r="BX83" i="2" s="1"/>
  <c r="BK45" i="2"/>
  <c r="BK83" i="2" s="1"/>
  <c r="CA45" i="2"/>
  <c r="CA83" i="2" s="1"/>
  <c r="AX48" i="2"/>
  <c r="CB48" i="2"/>
  <c r="BD45" i="2"/>
  <c r="BD83" i="2" s="1"/>
  <c r="BN45" i="2"/>
  <c r="BN83" i="2" s="1"/>
  <c r="AT45" i="2"/>
  <c r="AT83" i="2" s="1"/>
  <c r="BM48" i="2"/>
  <c r="CA48" i="2"/>
  <c r="BN48" i="2"/>
  <c r="BV45" i="2"/>
  <c r="BV83" i="2" s="1"/>
  <c r="BJ45" i="2"/>
  <c r="BJ83" i="2" s="1"/>
  <c r="BG48" i="2"/>
  <c r="BF48" i="2"/>
  <c r="BV48" i="2"/>
  <c r="BB45" i="2"/>
  <c r="BB83" i="2" s="1"/>
  <c r="AW48" i="2"/>
  <c r="BY48" i="2"/>
  <c r="BR45" i="2"/>
  <c r="BR83" i="2" s="1"/>
  <c r="BZ48" i="2"/>
  <c r="BF45" i="2"/>
  <c r="BF83" i="2" s="1"/>
  <c r="BS48" i="2"/>
  <c r="BW48" i="2"/>
  <c r="CB46" i="6"/>
  <c r="CB84" i="6" s="1"/>
  <c r="CE46" i="6"/>
  <c r="CE84" i="6" s="1"/>
  <c r="CL46" i="6"/>
  <c r="CL84" i="6" s="1"/>
  <c r="CW46" i="6"/>
  <c r="CW84" i="6" s="1"/>
  <c r="DD46" i="6"/>
  <c r="DD84" i="6" s="1"/>
  <c r="BX46" i="6"/>
  <c r="BX84" i="6" s="1"/>
  <c r="CA46" i="6"/>
  <c r="CA84" i="6" s="1"/>
  <c r="BZ46" i="6"/>
  <c r="BZ84" i="6" s="1"/>
  <c r="CC46" i="6"/>
  <c r="CC84" i="6" s="1"/>
  <c r="CJ46" i="6"/>
  <c r="CJ84" i="6" s="1"/>
  <c r="CM46" i="6"/>
  <c r="CM84" i="6" s="1"/>
  <c r="CD46" i="6"/>
  <c r="CD84" i="6" s="1"/>
  <c r="DE46" i="6"/>
  <c r="DE84" i="6" s="1"/>
  <c r="BY46" i="6"/>
  <c r="BY84" i="6" s="1"/>
  <c r="CF46" i="6"/>
  <c r="CF84" i="6" s="1"/>
  <c r="CI46" i="6"/>
  <c r="CI84" i="6" s="1"/>
  <c r="CP46" i="6"/>
  <c r="CP84" i="6" s="1"/>
  <c r="DA46" i="6"/>
  <c r="DA84" i="6" s="1"/>
  <c r="BU46" i="6"/>
  <c r="CN46" i="6"/>
  <c r="CN84" i="6" s="1"/>
  <c r="CT46" i="6"/>
  <c r="CT84" i="6" s="1"/>
  <c r="CZ46" i="6"/>
  <c r="CZ84" i="6" s="1"/>
  <c r="BW46" i="6"/>
  <c r="BW84" i="6" s="1"/>
  <c r="CO46" i="6"/>
  <c r="CO84" i="6" s="1"/>
  <c r="CY46" i="6"/>
  <c r="CY84" i="6" s="1"/>
  <c r="BV46" i="6"/>
  <c r="BV84" i="6" s="1"/>
  <c r="CU46" i="6"/>
  <c r="CU84" i="6" s="1"/>
  <c r="CH46" i="6"/>
  <c r="CH84" i="6" s="1"/>
  <c r="CG46" i="6"/>
  <c r="CG84" i="6" s="1"/>
  <c r="CQ46" i="6"/>
  <c r="CQ84" i="6" s="1"/>
  <c r="CS46" i="6"/>
  <c r="CS84" i="6" s="1"/>
  <c r="DC46" i="6"/>
  <c r="DC84" i="6" s="1"/>
  <c r="DB46" i="6"/>
  <c r="DB84" i="6" s="1"/>
  <c r="CV46" i="6"/>
  <c r="CV84" i="6" s="1"/>
  <c r="CX46" i="6"/>
  <c r="CX84" i="6" s="1"/>
  <c r="CK46" i="6"/>
  <c r="CK84" i="6" s="1"/>
  <c r="CR46" i="6"/>
  <c r="CR84" i="6" s="1"/>
  <c r="DF46" i="6" l="1"/>
  <c r="L46" i="6"/>
  <c r="BU84" i="6"/>
  <c r="DF84" i="6" s="1"/>
  <c r="R46" i="6" s="1"/>
  <c r="AR83" i="2"/>
  <c r="CC83" i="2" s="1"/>
  <c r="R45" i="2" s="1"/>
  <c r="CC45" i="2"/>
  <c r="L45" i="2"/>
  <c r="AR84" i="2"/>
  <c r="CC84" i="2" s="1"/>
  <c r="R46" i="2" s="1"/>
  <c r="L46" i="2"/>
  <c r="CC46" i="2"/>
  <c r="DF45" i="6"/>
  <c r="BU83" i="6"/>
  <c r="DF83" i="6" s="1"/>
  <c r="R45" i="6" s="1"/>
  <c r="L45" i="6"/>
  <c r="DH6" i="6" l="1"/>
  <c r="DH5" i="6"/>
  <c r="N45" i="6"/>
  <c r="W45" i="6" s="1"/>
  <c r="P45" i="6"/>
  <c r="CE6" i="2"/>
  <c r="CE5" i="2"/>
  <c r="N45" i="2"/>
  <c r="P45" i="2"/>
  <c r="DH9" i="6"/>
  <c r="DH8" i="6"/>
  <c r="N46" i="6"/>
  <c r="W46" i="6" s="1"/>
  <c r="P46" i="6"/>
  <c r="CE9" i="2"/>
  <c r="CE8" i="2"/>
  <c r="N46" i="2"/>
  <c r="W46" i="2" s="1"/>
  <c r="P46" i="2"/>
  <c r="AA46" i="6" l="1"/>
  <c r="AF46" i="6"/>
  <c r="AC46" i="6"/>
  <c r="X46" i="2"/>
  <c r="AD46" i="2"/>
  <c r="O45" i="2"/>
  <c r="AC45" i="2"/>
  <c r="O45" i="6"/>
  <c r="S45" i="6" s="1"/>
  <c r="AB45" i="6"/>
  <c r="AE45" i="6" s="1"/>
  <c r="W45" i="2"/>
  <c r="O46" i="2"/>
  <c r="S46" i="2" s="1"/>
  <c r="AC46" i="2"/>
  <c r="V46" i="6"/>
  <c r="T46" i="6"/>
  <c r="DI9" i="6" s="1"/>
  <c r="AF45" i="6"/>
  <c r="AC45" i="6"/>
  <c r="AA45" i="6"/>
  <c r="V46" i="2"/>
  <c r="T46" i="2"/>
  <c r="CF9" i="2" s="1"/>
  <c r="AB46" i="6"/>
  <c r="AE46" i="6" s="1"/>
  <c r="O46" i="6"/>
  <c r="T45" i="2"/>
  <c r="CF6" i="2" s="1"/>
  <c r="V45" i="2"/>
  <c r="T45" i="6"/>
  <c r="DI6" i="6" s="1"/>
  <c r="V45" i="6"/>
  <c r="M46" i="6" l="1"/>
  <c r="Y46" i="6"/>
  <c r="Q46" i="6"/>
  <c r="U46" i="6"/>
  <c r="Z46" i="6" s="1"/>
  <c r="X46" i="6" s="1"/>
  <c r="S45" i="2"/>
  <c r="AD45" i="2"/>
  <c r="AE45" i="2" s="1"/>
  <c r="X45" i="2"/>
  <c r="M45" i="2"/>
  <c r="Y45" i="2"/>
  <c r="Q45" i="2"/>
  <c r="U45" i="2"/>
  <c r="Z45" i="2" s="1"/>
  <c r="S46" i="6"/>
  <c r="AE46" i="2"/>
  <c r="AF46" i="2"/>
  <c r="M45" i="6"/>
  <c r="Y45" i="6"/>
  <c r="Q45" i="6"/>
  <c r="U45" i="6"/>
  <c r="AJ46" i="6"/>
  <c r="AG46" i="6"/>
  <c r="AI46" i="6" s="1"/>
  <c r="Z45" i="6"/>
  <c r="X45" i="6" s="1"/>
  <c r="AJ45" i="6"/>
  <c r="AG45" i="6"/>
  <c r="AI45" i="6" s="1"/>
  <c r="M46" i="2"/>
  <c r="Y46" i="2"/>
  <c r="Q46" i="2"/>
  <c r="U46" i="2"/>
  <c r="Z46" i="2" s="1"/>
  <c r="AA46" i="2" s="1"/>
  <c r="AF45" i="2"/>
  <c r="AH46" i="2"/>
  <c r="AA45" i="2" l="1"/>
  <c r="AH45" i="2"/>
  <c r="AM46" i="6"/>
  <c r="AN46" i="6" s="1"/>
  <c r="AK46" i="6"/>
  <c r="AM45" i="6"/>
  <c r="AN45" i="6" s="1"/>
  <c r="AK45" i="6"/>
  <c r="AO46" i="6" l="1"/>
  <c r="AP46" i="6" s="1"/>
  <c r="AS46" i="6" s="1"/>
  <c r="AU46" i="6" s="1"/>
  <c r="AW46" i="6" s="1"/>
  <c r="AR46" i="6"/>
  <c r="AO45" i="6"/>
  <c r="AP45" i="6" s="1"/>
  <c r="AS45" i="6" s="1"/>
  <c r="BA45" i="6" s="1"/>
  <c r="AR45" i="6"/>
  <c r="AZ46" i="6" l="1"/>
  <c r="BD46" i="6" s="1"/>
  <c r="AY46" i="6"/>
  <c r="AT45" i="6"/>
  <c r="BE45" i="6"/>
  <c r="AU45" i="6"/>
  <c r="AW45" i="6" s="1"/>
  <c r="AT46" i="6"/>
  <c r="BA46" i="6"/>
  <c r="BE46" i="6" l="1"/>
  <c r="BF46" i="6" s="1"/>
  <c r="BH46" i="6" s="1"/>
  <c r="BB46" i="6"/>
  <c r="BC46" i="6" s="1"/>
  <c r="AY45" i="6"/>
  <c r="AZ45" i="6"/>
  <c r="BF45" i="6" s="1"/>
  <c r="BH45" i="6" s="1"/>
  <c r="BD45" i="6" l="1"/>
  <c r="BB45" i="6"/>
  <c r="BC4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Pouw</author>
  </authors>
  <commentList>
    <comment ref="F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Pouw:</t>
        </r>
        <r>
          <rPr>
            <sz val="8"/>
            <color indexed="81"/>
            <rFont val="Tahoma"/>
            <family val="2"/>
          </rPr>
          <t xml:space="preserve">
air friction or any other additional resistance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Marco Hoogesteger</author>
    <author>Mick van Eerd</author>
  </authors>
  <commentList>
    <comment ref="AQ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bereik is 0.8 &lt; P/D &lt; 1.8</t>
        </r>
      </text>
    </comment>
    <comment ref="AQ6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bereik is 0.05 &lt; EAR &lt; 0.3</t>
        </r>
      </text>
    </comment>
    <comment ref="D7" authorId="1" shapeId="0" xr:uid="{A678726B-AF8E-43AF-9D35-DC4E9D66D3BD}">
      <text>
        <r>
          <rPr>
            <b/>
            <sz val="9"/>
            <color indexed="81"/>
            <rFont val="Tahoma"/>
            <family val="2"/>
          </rPr>
          <t>Marco Hoogesteger:</t>
        </r>
        <r>
          <rPr>
            <sz val="9"/>
            <color indexed="81"/>
            <rFont val="Tahoma"/>
            <family val="2"/>
          </rPr>
          <t xml:space="preserve">
wake fraction</t>
        </r>
      </text>
    </comment>
    <comment ref="AQ7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bereik is 0 &lt; J &lt; 2.2</t>
        </r>
      </text>
    </comment>
    <comment ref="M11" authorId="2" shapeId="0" xr:uid="{14674AE7-2F7C-44CC-AC85-EE19B9CE2C0C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Jv (advance coefficient, relative to boat speed) = V / (n * d)</t>
        </r>
      </text>
    </comment>
    <comment ref="P11" authorId="2" shapeId="0" xr:uid="{787BF295-5496-4E03-897E-B7C4795CA8FE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Kt (thrust factor) = Kt.factor * J^2
</t>
        </r>
      </text>
    </comment>
    <comment ref="Q11" authorId="2" shapeId="0" xr:uid="{EF1E8BBF-08A5-435F-860F-168B33451A7F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Kt (Thrust coefficient) = T/(p n2 d4)</t>
        </r>
      </text>
    </comment>
    <comment ref="R11" authorId="2" shapeId="0" xr:uid="{704217A6-E840-4620-BF52-2CDD5215A738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Kq (Torque coefficient) = Q[torque] / (p[rho] * n^2[rev/s] * d^5[diameter])</t>
        </r>
      </text>
    </comment>
    <comment ref="U11" authorId="2" shapeId="0" xr:uid="{948AE675-C141-4531-BF23-65B6080E3A03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Va (inflow velocity) = J * n * d , --&gt; n in revs/s</t>
        </r>
      </text>
    </comment>
    <comment ref="Y11" authorId="2" shapeId="0" xr:uid="{3EA3049F-B76D-4AB5-98C5-34289E2A2BFE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propulsive eff. = (Rt[total ship resistance] * Vs[ship speed]) / (2 * PI * n[rev/s] * Q[torque])
</t>
        </r>
      </text>
    </comment>
    <comment ref="Z11" authorId="2" shapeId="0" xr:uid="{0EB2FCB1-F4D1-408E-A0A3-11CA9CEC0923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propeller eff. = (T[thrust] * Va[inflow water velocity]) / (2 * PI * n[rev/s] * Q[torque])
</t>
        </r>
      </text>
    </comment>
    <comment ref="AA11" authorId="2" shapeId="0" xr:uid="{497EFB01-0917-4660-A641-7AD524C43497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n[eff.] = P[thrust] / P[absorbed by propeller]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Mick van Eerd</author>
    <author>Author</author>
  </authors>
  <commentList>
    <comment ref="N3" authorId="0" shapeId="0" xr:uid="{3CEE0CF2-606B-4F1E-9DD4-75D020DAE02E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>max beschikbaar onder boot, volgens marof verslag. Niet duidelijk of voor of na inkorten strut</t>
        </r>
      </text>
    </comment>
    <comment ref="E5" authorId="0" shapeId="0" xr:uid="{581A9F3A-5060-44B1-829B-AFF73B3600A3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was 988, maar in test sheet gezien water temp is 14 deg. Dus nu rho van 14 graden gepakt.</t>
        </r>
      </text>
    </comment>
    <comment ref="BT5" authorId="1" shapeId="0" xr:uid="{11E28CA3-0459-4C83-AAC9-072DF715EAFF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bereik is 0.8 &lt; P/D &lt; 1.8</t>
        </r>
      </text>
    </comment>
    <comment ref="BT6" authorId="1" shapeId="0" xr:uid="{FCDBC948-3C20-4920-BCBA-32796CEC77DA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bereik is 0.05 &lt; EAR &lt; 0.3</t>
        </r>
      </text>
    </comment>
    <comment ref="BT7" authorId="1" shapeId="0" xr:uid="{00D3D48E-F85C-416E-B39A-324B1F74AC73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bereik is 0 &lt; J &lt; 2.2</t>
        </r>
      </text>
    </comment>
    <comment ref="M11" authorId="0" shapeId="0" xr:uid="{A6C4E4C4-FA27-40CE-9B7C-B91A91D1322A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Jv (advance coefficient, relative to boat speed) = V / (n * d)</t>
        </r>
      </text>
    </comment>
    <comment ref="P11" authorId="0" shapeId="0" xr:uid="{7B5E09E3-B15C-4173-BA21-503DFDD096F2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Kt (thrust factor) = Kt.factor * J^2
</t>
        </r>
      </text>
    </comment>
    <comment ref="Q11" authorId="0" shapeId="0" xr:uid="{E45CB43B-47A8-490F-B3C2-91641B960A65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Kt (Thrust coefficient) = T/(p n2 d4)</t>
        </r>
      </text>
    </comment>
    <comment ref="S11" authorId="0" shapeId="0" xr:uid="{7140C13B-C3C1-45C3-8CDB-0F12A70265E7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Kq (Torque coefficient) = Q[torque] / (p[rho] * n^2[rev/s] * d^5[diameter])</t>
        </r>
      </text>
    </comment>
    <comment ref="U11" authorId="0" shapeId="0" xr:uid="{A49C02CF-A9D5-4A3C-856E-23E33463B3D5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Va (inflow velocity) = J * n * d , --&gt; n in revs/s</t>
        </r>
      </text>
    </comment>
    <comment ref="X11" authorId="0" shapeId="0" xr:uid="{47041721-4A2D-4D6C-9D4C-214224005CE0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n[eff.] = P[thrust] / P[absorbed by propeller]
</t>
        </r>
      </text>
    </comment>
    <comment ref="Y11" authorId="0" shapeId="0" xr:uid="{3D763677-390A-408B-9881-F290E0175315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propulsive eff. = (Rt[total ship resistance] * Vs[ship speed]) / (2 * PI * n[rev/s] * Q[torque])
</t>
        </r>
      </text>
    </comment>
    <comment ref="Z11" authorId="0" shapeId="0" xr:uid="{27CF41A6-9D67-462F-A851-5C5EF37C760F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propeller eff. = (T[thrust] * Va[inflow water velocity]) / (2 * PI * n[rev/s] * Q[torque])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Mick van Eerd</author>
  </authors>
  <commentList>
    <comment ref="B10" authorId="0" shapeId="0" xr:uid="{24CBE9A9-FD51-4837-91E2-C9553C5AEC86}">
      <text>
        <r>
          <rPr>
            <b/>
            <sz val="9"/>
            <color indexed="81"/>
            <rFont val="Tahoma"/>
            <family val="2"/>
          </rPr>
          <t>Mick van Eerd:</t>
        </r>
        <r>
          <rPr>
            <sz val="9"/>
            <color indexed="81"/>
            <rFont val="Tahoma"/>
            <family val="2"/>
          </rPr>
          <t xml:space="preserve">
Ki = Q[koppel] / I[current], read from datasheet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<sst xmlns="http://schemas.openxmlformats.org/spreadsheetml/2006/main" count="585" uniqueCount="333">
  <si>
    <t>Speed</t>
  </si>
  <si>
    <t>[km/h]</t>
  </si>
  <si>
    <t>[m/s]</t>
  </si>
  <si>
    <t>[kts]</t>
  </si>
  <si>
    <t>Fn</t>
  </si>
  <si>
    <t>Lwl</t>
  </si>
  <si>
    <t>B</t>
  </si>
  <si>
    <t>T</t>
  </si>
  <si>
    <t>[m]</t>
  </si>
  <si>
    <t>Rhull</t>
  </si>
  <si>
    <t>Rpod</t>
  </si>
  <si>
    <t>Rtotal</t>
  </si>
  <si>
    <t>Input</t>
  </si>
  <si>
    <t>S_pod</t>
  </si>
  <si>
    <t>[m^2]</t>
  </si>
  <si>
    <t>C_f</t>
  </si>
  <si>
    <t>[-]</t>
  </si>
  <si>
    <t>[N]</t>
  </si>
  <si>
    <t>linear interpolation</t>
  </si>
  <si>
    <t>corr. factor</t>
  </si>
  <si>
    <t>hull</t>
  </si>
  <si>
    <t>pod</t>
  </si>
  <si>
    <t>lkup</t>
  </si>
  <si>
    <t>match?</t>
  </si>
  <si>
    <t>row</t>
  </si>
  <si>
    <t>x-values</t>
  </si>
  <si>
    <t>power</t>
  </si>
  <si>
    <t>engine</t>
  </si>
  <si>
    <t>[rpm]</t>
  </si>
  <si>
    <t>Kt</t>
  </si>
  <si>
    <t>J</t>
  </si>
  <si>
    <t>mechanische verliezen in de as en overbrenging</t>
  </si>
  <si>
    <t>KT</t>
  </si>
  <si>
    <t>Propeller</t>
  </si>
  <si>
    <t>ETA</t>
  </si>
  <si>
    <t>n</t>
  </si>
  <si>
    <t>eta</t>
  </si>
  <si>
    <t>[Nm]</t>
  </si>
  <si>
    <t>J-value</t>
  </si>
  <si>
    <t>Power</t>
  </si>
  <si>
    <t>Kt factor</t>
  </si>
  <si>
    <t>rho</t>
  </si>
  <si>
    <t>[kg/m^3]</t>
  </si>
  <si>
    <t>find Kq value</t>
  </si>
  <si>
    <t>[W]</t>
  </si>
  <si>
    <t>thrust</t>
  </si>
  <si>
    <t>torque</t>
  </si>
  <si>
    <t>Boat</t>
  </si>
  <si>
    <t>10Kq</t>
  </si>
  <si>
    <t>Kt/J^2</t>
  </si>
  <si>
    <t>10KQ</t>
  </si>
  <si>
    <t>gear ratio</t>
  </si>
  <si>
    <t>[RPM]</t>
  </si>
  <si>
    <t>gear reduction</t>
  </si>
  <si>
    <t>speed</t>
  </si>
  <si>
    <t>intersection</t>
  </si>
  <si>
    <t>P/D</t>
  </si>
  <si>
    <t>EAR</t>
  </si>
  <si>
    <t>-</t>
  </si>
  <si>
    <t>D_blade</t>
  </si>
  <si>
    <t>D_hub</t>
  </si>
  <si>
    <t>CH</t>
  </si>
  <si>
    <t>Area_blade</t>
  </si>
  <si>
    <t>Area_disc</t>
  </si>
  <si>
    <t>[m2]</t>
  </si>
  <si>
    <t>W</t>
  </si>
  <si>
    <t>cruise</t>
  </si>
  <si>
    <t>max</t>
  </si>
  <si>
    <t>P_engine</t>
  </si>
  <si>
    <t>t</t>
  </si>
  <si>
    <t>w</t>
  </si>
  <si>
    <t>perc</t>
  </si>
  <si>
    <t>req Thr</t>
  </si>
  <si>
    <t>app. Speed</t>
  </si>
  <si>
    <t>Radd</t>
  </si>
  <si>
    <t>additional</t>
  </si>
  <si>
    <t>P_in</t>
  </si>
  <si>
    <t>P_in_elekt</t>
  </si>
  <si>
    <t>engine power before gearbox</t>
  </si>
  <si>
    <t>P_elektr.</t>
  </si>
  <si>
    <t>Displ</t>
  </si>
  <si>
    <t>[kg]</t>
  </si>
  <si>
    <t>[m3]</t>
  </si>
  <si>
    <t>[kg/m3]</t>
  </si>
  <si>
    <t>prop HZ</t>
  </si>
  <si>
    <t>prop MIR</t>
  </si>
  <si>
    <t>Voith</t>
  </si>
  <si>
    <t>m/s</t>
  </si>
  <si>
    <t>km/h</t>
  </si>
  <si>
    <t>[%]</t>
  </si>
  <si>
    <t>[rev/s]</t>
  </si>
  <si>
    <t>propulsive efficiency</t>
  </si>
  <si>
    <t>propeller efficiency</t>
  </si>
  <si>
    <t>inflow velocity Va</t>
  </si>
  <si>
    <t>Jv</t>
  </si>
  <si>
    <t>Power out (from prop. Eff.)</t>
  </si>
  <si>
    <t>rendement elektromotor</t>
  </si>
  <si>
    <t>http://web.mit.edu/13.012/www/handouts/propellers_reading.pdf</t>
  </si>
  <si>
    <t>http://web.mit.edu/2.016/www/handouts/2005Reading10.pdf</t>
  </si>
  <si>
    <t>https://ittc.info/media/1531/alphabetdictionary.pdf</t>
  </si>
  <si>
    <t>https://ittc.info/media/7939/2017-ittc-dictionary.pdf</t>
  </si>
  <si>
    <t>Kq</t>
  </si>
  <si>
    <t xml:space="preserve"> </t>
  </si>
  <si>
    <t>n,prop</t>
  </si>
  <si>
    <t>torque,prop</t>
  </si>
  <si>
    <t>n,motor</t>
  </si>
  <si>
    <t>torque,motor</t>
  </si>
  <si>
    <t>[V]</t>
  </si>
  <si>
    <t>Battery</t>
  </si>
  <si>
    <t>[A]</t>
  </si>
  <si>
    <t>points</t>
  </si>
  <si>
    <t>Motorcontroller</t>
  </si>
  <si>
    <t>Ki</t>
  </si>
  <si>
    <t>Km</t>
  </si>
  <si>
    <t>voltage</t>
  </si>
  <si>
    <t>MPPT</t>
  </si>
  <si>
    <t>PMG 132</t>
  </si>
  <si>
    <t>Volt</t>
  </si>
  <si>
    <t>Current</t>
  </si>
  <si>
    <t>rpm</t>
  </si>
  <si>
    <t>[rpm/V]</t>
  </si>
  <si>
    <t>rpm/V</t>
  </si>
  <si>
    <t>[V/rpm]</t>
  </si>
  <si>
    <t>current</t>
  </si>
  <si>
    <t>34/180</t>
  </si>
  <si>
    <t>Q</t>
  </si>
  <si>
    <t>Race</t>
  </si>
  <si>
    <t>[km]</t>
  </si>
  <si>
    <t>[hour]</t>
  </si>
  <si>
    <t>[Wh]</t>
  </si>
  <si>
    <t>eff</t>
  </si>
  <si>
    <t>eff.</t>
  </si>
  <si>
    <t>Panels</t>
  </si>
  <si>
    <t>Gear reduction</t>
  </si>
  <si>
    <t>Engine</t>
  </si>
  <si>
    <t>Efficiency</t>
  </si>
  <si>
    <t>X</t>
  </si>
  <si>
    <t>Y</t>
  </si>
  <si>
    <t>Serie</t>
  </si>
  <si>
    <t>Parallel</t>
  </si>
  <si>
    <t>Samsung INR18650-35E</t>
  </si>
  <si>
    <t>Discharge [C-rating]</t>
  </si>
  <si>
    <t>Cells</t>
  </si>
  <si>
    <t>[Ah]</t>
  </si>
  <si>
    <t>Cell volt</t>
  </si>
  <si>
    <t>Discharge pack [A]</t>
  </si>
  <si>
    <t xml:space="preserve">Capacity [Wh] </t>
  </si>
  <si>
    <t>Discharge pack [W]</t>
  </si>
  <si>
    <t>Pack volt</t>
  </si>
  <si>
    <t>Cell capacity</t>
  </si>
  <si>
    <t>Pack capacity</t>
  </si>
  <si>
    <t>=FORECAST(E2,
INDEX(Battery!E3:$E$6,MATCH(E2,Battery!$D$3:$D$6,1)):INDEX(Battery!E3:$E$6,MATCH(E2,Battery!$D$3:$D$6,1)+1),
INDEX(Battery!$D$3:$D$6,MATCH(E2,Battery!$D$3:$D$6,1)):INDEX(Battery!$D$3:$D$6,MATCH(E2,Battery!$D$3:$D$6,1)+1))</t>
  </si>
  <si>
    <t>P,in</t>
  </si>
  <si>
    <t>Discharge cell [A]</t>
  </si>
  <si>
    <t>interpollate function</t>
  </si>
  <si>
    <t>P needed</t>
  </si>
  <si>
    <t>Battery Efficiency</t>
  </si>
  <si>
    <t>Battery Capacity</t>
  </si>
  <si>
    <t>Pneeded &lt; available</t>
  </si>
  <si>
    <t>P Mppt In</t>
  </si>
  <si>
    <t>P Solar Panels</t>
  </si>
  <si>
    <t>Amount of Solar Panels</t>
  </si>
  <si>
    <t>What?</t>
  </si>
  <si>
    <t>Value?</t>
  </si>
  <si>
    <t>Max Power</t>
  </si>
  <si>
    <t>Unit?</t>
  </si>
  <si>
    <t>Bifacial</t>
  </si>
  <si>
    <t>[Y/N]</t>
  </si>
  <si>
    <t>Max bifacial power</t>
  </si>
  <si>
    <t>y</t>
  </si>
  <si>
    <t>Total Power 1 Solar Panel</t>
  </si>
  <si>
    <t>Total Solar Power</t>
  </si>
  <si>
    <t>Percentage Sun</t>
  </si>
  <si>
    <t>1 Panel</t>
  </si>
  <si>
    <t>LIJST!</t>
  </si>
  <si>
    <t>P Solar Panels &gt; P Mppt In</t>
  </si>
  <si>
    <t>P available</t>
  </si>
  <si>
    <t>Speculatief</t>
  </si>
  <si>
    <t>P To Less</t>
  </si>
  <si>
    <t>[h]</t>
  </si>
  <si>
    <t>E needed</t>
  </si>
  <si>
    <t>E available</t>
  </si>
  <si>
    <t>Benodigde Vaartijd</t>
  </si>
  <si>
    <t>Beschikbare Vaartijd</t>
  </si>
  <si>
    <t>Delta Vaartijd</t>
  </si>
  <si>
    <t>Temperature</t>
  </si>
  <si>
    <t>[°C]</t>
  </si>
  <si>
    <t>Temperature Incfluence</t>
  </si>
  <si>
    <t>Temperature influence</t>
  </si>
  <si>
    <t>[%/°C]</t>
  </si>
  <si>
    <t>NOCT</t>
  </si>
  <si>
    <t>Corrected Power</t>
  </si>
  <si>
    <t>Power Difference</t>
  </si>
  <si>
    <t>Difference 1 Panel</t>
  </si>
  <si>
    <t>Hoeveelheid zon</t>
  </si>
  <si>
    <t>P,BC</t>
  </si>
  <si>
    <t>P, req for race</t>
  </si>
  <si>
    <t>P,available /h</t>
  </si>
  <si>
    <t>U [V]</t>
  </si>
  <si>
    <t>I [A]</t>
  </si>
  <si>
    <t>P [W]</t>
  </si>
  <si>
    <t>Safety Elec.</t>
  </si>
  <si>
    <t>Boardcomputer</t>
  </si>
  <si>
    <t>Efficiency dc/dc converter</t>
  </si>
  <si>
    <t>P 48V [W]</t>
  </si>
  <si>
    <t>On / Off [Y/N]</t>
  </si>
  <si>
    <t>Bilgepump 1</t>
  </si>
  <si>
    <t>Bilgepump 2</t>
  </si>
  <si>
    <t>P Low Current</t>
  </si>
  <si>
    <t>Percentage Bifacial</t>
  </si>
  <si>
    <t>Bifacial Power</t>
  </si>
  <si>
    <t>P, Mppt Out, P to less</t>
  </si>
  <si>
    <t>20/110</t>
  </si>
  <si>
    <t>Vessel</t>
  </si>
  <si>
    <t>Torque</t>
  </si>
  <si>
    <t>Gearbox</t>
  </si>
  <si>
    <t>power,gearbox, out</t>
  </si>
  <si>
    <t>P,motor, out</t>
  </si>
  <si>
    <t>Motor</t>
  </si>
  <si>
    <t>Gear Ratio</t>
  </si>
  <si>
    <t>Cruise speed</t>
  </si>
  <si>
    <t>1:2</t>
  </si>
  <si>
    <t>1:3</t>
  </si>
  <si>
    <t>klein</t>
  </si>
  <si>
    <t>groot</t>
  </si>
  <si>
    <t>dichtbij</t>
  </si>
  <si>
    <t>snelheid</t>
  </si>
  <si>
    <t>Cruise</t>
  </si>
  <si>
    <t>* Maximaal toerental huidige configuratie</t>
  </si>
  <si>
    <t>* Andere overbrenging vereist, max toerental voor 24V met huidige configuratie</t>
  </si>
  <si>
    <t>* Motorvermogen te hoog voor  48V</t>
  </si>
  <si>
    <t>efficientie</t>
  </si>
  <si>
    <t>Opmerkingen:</t>
  </si>
  <si>
    <t>indien het voltage naar 24 V veranderd moet de overbrenging veranderen, dit is wel zeer nadelig, maximaale haalbare snelheid wordt dan 20km/h</t>
  </si>
  <si>
    <t>indien de configuratie onveranderd blijft wordt de maximale snelheid 23 km/h</t>
  </si>
  <si>
    <t>indien 48V de spanning blijft en de overbrenging veranderd kunnen we maximaal 29 km/h, mits dit in de strut past</t>
  </si>
  <si>
    <t>* Max koppel voor huidige configuratie</t>
  </si>
  <si>
    <t>* Andere overbrenging vereist, max vermogen voor 48V met huidige configuratie, speed t.o.v. koppel te hoog</t>
  </si>
  <si>
    <t>Efficiëntie</t>
  </si>
  <si>
    <t>Stroom</t>
  </si>
  <si>
    <t>Spanning</t>
  </si>
  <si>
    <t>Koppel</t>
  </si>
  <si>
    <t>Vermogen</t>
  </si>
  <si>
    <t>Toerental</t>
  </si>
  <si>
    <t>Mech. Vermogen</t>
  </si>
  <si>
    <t>Elektr. Vermogen</t>
  </si>
  <si>
    <t>Snelheid</t>
  </si>
  <si>
    <t>Grenswaarden vermogen</t>
  </si>
  <si>
    <t>toeren</t>
  </si>
  <si>
    <t>koppel</t>
  </si>
  <si>
    <t xml:space="preserve"> toepassing op 48V syst</t>
  </si>
  <si>
    <t>toepassing op 24V syst</t>
  </si>
  <si>
    <t>De efficiëntie van de schroef gaat omhoog indien de snelheid omhoog gaat tot nu toe</t>
  </si>
  <si>
    <t>* Motorvermogen te hoog voor 24V &amp; andere overbrenging vereist</t>
  </si>
  <si>
    <t>2/3mr^2
Source https://www.physicsforums.com/threads/moment-of-inertia-formula-for-a-propeller.605812/</t>
  </si>
  <si>
    <t>https://www.physicsforums.com/threads/moment-of-inertia-formula-for-a-propeller.605812/</t>
  </si>
  <si>
    <t>kg</t>
  </si>
  <si>
    <t>T nom</t>
  </si>
  <si>
    <t>Nm</t>
  </si>
  <si>
    <t>kg/m^2</t>
  </si>
  <si>
    <t>seconden</t>
  </si>
  <si>
    <t>Factor</t>
  </si>
  <si>
    <t>m</t>
  </si>
  <si>
    <t>Taanloop</t>
  </si>
  <si>
    <t>Hoeksnelheid</t>
  </si>
  <si>
    <t>Berekeningen versnellen</t>
  </si>
  <si>
    <t>Gegevens</t>
  </si>
  <si>
    <t>Naam</t>
  </si>
  <si>
    <t>Waarde</t>
  </si>
  <si>
    <t>Eenheid</t>
  </si>
  <si>
    <t>dprop.</t>
  </si>
  <si>
    <t>Mprop.</t>
  </si>
  <si>
    <t>&lt;- bij max toerental huidige configuratie</t>
  </si>
  <si>
    <t>Berekeningen</t>
  </si>
  <si>
    <t>Wat</t>
  </si>
  <si>
    <t>Formule</t>
  </si>
  <si>
    <t>Uitkomst</t>
  </si>
  <si>
    <t>n prop</t>
  </si>
  <si>
    <t>2*pi*n/60</t>
  </si>
  <si>
    <t>Opmerking</t>
  </si>
  <si>
    <t>rad/s</t>
  </si>
  <si>
    <t>J prop.</t>
  </si>
  <si>
    <t>&lt;- uit solidworks model</t>
  </si>
  <si>
    <t>Jprop/iT^2</t>
  </si>
  <si>
    <t>Overbrening 1:</t>
  </si>
  <si>
    <t>Traagheidsmoment</t>
  </si>
  <si>
    <t>Jmotor</t>
  </si>
  <si>
    <t xml:space="preserve">Δtijd </t>
  </si>
  <si>
    <t>Tacc</t>
  </si>
  <si>
    <t xml:space="preserve"> J ( Δhoeksnelheid / Δtijd) + Jmotor</t>
  </si>
  <si>
    <t>&lt; max op grote tandwiel 27N, kleine 9N</t>
  </si>
  <si>
    <t>Tnom+Tlostrek+Tacc</t>
  </si>
  <si>
    <t>Tlostrek</t>
  </si>
  <si>
    <t>Tnom*factor</t>
  </si>
  <si>
    <t>Berekeningen vertragen</t>
  </si>
  <si>
    <t>Eenehid</t>
  </si>
  <si>
    <t>a=F/m</t>
  </si>
  <si>
    <t>vertraging</t>
  </si>
  <si>
    <t>remtijd</t>
  </si>
  <si>
    <t>r=v0/a</t>
  </si>
  <si>
    <t>m boot</t>
  </si>
  <si>
    <t>v0</t>
  </si>
  <si>
    <t>&lt;- vastgesteld max snelheid</t>
  </si>
  <si>
    <t>delta v [m/s]</t>
  </si>
  <si>
    <t>Totaal</t>
  </si>
  <si>
    <t>remtijd [sec]</t>
  </si>
  <si>
    <t>Delta v [m/s]</t>
  </si>
  <si>
    <t>Fschroef [N]</t>
  </si>
  <si>
    <t>toerantal schroef [rpm]</t>
  </si>
  <si>
    <t>Koppel schroef [Nm]</t>
  </si>
  <si>
    <t>Remtijd [sec]</t>
  </si>
  <si>
    <t>Tijdswinst t.o.v vorige [sec]</t>
  </si>
  <si>
    <t>Overzicht Stuwkracht schroef t.o.v. Remtijd</t>
  </si>
  <si>
    <t>a rem [m/s^2]</t>
  </si>
  <si>
    <t>Berekening remtijd zonder gebruik van de schroef</t>
  </si>
  <si>
    <t>Berekening remtijd met variabele (constante) stuwkracht van de schroef</t>
  </si>
  <si>
    <t>Fremtot [N]</t>
  </si>
  <si>
    <t>Fweerstand [N]</t>
  </si>
  <si>
    <t>&lt;- vanuit afremmen vanaf max snelheid gezien (5 m/s)</t>
  </si>
  <si>
    <t>&lt;-- Advies om deze te kiezen</t>
  </si>
  <si>
    <t>Gebruikte formules:</t>
  </si>
  <si>
    <t>Totale remkracht</t>
  </si>
  <si>
    <t>Fremtot = Fschroef+Fweerstand</t>
  </si>
  <si>
    <t>Speed</t>
    <phoneticPr fontId="30" type="noConversion"/>
  </si>
  <si>
    <t>m/s</t>
    <phoneticPr fontId="30" type="noConversion"/>
  </si>
  <si>
    <t>km/h</t>
    <phoneticPr fontId="30" type="noConversion"/>
  </si>
  <si>
    <t>Input power</t>
    <phoneticPr fontId="30" type="noConversion"/>
  </si>
  <si>
    <t>[W]</t>
    <phoneticPr fontId="30" type="noConversion"/>
  </si>
  <si>
    <t>Output power</t>
    <phoneticPr fontId="30" type="noConversion"/>
  </si>
  <si>
    <t>Deviation</t>
    <phoneticPr fontId="30" type="noConversion"/>
  </si>
  <si>
    <t>Real data</t>
    <phoneticPr fontId="30" type="noConversion"/>
  </si>
  <si>
    <t>Simulation results</t>
    <phoneticPr fontId="30" type="noConversion"/>
  </si>
  <si>
    <t>Deviation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</si>
</sst>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76" formatCode="0.0"/>
    <numFmt numFmtId="177" formatCode="0.000"/>
    <numFmt numFmtId="178" formatCode="0.0000"/>
    <numFmt numFmtId="179" formatCode="0.00000"/>
    <numFmt numFmtId="180" formatCode="_ * #,##0_ ;_ * \-#,##0_ ;_ * &quot;-&quot;??_ ;_ @_ "/>
    <numFmt numFmtId="181" formatCode="0.00_ "/>
    <numFmt numFmtId="182" formatCode="0.000_);[Red]\(0.000\)"/>
    <numFmt numFmtId="183" formatCode="0.000_ "/>
  </numFmts>
  <fonts count="3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  <charset val="238"/>
    </font>
    <font>
      <b/>
      <sz val="11"/>
      <name val="Arial"/>
      <family val="2"/>
      <charset val="238"/>
    </font>
    <font>
      <sz val="9.5"/>
      <name val="Arial"/>
      <family val="2"/>
      <charset val="238"/>
    </font>
    <font>
      <sz val="10"/>
      <name val="Arial"/>
      <family val="2"/>
      <charset val="238"/>
    </font>
    <font>
      <b/>
      <sz val="11"/>
      <color indexed="8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sz val="10"/>
      <color theme="1"/>
      <name val="Arial"/>
      <family val="2"/>
      <charset val="238"/>
    </font>
    <font>
      <b/>
      <sz val="11"/>
      <color theme="1"/>
      <name val="宋体"/>
      <family val="2"/>
      <scheme val="minor"/>
    </font>
    <font>
      <sz val="10"/>
      <name val="Arial"/>
      <family val="2"/>
    </font>
    <font>
      <i/>
      <sz val="11"/>
      <color rgb="FF7F7F7F"/>
      <name val="宋体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  <font>
      <b/>
      <sz val="9"/>
      <color indexed="81"/>
      <name val="Tahoma"/>
      <family val="2"/>
    </font>
    <font>
      <i/>
      <sz val="11"/>
      <color rgb="FFFF0000"/>
      <name val="宋体"/>
      <family val="2"/>
      <scheme val="minor"/>
    </font>
    <font>
      <b/>
      <sz val="10"/>
      <color theme="9"/>
      <name val="Arial"/>
      <family val="2"/>
    </font>
    <font>
      <sz val="10"/>
      <color theme="9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3" tint="0.3999755851924192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66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Dot">
        <color theme="1"/>
      </left>
      <right style="dashDot">
        <color theme="1"/>
      </right>
      <top style="thin">
        <color indexed="64"/>
      </top>
      <bottom/>
      <diagonal/>
    </border>
    <border>
      <left style="dashDot">
        <color theme="1"/>
      </left>
      <right style="dashDot">
        <color theme="1"/>
      </right>
      <top/>
      <bottom/>
      <diagonal/>
    </border>
    <border>
      <left style="dashDot">
        <color theme="1"/>
      </left>
      <right style="dashDot">
        <color theme="1"/>
      </right>
      <top/>
      <bottom style="thin">
        <color indexed="64"/>
      </bottom>
      <diagonal/>
    </border>
    <border>
      <left/>
      <right style="thin">
        <color rgb="FF333333"/>
      </right>
      <top style="thin">
        <color indexed="64"/>
      </top>
      <bottom/>
      <diagonal/>
    </border>
    <border>
      <left/>
      <right style="thin">
        <color rgb="FF333333"/>
      </right>
      <top/>
      <bottom style="thin">
        <color indexed="64"/>
      </bottom>
      <diagonal/>
    </border>
    <border>
      <left/>
      <right style="thin">
        <color rgb="FF333333"/>
      </right>
      <top/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/>
      <diagonal/>
    </border>
    <border>
      <left/>
      <right/>
      <top style="thin">
        <color rgb="FF333333"/>
      </top>
      <bottom/>
      <diagonal/>
    </border>
    <border>
      <left style="thin">
        <color rgb="FF333333"/>
      </left>
      <right/>
      <top/>
      <bottom style="thin">
        <color rgb="FF333333"/>
      </bottom>
      <diagonal/>
    </border>
    <border>
      <left/>
      <right style="thin">
        <color indexed="64"/>
      </right>
      <top style="thin">
        <color rgb="FF333333"/>
      </top>
      <bottom/>
      <diagonal/>
    </border>
    <border>
      <left/>
      <right style="thin">
        <color indexed="64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9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43" fontId="25" fillId="0" borderId="0" applyFont="0" applyFill="0" applyBorder="0" applyAlignment="0" applyProtection="0"/>
  </cellStyleXfs>
  <cellXfs count="419">
    <xf numFmtId="0" fontId="0" fillId="0" borderId="0" xfId="0"/>
    <xf numFmtId="2" fontId="0" fillId="0" borderId="0" xfId="0" applyNumberFormat="1"/>
    <xf numFmtId="177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 applyAlignment="1"/>
    <xf numFmtId="176" fontId="0" fillId="0" borderId="0" xfId="0" applyNumberFormat="1"/>
    <xf numFmtId="0" fontId="0" fillId="0" borderId="6" xfId="0" applyBorder="1"/>
    <xf numFmtId="0" fontId="0" fillId="0" borderId="7" xfId="0" applyBorder="1"/>
    <xf numFmtId="177" fontId="0" fillId="0" borderId="6" xfId="0" applyNumberFormat="1" applyBorder="1"/>
    <xf numFmtId="2" fontId="0" fillId="0" borderId="0" xfId="0" applyNumberFormat="1" applyBorder="1"/>
    <xf numFmtId="0" fontId="0" fillId="0" borderId="1" xfId="0" applyFill="1" applyBorder="1"/>
    <xf numFmtId="0" fontId="6" fillId="0" borderId="4" xfId="0" applyFont="1" applyBorder="1"/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quotePrefix="1" applyFont="1" applyBorder="1" applyAlignment="1">
      <alignment vertical="top" wrapText="1"/>
    </xf>
    <xf numFmtId="178" fontId="0" fillId="0" borderId="0" xfId="0" applyNumberFormat="1"/>
    <xf numFmtId="1" fontId="0" fillId="0" borderId="0" xfId="0" applyNumberFormat="1" applyBorder="1"/>
    <xf numFmtId="1" fontId="7" fillId="0" borderId="0" xfId="0" applyNumberFormat="1" applyFont="1" applyBorder="1"/>
    <xf numFmtId="0" fontId="7" fillId="0" borderId="0" xfId="0" applyFont="1" applyBorder="1"/>
    <xf numFmtId="3" fontId="0" fillId="0" borderId="0" xfId="0" applyNumberFormat="1" applyBorder="1"/>
    <xf numFmtId="178" fontId="0" fillId="0" borderId="0" xfId="0" applyNumberFormat="1" applyBorder="1"/>
    <xf numFmtId="179" fontId="0" fillId="0" borderId="0" xfId="0" applyNumberFormat="1" applyBorder="1"/>
    <xf numFmtId="0" fontId="11" fillId="0" borderId="0" xfId="0" applyFont="1"/>
    <xf numFmtId="0" fontId="0" fillId="2" borderId="0" xfId="0" applyFill="1"/>
    <xf numFmtId="0" fontId="2" fillId="0" borderId="0" xfId="0" applyFont="1"/>
    <xf numFmtId="0" fontId="2" fillId="0" borderId="0" xfId="0" quotePrefix="1" applyFont="1"/>
    <xf numFmtId="0" fontId="12" fillId="0" borderId="0" xfId="0" applyFont="1"/>
    <xf numFmtId="0" fontId="10" fillId="0" borderId="0" xfId="0" applyFont="1"/>
    <xf numFmtId="0" fontId="0" fillId="0" borderId="0" xfId="0" applyFill="1"/>
    <xf numFmtId="0" fontId="2" fillId="0" borderId="0" xfId="0" applyFont="1" applyBorder="1"/>
    <xf numFmtId="0" fontId="2" fillId="0" borderId="0" xfId="0" applyFont="1" applyFill="1" applyBorder="1"/>
    <xf numFmtId="177" fontId="0" fillId="2" borderId="0" xfId="0" applyNumberFormat="1" applyFill="1"/>
    <xf numFmtId="177" fontId="0" fillId="0" borderId="0" xfId="0" applyNumberFormat="1" applyBorder="1"/>
    <xf numFmtId="176" fontId="0" fillId="0" borderId="0" xfId="0" applyNumberFormat="1" applyBorder="1"/>
    <xf numFmtId="176" fontId="0" fillId="0" borderId="1" xfId="0" applyNumberFormat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6" fillId="0" borderId="4" xfId="0" applyFont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0" xfId="0" applyFont="1" applyAlignment="1">
      <alignment horizontal="right"/>
    </xf>
    <xf numFmtId="1" fontId="0" fillId="0" borderId="0" xfId="0" applyNumberFormat="1" applyFill="1"/>
    <xf numFmtId="2" fontId="10" fillId="0" borderId="0" xfId="0" applyNumberFormat="1" applyFont="1"/>
    <xf numFmtId="179" fontId="0" fillId="0" borderId="0" xfId="0" applyNumberFormat="1"/>
    <xf numFmtId="0" fontId="0" fillId="2" borderId="0" xfId="0" applyFill="1"/>
    <xf numFmtId="0" fontId="2" fillId="0" borderId="4" xfId="0" applyFont="1" applyBorder="1" applyAlignment="1">
      <alignment horizontal="right"/>
    </xf>
    <xf numFmtId="177" fontId="0" fillId="0" borderId="0" xfId="0" applyNumberFormat="1" applyFill="1"/>
    <xf numFmtId="0" fontId="0" fillId="2" borderId="0" xfId="0" applyFill="1" applyBorder="1"/>
    <xf numFmtId="178" fontId="0" fillId="2" borderId="0" xfId="0" applyNumberFormat="1" applyFill="1"/>
    <xf numFmtId="0" fontId="2" fillId="0" borderId="5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10" fontId="0" fillId="0" borderId="0" xfId="0" applyNumberFormat="1" applyBorder="1"/>
    <xf numFmtId="0" fontId="15" fillId="0" borderId="0" xfId="0" applyFont="1"/>
    <xf numFmtId="2" fontId="0" fillId="0" borderId="2" xfId="0" applyNumberFormat="1" applyBorder="1"/>
    <xf numFmtId="0" fontId="15" fillId="0" borderId="0" xfId="0" applyFont="1" applyBorder="1"/>
    <xf numFmtId="178" fontId="2" fillId="0" borderId="0" xfId="0" applyNumberFormat="1" applyFont="1"/>
    <xf numFmtId="10" fontId="15" fillId="0" borderId="0" xfId="0" applyNumberFormat="1" applyFont="1" applyBorder="1"/>
    <xf numFmtId="0" fontId="2" fillId="0" borderId="0" xfId="0" applyFont="1" applyBorder="1" applyAlignment="1">
      <alignment wrapText="1"/>
    </xf>
    <xf numFmtId="2" fontId="15" fillId="0" borderId="11" xfId="0" applyNumberFormat="1" applyFont="1" applyBorder="1"/>
    <xf numFmtId="10" fontId="2" fillId="0" borderId="0" xfId="0" applyNumberFormat="1" applyFont="1" applyBorder="1"/>
    <xf numFmtId="2" fontId="2" fillId="0" borderId="1" xfId="0" applyNumberFormat="1" applyFont="1" applyBorder="1"/>
    <xf numFmtId="10" fontId="0" fillId="0" borderId="0" xfId="0" applyNumberFormat="1"/>
    <xf numFmtId="0" fontId="3" fillId="0" borderId="12" xfId="0" applyFont="1" applyBorder="1" applyAlignment="1">
      <alignment horizontal="center"/>
    </xf>
    <xf numFmtId="0" fontId="0" fillId="0" borderId="3" xfId="0" applyBorder="1" applyAlignment="1">
      <alignment horizontal="right"/>
    </xf>
    <xf numFmtId="2" fontId="0" fillId="0" borderId="3" xfId="0" applyNumberFormat="1" applyBorder="1"/>
    <xf numFmtId="0" fontId="10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7" fillId="0" borderId="0" xfId="3"/>
    <xf numFmtId="2" fontId="0" fillId="3" borderId="2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2" fontId="0" fillId="3" borderId="0" xfId="0" applyNumberFormat="1" applyFill="1" applyBorder="1"/>
    <xf numFmtId="179" fontId="0" fillId="3" borderId="0" xfId="0" applyNumberFormat="1" applyFill="1" applyBorder="1"/>
    <xf numFmtId="178" fontId="0" fillId="3" borderId="0" xfId="0" applyNumberFormat="1" applyFill="1" applyBorder="1"/>
    <xf numFmtId="10" fontId="0" fillId="3" borderId="0" xfId="0" applyNumberFormat="1" applyFill="1" applyBorder="1"/>
    <xf numFmtId="10" fontId="2" fillId="3" borderId="0" xfId="0" applyNumberFormat="1" applyFont="1" applyFill="1" applyBorder="1"/>
    <xf numFmtId="176" fontId="0" fillId="3" borderId="0" xfId="0" applyNumberFormat="1" applyFill="1" applyBorder="1"/>
    <xf numFmtId="177" fontId="0" fillId="3" borderId="0" xfId="0" applyNumberFormat="1" applyFill="1" applyBorder="1"/>
    <xf numFmtId="178" fontId="2" fillId="0" borderId="0" xfId="0" applyNumberFormat="1" applyFont="1" applyBorder="1"/>
    <xf numFmtId="178" fontId="2" fillId="3" borderId="0" xfId="0" applyNumberFormat="1" applyFont="1" applyFill="1" applyBorder="1"/>
    <xf numFmtId="2" fontId="0" fillId="0" borderId="4" xfId="0" applyNumberFormat="1" applyBorder="1"/>
    <xf numFmtId="2" fontId="0" fillId="0" borderId="5" xfId="0" applyNumberFormat="1" applyBorder="1"/>
    <xf numFmtId="179" fontId="0" fillId="0" borderId="4" xfId="0" applyNumberFormat="1" applyBorder="1"/>
    <xf numFmtId="178" fontId="0" fillId="0" borderId="4" xfId="0" applyNumberFormat="1" applyBorder="1"/>
    <xf numFmtId="178" fontId="2" fillId="0" borderId="4" xfId="0" applyNumberFormat="1" applyFont="1" applyBorder="1"/>
    <xf numFmtId="10" fontId="0" fillId="0" borderId="4" xfId="0" applyNumberFormat="1" applyBorder="1"/>
    <xf numFmtId="10" fontId="2" fillId="0" borderId="4" xfId="0" applyNumberFormat="1" applyFont="1" applyBorder="1"/>
    <xf numFmtId="176" fontId="0" fillId="0" borderId="4" xfId="0" applyNumberFormat="1" applyBorder="1"/>
    <xf numFmtId="177" fontId="0" fillId="0" borderId="4" xfId="0" applyNumberFormat="1" applyBorder="1"/>
    <xf numFmtId="10" fontId="2" fillId="0" borderId="15" xfId="0" applyNumberFormat="1" applyFont="1" applyBorder="1" applyAlignment="1">
      <alignment horizontal="center" vertical="center"/>
    </xf>
    <xf numFmtId="10" fontId="2" fillId="0" borderId="16" xfId="0" applyNumberFormat="1" applyFont="1" applyBorder="1" applyAlignment="1">
      <alignment horizontal="center" vertical="center"/>
    </xf>
    <xf numFmtId="10" fontId="0" fillId="0" borderId="16" xfId="0" applyNumberFormat="1" applyBorder="1" applyAlignment="1">
      <alignment horizontal="center" vertical="center"/>
    </xf>
    <xf numFmtId="10" fontId="0" fillId="3" borderId="16" xfId="0" applyNumberFormat="1" applyFill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10" fillId="0" borderId="5" xfId="0" applyFont="1" applyBorder="1" applyAlignment="1">
      <alignment horizontal="right"/>
    </xf>
    <xf numFmtId="0" fontId="10" fillId="0" borderId="19" xfId="0" applyFont="1" applyBorder="1" applyAlignment="1">
      <alignment horizontal="right"/>
    </xf>
    <xf numFmtId="2" fontId="10" fillId="0" borderId="20" xfId="0" applyNumberFormat="1" applyFont="1" applyBorder="1"/>
    <xf numFmtId="2" fontId="10" fillId="3" borderId="20" xfId="0" applyNumberFormat="1" applyFont="1" applyFill="1" applyBorder="1"/>
    <xf numFmtId="2" fontId="10" fillId="0" borderId="19" xfId="0" applyNumberFormat="1" applyFont="1" applyBorder="1"/>
    <xf numFmtId="0" fontId="10" fillId="0" borderId="14" xfId="0" applyFont="1" applyBorder="1" applyAlignment="1">
      <alignment wrapText="1"/>
    </xf>
    <xf numFmtId="0" fontId="10" fillId="0" borderId="4" xfId="0" applyFont="1" applyBorder="1" applyAlignment="1">
      <alignment horizontal="right"/>
    </xf>
    <xf numFmtId="2" fontId="10" fillId="0" borderId="14" xfId="0" applyNumberFormat="1" applyFont="1" applyBorder="1"/>
    <xf numFmtId="2" fontId="10" fillId="0" borderId="0" xfId="0" applyNumberFormat="1" applyFont="1" applyBorder="1"/>
    <xf numFmtId="2" fontId="10" fillId="3" borderId="0" xfId="0" applyNumberFormat="1" applyFont="1" applyFill="1" applyBorder="1"/>
    <xf numFmtId="2" fontId="10" fillId="0" borderId="4" xfId="0" applyNumberFormat="1" applyFont="1" applyBorder="1"/>
    <xf numFmtId="0" fontId="10" fillId="0" borderId="1" xfId="0" applyFont="1" applyBorder="1" applyAlignment="1">
      <alignment horizontal="right"/>
    </xf>
    <xf numFmtId="2" fontId="10" fillId="0" borderId="1" xfId="0" applyNumberFormat="1" applyFont="1" applyBorder="1"/>
    <xf numFmtId="2" fontId="10" fillId="3" borderId="1" xfId="0" applyNumberFormat="1" applyFont="1" applyFill="1" applyBorder="1"/>
    <xf numFmtId="2" fontId="10" fillId="0" borderId="5" xfId="0" applyNumberFormat="1" applyFont="1" applyBorder="1"/>
    <xf numFmtId="176" fontId="0" fillId="0" borderId="23" xfId="0" applyNumberFormat="1" applyBorder="1"/>
    <xf numFmtId="176" fontId="0" fillId="0" borderId="25" xfId="0" applyNumberFormat="1" applyBorder="1"/>
    <xf numFmtId="0" fontId="10" fillId="0" borderId="0" xfId="0" applyFont="1" applyFill="1" applyBorder="1" applyAlignment="1">
      <alignment horizontal="right"/>
    </xf>
    <xf numFmtId="176" fontId="10" fillId="0" borderId="0" xfId="0" applyNumberFormat="1" applyFont="1" applyBorder="1"/>
    <xf numFmtId="176" fontId="10" fillId="3" borderId="0" xfId="0" applyNumberFormat="1" applyFont="1" applyFill="1" applyBorder="1"/>
    <xf numFmtId="0" fontId="2" fillId="0" borderId="23" xfId="0" applyFont="1" applyBorder="1" applyAlignment="1">
      <alignment horizontal="right"/>
    </xf>
    <xf numFmtId="0" fontId="10" fillId="0" borderId="23" xfId="0" applyFont="1" applyBorder="1" applyAlignment="1">
      <alignment horizontal="right"/>
    </xf>
    <xf numFmtId="0" fontId="10" fillId="0" borderId="24" xfId="0" applyFont="1" applyBorder="1" applyAlignment="1">
      <alignment horizontal="right"/>
    </xf>
    <xf numFmtId="176" fontId="10" fillId="0" borderId="4" xfId="0" applyNumberFormat="1" applyFont="1" applyBorder="1"/>
    <xf numFmtId="176" fontId="10" fillId="0" borderId="29" xfId="0" applyNumberFormat="1" applyFont="1" applyBorder="1"/>
    <xf numFmtId="176" fontId="10" fillId="0" borderId="21" xfId="0" applyNumberFormat="1" applyFont="1" applyBorder="1"/>
    <xf numFmtId="176" fontId="10" fillId="0" borderId="20" xfId="0" applyNumberFormat="1" applyFont="1" applyBorder="1"/>
    <xf numFmtId="176" fontId="10" fillId="3" borderId="20" xfId="0" applyNumberFormat="1" applyFont="1" applyFill="1" applyBorder="1"/>
    <xf numFmtId="176" fontId="10" fillId="0" borderId="23" xfId="0" applyNumberFormat="1" applyFont="1" applyBorder="1"/>
    <xf numFmtId="176" fontId="10" fillId="0" borderId="24" xfId="0" applyNumberFormat="1" applyFont="1" applyBorder="1"/>
    <xf numFmtId="0" fontId="10" fillId="0" borderId="4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0" fillId="0" borderId="30" xfId="0" applyBorder="1" applyAlignment="1">
      <alignment horizontal="right"/>
    </xf>
    <xf numFmtId="10" fontId="10" fillId="0" borderId="25" xfId="0" applyNumberFormat="1" applyFont="1" applyBorder="1"/>
    <xf numFmtId="10" fontId="0" fillId="0" borderId="25" xfId="0" applyNumberFormat="1" applyBorder="1"/>
    <xf numFmtId="10" fontId="0" fillId="3" borderId="25" xfId="0" applyNumberFormat="1" applyFill="1" applyBorder="1"/>
    <xf numFmtId="10" fontId="0" fillId="0" borderId="30" xfId="0" applyNumberFormat="1" applyBorder="1"/>
    <xf numFmtId="10" fontId="0" fillId="0" borderId="28" xfId="0" applyNumberFormat="1" applyBorder="1"/>
    <xf numFmtId="176" fontId="2" fillId="0" borderId="0" xfId="0" applyNumberFormat="1" applyFont="1" applyBorder="1"/>
    <xf numFmtId="176" fontId="2" fillId="0" borderId="29" xfId="0" applyNumberFormat="1" applyFont="1" applyBorder="1"/>
    <xf numFmtId="176" fontId="2" fillId="0" borderId="23" xfId="0" applyNumberFormat="1" applyFont="1" applyBorder="1"/>
    <xf numFmtId="176" fontId="2" fillId="3" borderId="0" xfId="0" applyNumberFormat="1" applyFont="1" applyFill="1" applyBorder="1"/>
    <xf numFmtId="0" fontId="6" fillId="0" borderId="28" xfId="0" applyFont="1" applyFill="1" applyBorder="1" applyAlignment="1">
      <alignment horizontal="right"/>
    </xf>
    <xf numFmtId="176" fontId="0" fillId="0" borderId="29" xfId="0" applyNumberFormat="1" applyBorder="1"/>
    <xf numFmtId="0" fontId="2" fillId="0" borderId="25" xfId="0" applyFont="1" applyBorder="1" applyAlignment="1">
      <alignment horizontal="right"/>
    </xf>
    <xf numFmtId="9" fontId="0" fillId="0" borderId="28" xfId="1" applyFont="1" applyBorder="1"/>
    <xf numFmtId="9" fontId="0" fillId="0" borderId="25" xfId="1" applyFont="1" applyBorder="1"/>
    <xf numFmtId="9" fontId="0" fillId="0" borderId="30" xfId="1" applyFont="1" applyBorder="1"/>
    <xf numFmtId="9" fontId="0" fillId="3" borderId="25" xfId="1" applyFont="1" applyFill="1" applyBorder="1"/>
    <xf numFmtId="0" fontId="10" fillId="0" borderId="0" xfId="0" applyFont="1" applyAlignment="1">
      <alignment horizontal="right"/>
    </xf>
    <xf numFmtId="0" fontId="2" fillId="0" borderId="28" xfId="0" applyFont="1" applyFill="1" applyBorder="1" applyAlignment="1">
      <alignment horizontal="right"/>
    </xf>
    <xf numFmtId="0" fontId="2" fillId="0" borderId="30" xfId="0" applyFont="1" applyBorder="1" applyAlignment="1">
      <alignment horizontal="right"/>
    </xf>
    <xf numFmtId="9" fontId="2" fillId="0" borderId="29" xfId="1" applyFont="1" applyBorder="1"/>
    <xf numFmtId="9" fontId="2" fillId="0" borderId="25" xfId="1" applyFont="1" applyBorder="1"/>
    <xf numFmtId="9" fontId="2" fillId="0" borderId="23" xfId="0" applyNumberFormat="1" applyFont="1" applyBorder="1"/>
    <xf numFmtId="9" fontId="2" fillId="3" borderId="25" xfId="1" applyFont="1" applyFill="1" applyBorder="1"/>
    <xf numFmtId="0" fontId="10" fillId="0" borderId="21" xfId="0" applyFont="1" applyFill="1" applyBorder="1" applyAlignment="1">
      <alignment horizontal="right" wrapText="1"/>
    </xf>
    <xf numFmtId="2" fontId="2" fillId="0" borderId="0" xfId="0" applyNumberFormat="1" applyFont="1"/>
    <xf numFmtId="9" fontId="19" fillId="0" borderId="0" xfId="2" applyNumberFormat="1" applyFont="1"/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0" fillId="0" borderId="19" xfId="0" applyFont="1" applyBorder="1" applyAlignment="1">
      <alignment horizontal="left"/>
    </xf>
    <xf numFmtId="10" fontId="0" fillId="0" borderId="0" xfId="1" applyNumberFormat="1" applyFont="1"/>
    <xf numFmtId="0" fontId="0" fillId="0" borderId="0" xfId="0" quotePrefix="1" applyAlignment="1">
      <alignment wrapText="1"/>
    </xf>
    <xf numFmtId="0" fontId="10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top"/>
    </xf>
    <xf numFmtId="0" fontId="2" fillId="0" borderId="0" xfId="0" quotePrefix="1" applyFont="1" applyAlignment="1">
      <alignment wrapText="1"/>
    </xf>
    <xf numFmtId="10" fontId="2" fillId="0" borderId="0" xfId="1" quotePrefix="1" applyNumberFormat="1" applyFont="1" applyAlignment="1">
      <alignment horizontal="left" wrapText="1"/>
    </xf>
    <xf numFmtId="177" fontId="2" fillId="0" borderId="0" xfId="1" quotePrefix="1" applyNumberFormat="1" applyFont="1" applyAlignment="1">
      <alignment horizontal="left" wrapText="1"/>
    </xf>
    <xf numFmtId="0" fontId="10" fillId="0" borderId="0" xfId="0" applyFont="1" applyAlignment="1">
      <alignment wrapText="1"/>
    </xf>
    <xf numFmtId="9" fontId="2" fillId="0" borderId="0" xfId="1" applyFont="1" applyBorder="1"/>
    <xf numFmtId="0" fontId="2" fillId="0" borderId="0" xfId="0" applyFont="1" applyAlignment="1"/>
    <xf numFmtId="0" fontId="10" fillId="0" borderId="0" xfId="0" applyFont="1" applyFill="1" applyBorder="1" applyAlignment="1">
      <alignment horizontal="right" wrapText="1"/>
    </xf>
    <xf numFmtId="0" fontId="10" fillId="0" borderId="31" xfId="0" applyFont="1" applyFill="1" applyBorder="1" applyAlignment="1">
      <alignment horizontal="right" wrapText="1"/>
    </xf>
    <xf numFmtId="0" fontId="10" fillId="0" borderId="32" xfId="0" applyFont="1" applyBorder="1" applyAlignment="1">
      <alignment horizontal="right"/>
    </xf>
    <xf numFmtId="176" fontId="10" fillId="0" borderId="3" xfId="0" applyNumberFormat="1" applyFont="1" applyBorder="1"/>
    <xf numFmtId="176" fontId="2" fillId="0" borderId="4" xfId="0" applyNumberFormat="1" applyFont="1" applyBorder="1"/>
    <xf numFmtId="9" fontId="0" fillId="0" borderId="0" xfId="1" applyFont="1"/>
    <xf numFmtId="9" fontId="0" fillId="0" borderId="0" xfId="1" applyFont="1" applyFill="1"/>
    <xf numFmtId="0" fontId="0" fillId="0" borderId="0" xfId="1" applyNumberFormat="1" applyFont="1"/>
    <xf numFmtId="0" fontId="0" fillId="0" borderId="0" xfId="1" applyNumberFormat="1" applyFont="1" applyFill="1"/>
    <xf numFmtId="0" fontId="0" fillId="0" borderId="0" xfId="1" applyNumberFormat="1" applyFont="1" applyBorder="1"/>
    <xf numFmtId="0" fontId="2" fillId="0" borderId="0" xfId="1" applyNumberFormat="1" applyFont="1" applyFill="1" applyBorder="1" applyAlignment="1">
      <alignment horizontal="right" wrapText="1"/>
    </xf>
    <xf numFmtId="0" fontId="2" fillId="0" borderId="23" xfId="1" applyNumberFormat="1" applyFont="1" applyBorder="1" applyAlignment="1">
      <alignment horizontal="right"/>
    </xf>
    <xf numFmtId="176" fontId="10" fillId="0" borderId="19" xfId="0" applyNumberFormat="1" applyFont="1" applyBorder="1"/>
    <xf numFmtId="0" fontId="2" fillId="2" borderId="0" xfId="0" applyFont="1" applyFill="1"/>
    <xf numFmtId="0" fontId="2" fillId="0" borderId="0" xfId="0" applyFont="1" applyFill="1"/>
    <xf numFmtId="9" fontId="0" fillId="2" borderId="0" xfId="1" applyFont="1" applyFill="1"/>
    <xf numFmtId="0" fontId="6" fillId="0" borderId="0" xfId="0" applyFont="1" applyFill="1" applyBorder="1" applyAlignment="1">
      <alignment horizontal="right" wrapText="1"/>
    </xf>
    <xf numFmtId="0" fontId="0" fillId="0" borderId="13" xfId="0" applyBorder="1"/>
    <xf numFmtId="0" fontId="0" fillId="0" borderId="14" xfId="0" applyBorder="1"/>
    <xf numFmtId="0" fontId="15" fillId="0" borderId="11" xfId="0" applyFont="1" applyBorder="1"/>
    <xf numFmtId="0" fontId="10" fillId="0" borderId="2" xfId="0" applyFont="1" applyBorder="1"/>
    <xf numFmtId="0" fontId="10" fillId="0" borderId="0" xfId="0" applyFont="1" applyBorder="1"/>
    <xf numFmtId="0" fontId="10" fillId="0" borderId="1" xfId="0" applyFont="1" applyBorder="1"/>
    <xf numFmtId="0" fontId="2" fillId="0" borderId="2" xfId="0" applyFont="1" applyBorder="1"/>
    <xf numFmtId="0" fontId="2" fillId="0" borderId="1" xfId="0" applyFont="1" applyBorder="1"/>
    <xf numFmtId="10" fontId="0" fillId="0" borderId="2" xfId="1" applyNumberFormat="1" applyFont="1" applyBorder="1"/>
    <xf numFmtId="10" fontId="0" fillId="2" borderId="3" xfId="1" applyNumberFormat="1" applyFont="1" applyFill="1" applyBorder="1"/>
    <xf numFmtId="0" fontId="21" fillId="0" borderId="2" xfId="0" applyFont="1" applyBorder="1" applyAlignment="1">
      <alignment horizontal="right"/>
    </xf>
    <xf numFmtId="2" fontId="21" fillId="0" borderId="1" xfId="0" applyNumberFormat="1" applyFont="1" applyBorder="1"/>
    <xf numFmtId="0" fontId="21" fillId="0" borderId="13" xfId="0" applyFont="1" applyFill="1" applyBorder="1" applyAlignment="1">
      <alignment horizontal="right"/>
    </xf>
    <xf numFmtId="0" fontId="21" fillId="0" borderId="0" xfId="0" applyFont="1" applyBorder="1" applyAlignment="1">
      <alignment horizontal="right"/>
    </xf>
    <xf numFmtId="0" fontId="21" fillId="0" borderId="5" xfId="0" applyFont="1" applyFill="1" applyBorder="1" applyAlignment="1">
      <alignment horizontal="right"/>
    </xf>
    <xf numFmtId="176" fontId="21" fillId="0" borderId="1" xfId="0" applyNumberFormat="1" applyFont="1" applyFill="1" applyBorder="1" applyAlignment="1">
      <alignment horizontal="right"/>
    </xf>
    <xf numFmtId="0" fontId="21" fillId="0" borderId="14" xfId="0" applyFont="1" applyFill="1" applyBorder="1" applyAlignment="1">
      <alignment horizontal="right" wrapText="1"/>
    </xf>
    <xf numFmtId="0" fontId="21" fillId="0" borderId="14" xfId="0" applyFont="1" applyFill="1" applyBorder="1" applyAlignment="1">
      <alignment horizontal="right"/>
    </xf>
    <xf numFmtId="0" fontId="21" fillId="0" borderId="11" xfId="0" applyFont="1" applyFill="1" applyBorder="1" applyAlignment="1">
      <alignment horizontal="right" wrapText="1"/>
    </xf>
    <xf numFmtId="176" fontId="6" fillId="0" borderId="1" xfId="0" applyNumberFormat="1" applyFont="1" applyFill="1" applyBorder="1" applyAlignment="1">
      <alignment horizontal="right"/>
    </xf>
    <xf numFmtId="176" fontId="6" fillId="0" borderId="5" xfId="0" applyNumberFormat="1" applyFont="1" applyFill="1" applyBorder="1" applyAlignment="1">
      <alignment horizontal="right"/>
    </xf>
    <xf numFmtId="176" fontId="21" fillId="0" borderId="0" xfId="0" applyNumberFormat="1" applyFont="1" applyBorder="1"/>
    <xf numFmtId="2" fontId="21" fillId="0" borderId="0" xfId="0" applyNumberFormat="1" applyFont="1" applyBorder="1"/>
    <xf numFmtId="176" fontId="21" fillId="0" borderId="0" xfId="0" applyNumberFormat="1" applyFont="1" applyFill="1" applyBorder="1"/>
    <xf numFmtId="2" fontId="21" fillId="0" borderId="0" xfId="0" applyNumberFormat="1" applyFont="1" applyFill="1" applyBorder="1"/>
    <xf numFmtId="0" fontId="21" fillId="0" borderId="1" xfId="0" applyFont="1" applyFill="1" applyBorder="1" applyAlignment="1">
      <alignment horizontal="right"/>
    </xf>
    <xf numFmtId="176" fontId="21" fillId="0" borderId="2" xfId="0" applyNumberFormat="1" applyFont="1" applyBorder="1"/>
    <xf numFmtId="176" fontId="21" fillId="0" borderId="2" xfId="0" applyNumberFormat="1" applyFont="1" applyFill="1" applyBorder="1"/>
    <xf numFmtId="2" fontId="21" fillId="0" borderId="1" xfId="0" applyNumberFormat="1" applyFont="1" applyFill="1" applyBorder="1"/>
    <xf numFmtId="176" fontId="21" fillId="0" borderId="3" xfId="0" applyNumberFormat="1" applyFont="1" applyBorder="1"/>
    <xf numFmtId="176" fontId="21" fillId="0" borderId="4" xfId="0" applyNumberFormat="1" applyFont="1" applyBorder="1"/>
    <xf numFmtId="2" fontId="21" fillId="0" borderId="4" xfId="0" applyNumberFormat="1" applyFont="1" applyBorder="1"/>
    <xf numFmtId="2" fontId="21" fillId="0" borderId="5" xfId="0" applyNumberFormat="1" applyFont="1" applyBorder="1"/>
    <xf numFmtId="176" fontId="21" fillId="0" borderId="13" xfId="0" applyNumberFormat="1" applyFont="1" applyBorder="1"/>
    <xf numFmtId="176" fontId="21" fillId="0" borderId="14" xfId="0" applyNumberFormat="1" applyFont="1" applyBorder="1"/>
    <xf numFmtId="2" fontId="21" fillId="0" borderId="14" xfId="0" applyNumberFormat="1" applyFont="1" applyBorder="1"/>
    <xf numFmtId="2" fontId="21" fillId="0" borderId="11" xfId="0" applyNumberFormat="1" applyFont="1" applyBorder="1"/>
    <xf numFmtId="0" fontId="22" fillId="0" borderId="0" xfId="0" applyFont="1" applyFill="1"/>
    <xf numFmtId="0" fontId="2" fillId="0" borderId="32" xfId="0" applyFont="1" applyBorder="1" applyAlignment="1">
      <alignment horizontal="right"/>
    </xf>
    <xf numFmtId="0" fontId="6" fillId="0" borderId="11" xfId="0" applyFont="1" applyFill="1" applyBorder="1" applyAlignment="1">
      <alignment horizontal="right" wrapText="1"/>
    </xf>
    <xf numFmtId="176" fontId="0" fillId="0" borderId="31" xfId="0" applyNumberFormat="1" applyBorder="1"/>
    <xf numFmtId="0" fontId="0" fillId="2" borderId="0" xfId="1" applyNumberFormat="1" applyFont="1" applyFill="1"/>
    <xf numFmtId="0" fontId="10" fillId="0" borderId="0" xfId="0" applyFont="1" applyFill="1"/>
    <xf numFmtId="0" fontId="10" fillId="0" borderId="0" xfId="1" applyNumberFormat="1" applyFont="1"/>
    <xf numFmtId="9" fontId="10" fillId="0" borderId="0" xfId="1" applyFont="1"/>
    <xf numFmtId="9" fontId="10" fillId="0" borderId="0" xfId="1" applyFont="1" applyFill="1"/>
    <xf numFmtId="10" fontId="0" fillId="0" borderId="0" xfId="1" applyNumberFormat="1" applyFont="1" applyBorder="1"/>
    <xf numFmtId="0" fontId="0" fillId="0" borderId="4" xfId="1" applyNumberFormat="1" applyFont="1" applyBorder="1"/>
    <xf numFmtId="10" fontId="0" fillId="0" borderId="4" xfId="1" applyNumberFormat="1" applyFont="1" applyFill="1" applyBorder="1"/>
    <xf numFmtId="0" fontId="10" fillId="0" borderId="0" xfId="0" applyFont="1" applyBorder="1" applyAlignment="1">
      <alignment wrapText="1"/>
    </xf>
    <xf numFmtId="176" fontId="0" fillId="0" borderId="2" xfId="0" applyNumberFormat="1" applyBorder="1"/>
    <xf numFmtId="176" fontId="0" fillId="0" borderId="3" xfId="0" applyNumberFormat="1" applyBorder="1"/>
    <xf numFmtId="176" fontId="0" fillId="3" borderId="2" xfId="0" applyNumberFormat="1" applyFill="1" applyBorder="1"/>
    <xf numFmtId="0" fontId="2" fillId="0" borderId="3" xfId="0" applyFont="1" applyBorder="1" applyAlignment="1">
      <alignment horizontal="right"/>
    </xf>
    <xf numFmtId="10" fontId="0" fillId="0" borderId="0" xfId="1" applyNumberFormat="1" applyFont="1" applyFill="1"/>
    <xf numFmtId="10" fontId="2" fillId="0" borderId="0" xfId="1" applyNumberFormat="1" applyFont="1" applyFill="1" applyBorder="1" applyAlignment="1">
      <alignment horizontal="right" wrapText="1"/>
    </xf>
    <xf numFmtId="10" fontId="2" fillId="0" borderId="23" xfId="1" applyNumberFormat="1" applyFont="1" applyBorder="1" applyAlignment="1">
      <alignment horizontal="right"/>
    </xf>
    <xf numFmtId="10" fontId="2" fillId="0" borderId="0" xfId="1" applyNumberFormat="1" applyFont="1" applyBorder="1"/>
    <xf numFmtId="10" fontId="2" fillId="3" borderId="0" xfId="1" applyNumberFormat="1" applyFont="1" applyFill="1" applyBorder="1"/>
    <xf numFmtId="10" fontId="2" fillId="0" borderId="4" xfId="1" applyNumberFormat="1" applyFont="1" applyBorder="1"/>
    <xf numFmtId="2" fontId="2" fillId="0" borderId="0" xfId="1" applyNumberFormat="1" applyFont="1" applyBorder="1"/>
    <xf numFmtId="2" fontId="2" fillId="3" borderId="0" xfId="1" applyNumberFormat="1" applyFont="1" applyFill="1" applyBorder="1"/>
    <xf numFmtId="2" fontId="2" fillId="0" borderId="4" xfId="1" applyNumberFormat="1" applyFont="1" applyBorder="1"/>
    <xf numFmtId="2" fontId="0" fillId="0" borderId="0" xfId="1" applyNumberFormat="1" applyFont="1" applyBorder="1"/>
    <xf numFmtId="0" fontId="10" fillId="0" borderId="18" xfId="0" applyFont="1" applyFill="1" applyBorder="1" applyAlignment="1">
      <alignment horizontal="right" wrapText="1"/>
    </xf>
    <xf numFmtId="0" fontId="10" fillId="0" borderId="0" xfId="0" applyFont="1" applyFill="1" applyBorder="1" applyAlignment="1">
      <alignment horizontal="left" wrapText="1"/>
    </xf>
    <xf numFmtId="0" fontId="10" fillId="6" borderId="0" xfId="0" applyFont="1" applyFill="1"/>
    <xf numFmtId="0" fontId="10" fillId="0" borderId="0" xfId="0" applyFont="1" applyAlignment="1"/>
    <xf numFmtId="0" fontId="0" fillId="3" borderId="0" xfId="0" applyFill="1"/>
    <xf numFmtId="20" fontId="2" fillId="0" borderId="0" xfId="0" quotePrefix="1" applyNumberFormat="1" applyFont="1"/>
    <xf numFmtId="0" fontId="0" fillId="8" borderId="0" xfId="0" applyFill="1"/>
    <xf numFmtId="0" fontId="10" fillId="8" borderId="0" xfId="0" applyFont="1" applyFill="1"/>
    <xf numFmtId="0" fontId="10" fillId="8" borderId="0" xfId="0" applyFont="1" applyFill="1" applyAlignment="1"/>
    <xf numFmtId="0" fontId="10" fillId="8" borderId="0" xfId="0" applyFont="1" applyFill="1" applyAlignment="1">
      <alignment vertical="top" wrapText="1"/>
    </xf>
    <xf numFmtId="0" fontId="10" fillId="11" borderId="0" xfId="0" applyFont="1" applyFill="1"/>
    <xf numFmtId="0" fontId="10" fillId="11" borderId="0" xfId="0" applyFont="1" applyFill="1" applyAlignment="1">
      <alignment wrapText="1"/>
    </xf>
    <xf numFmtId="0" fontId="10" fillId="11" borderId="0" xfId="0" applyFont="1" applyFill="1" applyAlignment="1"/>
    <xf numFmtId="0" fontId="0" fillId="8" borderId="0" xfId="0" applyFill="1" applyAlignment="1">
      <alignment vertical="top" wrapText="1"/>
    </xf>
    <xf numFmtId="0" fontId="10" fillId="8" borderId="0" xfId="0" applyFont="1" applyFill="1" applyBorder="1"/>
    <xf numFmtId="0" fontId="10" fillId="11" borderId="0" xfId="0" applyFont="1" applyFill="1" applyBorder="1"/>
    <xf numFmtId="0" fontId="0" fillId="8" borderId="0" xfId="0" applyFill="1" applyBorder="1" applyAlignment="1">
      <alignment wrapText="1"/>
    </xf>
    <xf numFmtId="0" fontId="0" fillId="8" borderId="0" xfId="0" applyFill="1" applyBorder="1"/>
    <xf numFmtId="0" fontId="10" fillId="2" borderId="0" xfId="0" applyFont="1" applyFill="1" applyBorder="1" applyAlignment="1">
      <alignment vertical="top" wrapText="1"/>
    </xf>
    <xf numFmtId="0" fontId="2" fillId="8" borderId="0" xfId="0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0" fontId="10" fillId="10" borderId="0" xfId="0" applyFont="1" applyFill="1" applyBorder="1" applyAlignment="1">
      <alignment wrapText="1"/>
    </xf>
    <xf numFmtId="0" fontId="10" fillId="10" borderId="0" xfId="0" applyFont="1" applyFill="1" applyBorder="1" applyAlignment="1">
      <alignment vertical="top" wrapText="1"/>
    </xf>
    <xf numFmtId="176" fontId="0" fillId="8" borderId="14" xfId="0" applyNumberFormat="1" applyFill="1" applyBorder="1"/>
    <xf numFmtId="176" fontId="0" fillId="11" borderId="14" xfId="0" applyNumberFormat="1" applyFill="1" applyBorder="1"/>
    <xf numFmtId="176" fontId="2" fillId="2" borderId="0" xfId="0" applyNumberFormat="1" applyFont="1" applyFill="1" applyBorder="1"/>
    <xf numFmtId="176" fontId="23" fillId="2" borderId="0" xfId="0" applyNumberFormat="1" applyFont="1" applyFill="1" applyBorder="1"/>
    <xf numFmtId="176" fontId="0" fillId="9" borderId="0" xfId="0" applyNumberFormat="1" applyFill="1" applyBorder="1"/>
    <xf numFmtId="176" fontId="23" fillId="9" borderId="0" xfId="0" applyNumberFormat="1" applyFont="1" applyFill="1" applyBorder="1"/>
    <xf numFmtId="176" fontId="0" fillId="10" borderId="0" xfId="0" applyNumberFormat="1" applyFill="1" applyBorder="1"/>
    <xf numFmtId="176" fontId="2" fillId="10" borderId="0" xfId="0" applyNumberFormat="1" applyFont="1" applyFill="1" applyBorder="1"/>
    <xf numFmtId="176" fontId="0" fillId="9" borderId="14" xfId="0" applyNumberFormat="1" applyFill="1" applyBorder="1"/>
    <xf numFmtId="176" fontId="24" fillId="9" borderId="14" xfId="0" applyNumberFormat="1" applyFont="1" applyFill="1" applyBorder="1"/>
    <xf numFmtId="176" fontId="23" fillId="9" borderId="14" xfId="0" applyNumberFormat="1" applyFont="1" applyFill="1" applyBorder="1"/>
    <xf numFmtId="176" fontId="0" fillId="10" borderId="14" xfId="0" applyNumberFormat="1" applyFill="1" applyBorder="1"/>
    <xf numFmtId="0" fontId="10" fillId="2" borderId="0" xfId="0" applyFont="1" applyFill="1" applyAlignment="1">
      <alignment horizontal="center" vertical="center"/>
    </xf>
    <xf numFmtId="2" fontId="0" fillId="8" borderId="14" xfId="0" applyNumberFormat="1" applyFill="1" applyBorder="1"/>
    <xf numFmtId="2" fontId="2" fillId="2" borderId="0" xfId="0" applyNumberFormat="1" applyFont="1" applyFill="1" applyBorder="1"/>
    <xf numFmtId="2" fontId="0" fillId="9" borderId="0" xfId="0" applyNumberFormat="1" applyFill="1" applyBorder="1"/>
    <xf numFmtId="2" fontId="0" fillId="10" borderId="0" xfId="0" applyNumberFormat="1" applyFill="1" applyBorder="1"/>
    <xf numFmtId="2" fontId="0" fillId="9" borderId="14" xfId="0" applyNumberFormat="1" applyFill="1" applyBorder="1"/>
    <xf numFmtId="2" fontId="0" fillId="10" borderId="14" xfId="0" applyNumberFormat="1" applyFill="1" applyBorder="1"/>
    <xf numFmtId="2" fontId="0" fillId="11" borderId="14" xfId="0" applyNumberFormat="1" applyFill="1" applyBorder="1"/>
    <xf numFmtId="180" fontId="0" fillId="11" borderId="14" xfId="4" applyNumberFormat="1" applyFont="1" applyFill="1" applyBorder="1"/>
    <xf numFmtId="180" fontId="2" fillId="2" borderId="0" xfId="4" applyNumberFormat="1" applyFont="1" applyFill="1" applyBorder="1"/>
    <xf numFmtId="180" fontId="0" fillId="9" borderId="0" xfId="4" applyNumberFormat="1" applyFont="1" applyFill="1" applyBorder="1"/>
    <xf numFmtId="180" fontId="0" fillId="10" borderId="0" xfId="4" applyNumberFormat="1" applyFont="1" applyFill="1" applyBorder="1"/>
    <xf numFmtId="180" fontId="0" fillId="9" borderId="14" xfId="4" applyNumberFormat="1" applyFont="1" applyFill="1" applyBorder="1"/>
    <xf numFmtId="180" fontId="0" fillId="10" borderId="14" xfId="4" applyNumberFormat="1" applyFont="1" applyFill="1" applyBorder="1"/>
    <xf numFmtId="43" fontId="0" fillId="11" borderId="14" xfId="4" applyNumberFormat="1" applyFont="1" applyFill="1" applyBorder="1"/>
    <xf numFmtId="43" fontId="2" fillId="2" borderId="0" xfId="4" applyNumberFormat="1" applyFont="1" applyFill="1" applyBorder="1"/>
    <xf numFmtId="43" fontId="0" fillId="9" borderId="0" xfId="4" applyNumberFormat="1" applyFont="1" applyFill="1" applyBorder="1"/>
    <xf numFmtId="43" fontId="0" fillId="10" borderId="0" xfId="4" applyNumberFormat="1" applyFont="1" applyFill="1" applyBorder="1"/>
    <xf numFmtId="43" fontId="0" fillId="9" borderId="14" xfId="4" applyNumberFormat="1" applyFont="1" applyFill="1" applyBorder="1"/>
    <xf numFmtId="43" fontId="0" fillId="10" borderId="14" xfId="4" applyNumberFormat="1" applyFont="1" applyFill="1" applyBorder="1"/>
    <xf numFmtId="0" fontId="2" fillId="8" borderId="0" xfId="0" applyFont="1" applyFill="1"/>
    <xf numFmtId="176" fontId="10" fillId="10" borderId="0" xfId="0" applyNumberFormat="1" applyFont="1" applyFill="1" applyBorder="1"/>
    <xf numFmtId="0" fontId="10" fillId="8" borderId="12" xfId="0" applyFont="1" applyFill="1" applyBorder="1"/>
    <xf numFmtId="0" fontId="0" fillId="8" borderId="12" xfId="0" applyFill="1" applyBorder="1"/>
    <xf numFmtId="176" fontId="0" fillId="8" borderId="12" xfId="0" applyNumberFormat="1" applyFill="1" applyBorder="1"/>
    <xf numFmtId="178" fontId="0" fillId="8" borderId="12" xfId="0" applyNumberFormat="1" applyFill="1" applyBorder="1"/>
    <xf numFmtId="2" fontId="0" fillId="8" borderId="12" xfId="0" applyNumberFormat="1" applyFill="1" applyBorder="1"/>
    <xf numFmtId="0" fontId="0" fillId="12" borderId="12" xfId="0" applyFill="1" applyBorder="1"/>
    <xf numFmtId="0" fontId="0" fillId="8" borderId="12" xfId="0" applyFill="1" applyBorder="1" applyAlignment="1">
      <alignment horizontal="left"/>
    </xf>
    <xf numFmtId="0" fontId="10" fillId="8" borderId="7" xfId="0" applyFont="1" applyFill="1" applyBorder="1"/>
    <xf numFmtId="0" fontId="0" fillId="8" borderId="7" xfId="0" applyFill="1" applyBorder="1"/>
    <xf numFmtId="2" fontId="0" fillId="8" borderId="7" xfId="0" applyNumberFormat="1" applyFill="1" applyBorder="1"/>
    <xf numFmtId="0" fontId="0" fillId="8" borderId="33" xfId="0" applyFill="1" applyBorder="1"/>
    <xf numFmtId="176" fontId="0" fillId="8" borderId="33" xfId="0" applyNumberFormat="1" applyFill="1" applyBorder="1"/>
    <xf numFmtId="0" fontId="0" fillId="8" borderId="0" xfId="0" applyFill="1" applyAlignment="1">
      <alignment horizontal="left" vertical="top" wrapText="1"/>
    </xf>
    <xf numFmtId="2" fontId="0" fillId="8" borderId="0" xfId="0" applyNumberFormat="1" applyFill="1"/>
    <xf numFmtId="0" fontId="10" fillId="8" borderId="0" xfId="0" applyFont="1" applyFill="1" applyAlignment="1">
      <alignment horizontal="right"/>
    </xf>
    <xf numFmtId="2" fontId="0" fillId="8" borderId="12" xfId="0" applyNumberFormat="1" applyFill="1" applyBorder="1" applyAlignment="1">
      <alignment horizontal="center"/>
    </xf>
    <xf numFmtId="2" fontId="0" fillId="12" borderId="12" xfId="0" applyNumberFormat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2" fontId="0" fillId="13" borderId="12" xfId="0" applyNumberFormat="1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2" fillId="8" borderId="12" xfId="0" applyFont="1" applyFill="1" applyBorder="1" applyAlignment="1">
      <alignment horizontal="center" wrapText="1"/>
    </xf>
    <xf numFmtId="176" fontId="10" fillId="8" borderId="0" xfId="0" applyNumberFormat="1" applyFont="1" applyFill="1" applyBorder="1" applyAlignment="1">
      <alignment horizontal="center"/>
    </xf>
    <xf numFmtId="2" fontId="10" fillId="8" borderId="0" xfId="0" applyNumberFormat="1" applyFont="1" applyFill="1" applyBorder="1" applyAlignment="1">
      <alignment horizontal="center"/>
    </xf>
    <xf numFmtId="0" fontId="0" fillId="8" borderId="12" xfId="0" applyFill="1" applyBorder="1" applyAlignment="1">
      <alignment horizontal="center" wrapText="1"/>
    </xf>
    <xf numFmtId="0" fontId="28" fillId="8" borderId="0" xfId="0" applyFont="1" applyFill="1" applyAlignment="1">
      <alignment wrapText="1"/>
    </xf>
    <xf numFmtId="0" fontId="2" fillId="8" borderId="0" xfId="0" applyFont="1" applyFill="1" applyAlignment="1">
      <alignment horizontal="right" vertical="center"/>
    </xf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right" vertical="top"/>
    </xf>
    <xf numFmtId="176" fontId="0" fillId="8" borderId="0" xfId="0" applyNumberFormat="1" applyFill="1" applyAlignment="1">
      <alignment vertical="top"/>
    </xf>
    <xf numFmtId="0" fontId="0" fillId="8" borderId="0" xfId="0" applyFill="1" applyAlignment="1">
      <alignment vertical="top"/>
    </xf>
    <xf numFmtId="0" fontId="2" fillId="8" borderId="12" xfId="0" applyFont="1" applyFill="1" applyBorder="1"/>
    <xf numFmtId="0" fontId="3" fillId="0" borderId="12" xfId="0" applyFont="1" applyBorder="1" applyAlignment="1">
      <alignment horizontal="center"/>
    </xf>
    <xf numFmtId="181" fontId="0" fillId="0" borderId="0" xfId="0" applyNumberFormat="1"/>
    <xf numFmtId="182" fontId="0" fillId="0" borderId="0" xfId="0" applyNumberFormat="1"/>
    <xf numFmtId="183" fontId="2" fillId="0" borderId="0" xfId="0" applyNumberFormat="1" applyFont="1"/>
    <xf numFmtId="183" fontId="0" fillId="0" borderId="0" xfId="0" applyNumberFormat="1"/>
    <xf numFmtId="10" fontId="2" fillId="0" borderId="0" xfId="0" applyNumberFormat="1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2" xfId="0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0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28" fillId="8" borderId="0" xfId="0" applyFont="1" applyFill="1" applyAlignment="1">
      <alignment horizontal="center" wrapText="1"/>
    </xf>
    <xf numFmtId="0" fontId="28" fillId="8" borderId="4" xfId="0" applyFont="1" applyFill="1" applyBorder="1" applyAlignment="1">
      <alignment horizontal="center" wrapText="1"/>
    </xf>
    <xf numFmtId="0" fontId="26" fillId="8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9" fillId="8" borderId="0" xfId="0" applyFont="1" applyFill="1" applyAlignment="1">
      <alignment horizontal="center" wrapText="1"/>
    </xf>
    <xf numFmtId="0" fontId="29" fillId="8" borderId="4" xfId="0" applyFont="1" applyFill="1" applyBorder="1" applyAlignment="1">
      <alignment horizontal="center" wrapText="1"/>
    </xf>
    <xf numFmtId="0" fontId="28" fillId="8" borderId="0" xfId="0" applyFont="1" applyFill="1" applyBorder="1" applyAlignment="1">
      <alignment horizontal="center" wrapText="1"/>
    </xf>
    <xf numFmtId="0" fontId="27" fillId="8" borderId="12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10" fillId="9" borderId="0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left" vertical="top" wrapText="1"/>
    </xf>
    <xf numFmtId="0" fontId="10" fillId="8" borderId="0" xfId="0" applyFont="1" applyFill="1" applyAlignment="1">
      <alignment horizontal="center" vertical="top" wrapText="1"/>
    </xf>
    <xf numFmtId="0" fontId="2" fillId="8" borderId="0" xfId="0" applyFont="1" applyFill="1" applyAlignment="1">
      <alignment horizontal="left" vertical="top" wrapText="1"/>
    </xf>
    <xf numFmtId="0" fontId="17" fillId="8" borderId="0" xfId="3" applyFill="1" applyAlignment="1">
      <alignment horizontal="left" vertical="top" wrapText="1"/>
    </xf>
    <xf numFmtId="0" fontId="0" fillId="8" borderId="0" xfId="0" applyFill="1" applyAlignment="1">
      <alignment horizontal="center" vertical="top" wrapText="1"/>
    </xf>
    <xf numFmtId="183" fontId="2" fillId="14" borderId="0" xfId="0" applyNumberFormat="1" applyFont="1" applyFill="1"/>
    <xf numFmtId="183" fontId="0" fillId="14" borderId="0" xfId="0" applyNumberFormat="1" applyFill="1"/>
    <xf numFmtId="182" fontId="2" fillId="0" borderId="0" xfId="0" applyNumberFormat="1" applyFont="1" applyAlignment="1">
      <alignment horizontal="center"/>
    </xf>
    <xf numFmtId="182" fontId="2" fillId="14" borderId="0" xfId="0" applyNumberFormat="1" applyFont="1" applyFill="1"/>
    <xf numFmtId="182" fontId="0" fillId="14" borderId="0" xfId="0" applyNumberFormat="1" applyFill="1"/>
    <xf numFmtId="0" fontId="0" fillId="9" borderId="0" xfId="0" applyFill="1"/>
    <xf numFmtId="0" fontId="0" fillId="14" borderId="0" xfId="0" applyFill="1"/>
    <xf numFmtId="0" fontId="0" fillId="15" borderId="0" xfId="0" applyFill="1"/>
    <xf numFmtId="10" fontId="0" fillId="15" borderId="0" xfId="0" applyNumberFormat="1" applyFill="1"/>
  </cellXfs>
  <cellStyles count="5">
    <cellStyle name="Comma" xfId="4" builtinId="3"/>
    <cellStyle name="Explanatory Text" xfId="2" builtinId="53"/>
    <cellStyle name="Hyperlink" xfId="3" builtinId="8"/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  <strike val="0"/>
      </font>
    </dxf>
    <dxf>
      <font>
        <condense val="0"/>
        <extend val="0"/>
        <color indexed="10"/>
      </font>
    </dxf>
    <dxf>
      <font>
        <b/>
        <i val="0"/>
      </font>
    </dxf>
    <dxf>
      <font>
        <b/>
        <i val="0"/>
        <strike val="0"/>
      </font>
    </dxf>
    <dxf>
      <font>
        <condense val="0"/>
        <extend val="0"/>
        <color indexed="10"/>
      </font>
    </dxf>
  </dxfs>
  <tableStyles count="0" defaultTableStyle="TableStyleMedium9" defaultPivotStyle="PivotStyleLight16"/>
  <colors>
    <mruColors>
      <color rgb="FFFFFF66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nl-NL"/>
              <a:t>Resistance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231474223225811"/>
          <c:y val="0.13138972382550543"/>
          <c:w val="0.83157827411246699"/>
          <c:h val="0.70097278823753584"/>
        </c:manualLayout>
      </c:layout>
      <c:scatterChart>
        <c:scatterStyle val="lineMarker"/>
        <c:varyColors val="0"/>
        <c:ser>
          <c:idx val="0"/>
          <c:order val="0"/>
          <c:tx>
            <c:v>R_hull</c:v>
          </c:tx>
          <c:spPr>
            <a:ln w="19050"/>
          </c:spPr>
          <c:marker>
            <c:symbol val="diamond"/>
            <c:size val="5"/>
          </c:marker>
          <c:xVal>
            <c:numRef>
              <c:f>resistance!$J$5:$J$29</c:f>
              <c:numCache>
                <c:formatCode>0.00</c:formatCode>
                <c:ptCount val="25"/>
                <c:pt idx="0">
                  <c:v>0</c:v>
                </c:pt>
                <c:pt idx="1">
                  <c:v>0.27777777777777779</c:v>
                </c:pt>
                <c:pt idx="2">
                  <c:v>0.55555555555555558</c:v>
                </c:pt>
                <c:pt idx="3">
                  <c:v>0.83333333333333326</c:v>
                </c:pt>
                <c:pt idx="4">
                  <c:v>1.1111111111111112</c:v>
                </c:pt>
                <c:pt idx="5">
                  <c:v>1.3888888888888888</c:v>
                </c:pt>
                <c:pt idx="6">
                  <c:v>1.6666666666666665</c:v>
                </c:pt>
                <c:pt idx="7">
                  <c:v>1.9444444444444444</c:v>
                </c:pt>
                <c:pt idx="8">
                  <c:v>2.2222222222222223</c:v>
                </c:pt>
                <c:pt idx="9">
                  <c:v>2.5</c:v>
                </c:pt>
                <c:pt idx="10">
                  <c:v>2.7777777777777777</c:v>
                </c:pt>
                <c:pt idx="11">
                  <c:v>3.0555555555555554</c:v>
                </c:pt>
                <c:pt idx="12">
                  <c:v>3.333333333333333</c:v>
                </c:pt>
                <c:pt idx="13">
                  <c:v>3.6111111111111112</c:v>
                </c:pt>
                <c:pt idx="14">
                  <c:v>3.8888888888888888</c:v>
                </c:pt>
                <c:pt idx="15">
                  <c:v>4.166666666666667</c:v>
                </c:pt>
                <c:pt idx="16">
                  <c:v>4.4444444444444446</c:v>
                </c:pt>
                <c:pt idx="17">
                  <c:v>4.7222222222222223</c:v>
                </c:pt>
                <c:pt idx="18">
                  <c:v>5</c:v>
                </c:pt>
                <c:pt idx="19">
                  <c:v>5.2777777777777777</c:v>
                </c:pt>
                <c:pt idx="20">
                  <c:v>5.5555555555555554</c:v>
                </c:pt>
                <c:pt idx="21">
                  <c:v>5.833333333333333</c:v>
                </c:pt>
                <c:pt idx="22">
                  <c:v>6.1111111111111107</c:v>
                </c:pt>
                <c:pt idx="23">
                  <c:v>6.3888888888888884</c:v>
                </c:pt>
                <c:pt idx="24">
                  <c:v>6.6666666666666661</c:v>
                </c:pt>
              </c:numCache>
            </c:numRef>
          </c:xVal>
          <c:yVal>
            <c:numRef>
              <c:f>resistance!$Z$5:$Z$29</c:f>
              <c:numCache>
                <c:formatCode>0.00</c:formatCode>
                <c:ptCount val="25"/>
                <c:pt idx="0">
                  <c:v>0</c:v>
                </c:pt>
                <c:pt idx="1">
                  <c:v>8.5099158653846168</c:v>
                </c:pt>
                <c:pt idx="2">
                  <c:v>17.019831730769234</c:v>
                </c:pt>
                <c:pt idx="3">
                  <c:v>25.529747596153847</c:v>
                </c:pt>
                <c:pt idx="4">
                  <c:v>34.039663461538467</c:v>
                </c:pt>
                <c:pt idx="5">
                  <c:v>42.54957932692308</c:v>
                </c:pt>
                <c:pt idx="6">
                  <c:v>51.059495192307693</c:v>
                </c:pt>
                <c:pt idx="7">
                  <c:v>59.569411057692307</c:v>
                </c:pt>
                <c:pt idx="8">
                  <c:v>68.079326923076934</c:v>
                </c:pt>
                <c:pt idx="9">
                  <c:v>76.589242788461547</c:v>
                </c:pt>
                <c:pt idx="10">
                  <c:v>85.09915865384616</c:v>
                </c:pt>
                <c:pt idx="11">
                  <c:v>93.609074519230774</c:v>
                </c:pt>
                <c:pt idx="12">
                  <c:v>102.30434666666666</c:v>
                </c:pt>
                <c:pt idx="13">
                  <c:v>120.46823555555558</c:v>
                </c:pt>
                <c:pt idx="14">
                  <c:v>138.62347138387486</c:v>
                </c:pt>
                <c:pt idx="15">
                  <c:v>154.08327884476535</c:v>
                </c:pt>
                <c:pt idx="16">
                  <c:v>169.54745271291398</c:v>
                </c:pt>
                <c:pt idx="17">
                  <c:v>185.50344281677442</c:v>
                </c:pt>
                <c:pt idx="18">
                  <c:v>201.4594329206349</c:v>
                </c:pt>
                <c:pt idx="19">
                  <c:v>218.4907821525735</c:v>
                </c:pt>
                <c:pt idx="20">
                  <c:v>235.56883289520425</c:v>
                </c:pt>
                <c:pt idx="21">
                  <c:v>253.79849541740674</c:v>
                </c:pt>
                <c:pt idx="22">
                  <c:v>272.02815793960923</c:v>
                </c:pt>
                <c:pt idx="23">
                  <c:v>292.23486402097194</c:v>
                </c:pt>
                <c:pt idx="24">
                  <c:v>312.47698944948576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C-4593-B054-68DC4020D739}"/>
            </c:ext>
          </c:extLst>
        </c:ser>
        <c:ser>
          <c:idx val="1"/>
          <c:order val="1"/>
          <c:tx>
            <c:v>R_pod</c:v>
          </c:tx>
          <c:spPr>
            <a:ln w="19050"/>
          </c:spPr>
          <c:marker>
            <c:symbol val="square"/>
            <c:size val="4"/>
          </c:marker>
          <c:xVal>
            <c:numRef>
              <c:f>resistance!$J$5:$J$29</c:f>
              <c:numCache>
                <c:formatCode>0.00</c:formatCode>
                <c:ptCount val="25"/>
                <c:pt idx="0">
                  <c:v>0</c:v>
                </c:pt>
                <c:pt idx="1">
                  <c:v>0.27777777777777779</c:v>
                </c:pt>
                <c:pt idx="2">
                  <c:v>0.55555555555555558</c:v>
                </c:pt>
                <c:pt idx="3">
                  <c:v>0.83333333333333326</c:v>
                </c:pt>
                <c:pt idx="4">
                  <c:v>1.1111111111111112</c:v>
                </c:pt>
                <c:pt idx="5">
                  <c:v>1.3888888888888888</c:v>
                </c:pt>
                <c:pt idx="6">
                  <c:v>1.6666666666666665</c:v>
                </c:pt>
                <c:pt idx="7">
                  <c:v>1.9444444444444444</c:v>
                </c:pt>
                <c:pt idx="8">
                  <c:v>2.2222222222222223</c:v>
                </c:pt>
                <c:pt idx="9">
                  <c:v>2.5</c:v>
                </c:pt>
                <c:pt idx="10">
                  <c:v>2.7777777777777777</c:v>
                </c:pt>
                <c:pt idx="11">
                  <c:v>3.0555555555555554</c:v>
                </c:pt>
                <c:pt idx="12">
                  <c:v>3.333333333333333</c:v>
                </c:pt>
                <c:pt idx="13">
                  <c:v>3.6111111111111112</c:v>
                </c:pt>
                <c:pt idx="14">
                  <c:v>3.8888888888888888</c:v>
                </c:pt>
                <c:pt idx="15">
                  <c:v>4.166666666666667</c:v>
                </c:pt>
                <c:pt idx="16">
                  <c:v>4.4444444444444446</c:v>
                </c:pt>
                <c:pt idx="17">
                  <c:v>4.7222222222222223</c:v>
                </c:pt>
                <c:pt idx="18">
                  <c:v>5</c:v>
                </c:pt>
                <c:pt idx="19">
                  <c:v>5.2777777777777777</c:v>
                </c:pt>
                <c:pt idx="20">
                  <c:v>5.5555555555555554</c:v>
                </c:pt>
                <c:pt idx="21">
                  <c:v>5.833333333333333</c:v>
                </c:pt>
                <c:pt idx="22">
                  <c:v>6.1111111111111107</c:v>
                </c:pt>
                <c:pt idx="23">
                  <c:v>6.3888888888888884</c:v>
                </c:pt>
                <c:pt idx="24">
                  <c:v>6.6666666666666661</c:v>
                </c:pt>
              </c:numCache>
            </c:numRef>
          </c:xVal>
          <c:yVal>
            <c:numRef>
              <c:f>resistance!$AA$5:$AA$29</c:f>
              <c:numCache>
                <c:formatCode>0.00</c:formatCode>
                <c:ptCount val="25"/>
                <c:pt idx="0">
                  <c:v>0</c:v>
                </c:pt>
                <c:pt idx="1">
                  <c:v>0.94554620726495753</c:v>
                </c:pt>
                <c:pt idx="2">
                  <c:v>1.8910924145299151</c:v>
                </c:pt>
                <c:pt idx="3">
                  <c:v>2.8366386217948723</c:v>
                </c:pt>
                <c:pt idx="4">
                  <c:v>3.7821848290598301</c:v>
                </c:pt>
                <c:pt idx="5">
                  <c:v>4.7277310363247871</c:v>
                </c:pt>
                <c:pt idx="6">
                  <c:v>5.6732772435897445</c:v>
                </c:pt>
                <c:pt idx="7">
                  <c:v>6.6188234508547019</c:v>
                </c:pt>
                <c:pt idx="8">
                  <c:v>7.5643696581196602</c:v>
                </c:pt>
                <c:pt idx="9">
                  <c:v>8.5099158653846168</c:v>
                </c:pt>
                <c:pt idx="10">
                  <c:v>9.4554620726495742</c:v>
                </c:pt>
                <c:pt idx="11">
                  <c:v>10.401008279914532</c:v>
                </c:pt>
                <c:pt idx="12">
                  <c:v>11.385662857142858</c:v>
                </c:pt>
                <c:pt idx="13">
                  <c:v>14.368103333333327</c:v>
                </c:pt>
                <c:pt idx="14">
                  <c:v>17.350241813076593</c:v>
                </c:pt>
                <c:pt idx="15">
                  <c:v>20.238308399518644</c:v>
                </c:pt>
                <c:pt idx="16">
                  <c:v>23.128041310209682</c:v>
                </c:pt>
                <c:pt idx="17">
                  <c:v>26.205462924946108</c:v>
                </c:pt>
                <c:pt idx="18">
                  <c:v>29.282884539682534</c:v>
                </c:pt>
                <c:pt idx="19">
                  <c:v>33.172797912785938</c:v>
                </c:pt>
                <c:pt idx="20">
                  <c:v>37.099930475626593</c:v>
                </c:pt>
                <c:pt idx="21">
                  <c:v>42.105416956779159</c:v>
                </c:pt>
                <c:pt idx="22">
                  <c:v>47.110903437931725</c:v>
                </c:pt>
                <c:pt idx="23">
                  <c:v>52.212885122000401</c:v>
                </c:pt>
                <c:pt idx="24">
                  <c:v>57.316595547489399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5C-4593-B054-68DC4020D739}"/>
            </c:ext>
          </c:extLst>
        </c:ser>
        <c:ser>
          <c:idx val="2"/>
          <c:order val="2"/>
          <c:tx>
            <c:v>R_total</c:v>
          </c:tx>
          <c:spPr>
            <a:ln w="19050">
              <a:solidFill>
                <a:schemeClr val="tx1"/>
              </a:solidFill>
            </a:ln>
          </c:spPr>
          <c:marker>
            <c:symbol val="triangle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resistance!$J$5:$J$29</c:f>
              <c:numCache>
                <c:formatCode>0.00</c:formatCode>
                <c:ptCount val="25"/>
                <c:pt idx="0">
                  <c:v>0</c:v>
                </c:pt>
                <c:pt idx="1">
                  <c:v>0.27777777777777779</c:v>
                </c:pt>
                <c:pt idx="2">
                  <c:v>0.55555555555555558</c:v>
                </c:pt>
                <c:pt idx="3">
                  <c:v>0.83333333333333326</c:v>
                </c:pt>
                <c:pt idx="4">
                  <c:v>1.1111111111111112</c:v>
                </c:pt>
                <c:pt idx="5">
                  <c:v>1.3888888888888888</c:v>
                </c:pt>
                <c:pt idx="6">
                  <c:v>1.6666666666666665</c:v>
                </c:pt>
                <c:pt idx="7">
                  <c:v>1.9444444444444444</c:v>
                </c:pt>
                <c:pt idx="8">
                  <c:v>2.2222222222222223</c:v>
                </c:pt>
                <c:pt idx="9">
                  <c:v>2.5</c:v>
                </c:pt>
                <c:pt idx="10">
                  <c:v>2.7777777777777777</c:v>
                </c:pt>
                <c:pt idx="11">
                  <c:v>3.0555555555555554</c:v>
                </c:pt>
                <c:pt idx="12">
                  <c:v>3.333333333333333</c:v>
                </c:pt>
                <c:pt idx="13">
                  <c:v>3.6111111111111112</c:v>
                </c:pt>
                <c:pt idx="14">
                  <c:v>3.8888888888888888</c:v>
                </c:pt>
                <c:pt idx="15">
                  <c:v>4.166666666666667</c:v>
                </c:pt>
                <c:pt idx="16">
                  <c:v>4.4444444444444446</c:v>
                </c:pt>
                <c:pt idx="17">
                  <c:v>4.7222222222222223</c:v>
                </c:pt>
                <c:pt idx="18">
                  <c:v>5</c:v>
                </c:pt>
                <c:pt idx="19">
                  <c:v>5.2777777777777777</c:v>
                </c:pt>
                <c:pt idx="20">
                  <c:v>5.5555555555555554</c:v>
                </c:pt>
                <c:pt idx="21">
                  <c:v>5.833333333333333</c:v>
                </c:pt>
                <c:pt idx="22">
                  <c:v>6.1111111111111107</c:v>
                </c:pt>
                <c:pt idx="23">
                  <c:v>6.3888888888888884</c:v>
                </c:pt>
                <c:pt idx="24">
                  <c:v>6.6666666666666661</c:v>
                </c:pt>
              </c:numCache>
            </c:numRef>
          </c:xVal>
          <c:yVal>
            <c:numRef>
              <c:f>resistance!$AC$5:$AC$29</c:f>
              <c:numCache>
                <c:formatCode>0.00</c:formatCode>
                <c:ptCount val="25"/>
                <c:pt idx="0">
                  <c:v>0</c:v>
                </c:pt>
                <c:pt idx="1">
                  <c:v>9.4554620726495742</c:v>
                </c:pt>
                <c:pt idx="2">
                  <c:v>18.910924145299148</c:v>
                </c:pt>
                <c:pt idx="3">
                  <c:v>28.366386217948719</c:v>
                </c:pt>
                <c:pt idx="4">
                  <c:v>37.821848290598297</c:v>
                </c:pt>
                <c:pt idx="5">
                  <c:v>47.277310363247864</c:v>
                </c:pt>
                <c:pt idx="6">
                  <c:v>56.732772435897438</c:v>
                </c:pt>
                <c:pt idx="7">
                  <c:v>66.188234508547012</c:v>
                </c:pt>
                <c:pt idx="8">
                  <c:v>75.643696581196593</c:v>
                </c:pt>
                <c:pt idx="9">
                  <c:v>85.09915865384616</c:v>
                </c:pt>
                <c:pt idx="10">
                  <c:v>94.554620726495727</c:v>
                </c:pt>
                <c:pt idx="11">
                  <c:v>104.01008279914531</c:v>
                </c:pt>
                <c:pt idx="12">
                  <c:v>113.69000952380952</c:v>
                </c:pt>
                <c:pt idx="13">
                  <c:v>134.83633888888892</c:v>
                </c:pt>
                <c:pt idx="14">
                  <c:v>155.97371319695145</c:v>
                </c:pt>
                <c:pt idx="15">
                  <c:v>174.32158724428399</c:v>
                </c:pt>
                <c:pt idx="16">
                  <c:v>192.67549402312366</c:v>
                </c:pt>
                <c:pt idx="17">
                  <c:v>211.70890574172054</c:v>
                </c:pt>
                <c:pt idx="18">
                  <c:v>230.74231746031742</c:v>
                </c:pt>
                <c:pt idx="19">
                  <c:v>251.66358006535944</c:v>
                </c:pt>
                <c:pt idx="20">
                  <c:v>272.66876337083085</c:v>
                </c:pt>
                <c:pt idx="21">
                  <c:v>295.90391237418589</c:v>
                </c:pt>
                <c:pt idx="22">
                  <c:v>319.13906137754094</c:v>
                </c:pt>
                <c:pt idx="23">
                  <c:v>344.44774914297233</c:v>
                </c:pt>
                <c:pt idx="24">
                  <c:v>369.79358499697514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5C-4593-B054-68DC4020D739}"/>
            </c:ext>
          </c:extLst>
        </c:ser>
        <c:ser>
          <c:idx val="3"/>
          <c:order val="3"/>
          <c:tx>
            <c:v>Radd</c:v>
          </c:tx>
          <c:spPr>
            <a:ln w="19050"/>
          </c:spPr>
          <c:marker>
            <c:symbol val="circle"/>
            <c:size val="3"/>
          </c:marker>
          <c:xVal>
            <c:numRef>
              <c:f>resistance!$J$5:$J$35</c:f>
              <c:numCache>
                <c:formatCode>0.00</c:formatCode>
                <c:ptCount val="31"/>
                <c:pt idx="0">
                  <c:v>0</c:v>
                </c:pt>
                <c:pt idx="1">
                  <c:v>0.27777777777777779</c:v>
                </c:pt>
                <c:pt idx="2">
                  <c:v>0.55555555555555558</c:v>
                </c:pt>
                <c:pt idx="3">
                  <c:v>0.83333333333333326</c:v>
                </c:pt>
                <c:pt idx="4">
                  <c:v>1.1111111111111112</c:v>
                </c:pt>
                <c:pt idx="5">
                  <c:v>1.3888888888888888</c:v>
                </c:pt>
                <c:pt idx="6">
                  <c:v>1.6666666666666665</c:v>
                </c:pt>
                <c:pt idx="7">
                  <c:v>1.9444444444444444</c:v>
                </c:pt>
                <c:pt idx="8">
                  <c:v>2.2222222222222223</c:v>
                </c:pt>
                <c:pt idx="9">
                  <c:v>2.5</c:v>
                </c:pt>
                <c:pt idx="10">
                  <c:v>2.7777777777777777</c:v>
                </c:pt>
                <c:pt idx="11">
                  <c:v>3.0555555555555554</c:v>
                </c:pt>
                <c:pt idx="12">
                  <c:v>3.333333333333333</c:v>
                </c:pt>
                <c:pt idx="13">
                  <c:v>3.6111111111111112</c:v>
                </c:pt>
                <c:pt idx="14">
                  <c:v>3.8888888888888888</c:v>
                </c:pt>
                <c:pt idx="15">
                  <c:v>4.166666666666667</c:v>
                </c:pt>
                <c:pt idx="16">
                  <c:v>4.4444444444444446</c:v>
                </c:pt>
                <c:pt idx="17">
                  <c:v>4.7222222222222223</c:v>
                </c:pt>
                <c:pt idx="18">
                  <c:v>5</c:v>
                </c:pt>
                <c:pt idx="19">
                  <c:v>5.2777777777777777</c:v>
                </c:pt>
                <c:pt idx="20">
                  <c:v>5.5555555555555554</c:v>
                </c:pt>
                <c:pt idx="21">
                  <c:v>5.833333333333333</c:v>
                </c:pt>
                <c:pt idx="22">
                  <c:v>6.1111111111111107</c:v>
                </c:pt>
                <c:pt idx="23">
                  <c:v>6.3888888888888884</c:v>
                </c:pt>
                <c:pt idx="24">
                  <c:v>6.6666666666666661</c:v>
                </c:pt>
                <c:pt idx="25">
                  <c:v>6.9444444444444446</c:v>
                </c:pt>
                <c:pt idx="26">
                  <c:v>7.2222222222222223</c:v>
                </c:pt>
                <c:pt idx="27">
                  <c:v>7.5</c:v>
                </c:pt>
                <c:pt idx="28">
                  <c:v>7.7777777777777777</c:v>
                </c:pt>
                <c:pt idx="29">
                  <c:v>8.0555555555555554</c:v>
                </c:pt>
                <c:pt idx="30">
                  <c:v>8.3333333333333339</c:v>
                </c:pt>
              </c:numCache>
            </c:numRef>
          </c:xVal>
          <c:yVal>
            <c:numRef>
              <c:f>resistance!$AB$5:$AB$35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5C-4593-B054-68DC4020D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92864"/>
        <c:axId val="1"/>
      </c:scatterChart>
      <c:valAx>
        <c:axId val="427392864"/>
        <c:scaling>
          <c:orientation val="minMax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l-NL"/>
                  <a:t>Speed [m/s]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l-NL"/>
                  <a:t>Resistance [N]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4273928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895486120772005"/>
          <c:y val="0.20136802571809673"/>
          <c:w val="0.13451118963486455"/>
          <c:h val="0.21380245502099124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Rpod in perc.</c:v>
          </c:tx>
          <c:xVal>
            <c:numRef>
              <c:f>resistance!$B$40:$B$47</c:f>
              <c:numCache>
                <c:formatCode>0.000</c:formatCode>
                <c:ptCount val="8"/>
                <c:pt idx="0">
                  <c:v>0</c:v>
                </c:pt>
                <c:pt idx="1">
                  <c:v>3.3279999999999998</c:v>
                </c:pt>
                <c:pt idx="2">
                  <c:v>3.8879999999999999</c:v>
                </c:pt>
                <c:pt idx="3">
                  <c:v>4.4420000000000002</c:v>
                </c:pt>
                <c:pt idx="4">
                  <c:v>5.0090000000000003</c:v>
                </c:pt>
                <c:pt idx="5">
                  <c:v>5.5529999999999999</c:v>
                </c:pt>
                <c:pt idx="6">
                  <c:v>6.1159999999999997</c:v>
                </c:pt>
                <c:pt idx="7">
                  <c:v>6.6669999999999998</c:v>
                </c:pt>
              </c:numCache>
            </c:numRef>
          </c:xVal>
          <c:yVal>
            <c:numRef>
              <c:f>resistance!$C$40:$C$47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11.122085751851959</c:v>
                </c:pt>
                <c:pt idx="3">
                  <c:v>12</c:v>
                </c:pt>
                <c:pt idx="4">
                  <c:v>12.7</c:v>
                </c:pt>
                <c:pt idx="5">
                  <c:v>13.6</c:v>
                </c:pt>
                <c:pt idx="6">
                  <c:v>14.770550903150703</c:v>
                </c:pt>
                <c:pt idx="7">
                  <c:v>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03-4D55-840B-8A538F33C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990192"/>
        <c:axId val="1"/>
      </c:scatterChart>
      <c:valAx>
        <c:axId val="258990192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8990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RPM Torque relation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454394706444507"/>
          <c:y val="7.8689494088468301E-2"/>
          <c:w val="0.84053417993526391"/>
          <c:h val="0.83183028726913721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'propulsion ENG'!$AC$13:$AC$43</c:f>
              <c:numCache>
                <c:formatCode>0.0</c:formatCode>
                <c:ptCount val="31"/>
                <c:pt idx="0">
                  <c:v>0</c:v>
                </c:pt>
                <c:pt idx="1">
                  <c:v>224.52041172998349</c:v>
                </c:pt>
                <c:pt idx="2">
                  <c:v>325.97387588703663</c:v>
                </c:pt>
                <c:pt idx="3">
                  <c:v>400.74414240787195</c:v>
                </c:pt>
                <c:pt idx="4">
                  <c:v>473.80206980420223</c:v>
                </c:pt>
                <c:pt idx="5">
                  <c:v>538.44606078541688</c:v>
                </c:pt>
                <c:pt idx="6">
                  <c:v>593.79873323713616</c:v>
                </c:pt>
                <c:pt idx="7">
                  <c:v>646.79033981010355</c:v>
                </c:pt>
                <c:pt idx="8">
                  <c:v>697.6629201744704</c:v>
                </c:pt>
                <c:pt idx="9">
                  <c:v>745.38528976939017</c:v>
                </c:pt>
                <c:pt idx="10">
                  <c:v>793.55619861335231</c:v>
                </c:pt>
                <c:pt idx="11">
                  <c:v>839.42722019481857</c:v>
                </c:pt>
                <c:pt idx="12">
                  <c:v>885.63541054899133</c:v>
                </c:pt>
                <c:pt idx="13">
                  <c:v>963.37168164295724</c:v>
                </c:pt>
                <c:pt idx="14">
                  <c:v>1036.4315323578119</c:v>
                </c:pt>
                <c:pt idx="15">
                  <c:v>1098.9165967618594</c:v>
                </c:pt>
                <c:pt idx="16">
                  <c:v>1158.9275260192994</c:v>
                </c:pt>
                <c:pt idx="17">
                  <c:v>1218.3000760712418</c:v>
                </c:pt>
                <c:pt idx="18">
                  <c:v>1275.6247083169371</c:v>
                </c:pt>
                <c:pt idx="19">
                  <c:v>1335.1178009245521</c:v>
                </c:pt>
                <c:pt idx="20">
                  <c:v>1390.37182692796</c:v>
                </c:pt>
                <c:pt idx="21">
                  <c:v>1446.9181606259629</c:v>
                </c:pt>
                <c:pt idx="22">
                  <c:v>1500.7690373026576</c:v>
                </c:pt>
                <c:pt idx="23">
                  <c:v>1557.6042143087188</c:v>
                </c:pt>
                <c:pt idx="24">
                  <c:v>1611.9774801941953</c:v>
                </c:pt>
                <c:pt idx="25">
                  <c:v>1638.7912222243274</c:v>
                </c:pt>
                <c:pt idx="26">
                  <c:v>1681.7243024518411</c:v>
                </c:pt>
                <c:pt idx="27">
                  <c:v>1731.2625587425237</c:v>
                </c:pt>
                <c:pt idx="28">
                  <c:v>1780.5402414152279</c:v>
                </c:pt>
                <c:pt idx="29">
                  <c:v>1829.5782117508752</c:v>
                </c:pt>
                <c:pt idx="30">
                  <c:v>1878.3951620658763</c:v>
                </c:pt>
              </c:numCache>
            </c:numRef>
          </c:xVal>
          <c:yVal>
            <c:numRef>
              <c:f>'propulsion ENG'!$AD$13:$AD$43</c:f>
              <c:numCache>
                <c:formatCode>0.000</c:formatCode>
                <c:ptCount val="31"/>
                <c:pt idx="0">
                  <c:v>0</c:v>
                </c:pt>
                <c:pt idx="1">
                  <c:v>0.34118711719384259</c:v>
                </c:pt>
                <c:pt idx="2">
                  <c:v>0.72793541805152839</c:v>
                </c:pt>
                <c:pt idx="3">
                  <c:v>1.1223661389871089</c:v>
                </c:pt>
                <c:pt idx="4">
                  <c:v>1.5849934606033766</c:v>
                </c:pt>
                <c:pt idx="5">
                  <c:v>2.0647888111113808</c:v>
                </c:pt>
                <c:pt idx="6">
                  <c:v>2.5323666098123008</c:v>
                </c:pt>
                <c:pt idx="7">
                  <c:v>3.0281857716173608</c:v>
                </c:pt>
                <c:pt idx="8">
                  <c:v>3.5482908307327934</c:v>
                </c:pt>
                <c:pt idx="9">
                  <c:v>4.0773687530237268</c:v>
                </c:pt>
                <c:pt idx="10">
                  <c:v>4.6343875555344214</c:v>
                </c:pt>
                <c:pt idx="11">
                  <c:v>5.1979628489787171</c:v>
                </c:pt>
                <c:pt idx="12">
                  <c:v>5.7845803824613329</c:v>
                </c:pt>
                <c:pt idx="13">
                  <c:v>6.8453767123767868</c:v>
                </c:pt>
                <c:pt idx="14">
                  <c:v>7.9228074437577947</c:v>
                </c:pt>
                <c:pt idx="15">
                  <c:v>8.9044066247831122</c:v>
                </c:pt>
                <c:pt idx="16">
                  <c:v>9.9004172666450785</c:v>
                </c:pt>
                <c:pt idx="17">
                  <c:v>10.937594538251044</c:v>
                </c:pt>
                <c:pt idx="18">
                  <c:v>11.987366164945518</c:v>
                </c:pt>
                <c:pt idx="19">
                  <c:v>13.128446439066193</c:v>
                </c:pt>
                <c:pt idx="20">
                  <c:v>14.247583630905652</c:v>
                </c:pt>
                <c:pt idx="21">
                  <c:v>15.448312808104561</c:v>
                </c:pt>
                <c:pt idx="22">
                  <c:v>16.641788394002567</c:v>
                </c:pt>
                <c:pt idx="23">
                  <c:v>17.943710120575076</c:v>
                </c:pt>
                <c:pt idx="24">
                  <c:v>19.23984000382524</c:v>
                </c:pt>
                <c:pt idx="25">
                  <c:v>19.951846504767392</c:v>
                </c:pt>
                <c:pt idx="26">
                  <c:v>20.82769300057425</c:v>
                </c:pt>
                <c:pt idx="27">
                  <c:v>21.78236379245643</c:v>
                </c:pt>
                <c:pt idx="28">
                  <c:v>22.744671676672777</c:v>
                </c:pt>
                <c:pt idx="29">
                  <c:v>23.714730231665587</c:v>
                </c:pt>
                <c:pt idx="30">
                  <c:v>24.692647268537012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F-4EE0-9BF8-09129095A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90368"/>
        <c:axId val="1"/>
      </c:scatterChart>
      <c:valAx>
        <c:axId val="427390368"/>
        <c:scaling>
          <c:orientation val="minMax"/>
          <c:max val="251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 [RPM]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6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Torque [Nm]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427390368"/>
        <c:crosses val="autoZero"/>
        <c:crossBetween val="midCat"/>
      </c:valAx>
      <c:spPr>
        <a:blipFill>
          <a:blip xmlns:r="http://schemas.openxmlformats.org/officeDocument/2006/relationships" r:embed="rId1"/>
          <a:stretch>
            <a:fillRect/>
          </a:stretch>
        </a:blipFill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54831541682872E-2"/>
          <c:y val="5.0983148527820397E-2"/>
          <c:w val="0.8797273911205965"/>
          <c:h val="0.80251252312309873"/>
        </c:manualLayout>
      </c:layout>
      <c:scatterChart>
        <c:scatterStyle val="lineMarker"/>
        <c:varyColors val="0"/>
        <c:ser>
          <c:idx val="0"/>
          <c:order val="0"/>
          <c:tx>
            <c:v>Kt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'propulsion ENG'!$AR$7:$CB$7</c:f>
              <c:numCache>
                <c:formatCode>0.000</c:formatCode>
                <c:ptCount val="37"/>
                <c:pt idx="0">
                  <c:v>0</c:v>
                </c:pt>
                <c:pt idx="1">
                  <c:v>0.11700000000000001</c:v>
                </c:pt>
                <c:pt idx="2">
                  <c:v>0.22800000000000001</c:v>
                </c:pt>
                <c:pt idx="3">
                  <c:v>0.34699999999999998</c:v>
                </c:pt>
                <c:pt idx="4">
                  <c:v>0.45900000000000002</c:v>
                </c:pt>
                <c:pt idx="5">
                  <c:v>0.57399999999999995</c:v>
                </c:pt>
                <c:pt idx="6">
                  <c:v>0.69</c:v>
                </c:pt>
                <c:pt idx="7">
                  <c:v>0.80300000000000005</c:v>
                </c:pt>
                <c:pt idx="8">
                  <c:v>0.91600000000000004</c:v>
                </c:pt>
                <c:pt idx="9">
                  <c:v>1.032</c:v>
                </c:pt>
                <c:pt idx="10">
                  <c:v>1.145</c:v>
                </c:pt>
                <c:pt idx="11">
                  <c:v>1.2629999999999999</c:v>
                </c:pt>
                <c:pt idx="12">
                  <c:v>1.375</c:v>
                </c:pt>
                <c:pt idx="13">
                  <c:v>1.4890000000000001</c:v>
                </c:pt>
                <c:pt idx="14">
                  <c:v>1.6</c:v>
                </c:pt>
                <c:pt idx="15">
                  <c:v>1.718</c:v>
                </c:pt>
                <c:pt idx="16">
                  <c:v>1.829</c:v>
                </c:pt>
                <c:pt idx="17">
                  <c:v>1.98</c:v>
                </c:pt>
                <c:pt idx="18">
                  <c:v>2.0920000000000001</c:v>
                </c:pt>
                <c:pt idx="19">
                  <c:v>2.2050000000000001</c:v>
                </c:pt>
                <c:pt idx="20">
                  <c:v>2.319</c:v>
                </c:pt>
                <c:pt idx="21">
                  <c:v>2.431</c:v>
                </c:pt>
              </c:numCache>
            </c:numRef>
          </c:xVal>
          <c:yVal>
            <c:numRef>
              <c:f>'propulsion ENG'!$AR$8:$CB$8</c:f>
              <c:numCache>
                <c:formatCode>0.000</c:formatCode>
                <c:ptCount val="37"/>
                <c:pt idx="0">
                  <c:v>0.10920000000000001</c:v>
                </c:pt>
                <c:pt idx="1">
                  <c:v>0.11559999999999999</c:v>
                </c:pt>
                <c:pt idx="2">
                  <c:v>0.1191</c:v>
                </c:pt>
                <c:pt idx="3">
                  <c:v>0.1207</c:v>
                </c:pt>
                <c:pt idx="4">
                  <c:v>0.12239999999999999</c:v>
                </c:pt>
                <c:pt idx="5">
                  <c:v>0.1197</c:v>
                </c:pt>
                <c:pt idx="6">
                  <c:v>0.1143</c:v>
                </c:pt>
                <c:pt idx="7">
                  <c:v>0.11550000000000001</c:v>
                </c:pt>
                <c:pt idx="8">
                  <c:v>0.10730000000000001</c:v>
                </c:pt>
                <c:pt idx="9">
                  <c:v>0.1053</c:v>
                </c:pt>
                <c:pt idx="10">
                  <c:v>0.1026</c:v>
                </c:pt>
                <c:pt idx="11">
                  <c:v>9.9500000000000005E-2</c:v>
                </c:pt>
                <c:pt idx="12">
                  <c:v>9.5699999999999993E-2</c:v>
                </c:pt>
                <c:pt idx="13">
                  <c:v>9.1600000000000001E-2</c:v>
                </c:pt>
                <c:pt idx="14">
                  <c:v>9.35E-2</c:v>
                </c:pt>
                <c:pt idx="15">
                  <c:v>7.8299999999999995E-2</c:v>
                </c:pt>
                <c:pt idx="16">
                  <c:v>6.8099999999999994E-2</c:v>
                </c:pt>
                <c:pt idx="17">
                  <c:v>5.21E-2</c:v>
                </c:pt>
                <c:pt idx="18">
                  <c:v>0.04</c:v>
                </c:pt>
                <c:pt idx="19">
                  <c:v>2.5600000000000001E-2</c:v>
                </c:pt>
                <c:pt idx="20">
                  <c:v>9.9000000000000008E-3</c:v>
                </c:pt>
                <c:pt idx="21">
                  <c:v>-5.3E-3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8C-4898-91B5-F2C2D3B16241}"/>
            </c:ext>
          </c:extLst>
        </c:ser>
        <c:ser>
          <c:idx val="1"/>
          <c:order val="1"/>
          <c:tx>
            <c:v>Kq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'propulsion ENG'!$AR$7:$CB$7</c:f>
              <c:numCache>
                <c:formatCode>0.000</c:formatCode>
                <c:ptCount val="37"/>
                <c:pt idx="0">
                  <c:v>0</c:v>
                </c:pt>
                <c:pt idx="1">
                  <c:v>0.11700000000000001</c:v>
                </c:pt>
                <c:pt idx="2">
                  <c:v>0.22800000000000001</c:v>
                </c:pt>
                <c:pt idx="3">
                  <c:v>0.34699999999999998</c:v>
                </c:pt>
                <c:pt idx="4">
                  <c:v>0.45900000000000002</c:v>
                </c:pt>
                <c:pt idx="5">
                  <c:v>0.57399999999999995</c:v>
                </c:pt>
                <c:pt idx="6">
                  <c:v>0.69</c:v>
                </c:pt>
                <c:pt idx="7">
                  <c:v>0.80300000000000005</c:v>
                </c:pt>
                <c:pt idx="8">
                  <c:v>0.91600000000000004</c:v>
                </c:pt>
                <c:pt idx="9">
                  <c:v>1.032</c:v>
                </c:pt>
                <c:pt idx="10">
                  <c:v>1.145</c:v>
                </c:pt>
                <c:pt idx="11">
                  <c:v>1.2629999999999999</c:v>
                </c:pt>
                <c:pt idx="12">
                  <c:v>1.375</c:v>
                </c:pt>
                <c:pt idx="13">
                  <c:v>1.4890000000000001</c:v>
                </c:pt>
                <c:pt idx="14">
                  <c:v>1.6</c:v>
                </c:pt>
                <c:pt idx="15">
                  <c:v>1.718</c:v>
                </c:pt>
                <c:pt idx="16">
                  <c:v>1.829</c:v>
                </c:pt>
                <c:pt idx="17">
                  <c:v>1.98</c:v>
                </c:pt>
                <c:pt idx="18">
                  <c:v>2.0920000000000001</c:v>
                </c:pt>
                <c:pt idx="19">
                  <c:v>2.2050000000000001</c:v>
                </c:pt>
                <c:pt idx="20">
                  <c:v>2.319</c:v>
                </c:pt>
                <c:pt idx="21">
                  <c:v>2.431</c:v>
                </c:pt>
              </c:numCache>
            </c:numRef>
          </c:xVal>
          <c:yVal>
            <c:numRef>
              <c:f>'propulsion ENG'!$AR$9:$CB$9</c:f>
              <c:numCache>
                <c:formatCode>0.000</c:formatCode>
                <c:ptCount val="37"/>
                <c:pt idx="0">
                  <c:v>0.25790000000000002</c:v>
                </c:pt>
                <c:pt idx="1">
                  <c:v>0.26729999999999998</c:v>
                </c:pt>
                <c:pt idx="2">
                  <c:v>0.26640000000000003</c:v>
                </c:pt>
                <c:pt idx="3">
                  <c:v>0.25890000000000002</c:v>
                </c:pt>
                <c:pt idx="4">
                  <c:v>0.2535</c:v>
                </c:pt>
                <c:pt idx="5">
                  <c:v>0.25319999999999998</c:v>
                </c:pt>
                <c:pt idx="6">
                  <c:v>0.25919999999999999</c:v>
                </c:pt>
                <c:pt idx="7">
                  <c:v>0.26240000000000002</c:v>
                </c:pt>
                <c:pt idx="8">
                  <c:v>0.26540000000000002</c:v>
                </c:pt>
                <c:pt idx="9">
                  <c:v>0.26840000000000003</c:v>
                </c:pt>
                <c:pt idx="10">
                  <c:v>0.27160000000000001</c:v>
                </c:pt>
                <c:pt idx="11">
                  <c:v>0.27500000000000002</c:v>
                </c:pt>
                <c:pt idx="12">
                  <c:v>0.27639999999999998</c:v>
                </c:pt>
                <c:pt idx="13">
                  <c:v>0.27579999999999999</c:v>
                </c:pt>
                <c:pt idx="14">
                  <c:v>0.27850000000000003</c:v>
                </c:pt>
                <c:pt idx="15">
                  <c:v>0.24809999999999999</c:v>
                </c:pt>
                <c:pt idx="16">
                  <c:v>0.22819999999999999</c:v>
                </c:pt>
                <c:pt idx="17">
                  <c:v>0.19239999999999999</c:v>
                </c:pt>
                <c:pt idx="18">
                  <c:v>0.16439999999999999</c:v>
                </c:pt>
                <c:pt idx="19">
                  <c:v>0.13300000000000001</c:v>
                </c:pt>
                <c:pt idx="20">
                  <c:v>0.1003</c:v>
                </c:pt>
                <c:pt idx="21">
                  <c:v>6.9699999999999998E-2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8C-4898-91B5-F2C2D3B16241}"/>
            </c:ext>
          </c:extLst>
        </c:ser>
        <c:ser>
          <c:idx val="3"/>
          <c:order val="3"/>
          <c:tx>
            <c:v>KT/J^2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'propulsion ENG'!$AR$7:$CB$7</c:f>
              <c:numCache>
                <c:formatCode>0.000</c:formatCode>
                <c:ptCount val="37"/>
                <c:pt idx="0">
                  <c:v>0</c:v>
                </c:pt>
                <c:pt idx="1">
                  <c:v>0.11700000000000001</c:v>
                </c:pt>
                <c:pt idx="2">
                  <c:v>0.22800000000000001</c:v>
                </c:pt>
                <c:pt idx="3">
                  <c:v>0.34699999999999998</c:v>
                </c:pt>
                <c:pt idx="4">
                  <c:v>0.45900000000000002</c:v>
                </c:pt>
                <c:pt idx="5">
                  <c:v>0.57399999999999995</c:v>
                </c:pt>
                <c:pt idx="6">
                  <c:v>0.69</c:v>
                </c:pt>
                <c:pt idx="7">
                  <c:v>0.80300000000000005</c:v>
                </c:pt>
                <c:pt idx="8">
                  <c:v>0.91600000000000004</c:v>
                </c:pt>
                <c:pt idx="9">
                  <c:v>1.032</c:v>
                </c:pt>
                <c:pt idx="10">
                  <c:v>1.145</c:v>
                </c:pt>
                <c:pt idx="11">
                  <c:v>1.2629999999999999</c:v>
                </c:pt>
                <c:pt idx="12">
                  <c:v>1.375</c:v>
                </c:pt>
                <c:pt idx="13">
                  <c:v>1.4890000000000001</c:v>
                </c:pt>
                <c:pt idx="14">
                  <c:v>1.6</c:v>
                </c:pt>
                <c:pt idx="15">
                  <c:v>1.718</c:v>
                </c:pt>
                <c:pt idx="16">
                  <c:v>1.829</c:v>
                </c:pt>
                <c:pt idx="17">
                  <c:v>1.98</c:v>
                </c:pt>
                <c:pt idx="18">
                  <c:v>2.0920000000000001</c:v>
                </c:pt>
                <c:pt idx="19">
                  <c:v>2.2050000000000001</c:v>
                </c:pt>
                <c:pt idx="20">
                  <c:v>2.319</c:v>
                </c:pt>
                <c:pt idx="21">
                  <c:v>2.431</c:v>
                </c:pt>
              </c:numCache>
            </c:numRef>
          </c:xVal>
          <c:yVal>
            <c:numRef>
              <c:f>'propulsion ENG'!$AR$48:$CB$48</c:f>
              <c:numCache>
                <c:formatCode>0.0000</c:formatCode>
                <c:ptCount val="37"/>
                <c:pt idx="0">
                  <c:v>0</c:v>
                </c:pt>
                <c:pt idx="1">
                  <c:v>6.175887287809519E-4</c:v>
                </c:pt>
                <c:pt idx="2">
                  <c:v>2.3452942126487692E-3</c:v>
                </c:pt>
                <c:pt idx="3">
                  <c:v>5.4323355426828569E-3</c:v>
                </c:pt>
                <c:pt idx="4">
                  <c:v>9.5050194293447091E-3</c:v>
                </c:pt>
                <c:pt idx="5">
                  <c:v>1.4864538242664392E-2</c:v>
                </c:pt>
                <c:pt idx="6">
                  <c:v>2.1479581691329616E-2</c:v>
                </c:pt>
                <c:pt idx="7">
                  <c:v>2.9091005231683602E-2</c:v>
                </c:pt>
                <c:pt idx="8">
                  <c:v>3.7854593353497723E-2</c:v>
                </c:pt>
                <c:pt idx="9">
                  <c:v>4.8049296389890014E-2</c:v>
                </c:pt>
                <c:pt idx="10">
                  <c:v>5.9147802114840199E-2</c:v>
                </c:pt>
                <c:pt idx="11">
                  <c:v>7.196715573824107E-2</c:v>
                </c:pt>
                <c:pt idx="12">
                  <c:v>8.5296858086893648E-2</c:v>
                </c:pt>
                <c:pt idx="13">
                  <c:v>0.10002695156282802</c:v>
                </c:pt>
                <c:pt idx="14">
                  <c:v>0.11549617544592279</c:v>
                </c:pt>
                <c:pt idx="15">
                  <c:v>0.13316005224095773</c:v>
                </c:pt>
                <c:pt idx="16">
                  <c:v>0.15092286775191174</c:v>
                </c:pt>
                <c:pt idx="17">
                  <c:v>0.17687156492898265</c:v>
                </c:pt>
                <c:pt idx="18">
                  <c:v>0.19744720858467382</c:v>
                </c:pt>
                <c:pt idx="19">
                  <c:v>0.21935362985252446</c:v>
                </c:pt>
                <c:pt idx="20">
                  <c:v>0.2426214171727504</c:v>
                </c:pt>
                <c:pt idx="21">
                  <c:v>0.26662296613260628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8C-4898-91B5-F2C2D3B16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90784"/>
        <c:axId val="1"/>
      </c:scatterChart>
      <c:scatterChart>
        <c:scatterStyle val="lineMarker"/>
        <c:varyColors val="0"/>
        <c:ser>
          <c:idx val="2"/>
          <c:order val="2"/>
          <c:tx>
            <c:v>eta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'propulsion ENG'!$AR$7:$CB$7</c:f>
              <c:numCache>
                <c:formatCode>0.000</c:formatCode>
                <c:ptCount val="37"/>
                <c:pt idx="0">
                  <c:v>0</c:v>
                </c:pt>
                <c:pt idx="1">
                  <c:v>0.11700000000000001</c:v>
                </c:pt>
                <c:pt idx="2">
                  <c:v>0.22800000000000001</c:v>
                </c:pt>
                <c:pt idx="3">
                  <c:v>0.34699999999999998</c:v>
                </c:pt>
                <c:pt idx="4">
                  <c:v>0.45900000000000002</c:v>
                </c:pt>
                <c:pt idx="5">
                  <c:v>0.57399999999999995</c:v>
                </c:pt>
                <c:pt idx="6">
                  <c:v>0.69</c:v>
                </c:pt>
                <c:pt idx="7">
                  <c:v>0.80300000000000005</c:v>
                </c:pt>
                <c:pt idx="8">
                  <c:v>0.91600000000000004</c:v>
                </c:pt>
                <c:pt idx="9">
                  <c:v>1.032</c:v>
                </c:pt>
                <c:pt idx="10">
                  <c:v>1.145</c:v>
                </c:pt>
                <c:pt idx="11">
                  <c:v>1.2629999999999999</c:v>
                </c:pt>
                <c:pt idx="12">
                  <c:v>1.375</c:v>
                </c:pt>
                <c:pt idx="13">
                  <c:v>1.4890000000000001</c:v>
                </c:pt>
                <c:pt idx="14">
                  <c:v>1.6</c:v>
                </c:pt>
                <c:pt idx="15">
                  <c:v>1.718</c:v>
                </c:pt>
                <c:pt idx="16">
                  <c:v>1.829</c:v>
                </c:pt>
                <c:pt idx="17">
                  <c:v>1.98</c:v>
                </c:pt>
                <c:pt idx="18">
                  <c:v>2.0920000000000001</c:v>
                </c:pt>
                <c:pt idx="19">
                  <c:v>2.2050000000000001</c:v>
                </c:pt>
                <c:pt idx="20">
                  <c:v>2.319</c:v>
                </c:pt>
                <c:pt idx="21">
                  <c:v>2.431</c:v>
                </c:pt>
              </c:numCache>
            </c:numRef>
          </c:xVal>
          <c:yVal>
            <c:numRef>
              <c:f>'propulsion ENG'!$AR$10:$CB$10</c:f>
              <c:numCache>
                <c:formatCode>0.00</c:formatCode>
                <c:ptCount val="37"/>
                <c:pt idx="0">
                  <c:v>0</c:v>
                </c:pt>
                <c:pt idx="1">
                  <c:v>8.0531329454040512E-2</c:v>
                </c:pt>
                <c:pt idx="2">
                  <c:v>0.16223050483002249</c:v>
                </c:pt>
                <c:pt idx="3">
                  <c:v>0.25746892877649835</c:v>
                </c:pt>
                <c:pt idx="4">
                  <c:v>0.35272502370065589</c:v>
                </c:pt>
                <c:pt idx="5">
                  <c:v>0.43187938384555002</c:v>
                </c:pt>
                <c:pt idx="6">
                  <c:v>0.48426207163690238</c:v>
                </c:pt>
                <c:pt idx="7">
                  <c:v>0.56254054609270088</c:v>
                </c:pt>
                <c:pt idx="8">
                  <c:v>0.58940580484870009</c:v>
                </c:pt>
                <c:pt idx="9">
                  <c:v>0.64438539507522463</c:v>
                </c:pt>
                <c:pt idx="10">
                  <c:v>0.68840372789420423</c:v>
                </c:pt>
                <c:pt idx="11">
                  <c:v>0.72730047148886712</c:v>
                </c:pt>
                <c:pt idx="12">
                  <c:v>0.75769902583591819</c:v>
                </c:pt>
                <c:pt idx="13">
                  <c:v>0.78707486077472899</c:v>
                </c:pt>
                <c:pt idx="14">
                  <c:v>0.85492206414892435</c:v>
                </c:pt>
                <c:pt idx="15">
                  <c:v>0.86293540716468775</c:v>
                </c:pt>
                <c:pt idx="16">
                  <c:v>0.86869097376497428</c:v>
                </c:pt>
                <c:pt idx="17">
                  <c:v>0.85333189290404055</c:v>
                </c:pt>
                <c:pt idx="18">
                  <c:v>0.81010253272079102</c:v>
                </c:pt>
                <c:pt idx="19">
                  <c:v>0.67548708478581265</c:v>
                </c:pt>
                <c:pt idx="20">
                  <c:v>0.36429662003968516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8C-4898-91B5-F2C2D3B16241}"/>
            </c:ext>
          </c:extLst>
        </c:ser>
        <c:ser>
          <c:idx val="4"/>
          <c:order val="4"/>
          <c:tx>
            <c:v>operational point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'propulsion ENG'!$CE$5:$CE$6</c:f>
              <c:numCache>
                <c:formatCode>0.0000</c:formatCode>
                <c:ptCount val="2"/>
                <c:pt idx="0">
                  <c:v>1.4379820653630757</c:v>
                </c:pt>
                <c:pt idx="1">
                  <c:v>1.4379820653630757</c:v>
                </c:pt>
              </c:numCache>
            </c:numRef>
          </c:xVal>
          <c:yVal>
            <c:numRef>
              <c:f>'propulsion ENG'!$CF$5:$CF$6</c:f>
              <c:numCache>
                <c:formatCode>0.0000</c:formatCode>
                <c:ptCount val="2"/>
                <c:pt idx="0" formatCode="General">
                  <c:v>0</c:v>
                </c:pt>
                <c:pt idx="1">
                  <c:v>0.77337708208933387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18C-4898-91B5-F2C2D3B16241}"/>
            </c:ext>
          </c:extLst>
        </c:ser>
        <c:ser>
          <c:idx val="5"/>
          <c:order val="5"/>
          <c:tx>
            <c:v>top_peed</c:v>
          </c:tx>
          <c:marker>
            <c:symbol val="none"/>
          </c:marker>
          <c:xVal>
            <c:numRef>
              <c:f>'propulsion ENG'!$CE$8:$CE$9</c:f>
              <c:numCache>
                <c:formatCode>0.0000</c:formatCode>
                <c:ptCount val="2"/>
                <c:pt idx="0">
                  <c:v>1.5204358219909933</c:v>
                </c:pt>
                <c:pt idx="1">
                  <c:v>1.5204358219909933</c:v>
                </c:pt>
              </c:numCache>
            </c:numRef>
          </c:xVal>
          <c:yVal>
            <c:numRef>
              <c:f>'propulsion ENG'!$CF$8:$CF$9</c:f>
              <c:numCache>
                <c:formatCode>0.0000</c:formatCode>
                <c:ptCount val="2"/>
                <c:pt idx="0" formatCode="General">
                  <c:v>0</c:v>
                </c:pt>
                <c:pt idx="1">
                  <c:v>0.80530635552662677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18C-4898-91B5-F2C2D3B16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427390784"/>
        <c:scaling>
          <c:orientation val="minMax"/>
          <c:max val="2.5"/>
        </c:scaling>
        <c:delete val="0"/>
        <c:axPos val="b"/>
        <c:majorGridlines>
          <c:spPr>
            <a:ln w="3175">
              <a:pattFill prst="pct50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l-NL"/>
                  <a:t>J = V/nD</a:t>
                </a:r>
              </a:p>
            </c:rich>
          </c:tx>
          <c:layout>
            <c:manualLayout>
              <c:xMode val="edge"/>
              <c:yMode val="edge"/>
              <c:x val="0.46918795864802615"/>
              <c:y val="0.91958493067154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pattFill prst="pct50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427390784"/>
        <c:crosses val="autoZero"/>
        <c:crossBetween val="midCat"/>
        <c:majorUnit val="0.05"/>
        <c:minorUnit val="5.0000000000000018E-3"/>
      </c:valAx>
      <c:valAx>
        <c:axId val="3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1"/>
          <c:min val="0"/>
        </c:scaling>
        <c:delete val="0"/>
        <c:axPos val="r"/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3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9011877198626632E-2"/>
          <c:y val="0.19414865196837108"/>
          <c:w val="0.19262065746517798"/>
          <c:h val="0.2811862315563177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0022" r="0.75000000000000022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RPM Torque relation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454394706444507"/>
          <c:y val="7.8689494088468301E-2"/>
          <c:w val="0.84053417993526391"/>
          <c:h val="0.83183028726913721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'propulsion MAROF'!$AE$13:$AE$43</c:f>
              <c:numCache>
                <c:formatCode>0.0</c:formatCode>
                <c:ptCount val="31"/>
                <c:pt idx="0">
                  <c:v>0</c:v>
                </c:pt>
                <c:pt idx="1">
                  <c:v>352.89494679133281</c:v>
                </c:pt>
                <c:pt idx="2">
                  <c:v>511.57623828428973</c:v>
                </c:pt>
                <c:pt idx="3">
                  <c:v>656.60890096918627</c:v>
                </c:pt>
                <c:pt idx="4">
                  <c:v>778.36421294846264</c:v>
                </c:pt>
                <c:pt idx="5">
                  <c:v>900.34481909348528</c:v>
                </c:pt>
                <c:pt idx="6">
                  <c:v>1013.9310040307615</c:v>
                </c:pt>
                <c:pt idx="7">
                  <c:v>1120.9728644627462</c:v>
                </c:pt>
                <c:pt idx="8">
                  <c:v>1225.5600892670348</c:v>
                </c:pt>
                <c:pt idx="9">
                  <c:v>1329.8422823906644</c:v>
                </c:pt>
                <c:pt idx="10">
                  <c:v>1430.7852795469107</c:v>
                </c:pt>
                <c:pt idx="11">
                  <c:v>1529.0381263693205</c:v>
                </c:pt>
                <c:pt idx="12">
                  <c:v>1626.0489337588688</c:v>
                </c:pt>
                <c:pt idx="13">
                  <c:v>1767.0776180074547</c:v>
                </c:pt>
                <c:pt idx="14">
                  <c:v>1901.5364491807834</c:v>
                </c:pt>
                <c:pt idx="15">
                  <c:v>2021.1887730409928</c:v>
                </c:pt>
                <c:pt idx="16">
                  <c:v>2137.5088289869886</c:v>
                </c:pt>
                <c:pt idx="17">
                  <c:v>2253.0708912377795</c:v>
                </c:pt>
                <c:pt idx="18">
                  <c:v>2365.9435964817803</c:v>
                </c:pt>
                <c:pt idx="19">
                  <c:v>2481.8861317106689</c:v>
                </c:pt>
                <c:pt idx="20">
                  <c:v>2595.5614813290467</c:v>
                </c:pt>
                <c:pt idx="21">
                  <c:v>2713.9050919047345</c:v>
                </c:pt>
                <c:pt idx="22">
                  <c:v>2831.9782965750401</c:v>
                </c:pt>
                <c:pt idx="23">
                  <c:v>2952.3518605628501</c:v>
                </c:pt>
                <c:pt idx="24">
                  <c:v>3071.0086173698946</c:v>
                </c:pt>
                <c:pt idx="25">
                  <c:v>3170.1741973763924</c:v>
                </c:pt>
                <c:pt idx="26">
                  <c:v>3268.8052802134698</c:v>
                </c:pt>
                <c:pt idx="27">
                  <c:v>3366.968602693451</c:v>
                </c:pt>
                <c:pt idx="28">
                  <c:v>3464.7037710468676</c:v>
                </c:pt>
                <c:pt idx="29">
                  <c:v>3562.0460428527786</c:v>
                </c:pt>
                <c:pt idx="30">
                  <c:v>3659.026907930659</c:v>
                </c:pt>
              </c:numCache>
            </c:numRef>
          </c:xVal>
          <c:yVal>
            <c:numRef>
              <c:f>'propulsion MAROF'!$AF$13:$AF$43</c:f>
              <c:numCache>
                <c:formatCode>0.000</c:formatCode>
                <c:ptCount val="31"/>
                <c:pt idx="0">
                  <c:v>0</c:v>
                </c:pt>
                <c:pt idx="1">
                  <c:v>0.23688941059505259</c:v>
                </c:pt>
                <c:pt idx="2">
                  <c:v>0.44454266742163751</c:v>
                </c:pt>
                <c:pt idx="3">
                  <c:v>0.67013654471839024</c:v>
                </c:pt>
                <c:pt idx="4">
                  <c:v>0.86615762085473136</c:v>
                </c:pt>
                <c:pt idx="5">
                  <c:v>1.1067374801599514</c:v>
                </c:pt>
                <c:pt idx="6">
                  <c:v>1.3476556415197587</c:v>
                </c:pt>
                <c:pt idx="7">
                  <c:v>1.585812398540982</c:v>
                </c:pt>
                <c:pt idx="8">
                  <c:v>1.8362227554829695</c:v>
                </c:pt>
                <c:pt idx="9">
                  <c:v>2.1108322972902949</c:v>
                </c:pt>
                <c:pt idx="10">
                  <c:v>2.3888089024299339</c:v>
                </c:pt>
                <c:pt idx="11">
                  <c:v>2.6704230775498634</c:v>
                </c:pt>
                <c:pt idx="12">
                  <c:v>2.9608247599058353</c:v>
                </c:pt>
                <c:pt idx="13">
                  <c:v>3.5053694687935884</c:v>
                </c:pt>
                <c:pt idx="14">
                  <c:v>4.0566409916279529</c:v>
                </c:pt>
                <c:pt idx="15">
                  <c:v>4.5542208789343572</c:v>
                </c:pt>
                <c:pt idx="16">
                  <c:v>5.0582719161299519</c:v>
                </c:pt>
                <c:pt idx="17">
                  <c:v>5.5833456273960342</c:v>
                </c:pt>
                <c:pt idx="18">
                  <c:v>6.1144801405636775</c:v>
                </c:pt>
                <c:pt idx="19">
                  <c:v>6.6931720960902377</c:v>
                </c:pt>
                <c:pt idx="20">
                  <c:v>7.2797437478567835</c:v>
                </c:pt>
                <c:pt idx="21">
                  <c:v>7.9206813961186207</c:v>
                </c:pt>
                <c:pt idx="22">
                  <c:v>8.5653188809520504</c:v>
                </c:pt>
                <c:pt idx="23">
                  <c:v>9.2622782057861208</c:v>
                </c:pt>
                <c:pt idx="24">
                  <c:v>9.9651974825032266</c:v>
                </c:pt>
                <c:pt idx="25">
                  <c:v>10.445428802119171</c:v>
                </c:pt>
                <c:pt idx="26">
                  <c:v>10.928613488102945</c:v>
                </c:pt>
                <c:pt idx="27">
                  <c:v>11.415097152117303</c:v>
                </c:pt>
                <c:pt idx="28">
                  <c:v>11.90494834614309</c:v>
                </c:pt>
                <c:pt idx="29">
                  <c:v>12.398231180024167</c:v>
                </c:pt>
                <c:pt idx="30">
                  <c:v>12.895005513805222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7-433A-A74A-57DC46F6A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90368"/>
        <c:axId val="1"/>
      </c:scatterChart>
      <c:valAx>
        <c:axId val="427390368"/>
        <c:scaling>
          <c:orientation val="minMax"/>
          <c:max val="251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 [RPM]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6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Torque [Nm]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427390368"/>
        <c:crosses val="autoZero"/>
        <c:crossBetween val="midCat"/>
      </c:valAx>
      <c:spPr>
        <a:blipFill>
          <a:blip xmlns:r="http://schemas.openxmlformats.org/officeDocument/2006/relationships" r:embed="rId1"/>
          <a:stretch>
            <a:fillRect/>
          </a:stretch>
        </a:blipFill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54831541682872E-2"/>
          <c:y val="5.0983148527820397E-2"/>
          <c:w val="0.8797273911205965"/>
          <c:h val="0.80251252312309873"/>
        </c:manualLayout>
      </c:layout>
      <c:scatterChart>
        <c:scatterStyle val="lineMarker"/>
        <c:varyColors val="0"/>
        <c:ser>
          <c:idx val="0"/>
          <c:order val="0"/>
          <c:tx>
            <c:v>Kt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'propulsion MAROF'!$BU$7:$DE$7</c:f>
              <c:numCache>
                <c:formatCode>0.0000</c:formatCode>
                <c:ptCount val="37"/>
                <c:pt idx="0">
                  <c:v>0</c:v>
                </c:pt>
                <c:pt idx="1">
                  <c:v>0.19350000000000001</c:v>
                </c:pt>
                <c:pt idx="2">
                  <c:v>0.36449999999999999</c:v>
                </c:pt>
                <c:pt idx="3">
                  <c:v>0.54120000000000001</c:v>
                </c:pt>
                <c:pt idx="4">
                  <c:v>0.71860000000000002</c:v>
                </c:pt>
                <c:pt idx="5">
                  <c:v>0.8931</c:v>
                </c:pt>
                <c:pt idx="6">
                  <c:v>1.0732999999999999</c:v>
                </c:pt>
                <c:pt idx="7">
                  <c:v>1.1642999999999999</c:v>
                </c:pt>
                <c:pt idx="8">
                  <c:v>1.2</c:v>
                </c:pt>
                <c:pt idx="9">
                  <c:v>1.2771999999999999</c:v>
                </c:pt>
                <c:pt idx="10">
                  <c:v>1.32</c:v>
                </c:pt>
                <c:pt idx="11">
                  <c:v>1.35</c:v>
                </c:pt>
                <c:pt idx="12">
                  <c:v>1.3976</c:v>
                </c:pt>
                <c:pt idx="13">
                  <c:v>1.43</c:v>
                </c:pt>
                <c:pt idx="14">
                  <c:v>1.46</c:v>
                </c:pt>
                <c:pt idx="15">
                  <c:v>1.49</c:v>
                </c:pt>
                <c:pt idx="16">
                  <c:v>1.5124</c:v>
                </c:pt>
              </c:numCache>
            </c:numRef>
          </c:xVal>
          <c:yVal>
            <c:numRef>
              <c:f>'propulsion MAROF'!$BU$8:$DE$8</c:f>
              <c:numCache>
                <c:formatCode>0.0000</c:formatCode>
                <c:ptCount val="37"/>
                <c:pt idx="0">
                  <c:v>0.16750000000000001</c:v>
                </c:pt>
                <c:pt idx="1">
                  <c:v>0.17249999999999999</c:v>
                </c:pt>
                <c:pt idx="2">
                  <c:v>0.1608</c:v>
                </c:pt>
                <c:pt idx="3">
                  <c:v>0.1472</c:v>
                </c:pt>
                <c:pt idx="4">
                  <c:v>0.1265</c:v>
                </c:pt>
                <c:pt idx="5">
                  <c:v>0.1043</c:v>
                </c:pt>
                <c:pt idx="6">
                  <c:v>8.1900000000000001E-2</c:v>
                </c:pt>
                <c:pt idx="7">
                  <c:v>6.5699999999999995E-2</c:v>
                </c:pt>
                <c:pt idx="8">
                  <c:v>5.8500000000000003E-2</c:v>
                </c:pt>
                <c:pt idx="9">
                  <c:v>4.0099999999999997E-2</c:v>
                </c:pt>
                <c:pt idx="10">
                  <c:v>0.03</c:v>
                </c:pt>
                <c:pt idx="11">
                  <c:v>2.3E-2</c:v>
                </c:pt>
                <c:pt idx="12">
                  <c:v>1.34E-2</c:v>
                </c:pt>
                <c:pt idx="13">
                  <c:v>7.0000000000000001E-3</c:v>
                </c:pt>
                <c:pt idx="14">
                  <c:v>0</c:v>
                </c:pt>
                <c:pt idx="15">
                  <c:v>-5.0000000000000001E-3</c:v>
                </c:pt>
                <c:pt idx="16">
                  <c:v>-1.32E-2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78-41DB-8760-F3970AADB33E}"/>
            </c:ext>
          </c:extLst>
        </c:ser>
        <c:ser>
          <c:idx val="1"/>
          <c:order val="1"/>
          <c:tx>
            <c:v>Kq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'propulsion MAROF'!$BU$7:$DE$7</c:f>
              <c:numCache>
                <c:formatCode>0.0000</c:formatCode>
                <c:ptCount val="37"/>
                <c:pt idx="0">
                  <c:v>0</c:v>
                </c:pt>
                <c:pt idx="1">
                  <c:v>0.19350000000000001</c:v>
                </c:pt>
                <c:pt idx="2">
                  <c:v>0.36449999999999999</c:v>
                </c:pt>
                <c:pt idx="3">
                  <c:v>0.54120000000000001</c:v>
                </c:pt>
                <c:pt idx="4">
                  <c:v>0.71860000000000002</c:v>
                </c:pt>
                <c:pt idx="5">
                  <c:v>0.8931</c:v>
                </c:pt>
                <c:pt idx="6">
                  <c:v>1.0732999999999999</c:v>
                </c:pt>
                <c:pt idx="7">
                  <c:v>1.1642999999999999</c:v>
                </c:pt>
                <c:pt idx="8">
                  <c:v>1.2</c:v>
                </c:pt>
                <c:pt idx="9">
                  <c:v>1.2771999999999999</c:v>
                </c:pt>
                <c:pt idx="10">
                  <c:v>1.32</c:v>
                </c:pt>
                <c:pt idx="11">
                  <c:v>1.35</c:v>
                </c:pt>
                <c:pt idx="12">
                  <c:v>1.3976</c:v>
                </c:pt>
                <c:pt idx="13">
                  <c:v>1.43</c:v>
                </c:pt>
                <c:pt idx="14">
                  <c:v>1.46</c:v>
                </c:pt>
                <c:pt idx="15">
                  <c:v>1.49</c:v>
                </c:pt>
                <c:pt idx="16">
                  <c:v>1.5124</c:v>
                </c:pt>
              </c:numCache>
            </c:numRef>
          </c:xVal>
          <c:yVal>
            <c:numRef>
              <c:f>'propulsion MAROF'!$BU$9:$DE$9</c:f>
              <c:numCache>
                <c:formatCode>0.0000</c:formatCode>
                <c:ptCount val="37"/>
                <c:pt idx="0">
                  <c:v>0.32740000000000002</c:v>
                </c:pt>
                <c:pt idx="1">
                  <c:v>0.3342</c:v>
                </c:pt>
                <c:pt idx="2">
                  <c:v>0.30299999999999999</c:v>
                </c:pt>
                <c:pt idx="3">
                  <c:v>0.26550000000000001</c:v>
                </c:pt>
                <c:pt idx="4">
                  <c:v>0.22189999999999999</c:v>
                </c:pt>
                <c:pt idx="5">
                  <c:v>0.19259999999999999</c:v>
                </c:pt>
                <c:pt idx="6">
                  <c:v>0.16819999999999999</c:v>
                </c:pt>
                <c:pt idx="7">
                  <c:v>0.14330000000000001</c:v>
                </c:pt>
                <c:pt idx="8">
                  <c:v>0.13100000000000001</c:v>
                </c:pt>
                <c:pt idx="9">
                  <c:v>9.7299999999999998E-2</c:v>
                </c:pt>
                <c:pt idx="10">
                  <c:v>7.9000000000000001E-2</c:v>
                </c:pt>
                <c:pt idx="11">
                  <c:v>6.5000000000000002E-2</c:v>
                </c:pt>
                <c:pt idx="12">
                  <c:v>4.4999999999999998E-2</c:v>
                </c:pt>
                <c:pt idx="13">
                  <c:v>0.03</c:v>
                </c:pt>
                <c:pt idx="14">
                  <c:v>1.7999999999999999E-2</c:v>
                </c:pt>
                <c:pt idx="15">
                  <c:v>5.0000000000000001E-3</c:v>
                </c:pt>
                <c:pt idx="16">
                  <c:v>-1.3100000000000001E-2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78-41DB-8760-F3970AADB33E}"/>
            </c:ext>
          </c:extLst>
        </c:ser>
        <c:ser>
          <c:idx val="3"/>
          <c:order val="3"/>
          <c:tx>
            <c:v>KT/J^2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'propulsion MAROF'!$BU$7:$DE$7</c:f>
              <c:numCache>
                <c:formatCode>0.0000</c:formatCode>
                <c:ptCount val="37"/>
                <c:pt idx="0">
                  <c:v>0</c:v>
                </c:pt>
                <c:pt idx="1">
                  <c:v>0.19350000000000001</c:v>
                </c:pt>
                <c:pt idx="2">
                  <c:v>0.36449999999999999</c:v>
                </c:pt>
                <c:pt idx="3">
                  <c:v>0.54120000000000001</c:v>
                </c:pt>
                <c:pt idx="4">
                  <c:v>0.71860000000000002</c:v>
                </c:pt>
                <c:pt idx="5">
                  <c:v>0.8931</c:v>
                </c:pt>
                <c:pt idx="6">
                  <c:v>1.0732999999999999</c:v>
                </c:pt>
                <c:pt idx="7">
                  <c:v>1.1642999999999999</c:v>
                </c:pt>
                <c:pt idx="8">
                  <c:v>1.2</c:v>
                </c:pt>
                <c:pt idx="9">
                  <c:v>1.2771999999999999</c:v>
                </c:pt>
                <c:pt idx="10">
                  <c:v>1.32</c:v>
                </c:pt>
                <c:pt idx="11">
                  <c:v>1.35</c:v>
                </c:pt>
                <c:pt idx="12">
                  <c:v>1.3976</c:v>
                </c:pt>
                <c:pt idx="13">
                  <c:v>1.43</c:v>
                </c:pt>
                <c:pt idx="14">
                  <c:v>1.46</c:v>
                </c:pt>
                <c:pt idx="15">
                  <c:v>1.49</c:v>
                </c:pt>
                <c:pt idx="16">
                  <c:v>1.5124</c:v>
                </c:pt>
              </c:numCache>
            </c:numRef>
          </c:xVal>
          <c:yVal>
            <c:numRef>
              <c:f>'propulsion MAROF'!$BU$48:$DE$48</c:f>
              <c:numCache>
                <c:formatCode>0.0000</c:formatCode>
                <c:ptCount val="37"/>
                <c:pt idx="0">
                  <c:v>0</c:v>
                </c:pt>
                <c:pt idx="1">
                  <c:v>2.9692888344345419E-3</c:v>
                </c:pt>
                <c:pt idx="2">
                  <c:v>1.053623798957546E-2</c:v>
                </c:pt>
                <c:pt idx="3">
                  <c:v>2.3227693267003482E-2</c:v>
                </c:pt>
                <c:pt idx="4">
                  <c:v>4.0951039675413789E-2</c:v>
                </c:pt>
                <c:pt idx="5">
                  <c:v>6.3254391934504717E-2</c:v>
                </c:pt>
                <c:pt idx="6">
                  <c:v>9.13550932395433E-2</c:v>
                </c:pt>
                <c:pt idx="7">
                  <c:v>0.10750293006371107</c:v>
                </c:pt>
                <c:pt idx="8">
                  <c:v>0.11419655393534683</c:v>
                </c:pt>
                <c:pt idx="9">
                  <c:v>0.12936247803475451</c:v>
                </c:pt>
                <c:pt idx="10">
                  <c:v>0.13817783026176969</c:v>
                </c:pt>
                <c:pt idx="11">
                  <c:v>0.14453001357442335</c:v>
                </c:pt>
                <c:pt idx="12">
                  <c:v>0.15490173794651729</c:v>
                </c:pt>
                <c:pt idx="13">
                  <c:v>0.16216703690443798</c:v>
                </c:pt>
                <c:pt idx="14">
                  <c:v>0.16904262108929533</c:v>
                </c:pt>
                <c:pt idx="15">
                  <c:v>0.17606095096657187</c:v>
                </c:pt>
                <c:pt idx="16">
                  <c:v>0.1813943868215683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78-41DB-8760-F3970AADB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90784"/>
        <c:axId val="1"/>
      </c:scatterChart>
      <c:scatterChart>
        <c:scatterStyle val="lineMarker"/>
        <c:varyColors val="0"/>
        <c:ser>
          <c:idx val="2"/>
          <c:order val="2"/>
          <c:tx>
            <c:v>eta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'propulsion MAROF'!$BU$7:$DE$7</c:f>
              <c:numCache>
                <c:formatCode>0.0000</c:formatCode>
                <c:ptCount val="37"/>
                <c:pt idx="0">
                  <c:v>0</c:v>
                </c:pt>
                <c:pt idx="1">
                  <c:v>0.19350000000000001</c:v>
                </c:pt>
                <c:pt idx="2">
                  <c:v>0.36449999999999999</c:v>
                </c:pt>
                <c:pt idx="3">
                  <c:v>0.54120000000000001</c:v>
                </c:pt>
                <c:pt idx="4">
                  <c:v>0.71860000000000002</c:v>
                </c:pt>
                <c:pt idx="5">
                  <c:v>0.8931</c:v>
                </c:pt>
                <c:pt idx="6">
                  <c:v>1.0732999999999999</c:v>
                </c:pt>
                <c:pt idx="7">
                  <c:v>1.1642999999999999</c:v>
                </c:pt>
                <c:pt idx="8">
                  <c:v>1.2</c:v>
                </c:pt>
                <c:pt idx="9">
                  <c:v>1.2771999999999999</c:v>
                </c:pt>
                <c:pt idx="10">
                  <c:v>1.32</c:v>
                </c:pt>
                <c:pt idx="11">
                  <c:v>1.35</c:v>
                </c:pt>
                <c:pt idx="12">
                  <c:v>1.3976</c:v>
                </c:pt>
                <c:pt idx="13">
                  <c:v>1.43</c:v>
                </c:pt>
                <c:pt idx="14">
                  <c:v>1.46</c:v>
                </c:pt>
                <c:pt idx="15">
                  <c:v>1.49</c:v>
                </c:pt>
                <c:pt idx="16">
                  <c:v>1.5124</c:v>
                </c:pt>
              </c:numCache>
            </c:numRef>
          </c:xVal>
          <c:yVal>
            <c:numRef>
              <c:f>'propulsion MAROF'!$BU$10:$DE$10</c:f>
              <c:numCache>
                <c:formatCode>0.00</c:formatCode>
                <c:ptCount val="37"/>
                <c:pt idx="0">
                  <c:v>0</c:v>
                </c:pt>
                <c:pt idx="1">
                  <c:v>0.15895849960289055</c:v>
                </c:pt>
                <c:pt idx="2">
                  <c:v>0.30786554001732447</c:v>
                </c:pt>
                <c:pt idx="3">
                  <c:v>0.47755258928950389</c:v>
                </c:pt>
                <c:pt idx="4">
                  <c:v>0.6519894491387227</c:v>
                </c:pt>
                <c:pt idx="5">
                  <c:v>0.76974742835624466</c:v>
                </c:pt>
                <c:pt idx="6">
                  <c:v>0.83176218397393054</c:v>
                </c:pt>
                <c:pt idx="7">
                  <c:v>0.84957985944817982</c:v>
                </c:pt>
                <c:pt idx="8">
                  <c:v>0.85287610725580554</c:v>
                </c:pt>
                <c:pt idx="9">
                  <c:v>0.83774254902471179</c:v>
                </c:pt>
                <c:pt idx="10">
                  <c:v>0.79778933499228555</c:v>
                </c:pt>
                <c:pt idx="11">
                  <c:v>0.7602709204620538</c:v>
                </c:pt>
                <c:pt idx="12">
                  <c:v>0.6623618465409159</c:v>
                </c:pt>
                <c:pt idx="13">
                  <c:v>0.53104699344995743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78-41DB-8760-F3970AADB33E}"/>
            </c:ext>
          </c:extLst>
        </c:ser>
        <c:ser>
          <c:idx val="4"/>
          <c:order val="4"/>
          <c:tx>
            <c:v>operational point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'propulsion MAROF'!$DH$5:$DH$6</c:f>
              <c:numCache>
                <c:formatCode>0.0000</c:formatCode>
                <c:ptCount val="2"/>
                <c:pt idx="0">
                  <c:v>1.0395617001796822</c:v>
                </c:pt>
                <c:pt idx="1">
                  <c:v>1.0395617001796822</c:v>
                </c:pt>
              </c:numCache>
            </c:numRef>
          </c:xVal>
          <c:yVal>
            <c:numRef>
              <c:f>'propulsion MAROF'!$DI$5:$DI$6</c:f>
              <c:numCache>
                <c:formatCode>0.0000</c:formatCode>
                <c:ptCount val="2"/>
                <c:pt idx="0" formatCode="General">
                  <c:v>0</c:v>
                </c:pt>
                <c:pt idx="1">
                  <c:v>0.82072430481600689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78-41DB-8760-F3970AADB33E}"/>
            </c:ext>
          </c:extLst>
        </c:ser>
        <c:ser>
          <c:idx val="5"/>
          <c:order val="5"/>
          <c:tx>
            <c:v>top_peed</c:v>
          </c:tx>
          <c:marker>
            <c:symbol val="none"/>
          </c:marker>
          <c:xVal>
            <c:numRef>
              <c:f>'propulsion MAROF'!$DH$8:$DH$9</c:f>
              <c:numCache>
                <c:formatCode>0.0000</c:formatCode>
                <c:ptCount val="2"/>
                <c:pt idx="0">
                  <c:v>1.0771276370628118</c:v>
                </c:pt>
                <c:pt idx="1">
                  <c:v>1.0771276370628118</c:v>
                </c:pt>
              </c:numCache>
            </c:numRef>
          </c:xVal>
          <c:yVal>
            <c:numRef>
              <c:f>'propulsion MAROF'!$DI$8:$DI$9</c:f>
              <c:numCache>
                <c:formatCode>0.0000</c:formatCode>
                <c:ptCount val="2"/>
                <c:pt idx="0" formatCode="General">
                  <c:v>0</c:v>
                </c:pt>
                <c:pt idx="1">
                  <c:v>0.83273077317455968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78-41DB-8760-F3970AADB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427390784"/>
        <c:scaling>
          <c:orientation val="minMax"/>
          <c:max val="2.5"/>
        </c:scaling>
        <c:delete val="0"/>
        <c:axPos val="b"/>
        <c:majorGridlines>
          <c:spPr>
            <a:ln w="3175">
              <a:pattFill prst="pct50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l-NL"/>
                  <a:t>J = V/nD</a:t>
                </a:r>
              </a:p>
            </c:rich>
          </c:tx>
          <c:layout>
            <c:manualLayout>
              <c:xMode val="edge"/>
              <c:yMode val="edge"/>
              <c:x val="0.46918795864802615"/>
              <c:y val="0.91958493067154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pattFill prst="pct50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427390784"/>
        <c:crosses val="autoZero"/>
        <c:crossBetween val="midCat"/>
        <c:majorUnit val="0.05"/>
        <c:minorUnit val="5.0000000000000018E-3"/>
      </c:valAx>
      <c:valAx>
        <c:axId val="3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1"/>
          <c:min val="0"/>
        </c:scaling>
        <c:delete val="0"/>
        <c:axPos val="r"/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3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0022" r="0.75000000000000022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373719681630641"/>
          <c:y val="1.8812464418025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2285371248714"/>
          <c:y val="0.12314888308146328"/>
          <c:w val="0.85399457336621987"/>
          <c:h val="0.72942006615445587"/>
        </c:manualLayout>
      </c:layout>
      <c:scatterChart>
        <c:scatterStyle val="lineMarker"/>
        <c:varyColors val="0"/>
        <c:ser>
          <c:idx val="0"/>
          <c:order val="0"/>
          <c:tx>
            <c:v>Propeller efficiency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'propulsion MAROF'!$N$13:$N$43</c:f>
              <c:numCache>
                <c:formatCode>0.00</c:formatCode>
                <c:ptCount val="31"/>
                <c:pt idx="0">
                  <c:v>0</c:v>
                </c:pt>
                <c:pt idx="1">
                  <c:v>117.63164893044427</c:v>
                </c:pt>
                <c:pt idx="2">
                  <c:v>170.52541276142992</c:v>
                </c:pt>
                <c:pt idx="3">
                  <c:v>218.86963365639542</c:v>
                </c:pt>
                <c:pt idx="4">
                  <c:v>259.45473764948753</c:v>
                </c:pt>
                <c:pt idx="5">
                  <c:v>300.11493969782845</c:v>
                </c:pt>
                <c:pt idx="6">
                  <c:v>337.97700134358718</c:v>
                </c:pt>
                <c:pt idx="7">
                  <c:v>373.65762148758205</c:v>
                </c:pt>
                <c:pt idx="8">
                  <c:v>408.52002975567825</c:v>
                </c:pt>
                <c:pt idx="9">
                  <c:v>443.28076079688816</c:v>
                </c:pt>
                <c:pt idx="10">
                  <c:v>476.92842651563694</c:v>
                </c:pt>
                <c:pt idx="11">
                  <c:v>509.67937545644014</c:v>
                </c:pt>
                <c:pt idx="12">
                  <c:v>542.01631125295626</c:v>
                </c:pt>
                <c:pt idx="13">
                  <c:v>589.02587266915157</c:v>
                </c:pt>
                <c:pt idx="14">
                  <c:v>633.84548306026113</c:v>
                </c:pt>
                <c:pt idx="15">
                  <c:v>673.72959101366428</c:v>
                </c:pt>
                <c:pt idx="16">
                  <c:v>712.50294299566292</c:v>
                </c:pt>
                <c:pt idx="17">
                  <c:v>751.02363041259321</c:v>
                </c:pt>
                <c:pt idx="18">
                  <c:v>788.64786549392682</c:v>
                </c:pt>
                <c:pt idx="19">
                  <c:v>827.29537723688964</c:v>
                </c:pt>
                <c:pt idx="20">
                  <c:v>865.18716044301561</c:v>
                </c:pt>
                <c:pt idx="21">
                  <c:v>904.63503063491146</c:v>
                </c:pt>
                <c:pt idx="22">
                  <c:v>943.9927655250134</c:v>
                </c:pt>
                <c:pt idx="23">
                  <c:v>984.11728685428341</c:v>
                </c:pt>
                <c:pt idx="24">
                  <c:v>1023.6695391232981</c:v>
                </c:pt>
                <c:pt idx="25">
                  <c:v>1056.7247324587975</c:v>
                </c:pt>
                <c:pt idx="26">
                  <c:v>1089.6017600711566</c:v>
                </c:pt>
                <c:pt idx="27">
                  <c:v>1122.3228675644837</c:v>
                </c:pt>
                <c:pt idx="28">
                  <c:v>1154.9012570156226</c:v>
                </c:pt>
                <c:pt idx="29">
                  <c:v>1187.3486809509261</c:v>
                </c:pt>
                <c:pt idx="30">
                  <c:v>1219.6756359768863</c:v>
                </c:pt>
              </c:numCache>
            </c:numRef>
          </c:xVal>
          <c:yVal>
            <c:numRef>
              <c:f>'propulsion MAROF'!$Z$13:$Z$43</c:f>
              <c:numCache>
                <c:formatCode>0.00%</c:formatCode>
                <c:ptCount val="31"/>
                <c:pt idx="0">
                  <c:v>0</c:v>
                </c:pt>
                <c:pt idx="1">
                  <c:v>0.32558561724350005</c:v>
                </c:pt>
                <c:pt idx="2">
                  <c:v>0.47873201832554035</c:v>
                </c:pt>
                <c:pt idx="3">
                  <c:v>0.55670963830512532</c:v>
                </c:pt>
                <c:pt idx="4">
                  <c:v>0.64594641224803473</c:v>
                </c:pt>
                <c:pt idx="5">
                  <c:v>0.68287752555599446</c:v>
                </c:pt>
                <c:pt idx="6">
                  <c:v>0.71708636152769356</c:v>
                </c:pt>
                <c:pt idx="7">
                  <c:v>0.75024907726364887</c:v>
                </c:pt>
                <c:pt idx="8">
                  <c:v>0.7740629806512781</c:v>
                </c:pt>
                <c:pt idx="9">
                  <c:v>0.78539376587296628</c:v>
                </c:pt>
                <c:pt idx="10">
                  <c:v>0.7963434759558371</c:v>
                </c:pt>
                <c:pt idx="11">
                  <c:v>0.80657226070926835</c:v>
                </c:pt>
                <c:pt idx="12">
                  <c:v>0.81570058873351003</c:v>
                </c:pt>
                <c:pt idx="13">
                  <c:v>0.8145812703498202</c:v>
                </c:pt>
                <c:pt idx="14">
                  <c:v>0.81485767303603196</c:v>
                </c:pt>
                <c:pt idx="15">
                  <c:v>0.81770189676691496</c:v>
                </c:pt>
                <c:pt idx="16">
                  <c:v>0.82074815742409768</c:v>
                </c:pt>
                <c:pt idx="17">
                  <c:v>0.82355426543307897</c:v>
                </c:pt>
                <c:pt idx="18">
                  <c:v>0.8264362744350332</c:v>
                </c:pt>
                <c:pt idx="19">
                  <c:v>0.82857851706670882</c:v>
                </c:pt>
                <c:pt idx="20">
                  <c:v>0.8307904836706731</c:v>
                </c:pt>
                <c:pt idx="21">
                  <c:v>0.83212073397455211</c:v>
                </c:pt>
                <c:pt idx="22">
                  <c:v>0.83318746803791455</c:v>
                </c:pt>
                <c:pt idx="23">
                  <c:v>0.83394765532940773</c:v>
                </c:pt>
                <c:pt idx="24">
                  <c:v>0.83478994937367135</c:v>
                </c:pt>
                <c:pt idx="25">
                  <c:v>0.83715580817896729</c:v>
                </c:pt>
                <c:pt idx="26">
                  <c:v>0.83932132193275111</c:v>
                </c:pt>
                <c:pt idx="27">
                  <c:v>0.84128767620733091</c:v>
                </c:pt>
                <c:pt idx="28">
                  <c:v>0.84305928517311524</c:v>
                </c:pt>
                <c:pt idx="29">
                  <c:v>0.84464149690969659</c:v>
                </c:pt>
                <c:pt idx="30">
                  <c:v>0.84604030169056055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88-432D-A40D-0032EC384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169040"/>
        <c:axId val="249102576"/>
      </c:scatterChart>
      <c:valAx>
        <c:axId val="24216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0"/>
                  <a:t> [rpm]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9102576"/>
        <c:crosses val="autoZero"/>
        <c:crossBetween val="midCat"/>
      </c:valAx>
      <c:valAx>
        <c:axId val="249102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216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'OW props'!$A$10</c:f>
              <c:strCache>
                <c:ptCount val="1"/>
                <c:pt idx="0">
                  <c:v>prop MIR</c:v>
                </c:pt>
              </c:strCache>
            </c:strRef>
          </c:tx>
          <c:val>
            <c:numRef>
              <c:f>'OW props'!$D$10:$T$10</c:f>
              <c:numCache>
                <c:formatCode>0.0000</c:formatCode>
                <c:ptCount val="17"/>
                <c:pt idx="0">
                  <c:v>0</c:v>
                </c:pt>
                <c:pt idx="1">
                  <c:v>0.19350000000000001</c:v>
                </c:pt>
                <c:pt idx="2">
                  <c:v>0.36449999999999999</c:v>
                </c:pt>
                <c:pt idx="3">
                  <c:v>0.54120000000000001</c:v>
                </c:pt>
                <c:pt idx="4">
                  <c:v>0.71860000000000002</c:v>
                </c:pt>
                <c:pt idx="5">
                  <c:v>0.8931</c:v>
                </c:pt>
                <c:pt idx="6">
                  <c:v>1.0732999999999999</c:v>
                </c:pt>
                <c:pt idx="7">
                  <c:v>1.1642999999999999</c:v>
                </c:pt>
                <c:pt idx="8">
                  <c:v>1.2</c:v>
                </c:pt>
                <c:pt idx="9">
                  <c:v>1.2771999999999999</c:v>
                </c:pt>
                <c:pt idx="10">
                  <c:v>1.32</c:v>
                </c:pt>
                <c:pt idx="11">
                  <c:v>1.35</c:v>
                </c:pt>
                <c:pt idx="12">
                  <c:v>1.3976</c:v>
                </c:pt>
                <c:pt idx="13">
                  <c:v>1.43</c:v>
                </c:pt>
                <c:pt idx="14">
                  <c:v>1.46</c:v>
                </c:pt>
                <c:pt idx="15">
                  <c:v>1.49</c:v>
                </c:pt>
                <c:pt idx="16">
                  <c:v>1.5124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B-49CE-99B3-0E3CA6D7B050}"/>
            </c:ext>
          </c:extLst>
        </c:ser>
        <c:ser>
          <c:idx val="1"/>
          <c:order val="1"/>
          <c:tx>
            <c:strRef>
              <c:f>'OW props'!$A$5</c:f>
              <c:strCache>
                <c:ptCount val="1"/>
                <c:pt idx="0">
                  <c:v>prop HZ</c:v>
                </c:pt>
              </c:strCache>
            </c:strRef>
          </c:tx>
          <c:val>
            <c:numRef>
              <c:f>'OW props'!$D$5:$X$5</c:f>
              <c:numCache>
                <c:formatCode>0.000</c:formatCode>
                <c:ptCount val="21"/>
                <c:pt idx="0">
                  <c:v>0</c:v>
                </c:pt>
                <c:pt idx="1">
                  <c:v>0.11700000000000001</c:v>
                </c:pt>
                <c:pt idx="2">
                  <c:v>0.22800000000000001</c:v>
                </c:pt>
                <c:pt idx="3">
                  <c:v>0.34699999999999998</c:v>
                </c:pt>
                <c:pt idx="4">
                  <c:v>0.45900000000000002</c:v>
                </c:pt>
                <c:pt idx="5">
                  <c:v>0.57399999999999995</c:v>
                </c:pt>
                <c:pt idx="6">
                  <c:v>0.69</c:v>
                </c:pt>
                <c:pt idx="7">
                  <c:v>0.80300000000000005</c:v>
                </c:pt>
                <c:pt idx="8">
                  <c:v>0.91600000000000004</c:v>
                </c:pt>
                <c:pt idx="9">
                  <c:v>1.032</c:v>
                </c:pt>
                <c:pt idx="10">
                  <c:v>1.145</c:v>
                </c:pt>
                <c:pt idx="11">
                  <c:v>1.2629999999999999</c:v>
                </c:pt>
                <c:pt idx="12">
                  <c:v>1.375</c:v>
                </c:pt>
                <c:pt idx="13">
                  <c:v>1.4890000000000001</c:v>
                </c:pt>
                <c:pt idx="14">
                  <c:v>1.6</c:v>
                </c:pt>
                <c:pt idx="15">
                  <c:v>1.718</c:v>
                </c:pt>
                <c:pt idx="16">
                  <c:v>1.829</c:v>
                </c:pt>
                <c:pt idx="17">
                  <c:v>1.98</c:v>
                </c:pt>
                <c:pt idx="18">
                  <c:v>2.0920000000000001</c:v>
                </c:pt>
                <c:pt idx="19">
                  <c:v>2.2050000000000001</c:v>
                </c:pt>
                <c:pt idx="20">
                  <c:v>2.319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5B-49CE-99B3-0E3CA6D7B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553536"/>
        <c:axId val="1"/>
      </c:lineChart>
      <c:catAx>
        <c:axId val="163355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633553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'OW props'!$A$5</c:f>
              <c:strCache>
                <c:ptCount val="1"/>
                <c:pt idx="0">
                  <c:v>prop HZ</c:v>
                </c:pt>
              </c:strCache>
            </c:strRef>
          </c:tx>
          <c:val>
            <c:numRef>
              <c:f>'OW props'!$D$6:$X$6</c:f>
              <c:numCache>
                <c:formatCode>0.000</c:formatCode>
                <c:ptCount val="21"/>
                <c:pt idx="0">
                  <c:v>0.10920000000000001</c:v>
                </c:pt>
                <c:pt idx="1">
                  <c:v>0.11559999999999999</c:v>
                </c:pt>
                <c:pt idx="2">
                  <c:v>0.1191</c:v>
                </c:pt>
                <c:pt idx="3">
                  <c:v>0.1207</c:v>
                </c:pt>
                <c:pt idx="4">
                  <c:v>0.12239999999999999</c:v>
                </c:pt>
                <c:pt idx="5">
                  <c:v>0.1197</c:v>
                </c:pt>
                <c:pt idx="6">
                  <c:v>0.1143</c:v>
                </c:pt>
                <c:pt idx="7">
                  <c:v>0.11550000000000001</c:v>
                </c:pt>
                <c:pt idx="8">
                  <c:v>0.10730000000000001</c:v>
                </c:pt>
                <c:pt idx="9">
                  <c:v>0.1053</c:v>
                </c:pt>
                <c:pt idx="10">
                  <c:v>0.1026</c:v>
                </c:pt>
                <c:pt idx="11">
                  <c:v>9.9500000000000005E-2</c:v>
                </c:pt>
                <c:pt idx="12">
                  <c:v>9.5699999999999993E-2</c:v>
                </c:pt>
                <c:pt idx="13">
                  <c:v>9.1600000000000001E-2</c:v>
                </c:pt>
                <c:pt idx="14">
                  <c:v>9.35E-2</c:v>
                </c:pt>
                <c:pt idx="15">
                  <c:v>7.8299999999999995E-2</c:v>
                </c:pt>
                <c:pt idx="16">
                  <c:v>6.8099999999999994E-2</c:v>
                </c:pt>
                <c:pt idx="17">
                  <c:v>5.21E-2</c:v>
                </c:pt>
                <c:pt idx="18">
                  <c:v>0.04</c:v>
                </c:pt>
                <c:pt idx="19">
                  <c:v>2.5600000000000001E-2</c:v>
                </c:pt>
                <c:pt idx="20">
                  <c:v>9.9000000000000008E-3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E-4FA2-A87D-73A132224277}"/>
            </c:ext>
          </c:extLst>
        </c:ser>
        <c:ser>
          <c:idx val="1"/>
          <c:order val="1"/>
          <c:tx>
            <c:strRef>
              <c:f>'OW props'!$A$10</c:f>
              <c:strCache>
                <c:ptCount val="1"/>
                <c:pt idx="0">
                  <c:v>prop MIR</c:v>
                </c:pt>
              </c:strCache>
            </c:strRef>
          </c:tx>
          <c:val>
            <c:numRef>
              <c:f>'OW props'!$D$11:$T$11</c:f>
              <c:numCache>
                <c:formatCode>0.0000</c:formatCode>
                <c:ptCount val="17"/>
                <c:pt idx="0">
                  <c:v>0.16750000000000001</c:v>
                </c:pt>
                <c:pt idx="1">
                  <c:v>0.17249999999999999</c:v>
                </c:pt>
                <c:pt idx="2">
                  <c:v>0.1608</c:v>
                </c:pt>
                <c:pt idx="3">
                  <c:v>0.1472</c:v>
                </c:pt>
                <c:pt idx="4">
                  <c:v>0.1265</c:v>
                </c:pt>
                <c:pt idx="5">
                  <c:v>0.1043</c:v>
                </c:pt>
                <c:pt idx="6">
                  <c:v>8.1900000000000001E-2</c:v>
                </c:pt>
                <c:pt idx="7">
                  <c:v>6.5699999999999995E-2</c:v>
                </c:pt>
                <c:pt idx="8">
                  <c:v>5.8500000000000003E-2</c:v>
                </c:pt>
                <c:pt idx="9">
                  <c:v>4.0099999999999997E-2</c:v>
                </c:pt>
                <c:pt idx="10">
                  <c:v>0.03</c:v>
                </c:pt>
                <c:pt idx="11">
                  <c:v>2.3E-2</c:v>
                </c:pt>
                <c:pt idx="12">
                  <c:v>1.34E-2</c:v>
                </c:pt>
                <c:pt idx="13">
                  <c:v>7.0000000000000001E-3</c:v>
                </c:pt>
                <c:pt idx="14">
                  <c:v>0</c:v>
                </c:pt>
                <c:pt idx="15">
                  <c:v>-5.0000000000000001E-3</c:v>
                </c:pt>
                <c:pt idx="16">
                  <c:v>-1.32E-2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BE-4FA2-A87D-73A13222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555536"/>
        <c:axId val="1"/>
      </c:lineChart>
      <c:catAx>
        <c:axId val="1633555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633555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'OW props'!$A$5</c:f>
              <c:strCache>
                <c:ptCount val="1"/>
                <c:pt idx="0">
                  <c:v>prop HZ</c:v>
                </c:pt>
              </c:strCache>
            </c:strRef>
          </c:tx>
          <c:val>
            <c:numRef>
              <c:f>'OW props'!$D$7:$Y$7</c:f>
              <c:numCache>
                <c:formatCode>0.000</c:formatCode>
                <c:ptCount val="22"/>
                <c:pt idx="0">
                  <c:v>0.25790000000000002</c:v>
                </c:pt>
                <c:pt idx="1">
                  <c:v>0.26729999999999998</c:v>
                </c:pt>
                <c:pt idx="2">
                  <c:v>0.26640000000000003</c:v>
                </c:pt>
                <c:pt idx="3">
                  <c:v>0.25890000000000002</c:v>
                </c:pt>
                <c:pt idx="4">
                  <c:v>0.2535</c:v>
                </c:pt>
                <c:pt idx="5">
                  <c:v>0.25319999999999998</c:v>
                </c:pt>
                <c:pt idx="6">
                  <c:v>0.25919999999999999</c:v>
                </c:pt>
                <c:pt idx="7">
                  <c:v>0.26240000000000002</c:v>
                </c:pt>
                <c:pt idx="8">
                  <c:v>0.26540000000000002</c:v>
                </c:pt>
                <c:pt idx="9">
                  <c:v>0.26840000000000003</c:v>
                </c:pt>
                <c:pt idx="10">
                  <c:v>0.27160000000000001</c:v>
                </c:pt>
                <c:pt idx="11">
                  <c:v>0.27500000000000002</c:v>
                </c:pt>
                <c:pt idx="12">
                  <c:v>0.27639999999999998</c:v>
                </c:pt>
                <c:pt idx="13">
                  <c:v>0.27579999999999999</c:v>
                </c:pt>
                <c:pt idx="14">
                  <c:v>0.27850000000000003</c:v>
                </c:pt>
                <c:pt idx="15">
                  <c:v>0.24809999999999999</c:v>
                </c:pt>
                <c:pt idx="16">
                  <c:v>0.22819999999999999</c:v>
                </c:pt>
                <c:pt idx="17">
                  <c:v>0.19239999999999999</c:v>
                </c:pt>
                <c:pt idx="18">
                  <c:v>0.16439999999999999</c:v>
                </c:pt>
                <c:pt idx="19">
                  <c:v>0.13300000000000001</c:v>
                </c:pt>
                <c:pt idx="20">
                  <c:v>0.1003</c:v>
                </c:pt>
                <c:pt idx="21">
                  <c:v>6.9699999999999998E-2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F-450A-80FC-A2FA7C8255A7}"/>
            </c:ext>
          </c:extLst>
        </c:ser>
        <c:ser>
          <c:idx val="1"/>
          <c:order val="1"/>
          <c:tx>
            <c:strRef>
              <c:f>'OW props'!$A$10</c:f>
              <c:strCache>
                <c:ptCount val="1"/>
                <c:pt idx="0">
                  <c:v>prop MIR</c:v>
                </c:pt>
              </c:strCache>
            </c:strRef>
          </c:tx>
          <c:val>
            <c:numRef>
              <c:f>'OW props'!$D$12:$T$12</c:f>
              <c:numCache>
                <c:formatCode>0.0000</c:formatCode>
                <c:ptCount val="17"/>
                <c:pt idx="0">
                  <c:v>0.32740000000000002</c:v>
                </c:pt>
                <c:pt idx="1">
                  <c:v>0.3342</c:v>
                </c:pt>
                <c:pt idx="2">
                  <c:v>0.30299999999999999</c:v>
                </c:pt>
                <c:pt idx="3">
                  <c:v>0.26550000000000001</c:v>
                </c:pt>
                <c:pt idx="4">
                  <c:v>0.22189999999999999</c:v>
                </c:pt>
                <c:pt idx="5">
                  <c:v>0.19259999999999999</c:v>
                </c:pt>
                <c:pt idx="6">
                  <c:v>0.16819999999999999</c:v>
                </c:pt>
                <c:pt idx="7">
                  <c:v>0.14330000000000001</c:v>
                </c:pt>
                <c:pt idx="8">
                  <c:v>0.13100000000000001</c:v>
                </c:pt>
                <c:pt idx="9">
                  <c:v>9.7299999999999998E-2</c:v>
                </c:pt>
                <c:pt idx="10">
                  <c:v>7.9000000000000001E-2</c:v>
                </c:pt>
                <c:pt idx="11">
                  <c:v>6.5000000000000002E-2</c:v>
                </c:pt>
                <c:pt idx="12">
                  <c:v>4.4999999999999998E-2</c:v>
                </c:pt>
                <c:pt idx="13">
                  <c:v>0.03</c:v>
                </c:pt>
                <c:pt idx="14">
                  <c:v>1.7999999999999999E-2</c:v>
                </c:pt>
                <c:pt idx="15">
                  <c:v>5.0000000000000001E-3</c:v>
                </c:pt>
                <c:pt idx="16">
                  <c:v>-1.3100000000000001E-2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F-450A-80FC-A2FA7C825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554336"/>
        <c:axId val="1"/>
      </c:lineChart>
      <c:catAx>
        <c:axId val="163355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633554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Curve MAROF</a:t>
            </a:r>
            <a:r>
              <a:rPr lang="en-US" baseline="0"/>
              <a:t> boot met 4 blad prop &amp; DC motor + PWM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6069668016559695E-2"/>
          <c:y val="0.10024642194442855"/>
          <c:w val="0.80128973066062037"/>
          <c:h val="0.71791423052146153"/>
        </c:manualLayout>
      </c:layout>
      <c:scatterChart>
        <c:scatterStyle val="smoothMarker"/>
        <c:varyColors val="0"/>
        <c:ser>
          <c:idx val="1"/>
          <c:order val="1"/>
          <c:tx>
            <c:strRef>
              <c:f>Curves!$M$2:$M$3</c:f>
              <c:strCache>
                <c:ptCount val="2"/>
                <c:pt idx="0">
                  <c:v>P_in_elekt</c:v>
                </c:pt>
                <c:pt idx="1">
                  <c:v>[W]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Curves!$N$4:$N$34</c:f>
              <c:numCache>
                <c:formatCode>General</c:formatCode>
                <c:ptCount val="31"/>
                <c:pt idx="0">
                  <c:v>0</c:v>
                </c:pt>
                <c:pt idx="1">
                  <c:v>1.3028917582727892</c:v>
                </c:pt>
                <c:pt idx="2">
                  <c:v>2.4449846708190064</c:v>
                </c:pt>
                <c:pt idx="3">
                  <c:v>3.6857509959511461</c:v>
                </c:pt>
                <c:pt idx="4">
                  <c:v>4.7638669147010226</c:v>
                </c:pt>
                <c:pt idx="5">
                  <c:v>6.0870561408797323</c:v>
                </c:pt>
                <c:pt idx="6">
                  <c:v>7.4121060283586724</c:v>
                </c:pt>
                <c:pt idx="7">
                  <c:v>8.7219681919754013</c:v>
                </c:pt>
                <c:pt idx="8">
                  <c:v>10.099225155156333</c:v>
                </c:pt>
                <c:pt idx="9">
                  <c:v>11.609577635096622</c:v>
                </c:pt>
                <c:pt idx="10">
                  <c:v>13.138448963364636</c:v>
                </c:pt>
                <c:pt idx="11">
                  <c:v>14.687326926524248</c:v>
                </c:pt>
                <c:pt idx="12">
                  <c:v>16.284536179482092</c:v>
                </c:pt>
                <c:pt idx="13">
                  <c:v>19.279532078364735</c:v>
                </c:pt>
                <c:pt idx="14">
                  <c:v>22.311525453953742</c:v>
                </c:pt>
                <c:pt idx="15">
                  <c:v>25.048214834138964</c:v>
                </c:pt>
                <c:pt idx="16">
                  <c:v>27.820495538714734</c:v>
                </c:pt>
                <c:pt idx="17">
                  <c:v>30.708400950678186</c:v>
                </c:pt>
                <c:pt idx="18">
                  <c:v>33.629640773100228</c:v>
                </c:pt>
                <c:pt idx="19">
                  <c:v>36.812446528496309</c:v>
                </c:pt>
                <c:pt idx="20">
                  <c:v>40.038590613212307</c:v>
                </c:pt>
                <c:pt idx="21">
                  <c:v>43.563747678652412</c:v>
                </c:pt>
                <c:pt idx="22">
                  <c:v>47.109253845236275</c:v>
                </c:pt>
                <c:pt idx="23">
                  <c:v>50.942530131823666</c:v>
                </c:pt>
                <c:pt idx="24">
                  <c:v>54.808586153767742</c:v>
                </c:pt>
                <c:pt idx="25">
                  <c:v>57.449858411655441</c:v>
                </c:pt>
                <c:pt idx="26">
                  <c:v>60.107374184566197</c:v>
                </c:pt>
                <c:pt idx="27">
                  <c:v>62.783034336645166</c:v>
                </c:pt>
                <c:pt idx="28">
                  <c:v>65.477215903786998</c:v>
                </c:pt>
                <c:pt idx="29">
                  <c:v>68.190271490132915</c:v>
                </c:pt>
                <c:pt idx="30">
                  <c:v>70.922530325928719</c:v>
                </c:pt>
              </c:numCache>
            </c:numRef>
          </c:xVal>
          <c:yVal>
            <c:numRef>
              <c:f>Curves!$M$4:$M$34</c:f>
              <c:numCache>
                <c:formatCode>General</c:formatCode>
                <c:ptCount val="31"/>
                <c:pt idx="0">
                  <c:v>0</c:v>
                </c:pt>
                <c:pt idx="1">
                  <c:v>10.744066423574278</c:v>
                </c:pt>
                <c:pt idx="2">
                  <c:v>29.228155747425784</c:v>
                </c:pt>
                <c:pt idx="3">
                  <c:v>56.55196051548495</c:v>
                </c:pt>
                <c:pt idx="4">
                  <c:v>86.647769707097439</c:v>
                </c:pt>
                <c:pt idx="5">
                  <c:v>128.06518619046855</c:v>
                </c:pt>
                <c:pt idx="6">
                  <c:v>175.61634510492922</c:v>
                </c:pt>
                <c:pt idx="7">
                  <c:v>223.15434184230097</c:v>
                </c:pt>
                <c:pt idx="8">
                  <c:v>282.49997073029209</c:v>
                </c:pt>
                <c:pt idx="9">
                  <c:v>352.38085119715839</c:v>
                </c:pt>
                <c:pt idx="10">
                  <c:v>429.05632113336765</c:v>
                </c:pt>
                <c:pt idx="11">
                  <c:v>512.57429091421136</c:v>
                </c:pt>
                <c:pt idx="12">
                  <c:v>604.37257286164288</c:v>
                </c:pt>
                <c:pt idx="13">
                  <c:v>777.58497139503754</c:v>
                </c:pt>
                <c:pt idx="14">
                  <c:v>968.34399070721008</c:v>
                </c:pt>
                <c:pt idx="15">
                  <c:v>1129.2632078931154</c:v>
                </c:pt>
                <c:pt idx="16">
                  <c:v>1326.4298928043711</c:v>
                </c:pt>
                <c:pt idx="17">
                  <c:v>1543.2759247040869</c:v>
                </c:pt>
                <c:pt idx="18">
                  <c:v>1774.7538921125799</c:v>
                </c:pt>
                <c:pt idx="19">
                  <c:v>2037.9243368075063</c:v>
                </c:pt>
                <c:pt idx="20">
                  <c:v>2318.0437272817944</c:v>
                </c:pt>
                <c:pt idx="21">
                  <c:v>2637.1292261328604</c:v>
                </c:pt>
                <c:pt idx="22">
                  <c:v>2975.8269213438048</c:v>
                </c:pt>
                <c:pt idx="23">
                  <c:v>3354.7498984081158</c:v>
                </c:pt>
                <c:pt idx="24">
                  <c:v>3754.405317231814</c:v>
                </c:pt>
                <c:pt idx="25">
                  <c:v>4062.4086811587263</c:v>
                </c:pt>
                <c:pt idx="26">
                  <c:v>4382.56462543425</c:v>
                </c:pt>
                <c:pt idx="27">
                  <c:v>4715.1215216618839</c:v>
                </c:pt>
                <c:pt idx="28">
                  <c:v>5060.2017877181979</c:v>
                </c:pt>
                <c:pt idx="29">
                  <c:v>5417.9310081167087</c:v>
                </c:pt>
                <c:pt idx="30">
                  <c:v>5788.437480814574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6A-43B6-A785-8F00D228336D}"/>
            </c:ext>
          </c:extLst>
        </c:ser>
        <c:ser>
          <c:idx val="3"/>
          <c:order val="3"/>
          <c:tx>
            <c:strRef>
              <c:f>Curves!$H$2:$H$3</c:f>
              <c:strCache>
                <c:ptCount val="2"/>
                <c:pt idx="0">
                  <c:v>n,motor</c:v>
                </c:pt>
                <c:pt idx="1">
                  <c:v>[RPM]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Curves!$N$4:$N$34</c:f>
              <c:numCache>
                <c:formatCode>General</c:formatCode>
                <c:ptCount val="31"/>
                <c:pt idx="0">
                  <c:v>0</c:v>
                </c:pt>
                <c:pt idx="1">
                  <c:v>1.3028917582727892</c:v>
                </c:pt>
                <c:pt idx="2">
                  <c:v>2.4449846708190064</c:v>
                </c:pt>
                <c:pt idx="3">
                  <c:v>3.6857509959511461</c:v>
                </c:pt>
                <c:pt idx="4">
                  <c:v>4.7638669147010226</c:v>
                </c:pt>
                <c:pt idx="5">
                  <c:v>6.0870561408797323</c:v>
                </c:pt>
                <c:pt idx="6">
                  <c:v>7.4121060283586724</c:v>
                </c:pt>
                <c:pt idx="7">
                  <c:v>8.7219681919754013</c:v>
                </c:pt>
                <c:pt idx="8">
                  <c:v>10.099225155156333</c:v>
                </c:pt>
                <c:pt idx="9">
                  <c:v>11.609577635096622</c:v>
                </c:pt>
                <c:pt idx="10">
                  <c:v>13.138448963364636</c:v>
                </c:pt>
                <c:pt idx="11">
                  <c:v>14.687326926524248</c:v>
                </c:pt>
                <c:pt idx="12">
                  <c:v>16.284536179482092</c:v>
                </c:pt>
                <c:pt idx="13">
                  <c:v>19.279532078364735</c:v>
                </c:pt>
                <c:pt idx="14">
                  <c:v>22.311525453953742</c:v>
                </c:pt>
                <c:pt idx="15">
                  <c:v>25.048214834138964</c:v>
                </c:pt>
                <c:pt idx="16">
                  <c:v>27.820495538714734</c:v>
                </c:pt>
                <c:pt idx="17">
                  <c:v>30.708400950678186</c:v>
                </c:pt>
                <c:pt idx="18">
                  <c:v>33.629640773100228</c:v>
                </c:pt>
                <c:pt idx="19">
                  <c:v>36.812446528496309</c:v>
                </c:pt>
                <c:pt idx="20">
                  <c:v>40.038590613212307</c:v>
                </c:pt>
                <c:pt idx="21">
                  <c:v>43.563747678652412</c:v>
                </c:pt>
                <c:pt idx="22">
                  <c:v>47.109253845236275</c:v>
                </c:pt>
                <c:pt idx="23">
                  <c:v>50.942530131823666</c:v>
                </c:pt>
                <c:pt idx="24">
                  <c:v>54.808586153767742</c:v>
                </c:pt>
                <c:pt idx="25">
                  <c:v>57.449858411655441</c:v>
                </c:pt>
                <c:pt idx="26">
                  <c:v>60.107374184566197</c:v>
                </c:pt>
                <c:pt idx="27">
                  <c:v>62.783034336645166</c:v>
                </c:pt>
                <c:pt idx="28">
                  <c:v>65.477215903786998</c:v>
                </c:pt>
                <c:pt idx="29">
                  <c:v>68.190271490132915</c:v>
                </c:pt>
                <c:pt idx="30">
                  <c:v>70.922530325928719</c:v>
                </c:pt>
              </c:numCache>
            </c:numRef>
          </c:xVal>
          <c:yVal>
            <c:numRef>
              <c:f>Curves!$H$4:$H$34</c:f>
              <c:numCache>
                <c:formatCode>General</c:formatCode>
                <c:ptCount val="31"/>
                <c:pt idx="0">
                  <c:v>0</c:v>
                </c:pt>
                <c:pt idx="1">
                  <c:v>352.89494679133281</c:v>
                </c:pt>
                <c:pt idx="2">
                  <c:v>511.57623828428973</c:v>
                </c:pt>
                <c:pt idx="3">
                  <c:v>656.60890096918627</c:v>
                </c:pt>
                <c:pt idx="4">
                  <c:v>778.36421294846264</c:v>
                </c:pt>
                <c:pt idx="5">
                  <c:v>900.34481909348528</c:v>
                </c:pt>
                <c:pt idx="6">
                  <c:v>1013.9310040307615</c:v>
                </c:pt>
                <c:pt idx="7">
                  <c:v>1120.9728644627462</c:v>
                </c:pt>
                <c:pt idx="8">
                  <c:v>1225.5600892670348</c:v>
                </c:pt>
                <c:pt idx="9">
                  <c:v>1329.8422823906644</c:v>
                </c:pt>
                <c:pt idx="10">
                  <c:v>1430.7852795469107</c:v>
                </c:pt>
                <c:pt idx="11">
                  <c:v>1529.0381263693205</c:v>
                </c:pt>
                <c:pt idx="12">
                  <c:v>1626.0489337588688</c:v>
                </c:pt>
                <c:pt idx="13">
                  <c:v>1767.0776180074547</c:v>
                </c:pt>
                <c:pt idx="14">
                  <c:v>1901.5364491807834</c:v>
                </c:pt>
                <c:pt idx="15">
                  <c:v>2021.1887730409928</c:v>
                </c:pt>
                <c:pt idx="16">
                  <c:v>2137.5088289869886</c:v>
                </c:pt>
                <c:pt idx="17">
                  <c:v>2253.0708912377795</c:v>
                </c:pt>
                <c:pt idx="18">
                  <c:v>2365.9435964817803</c:v>
                </c:pt>
                <c:pt idx="19">
                  <c:v>2481.8861317106689</c:v>
                </c:pt>
                <c:pt idx="20">
                  <c:v>2595.5614813290467</c:v>
                </c:pt>
                <c:pt idx="21">
                  <c:v>2713.9050919047345</c:v>
                </c:pt>
                <c:pt idx="22">
                  <c:v>2831.9782965750401</c:v>
                </c:pt>
                <c:pt idx="23">
                  <c:v>2952.3518605628501</c:v>
                </c:pt>
                <c:pt idx="24">
                  <c:v>3071.0086173698946</c:v>
                </c:pt>
                <c:pt idx="25">
                  <c:v>3170.1741973763924</c:v>
                </c:pt>
                <c:pt idx="26">
                  <c:v>3268.8052802134698</c:v>
                </c:pt>
                <c:pt idx="27">
                  <c:v>3366.968602693451</c:v>
                </c:pt>
                <c:pt idx="28">
                  <c:v>3464.7037710468676</c:v>
                </c:pt>
                <c:pt idx="29">
                  <c:v>3562.0460428527786</c:v>
                </c:pt>
                <c:pt idx="30">
                  <c:v>3659.026907930659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06A-43B6-A785-8F00D2283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490079"/>
        <c:axId val="2069438847"/>
      </c:scatterChart>
      <c:scatterChart>
        <c:scatterStyle val="smoothMarker"/>
        <c:varyColors val="0"/>
        <c:ser>
          <c:idx val="0"/>
          <c:order val="0"/>
          <c:tx>
            <c:strRef>
              <c:f>Curves!$O$2:$O$3</c:f>
              <c:strCache>
                <c:ptCount val="2"/>
                <c:pt idx="0">
                  <c:v>voltage</c:v>
                </c:pt>
                <c:pt idx="1">
                  <c:v>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Curves!$N$4:$N$34</c:f>
              <c:numCache>
                <c:formatCode>General</c:formatCode>
                <c:ptCount val="31"/>
                <c:pt idx="0">
                  <c:v>0</c:v>
                </c:pt>
                <c:pt idx="1">
                  <c:v>1.3028917582727892</c:v>
                </c:pt>
                <c:pt idx="2">
                  <c:v>2.4449846708190064</c:v>
                </c:pt>
                <c:pt idx="3">
                  <c:v>3.6857509959511461</c:v>
                </c:pt>
                <c:pt idx="4">
                  <c:v>4.7638669147010226</c:v>
                </c:pt>
                <c:pt idx="5">
                  <c:v>6.0870561408797323</c:v>
                </c:pt>
                <c:pt idx="6">
                  <c:v>7.4121060283586724</c:v>
                </c:pt>
                <c:pt idx="7">
                  <c:v>8.7219681919754013</c:v>
                </c:pt>
                <c:pt idx="8">
                  <c:v>10.099225155156333</c:v>
                </c:pt>
                <c:pt idx="9">
                  <c:v>11.609577635096622</c:v>
                </c:pt>
                <c:pt idx="10">
                  <c:v>13.138448963364636</c:v>
                </c:pt>
                <c:pt idx="11">
                  <c:v>14.687326926524248</c:v>
                </c:pt>
                <c:pt idx="12">
                  <c:v>16.284536179482092</c:v>
                </c:pt>
                <c:pt idx="13">
                  <c:v>19.279532078364735</c:v>
                </c:pt>
                <c:pt idx="14">
                  <c:v>22.311525453953742</c:v>
                </c:pt>
                <c:pt idx="15">
                  <c:v>25.048214834138964</c:v>
                </c:pt>
                <c:pt idx="16">
                  <c:v>27.820495538714734</c:v>
                </c:pt>
                <c:pt idx="17">
                  <c:v>30.708400950678186</c:v>
                </c:pt>
                <c:pt idx="18">
                  <c:v>33.629640773100228</c:v>
                </c:pt>
                <c:pt idx="19">
                  <c:v>36.812446528496309</c:v>
                </c:pt>
                <c:pt idx="20">
                  <c:v>40.038590613212307</c:v>
                </c:pt>
                <c:pt idx="21">
                  <c:v>43.563747678652412</c:v>
                </c:pt>
                <c:pt idx="22">
                  <c:v>47.109253845236275</c:v>
                </c:pt>
                <c:pt idx="23">
                  <c:v>50.942530131823666</c:v>
                </c:pt>
                <c:pt idx="24">
                  <c:v>54.808586153767742</c:v>
                </c:pt>
                <c:pt idx="25">
                  <c:v>57.449858411655441</c:v>
                </c:pt>
                <c:pt idx="26">
                  <c:v>60.107374184566197</c:v>
                </c:pt>
                <c:pt idx="27">
                  <c:v>62.783034336645166</c:v>
                </c:pt>
                <c:pt idx="28">
                  <c:v>65.477215903786998</c:v>
                </c:pt>
                <c:pt idx="29">
                  <c:v>68.190271490132915</c:v>
                </c:pt>
                <c:pt idx="30">
                  <c:v>70.922530325928719</c:v>
                </c:pt>
              </c:numCache>
            </c:numRef>
          </c:xVal>
          <c:yVal>
            <c:numRef>
              <c:f>Curves!$O$4:$O$34</c:f>
              <c:numCache>
                <c:formatCode>General</c:formatCode>
                <c:ptCount val="31"/>
                <c:pt idx="0">
                  <c:v>0</c:v>
                </c:pt>
                <c:pt idx="1">
                  <c:v>8.2463231157570718</c:v>
                </c:pt>
                <c:pt idx="2">
                  <c:v>11.954330878334346</c:v>
                </c:pt>
                <c:pt idx="3">
                  <c:v>15.343402356157034</c:v>
                </c:pt>
                <c:pt idx="4">
                  <c:v>18.188537013850521</c:v>
                </c:pt>
                <c:pt idx="5">
                  <c:v>21.038936265168061</c:v>
                </c:pt>
                <c:pt idx="6">
                  <c:v>23.693177678924474</c:v>
                </c:pt>
                <c:pt idx="7">
                  <c:v>25.585319383257197</c:v>
                </c:pt>
                <c:pt idx="8">
                  <c:v>27.972440102105942</c:v>
                </c:pt>
                <c:pt idx="9">
                  <c:v>30.352598714003573</c:v>
                </c:pt>
                <c:pt idx="10">
                  <c:v>32.656542817934749</c:v>
                </c:pt>
                <c:pt idx="11">
                  <c:v>34.899086367345667</c:v>
                </c:pt>
                <c:pt idx="12">
                  <c:v>37.113281348665595</c:v>
                </c:pt>
                <c:pt idx="13">
                  <c:v>40.332149568486379</c:v>
                </c:pt>
                <c:pt idx="14">
                  <c:v>43.401066086031044</c:v>
                </c:pt>
                <c:pt idx="15">
                  <c:v>45.083580421627836</c:v>
                </c:pt>
                <c:pt idx="16">
                  <c:v>47.678154796291246</c:v>
                </c:pt>
                <c:pt idx="17">
                  <c:v>50.255821759745658</c:v>
                </c:pt>
                <c:pt idx="18">
                  <c:v>52.77350133136644</c:v>
                </c:pt>
                <c:pt idx="19">
                  <c:v>55.359654926220685</c:v>
                </c:pt>
                <c:pt idx="20">
                  <c:v>57.895237863763988</c:v>
                </c:pt>
                <c:pt idx="21">
                  <c:v>60.534948590410998</c:v>
                </c:pt>
                <c:pt idx="22">
                  <c:v>63.168627784256934</c:v>
                </c:pt>
                <c:pt idx="23">
                  <c:v>65.853617590784168</c:v>
                </c:pt>
                <c:pt idx="24">
                  <c:v>68.500313193605749</c:v>
                </c:pt>
                <c:pt idx="25">
                  <c:v>70.712248793541747</c:v>
                </c:pt>
                <c:pt idx="26">
                  <c:v>72.912262178965122</c:v>
                </c:pt>
                <c:pt idx="27">
                  <c:v>75.101841946332371</c:v>
                </c:pt>
                <c:pt idx="28">
                  <c:v>77.281871531522029</c:v>
                </c:pt>
                <c:pt idx="29">
                  <c:v>79.45313737166569</c:v>
                </c:pt>
                <c:pt idx="30">
                  <c:v>81.616341862218732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6A-43B6-A785-8F00D228336D}"/>
            </c:ext>
          </c:extLst>
        </c:ser>
        <c:ser>
          <c:idx val="2"/>
          <c:order val="2"/>
          <c:tx>
            <c:strRef>
              <c:f>Curves!$I$2:$I$3</c:f>
              <c:strCache>
                <c:ptCount val="2"/>
                <c:pt idx="0">
                  <c:v>torque,motor</c:v>
                </c:pt>
                <c:pt idx="1">
                  <c:v>[Nm]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Curves!$N$4:$N$34</c:f>
              <c:numCache>
                <c:formatCode>General</c:formatCode>
                <c:ptCount val="31"/>
                <c:pt idx="0">
                  <c:v>0</c:v>
                </c:pt>
                <c:pt idx="1">
                  <c:v>1.3028917582727892</c:v>
                </c:pt>
                <c:pt idx="2">
                  <c:v>2.4449846708190064</c:v>
                </c:pt>
                <c:pt idx="3">
                  <c:v>3.6857509959511461</c:v>
                </c:pt>
                <c:pt idx="4">
                  <c:v>4.7638669147010226</c:v>
                </c:pt>
                <c:pt idx="5">
                  <c:v>6.0870561408797323</c:v>
                </c:pt>
                <c:pt idx="6">
                  <c:v>7.4121060283586724</c:v>
                </c:pt>
                <c:pt idx="7">
                  <c:v>8.7219681919754013</c:v>
                </c:pt>
                <c:pt idx="8">
                  <c:v>10.099225155156333</c:v>
                </c:pt>
                <c:pt idx="9">
                  <c:v>11.609577635096622</c:v>
                </c:pt>
                <c:pt idx="10">
                  <c:v>13.138448963364636</c:v>
                </c:pt>
                <c:pt idx="11">
                  <c:v>14.687326926524248</c:v>
                </c:pt>
                <c:pt idx="12">
                  <c:v>16.284536179482092</c:v>
                </c:pt>
                <c:pt idx="13">
                  <c:v>19.279532078364735</c:v>
                </c:pt>
                <c:pt idx="14">
                  <c:v>22.311525453953742</c:v>
                </c:pt>
                <c:pt idx="15">
                  <c:v>25.048214834138964</c:v>
                </c:pt>
                <c:pt idx="16">
                  <c:v>27.820495538714734</c:v>
                </c:pt>
                <c:pt idx="17">
                  <c:v>30.708400950678186</c:v>
                </c:pt>
                <c:pt idx="18">
                  <c:v>33.629640773100228</c:v>
                </c:pt>
                <c:pt idx="19">
                  <c:v>36.812446528496309</c:v>
                </c:pt>
                <c:pt idx="20">
                  <c:v>40.038590613212307</c:v>
                </c:pt>
                <c:pt idx="21">
                  <c:v>43.563747678652412</c:v>
                </c:pt>
                <c:pt idx="22">
                  <c:v>47.109253845236275</c:v>
                </c:pt>
                <c:pt idx="23">
                  <c:v>50.942530131823666</c:v>
                </c:pt>
                <c:pt idx="24">
                  <c:v>54.808586153767742</c:v>
                </c:pt>
                <c:pt idx="25">
                  <c:v>57.449858411655441</c:v>
                </c:pt>
                <c:pt idx="26">
                  <c:v>60.107374184566197</c:v>
                </c:pt>
                <c:pt idx="27">
                  <c:v>62.783034336645166</c:v>
                </c:pt>
                <c:pt idx="28">
                  <c:v>65.477215903786998</c:v>
                </c:pt>
                <c:pt idx="29">
                  <c:v>68.190271490132915</c:v>
                </c:pt>
                <c:pt idx="30">
                  <c:v>70.922530325928719</c:v>
                </c:pt>
              </c:numCache>
            </c:numRef>
          </c:xVal>
          <c:yVal>
            <c:numRef>
              <c:f>Curves!$I$4:$I$34</c:f>
              <c:numCache>
                <c:formatCode>General</c:formatCode>
                <c:ptCount val="31"/>
                <c:pt idx="0">
                  <c:v>0</c:v>
                </c:pt>
                <c:pt idx="1">
                  <c:v>0.23688941059505259</c:v>
                </c:pt>
                <c:pt idx="2">
                  <c:v>0.44454266742163751</c:v>
                </c:pt>
                <c:pt idx="3">
                  <c:v>0.67013654471839024</c:v>
                </c:pt>
                <c:pt idx="4">
                  <c:v>0.86615762085473136</c:v>
                </c:pt>
                <c:pt idx="5">
                  <c:v>1.1067374801599514</c:v>
                </c:pt>
                <c:pt idx="6">
                  <c:v>1.3476556415197587</c:v>
                </c:pt>
                <c:pt idx="7">
                  <c:v>1.585812398540982</c:v>
                </c:pt>
                <c:pt idx="8">
                  <c:v>1.8362227554829695</c:v>
                </c:pt>
                <c:pt idx="9">
                  <c:v>2.1108322972902949</c:v>
                </c:pt>
                <c:pt idx="10">
                  <c:v>2.3888089024299339</c:v>
                </c:pt>
                <c:pt idx="11">
                  <c:v>2.6704230775498634</c:v>
                </c:pt>
                <c:pt idx="12">
                  <c:v>2.9608247599058353</c:v>
                </c:pt>
                <c:pt idx="13">
                  <c:v>3.5053694687935884</c:v>
                </c:pt>
                <c:pt idx="14">
                  <c:v>4.0566409916279529</c:v>
                </c:pt>
                <c:pt idx="15">
                  <c:v>4.5542208789343572</c:v>
                </c:pt>
                <c:pt idx="16">
                  <c:v>5.0582719161299519</c:v>
                </c:pt>
                <c:pt idx="17">
                  <c:v>5.5833456273960342</c:v>
                </c:pt>
                <c:pt idx="18">
                  <c:v>6.1144801405636775</c:v>
                </c:pt>
                <c:pt idx="19">
                  <c:v>6.6931720960902377</c:v>
                </c:pt>
                <c:pt idx="20">
                  <c:v>7.2797437478567835</c:v>
                </c:pt>
                <c:pt idx="21">
                  <c:v>7.9206813961186207</c:v>
                </c:pt>
                <c:pt idx="22">
                  <c:v>8.5653188809520504</c:v>
                </c:pt>
                <c:pt idx="23">
                  <c:v>9.2622782057861208</c:v>
                </c:pt>
                <c:pt idx="24">
                  <c:v>9.9651974825032266</c:v>
                </c:pt>
                <c:pt idx="25">
                  <c:v>10.445428802119171</c:v>
                </c:pt>
                <c:pt idx="26">
                  <c:v>10.928613488102945</c:v>
                </c:pt>
                <c:pt idx="27">
                  <c:v>11.415097152117303</c:v>
                </c:pt>
                <c:pt idx="28">
                  <c:v>11.90494834614309</c:v>
                </c:pt>
                <c:pt idx="29">
                  <c:v>12.398231180024167</c:v>
                </c:pt>
                <c:pt idx="30">
                  <c:v>12.895005513805222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6A-43B6-A785-8F00D228336D}"/>
            </c:ext>
          </c:extLst>
        </c:ser>
        <c:ser>
          <c:idx val="4"/>
          <c:order val="4"/>
          <c:tx>
            <c:strRef>
              <c:f>Curves!$K$2:$K$3</c:f>
              <c:strCache>
                <c:ptCount val="2"/>
                <c:pt idx="0">
                  <c:v>eta</c:v>
                </c:pt>
                <c:pt idx="1">
                  <c:v>[-]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Curves!$N$4:$N$34</c:f>
              <c:numCache>
                <c:formatCode>General</c:formatCode>
                <c:ptCount val="31"/>
                <c:pt idx="0">
                  <c:v>0</c:v>
                </c:pt>
                <c:pt idx="1">
                  <c:v>1.3028917582727892</c:v>
                </c:pt>
                <c:pt idx="2">
                  <c:v>2.4449846708190064</c:v>
                </c:pt>
                <c:pt idx="3">
                  <c:v>3.6857509959511461</c:v>
                </c:pt>
                <c:pt idx="4">
                  <c:v>4.7638669147010226</c:v>
                </c:pt>
                <c:pt idx="5">
                  <c:v>6.0870561408797323</c:v>
                </c:pt>
                <c:pt idx="6">
                  <c:v>7.4121060283586724</c:v>
                </c:pt>
                <c:pt idx="7">
                  <c:v>8.7219681919754013</c:v>
                </c:pt>
                <c:pt idx="8">
                  <c:v>10.099225155156333</c:v>
                </c:pt>
                <c:pt idx="9">
                  <c:v>11.609577635096622</c:v>
                </c:pt>
                <c:pt idx="10">
                  <c:v>13.138448963364636</c:v>
                </c:pt>
                <c:pt idx="11">
                  <c:v>14.687326926524248</c:v>
                </c:pt>
                <c:pt idx="12">
                  <c:v>16.284536179482092</c:v>
                </c:pt>
                <c:pt idx="13">
                  <c:v>19.279532078364735</c:v>
                </c:pt>
                <c:pt idx="14">
                  <c:v>22.311525453953742</c:v>
                </c:pt>
                <c:pt idx="15">
                  <c:v>25.048214834138964</c:v>
                </c:pt>
                <c:pt idx="16">
                  <c:v>27.820495538714734</c:v>
                </c:pt>
                <c:pt idx="17">
                  <c:v>30.708400950678186</c:v>
                </c:pt>
                <c:pt idx="18">
                  <c:v>33.629640773100228</c:v>
                </c:pt>
                <c:pt idx="19">
                  <c:v>36.812446528496309</c:v>
                </c:pt>
                <c:pt idx="20">
                  <c:v>40.038590613212307</c:v>
                </c:pt>
                <c:pt idx="21">
                  <c:v>43.563747678652412</c:v>
                </c:pt>
                <c:pt idx="22">
                  <c:v>47.109253845236275</c:v>
                </c:pt>
                <c:pt idx="23">
                  <c:v>50.942530131823666</c:v>
                </c:pt>
                <c:pt idx="24">
                  <c:v>54.808586153767742</c:v>
                </c:pt>
                <c:pt idx="25">
                  <c:v>57.449858411655441</c:v>
                </c:pt>
                <c:pt idx="26">
                  <c:v>60.107374184566197</c:v>
                </c:pt>
                <c:pt idx="27">
                  <c:v>62.783034336645166</c:v>
                </c:pt>
                <c:pt idx="28">
                  <c:v>65.477215903786998</c:v>
                </c:pt>
                <c:pt idx="29">
                  <c:v>68.190271490132915</c:v>
                </c:pt>
                <c:pt idx="30">
                  <c:v>70.922530325928719</c:v>
                </c:pt>
              </c:numCache>
            </c:numRef>
          </c:xVal>
          <c:yVal>
            <c:numRef>
              <c:f>Curves!$L$4:$L$34</c:f>
              <c:numCache>
                <c:formatCode>General</c:formatCode>
                <c:ptCount val="31"/>
                <c:pt idx="0">
                  <c:v>84</c:v>
                </c:pt>
                <c:pt idx="1">
                  <c:v>84</c:v>
                </c:pt>
                <c:pt idx="2">
                  <c:v>84</c:v>
                </c:pt>
                <c:pt idx="3">
                  <c:v>84</c:v>
                </c:pt>
                <c:pt idx="4">
                  <c:v>84</c:v>
                </c:pt>
                <c:pt idx="5">
                  <c:v>84</c:v>
                </c:pt>
                <c:pt idx="6">
                  <c:v>84</c:v>
                </c:pt>
                <c:pt idx="7">
                  <c:v>86</c:v>
                </c:pt>
                <c:pt idx="8">
                  <c:v>86</c:v>
                </c:pt>
                <c:pt idx="9">
                  <c:v>86</c:v>
                </c:pt>
                <c:pt idx="10">
                  <c:v>86</c:v>
                </c:pt>
                <c:pt idx="11">
                  <c:v>86</c:v>
                </c:pt>
                <c:pt idx="12">
                  <c:v>86</c:v>
                </c:pt>
                <c:pt idx="13">
                  <c:v>86</c:v>
                </c:pt>
                <c:pt idx="14">
                  <c:v>86</c:v>
                </c:pt>
                <c:pt idx="15">
                  <c:v>88</c:v>
                </c:pt>
                <c:pt idx="16">
                  <c:v>88</c:v>
                </c:pt>
                <c:pt idx="17">
                  <c:v>88</c:v>
                </c:pt>
                <c:pt idx="18">
                  <c:v>88</c:v>
                </c:pt>
                <c:pt idx="19">
                  <c:v>88</c:v>
                </c:pt>
                <c:pt idx="20">
                  <c:v>88</c:v>
                </c:pt>
                <c:pt idx="21">
                  <c:v>88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88</c:v>
                </c:pt>
                <c:pt idx="26">
                  <c:v>88</c:v>
                </c:pt>
                <c:pt idx="27">
                  <c:v>88</c:v>
                </c:pt>
                <c:pt idx="28">
                  <c:v>88</c:v>
                </c:pt>
                <c:pt idx="29">
                  <c:v>88</c:v>
                </c:pt>
                <c:pt idx="30">
                  <c:v>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06A-43B6-A785-8F00D2283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247023"/>
        <c:axId val="235240367"/>
      </c:scatterChart>
      <c:valAx>
        <c:axId val="2064490079"/>
        <c:scaling>
          <c:orientation val="minMax"/>
          <c:max val="9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9438847"/>
        <c:crosses val="autoZero"/>
        <c:crossBetween val="midCat"/>
      </c:valAx>
      <c:valAx>
        <c:axId val="2069438847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[W] / Rotational Speed [RPM]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4490079"/>
        <c:crosses val="autoZero"/>
        <c:crossBetween val="midCat"/>
      </c:valAx>
      <c:valAx>
        <c:axId val="2352403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[Nm] / Voltage [V] / Efficiency</a:t>
                </a:r>
                <a:r>
                  <a:rPr lang="en-US" baseline="0"/>
                  <a:t> [%]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5247023"/>
        <c:crosses val="max"/>
        <c:crossBetween val="midCat"/>
      </c:valAx>
      <c:valAx>
        <c:axId val="2352470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5240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Koppel toeren karakteristiek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9448627577103265E-2"/>
          <c:y val="7.1379420024691095E-2"/>
          <c:w val="0.82694836692896412"/>
          <c:h val="0.81527692307925437"/>
        </c:manualLayout>
      </c:layout>
      <c:lineChart>
        <c:grouping val="standard"/>
        <c:varyColors val="0"/>
        <c:ser>
          <c:idx val="1"/>
          <c:order val="0"/>
          <c:tx>
            <c:v>Schroef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'Analyse aandrijving marof'!$F$4:$F$34</c:f>
              <c:numCache>
                <c:formatCode>0.0</c:formatCode>
                <c:ptCount val="31"/>
                <c:pt idx="0">
                  <c:v>0</c:v>
                </c:pt>
                <c:pt idx="1">
                  <c:v>117.63164893044427</c:v>
                </c:pt>
                <c:pt idx="2">
                  <c:v>170.52541276142992</c:v>
                </c:pt>
                <c:pt idx="3">
                  <c:v>218.86963365639542</c:v>
                </c:pt>
                <c:pt idx="4">
                  <c:v>259.45473764948753</c:v>
                </c:pt>
                <c:pt idx="5">
                  <c:v>300.11493969782845</c:v>
                </c:pt>
                <c:pt idx="6">
                  <c:v>337.97700134358718</c:v>
                </c:pt>
                <c:pt idx="7">
                  <c:v>373.65762148758205</c:v>
                </c:pt>
                <c:pt idx="8">
                  <c:v>408.52002975567825</c:v>
                </c:pt>
                <c:pt idx="9">
                  <c:v>443.28076079688816</c:v>
                </c:pt>
                <c:pt idx="10">
                  <c:v>476.92842651563694</c:v>
                </c:pt>
                <c:pt idx="11">
                  <c:v>509.67937545644014</c:v>
                </c:pt>
                <c:pt idx="12">
                  <c:v>542.01631125295626</c:v>
                </c:pt>
                <c:pt idx="13">
                  <c:v>589.02587266915157</c:v>
                </c:pt>
                <c:pt idx="14">
                  <c:v>633.84548306026113</c:v>
                </c:pt>
                <c:pt idx="15">
                  <c:v>673.72959101366428</c:v>
                </c:pt>
                <c:pt idx="16">
                  <c:v>712.50294299566292</c:v>
                </c:pt>
                <c:pt idx="17">
                  <c:v>751.02363041259321</c:v>
                </c:pt>
                <c:pt idx="18">
                  <c:v>788.64786549392682</c:v>
                </c:pt>
                <c:pt idx="19">
                  <c:v>827.29537723688964</c:v>
                </c:pt>
                <c:pt idx="20">
                  <c:v>865.18716044301561</c:v>
                </c:pt>
                <c:pt idx="21">
                  <c:v>904.63503063491146</c:v>
                </c:pt>
                <c:pt idx="22">
                  <c:v>943.9927655250134</c:v>
                </c:pt>
                <c:pt idx="23">
                  <c:v>984.11728685428341</c:v>
                </c:pt>
                <c:pt idx="24">
                  <c:v>1023.6695391232981</c:v>
                </c:pt>
                <c:pt idx="25">
                  <c:v>1056.7247324587975</c:v>
                </c:pt>
                <c:pt idx="26">
                  <c:v>1089.6017600711566</c:v>
                </c:pt>
                <c:pt idx="27">
                  <c:v>1122.3228675644837</c:v>
                </c:pt>
                <c:pt idx="28">
                  <c:v>1154.9012570156226</c:v>
                </c:pt>
                <c:pt idx="29">
                  <c:v>1187.3486809509261</c:v>
                </c:pt>
                <c:pt idx="30">
                  <c:v>1219.6756359768863</c:v>
                </c:pt>
              </c:numCache>
            </c:numRef>
          </c:cat>
          <c:val>
            <c:numRef>
              <c:f>'Analyse aandrijving marof'!$C$4:$C$34</c:f>
              <c:numCache>
                <c:formatCode>0.0</c:formatCode>
                <c:ptCount val="31"/>
                <c:pt idx="0">
                  <c:v>0</c:v>
                </c:pt>
                <c:pt idx="1">
                  <c:v>0.68934818483160309</c:v>
                </c:pt>
                <c:pt idx="2">
                  <c:v>1.2936191621969653</c:v>
                </c:pt>
                <c:pt idx="3">
                  <c:v>1.9500973451305157</c:v>
                </c:pt>
                <c:pt idx="4">
                  <c:v>2.5205186766872685</c:v>
                </c:pt>
                <c:pt idx="5">
                  <c:v>3.2206060672654591</c:v>
                </c:pt>
                <c:pt idx="6">
                  <c:v>3.9216779168224978</c:v>
                </c:pt>
                <c:pt idx="7">
                  <c:v>4.6147140797542576</c:v>
                </c:pt>
                <c:pt idx="8">
                  <c:v>5.3434082184554414</c:v>
                </c:pt>
                <c:pt idx="9">
                  <c:v>6.1425219851147581</c:v>
                </c:pt>
                <c:pt idx="10">
                  <c:v>6.9514339060711077</c:v>
                </c:pt>
                <c:pt idx="11">
                  <c:v>7.7709311556701035</c:v>
                </c:pt>
                <c:pt idx="12">
                  <c:v>8.6160000513259813</c:v>
                </c:pt>
                <c:pt idx="13">
                  <c:v>10.200625154189343</c:v>
                </c:pt>
                <c:pt idx="14">
                  <c:v>11.804825285637344</c:v>
                </c:pt>
                <c:pt idx="15">
                  <c:v>13.252782757698979</c:v>
                </c:pt>
                <c:pt idx="16">
                  <c:v>14.719571275938161</c:v>
                </c:pt>
                <c:pt idx="17">
                  <c:v>16.247535775722461</c:v>
                </c:pt>
                <c:pt idx="18">
                  <c:v>17.793137209040303</c:v>
                </c:pt>
                <c:pt idx="19">
                  <c:v>19.477130799622593</c:v>
                </c:pt>
                <c:pt idx="20">
                  <c:v>21.184054306263242</c:v>
                </c:pt>
                <c:pt idx="21">
                  <c:v>23.049182862705187</c:v>
                </c:pt>
                <c:pt idx="22">
                  <c:v>24.925077943570468</c:v>
                </c:pt>
                <c:pt idx="23">
                  <c:v>26.953229578837615</c:v>
                </c:pt>
                <c:pt idx="24">
                  <c:v>28.998724674084389</c:v>
                </c:pt>
                <c:pt idx="25">
                  <c:v>30.39619781416679</c:v>
                </c:pt>
                <c:pt idx="26">
                  <c:v>31.80226525037957</c:v>
                </c:pt>
                <c:pt idx="27">
                  <c:v>33.217932712661352</c:v>
                </c:pt>
                <c:pt idx="28">
                  <c:v>34.643399687276393</c:v>
                </c:pt>
                <c:pt idx="29">
                  <c:v>36.078852733870328</c:v>
                </c:pt>
                <c:pt idx="30">
                  <c:v>37.524466045173199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FBC-4B4D-8667-92F97C717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209903"/>
        <c:axId val="268261887"/>
      </c:lineChart>
      <c:catAx>
        <c:axId val="265209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Toerental [RPM]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8261887"/>
        <c:crosses val="autoZero"/>
        <c:auto val="1"/>
        <c:lblAlgn val="ctr"/>
        <c:lblOffset val="100"/>
        <c:noMultiLvlLbl val="0"/>
      </c:catAx>
      <c:valAx>
        <c:axId val="26826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Koppel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520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Remtijd vs koppel schroef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'Analyse aandrijving marof'!$AA$55:$AA$73</c:f>
              <c:numCache>
                <c:formatCode>0.00</c:formatCode>
                <c:ptCount val="19"/>
                <c:pt idx="0">
                  <c:v>0</c:v>
                </c:pt>
                <c:pt idx="1">
                  <c:v>0.68934818483160309</c:v>
                </c:pt>
                <c:pt idx="2">
                  <c:v>1.2936191621969653</c:v>
                </c:pt>
                <c:pt idx="3">
                  <c:v>1.9500973451305157</c:v>
                </c:pt>
                <c:pt idx="4">
                  <c:v>2.5205186766872685</c:v>
                </c:pt>
                <c:pt idx="5">
                  <c:v>3.2206060672654591</c:v>
                </c:pt>
                <c:pt idx="6">
                  <c:v>3.9216779168224978</c:v>
                </c:pt>
                <c:pt idx="7">
                  <c:v>4.6147140797542576</c:v>
                </c:pt>
                <c:pt idx="8">
                  <c:v>5.3434082184554414</c:v>
                </c:pt>
                <c:pt idx="9">
                  <c:v>6.1425219851147581</c:v>
                </c:pt>
                <c:pt idx="10">
                  <c:v>6.9514339060711077</c:v>
                </c:pt>
                <c:pt idx="11">
                  <c:v>7.7709311556701035</c:v>
                </c:pt>
                <c:pt idx="12">
                  <c:v>8.6160000513259813</c:v>
                </c:pt>
                <c:pt idx="13">
                  <c:v>10.200625154189343</c:v>
                </c:pt>
                <c:pt idx="14">
                  <c:v>11.804825285637344</c:v>
                </c:pt>
                <c:pt idx="15">
                  <c:v>13.252782757698979</c:v>
                </c:pt>
                <c:pt idx="16">
                  <c:v>14.719571275938161</c:v>
                </c:pt>
                <c:pt idx="17">
                  <c:v>16.247535775722461</c:v>
                </c:pt>
                <c:pt idx="18">
                  <c:v>17.793137209040303</c:v>
                </c:pt>
              </c:numCache>
            </c:numRef>
          </c:cat>
          <c:val>
            <c:numRef>
              <c:f>'Analyse aandrijving marof'!$AD$55:$AD$73</c:f>
              <c:numCache>
                <c:formatCode>General</c:formatCode>
                <c:ptCount val="19"/>
                <c:pt idx="0">
                  <c:v>28.58</c:v>
                </c:pt>
                <c:pt idx="1">
                  <c:v>20.48</c:v>
                </c:pt>
                <c:pt idx="2">
                  <c:v>16.739999999999998</c:v>
                </c:pt>
                <c:pt idx="3">
                  <c:v>14.39</c:v>
                </c:pt>
                <c:pt idx="4">
                  <c:v>12.73</c:v>
                </c:pt>
                <c:pt idx="5">
                  <c:v>11.46</c:v>
                </c:pt>
                <c:pt idx="6">
                  <c:v>10.46</c:v>
                </c:pt>
                <c:pt idx="7">
                  <c:v>9.6300000000000008</c:v>
                </c:pt>
                <c:pt idx="8">
                  <c:v>8.94</c:v>
                </c:pt>
                <c:pt idx="9">
                  <c:v>8.35</c:v>
                </c:pt>
                <c:pt idx="10">
                  <c:v>7.84</c:v>
                </c:pt>
                <c:pt idx="11">
                  <c:v>7.4</c:v>
                </c:pt>
                <c:pt idx="12">
                  <c:v>6.99</c:v>
                </c:pt>
                <c:pt idx="13">
                  <c:v>6.26</c:v>
                </c:pt>
                <c:pt idx="14">
                  <c:v>5.67</c:v>
                </c:pt>
                <c:pt idx="15">
                  <c:v>5.24</c:v>
                </c:pt>
                <c:pt idx="16">
                  <c:v>4.88</c:v>
                </c:pt>
                <c:pt idx="17">
                  <c:v>4.55</c:v>
                </c:pt>
                <c:pt idx="18">
                  <c:v>4.2699999999999996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D3-4E45-BAC4-F824484DB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326776"/>
        <c:axId val="621329976"/>
      </c:lineChart>
      <c:catAx>
        <c:axId val="621326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Koppel schroef [Nm]</a:t>
                </a:r>
              </a:p>
            </c:rich>
          </c:tx>
          <c:layout>
            <c:manualLayout>
              <c:xMode val="edge"/>
              <c:yMode val="edge"/>
              <c:x val="0.39788033518505361"/>
              <c:y val="0.943911692196171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1329976"/>
        <c:crosses val="autoZero"/>
        <c:auto val="1"/>
        <c:lblAlgn val="ctr"/>
        <c:lblOffset val="100"/>
        <c:noMultiLvlLbl val="0"/>
      </c:catAx>
      <c:valAx>
        <c:axId val="62132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Remtijd [sec]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1326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eb.mit.edu/13.012/www/handouts/propellers_reading.pdf" TargetMode="Externa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3.png"/><Relationship Id="rId5" Type="http://schemas.openxmlformats.org/officeDocument/2006/relationships/hyperlink" Target="https://ittc.info/media/1531/alphabetdictionary.pdf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eb.mit.edu/13.012/www/handouts/propellers_reading.pdf" TargetMode="External"/><Relationship Id="rId7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3.png"/><Relationship Id="rId5" Type="http://schemas.openxmlformats.org/officeDocument/2006/relationships/hyperlink" Target="https://ittc.info/media/1531/alphabetdictionary.pdf" TargetMode="External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image" Target="../media/image10.png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257175</xdr:colOff>
      <xdr:row>7</xdr:row>
      <xdr:rowOff>28575</xdr:rowOff>
    </xdr:from>
    <xdr:to>
      <xdr:col>38</xdr:col>
      <xdr:colOff>161925</xdr:colOff>
      <xdr:row>32</xdr:row>
      <xdr:rowOff>47625</xdr:rowOff>
    </xdr:to>
    <xdr:graphicFrame macro="">
      <xdr:nvGraphicFramePr>
        <xdr:cNvPr id="1124" name="Chart 1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41</xdr:row>
      <xdr:rowOff>114300</xdr:rowOff>
    </xdr:from>
    <xdr:to>
      <xdr:col>11</xdr:col>
      <xdr:colOff>19050</xdr:colOff>
      <xdr:row>58</xdr:row>
      <xdr:rowOff>104775</xdr:rowOff>
    </xdr:to>
    <xdr:graphicFrame macro="">
      <xdr:nvGraphicFramePr>
        <xdr:cNvPr id="1125" name="Chart 2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62593</xdr:colOff>
      <xdr:row>49</xdr:row>
      <xdr:rowOff>84364</xdr:rowOff>
    </xdr:from>
    <xdr:to>
      <xdr:col>37</xdr:col>
      <xdr:colOff>84364</xdr:colOff>
      <xdr:row>82</xdr:row>
      <xdr:rowOff>76200</xdr:rowOff>
    </xdr:to>
    <xdr:graphicFrame macro="">
      <xdr:nvGraphicFramePr>
        <xdr:cNvPr id="5491" name="Chart 3">
          <a:extLst>
            <a:ext uri="{FF2B5EF4-FFF2-40B4-BE49-F238E27FC236}">
              <a16:creationId xmlns:a16="http://schemas.microsoft.com/office/drawing/2014/main" id="{00000000-0008-0000-0200-0000731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95250</xdr:colOff>
      <xdr:row>13</xdr:row>
      <xdr:rowOff>4763</xdr:rowOff>
    </xdr:from>
    <xdr:to>
      <xdr:col>68</xdr:col>
      <xdr:colOff>357187</xdr:colOff>
      <xdr:row>44</xdr:row>
      <xdr:rowOff>4762</xdr:rowOff>
    </xdr:to>
    <xdr:graphicFrame macro="">
      <xdr:nvGraphicFramePr>
        <xdr:cNvPr id="5492" name="Chart 1">
          <a:extLst>
            <a:ext uri="{FF2B5EF4-FFF2-40B4-BE49-F238E27FC236}">
              <a16:creationId xmlns:a16="http://schemas.microsoft.com/office/drawing/2014/main" id="{00000000-0008-0000-0200-0000741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466725</xdr:colOff>
      <xdr:row>54</xdr:row>
      <xdr:rowOff>0</xdr:rowOff>
    </xdr:from>
    <xdr:to>
      <xdr:col>22</xdr:col>
      <xdr:colOff>142131</xdr:colOff>
      <xdr:row>85</xdr:row>
      <xdr:rowOff>151750</xdr:rowOff>
    </xdr:to>
    <xdr:pic>
      <xdr:nvPicPr>
        <xdr:cNvPr id="2" name="Pictur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34325" y="9296400"/>
          <a:ext cx="5952381" cy="52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11</xdr:col>
      <xdr:colOff>342508</xdr:colOff>
      <xdr:row>91</xdr:row>
      <xdr:rowOff>18356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57575" y="9782175"/>
          <a:ext cx="3133333" cy="555238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67235</xdr:colOff>
      <xdr:row>49</xdr:row>
      <xdr:rowOff>54949</xdr:rowOff>
    </xdr:from>
    <xdr:to>
      <xdr:col>50</xdr:col>
      <xdr:colOff>493059</xdr:colOff>
      <xdr:row>90</xdr:row>
      <xdr:rowOff>112058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82</xdr:col>
      <xdr:colOff>95250</xdr:colOff>
      <xdr:row>13</xdr:row>
      <xdr:rowOff>4763</xdr:rowOff>
    </xdr:from>
    <xdr:to>
      <xdr:col>97</xdr:col>
      <xdr:colOff>357187</xdr:colOff>
      <xdr:row>44</xdr:row>
      <xdr:rowOff>4762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466725</xdr:colOff>
      <xdr:row>54</xdr:row>
      <xdr:rowOff>0</xdr:rowOff>
    </xdr:from>
    <xdr:to>
      <xdr:col>22</xdr:col>
      <xdr:colOff>142131</xdr:colOff>
      <xdr:row>85</xdr:row>
      <xdr:rowOff>151750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34325" y="9296400"/>
          <a:ext cx="5952381" cy="52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11</xdr:col>
      <xdr:colOff>342508</xdr:colOff>
      <xdr:row>91</xdr:row>
      <xdr:rowOff>18356</xdr:rowOff>
    </xdr:to>
    <xdr:pic>
      <xdr:nvPicPr>
        <xdr:cNvPr id="5" name="Picture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57575" y="9782175"/>
          <a:ext cx="3133333" cy="555238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23</xdr:col>
      <xdr:colOff>255982</xdr:colOff>
      <xdr:row>49</xdr:row>
      <xdr:rowOff>21432</xdr:rowOff>
    </xdr:from>
    <xdr:to>
      <xdr:col>30</xdr:col>
      <xdr:colOff>119062</xdr:colOff>
      <xdr:row>73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13</xdr:row>
      <xdr:rowOff>104775</xdr:rowOff>
    </xdr:from>
    <xdr:to>
      <xdr:col>7</xdr:col>
      <xdr:colOff>371475</xdr:colOff>
      <xdr:row>30</xdr:row>
      <xdr:rowOff>95250</xdr:rowOff>
    </xdr:to>
    <xdr:graphicFrame macro="">
      <xdr:nvGraphicFramePr>
        <xdr:cNvPr id="273417" name="Chart 1">
          <a:extLst>
            <a:ext uri="{FF2B5EF4-FFF2-40B4-BE49-F238E27FC236}">
              <a16:creationId xmlns:a16="http://schemas.microsoft.com/office/drawing/2014/main" id="{00000000-0008-0000-0400-0000092C0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219075</xdr:colOff>
      <xdr:row>13</xdr:row>
      <xdr:rowOff>114300</xdr:rowOff>
    </xdr:from>
    <xdr:to>
      <xdr:col>14</xdr:col>
      <xdr:colOff>523875</xdr:colOff>
      <xdr:row>30</xdr:row>
      <xdr:rowOff>104775</xdr:rowOff>
    </xdr:to>
    <xdr:graphicFrame macro="">
      <xdr:nvGraphicFramePr>
        <xdr:cNvPr id="273418" name="Chart 2">
          <a:extLst>
            <a:ext uri="{FF2B5EF4-FFF2-40B4-BE49-F238E27FC236}">
              <a16:creationId xmlns:a16="http://schemas.microsoft.com/office/drawing/2014/main" id="{00000000-0008-0000-0400-00000A2C0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590550</xdr:colOff>
      <xdr:row>13</xdr:row>
      <xdr:rowOff>142875</xdr:rowOff>
    </xdr:from>
    <xdr:to>
      <xdr:col>22</xdr:col>
      <xdr:colOff>285750</xdr:colOff>
      <xdr:row>30</xdr:row>
      <xdr:rowOff>133350</xdr:rowOff>
    </xdr:to>
    <xdr:graphicFrame macro="">
      <xdr:nvGraphicFramePr>
        <xdr:cNvPr id="273419" name="Chart 3">
          <a:extLst>
            <a:ext uri="{FF2B5EF4-FFF2-40B4-BE49-F238E27FC236}">
              <a16:creationId xmlns:a16="http://schemas.microsoft.com/office/drawing/2014/main" id="{00000000-0008-0000-0400-00000B2C0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0</xdr:row>
      <xdr:rowOff>0</xdr:rowOff>
    </xdr:from>
    <xdr:to>
      <xdr:col>27</xdr:col>
      <xdr:colOff>274909</xdr:colOff>
      <xdr:row>39</xdr:row>
      <xdr:rowOff>132544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0"/>
          <a:ext cx="10523809" cy="6076144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523876</xdr:colOff>
      <xdr:row>19</xdr:row>
      <xdr:rowOff>142874</xdr:rowOff>
    </xdr:from>
    <xdr:to>
      <xdr:col>10</xdr:col>
      <xdr:colOff>97728</xdr:colOff>
      <xdr:row>50</xdr:row>
      <xdr:rowOff>3702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76" y="3309937"/>
          <a:ext cx="5646040" cy="502814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49</xdr:row>
      <xdr:rowOff>142875</xdr:rowOff>
    </xdr:from>
    <xdr:to>
      <xdr:col>16</xdr:col>
      <xdr:colOff>313090</xdr:colOff>
      <xdr:row>86</xdr:row>
      <xdr:rowOff>51628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3D7923B7-88DD-4302-B69D-95DC08D8F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6" y="8310563"/>
          <a:ext cx="9885714" cy="60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440531</xdr:colOff>
      <xdr:row>41</xdr:row>
      <xdr:rowOff>-1</xdr:rowOff>
    </xdr:from>
    <xdr:to>
      <xdr:col>35</xdr:col>
      <xdr:colOff>417097</xdr:colOff>
      <xdr:row>78</xdr:row>
      <xdr:rowOff>5679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AF207F9C-298C-41EA-9559-BB29DA5B8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56031" y="6834187"/>
          <a:ext cx="11513722" cy="61731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352425</xdr:colOff>
      <xdr:row>11</xdr:row>
      <xdr:rowOff>123825</xdr:rowOff>
    </xdr:from>
    <xdr:to>
      <xdr:col>10</xdr:col>
      <xdr:colOff>351452</xdr:colOff>
      <xdr:row>54</xdr:row>
      <xdr:rowOff>18193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2552700"/>
          <a:ext cx="7780952" cy="68571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0</xdr:colOff>
      <xdr:row>26</xdr:row>
      <xdr:rowOff>19050</xdr:rowOff>
    </xdr:from>
    <xdr:to>
      <xdr:col>7</xdr:col>
      <xdr:colOff>1208790</xdr:colOff>
      <xdr:row>41</xdr:row>
      <xdr:rowOff>94937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52950"/>
          <a:ext cx="7076190" cy="25047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324394</xdr:colOff>
      <xdr:row>6</xdr:row>
      <xdr:rowOff>55518</xdr:rowOff>
    </xdr:from>
    <xdr:to>
      <xdr:col>29</xdr:col>
      <xdr:colOff>316774</xdr:colOff>
      <xdr:row>36</xdr:row>
      <xdr:rowOff>47898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88D4229E-D00A-4866-AD83-FC106EC82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</xdr:row>
      <xdr:rowOff>53148</xdr:rowOff>
    </xdr:from>
    <xdr:to>
      <xdr:col>16</xdr:col>
      <xdr:colOff>2976562</xdr:colOff>
      <xdr:row>76</xdr:row>
      <xdr:rowOff>47624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0704BE25-0D56-4C48-B12C-45AC232D7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200026</xdr:colOff>
      <xdr:row>1</xdr:row>
      <xdr:rowOff>333375</xdr:rowOff>
    </xdr:from>
    <xdr:to>
      <xdr:col>25</xdr:col>
      <xdr:colOff>211982</xdr:colOff>
      <xdr:row>13</xdr:row>
      <xdr:rowOff>38099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D59BF197-7059-4395-9DC1-48E165EAC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136101" y="495300"/>
          <a:ext cx="5031631" cy="2295524"/>
        </a:xfrm>
        <a:prstGeom prst="rect">
          <a:avLst/>
        </a:prstGeom>
      </xdr:spPr>
    </xdr:pic>
    <xdr:clientData/>
  </xdr:twoCellAnchor>
  <xdr:twoCellAnchor>
    <xdr:from>
      <xdr:col>17</xdr:col>
      <xdr:colOff>773235</xdr:colOff>
      <xdr:row>40</xdr:row>
      <xdr:rowOff>12392</xdr:rowOff>
    </xdr:from>
    <xdr:to>
      <xdr:col>23</xdr:col>
      <xdr:colOff>1015660</xdr:colOff>
      <xdr:row>75</xdr:row>
      <xdr:rowOff>127339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2139218-D60E-4CAE-B3C7-9AA3D80C4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s://ittc.info/media/1531/alphabetdictionary.pdf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://web.mit.edu/2.016/www/handouts/2005Reading10.pdf" TargetMode="External"/><Relationship Id="rId1" Type="http://schemas.openxmlformats.org/officeDocument/2006/relationships/hyperlink" Target="http://web.mit.edu/13.012/www/handouts/propellers_reading.pdf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ttc.info/media/7939/2017-ittc-dictionary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ittc.info/media/1531/alphabetdictionary.pdf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http://web.mit.edu/2.016/www/handouts/2005Reading10.pdf" TargetMode="External"/><Relationship Id="rId1" Type="http://schemas.openxmlformats.org/officeDocument/2006/relationships/hyperlink" Target="http://web.mit.edu/13.012/www/handouts/propellers_reading.pdf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ittc.info/media/7939/2017-ittc-dictionary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exceloffthegrid.com/interpolate-values-using-the-forecast-functio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physicsforums.com/threads/moment-of-inertia-formula-for-a-propeller.605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"/>
  <sheetViews>
    <sheetView workbookViewId="0">
      <selection activeCell="F11" sqref="F11"/>
    </sheetView>
  </sheetViews>
  <sheetFormatPr defaultRowHeight="13.2" x14ac:dyDescent="0.25"/>
  <sheetData>
    <row r="3" spans="2:4" x14ac:dyDescent="0.25">
      <c r="B3" t="s">
        <v>5</v>
      </c>
      <c r="C3" s="38">
        <v>5.98</v>
      </c>
      <c r="D3" t="s">
        <v>8</v>
      </c>
    </row>
    <row r="4" spans="2:4" x14ac:dyDescent="0.25">
      <c r="B4" t="s">
        <v>6</v>
      </c>
      <c r="C4" s="38">
        <v>0.51400000000000001</v>
      </c>
      <c r="D4" t="s">
        <v>8</v>
      </c>
    </row>
    <row r="5" spans="2:4" x14ac:dyDescent="0.25">
      <c r="B5" t="s">
        <v>7</v>
      </c>
      <c r="C5" s="38">
        <v>0.1</v>
      </c>
      <c r="D5" t="s">
        <v>8</v>
      </c>
    </row>
    <row r="6" spans="2:4" x14ac:dyDescent="0.25">
      <c r="B6" s="31" t="s">
        <v>80</v>
      </c>
      <c r="C6" s="38">
        <v>0.28199999999999997</v>
      </c>
      <c r="D6" s="31" t="s">
        <v>82</v>
      </c>
    </row>
    <row r="7" spans="2:4" x14ac:dyDescent="0.25">
      <c r="B7" s="31"/>
      <c r="C7" s="60">
        <f>C6*C8</f>
        <v>282</v>
      </c>
      <c r="D7" s="31" t="s">
        <v>81</v>
      </c>
    </row>
    <row r="8" spans="2:4" x14ac:dyDescent="0.25">
      <c r="B8" s="31" t="s">
        <v>41</v>
      </c>
      <c r="C8" s="38">
        <v>1000</v>
      </c>
      <c r="D8" s="31" t="s">
        <v>83</v>
      </c>
    </row>
    <row r="9" spans="2:4" x14ac:dyDescent="0.25">
      <c r="B9" t="s">
        <v>13</v>
      </c>
      <c r="D9" t="s">
        <v>14</v>
      </c>
    </row>
    <row r="10" spans="2:4" x14ac:dyDescent="0.25">
      <c r="B10" t="s">
        <v>15</v>
      </c>
      <c r="D10" t="s">
        <v>16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9"/>
  <sheetViews>
    <sheetView workbookViewId="0">
      <selection activeCell="H21" sqref="H21"/>
    </sheetView>
  </sheetViews>
  <sheetFormatPr defaultRowHeight="13.2" x14ac:dyDescent="0.25"/>
  <cols>
    <col min="13" max="13" width="5.88671875" bestFit="1" customWidth="1"/>
    <col min="14" max="14" width="7" bestFit="1" customWidth="1"/>
    <col min="15" max="16" width="3" bestFit="1" customWidth="1"/>
    <col min="17" max="18" width="5.6640625" customWidth="1"/>
    <col min="19" max="19" width="9.88671875" bestFit="1" customWidth="1"/>
    <col min="20" max="21" width="6.5546875" bestFit="1" customWidth="1"/>
    <col min="22" max="22" width="5.5546875" bestFit="1" customWidth="1"/>
    <col min="23" max="23" width="6.109375" bestFit="1" customWidth="1"/>
    <col min="24" max="25" width="6.109375" customWidth="1"/>
    <col min="30" max="34" width="9.33203125" customWidth="1"/>
  </cols>
  <sheetData>
    <row r="1" spans="1:41" x14ac:dyDescent="0.25">
      <c r="E1">
        <v>1.1499999999999999</v>
      </c>
    </row>
    <row r="2" spans="1:41" x14ac:dyDescent="0.25">
      <c r="B2" s="366" t="s">
        <v>12</v>
      </c>
      <c r="C2" s="366"/>
      <c r="D2" s="366"/>
      <c r="E2" s="366"/>
      <c r="F2" s="366"/>
      <c r="G2" s="366"/>
      <c r="M2" s="11"/>
      <c r="N2" s="11"/>
      <c r="O2" s="11"/>
      <c r="P2" s="11"/>
      <c r="Q2" s="11"/>
      <c r="R2" s="11"/>
      <c r="T2" s="11"/>
      <c r="Z2" s="11"/>
      <c r="AA2" s="11"/>
      <c r="AB2" s="11"/>
      <c r="AC2" s="11"/>
    </row>
    <row r="3" spans="1:41" x14ac:dyDescent="0.25">
      <c r="A3" s="3"/>
      <c r="B3" s="368" t="s">
        <v>0</v>
      </c>
      <c r="C3" s="369"/>
      <c r="D3" s="6" t="s">
        <v>9</v>
      </c>
      <c r="E3" s="10" t="s">
        <v>10</v>
      </c>
      <c r="F3" s="10" t="s">
        <v>74</v>
      </c>
      <c r="G3" s="10" t="s">
        <v>11</v>
      </c>
      <c r="H3" s="6"/>
      <c r="I3" s="5" t="s">
        <v>0</v>
      </c>
      <c r="J3" s="6"/>
      <c r="K3" s="3"/>
      <c r="L3" s="13" t="s">
        <v>4</v>
      </c>
      <c r="M3" s="363" t="s">
        <v>18</v>
      </c>
      <c r="N3" s="364"/>
      <c r="O3" s="364"/>
      <c r="P3" s="364"/>
      <c r="Q3" s="364"/>
      <c r="R3" s="364"/>
      <c r="S3" s="364"/>
      <c r="T3" s="364"/>
      <c r="U3" s="364"/>
      <c r="V3" s="364"/>
      <c r="W3" s="364"/>
      <c r="X3" s="364"/>
      <c r="Y3" s="365"/>
      <c r="Z3" s="6" t="s">
        <v>9</v>
      </c>
      <c r="AA3" s="10" t="s">
        <v>10</v>
      </c>
      <c r="AB3" s="10" t="s">
        <v>74</v>
      </c>
      <c r="AC3" s="17" t="s">
        <v>11</v>
      </c>
      <c r="AD3" s="6"/>
      <c r="AE3" s="6"/>
      <c r="AN3" t="s">
        <v>87</v>
      </c>
      <c r="AO3" t="s">
        <v>88</v>
      </c>
    </row>
    <row r="4" spans="1:41" x14ac:dyDescent="0.25">
      <c r="A4" s="3"/>
      <c r="B4" s="42" t="s">
        <v>1</v>
      </c>
      <c r="C4" s="42" t="s">
        <v>2</v>
      </c>
      <c r="D4" s="59" t="s">
        <v>17</v>
      </c>
      <c r="E4" s="59" t="s">
        <v>17</v>
      </c>
      <c r="F4" s="59" t="s">
        <v>17</v>
      </c>
      <c r="G4" s="59" t="s">
        <v>17</v>
      </c>
      <c r="H4" s="6"/>
      <c r="I4" s="7" t="s">
        <v>1</v>
      </c>
      <c r="J4" s="8" t="s">
        <v>2</v>
      </c>
      <c r="K4" s="9" t="s">
        <v>3</v>
      </c>
      <c r="L4" s="14"/>
      <c r="M4" s="18" t="s">
        <v>22</v>
      </c>
      <c r="N4" s="18" t="s">
        <v>23</v>
      </c>
      <c r="O4" s="367" t="s">
        <v>24</v>
      </c>
      <c r="P4" s="361"/>
      <c r="Q4" s="367" t="s">
        <v>25</v>
      </c>
      <c r="R4" s="361"/>
      <c r="S4" s="18" t="s">
        <v>19</v>
      </c>
      <c r="T4" s="367" t="s">
        <v>20</v>
      </c>
      <c r="U4" s="361"/>
      <c r="V4" s="367" t="s">
        <v>21</v>
      </c>
      <c r="W4" s="361"/>
      <c r="X4" s="361" t="s">
        <v>75</v>
      </c>
      <c r="Y4" s="362"/>
      <c r="Z4" s="8" t="s">
        <v>17</v>
      </c>
      <c r="AA4" s="8" t="s">
        <v>17</v>
      </c>
      <c r="AB4" s="8" t="s">
        <v>17</v>
      </c>
      <c r="AC4" s="9" t="s">
        <v>17</v>
      </c>
      <c r="AD4" s="8"/>
      <c r="AE4" s="8"/>
      <c r="AN4">
        <v>1</v>
      </c>
      <c r="AO4">
        <f>AN4*3.6</f>
        <v>3.6</v>
      </c>
    </row>
    <row r="5" spans="1:41" x14ac:dyDescent="0.25">
      <c r="A5" s="3"/>
      <c r="B5" s="60">
        <v>0</v>
      </c>
      <c r="C5" s="38">
        <f>B5/3.6</f>
        <v>0</v>
      </c>
      <c r="D5" s="38">
        <v>0</v>
      </c>
      <c r="E5" s="38">
        <f>D5*E$1</f>
        <v>0</v>
      </c>
      <c r="F5" s="38">
        <v>0</v>
      </c>
      <c r="G5" s="12">
        <f>SUM(D5:F5)</f>
        <v>0</v>
      </c>
      <c r="H5" s="61">
        <v>5</v>
      </c>
      <c r="I5" s="5">
        <v>0</v>
      </c>
      <c r="J5" s="1">
        <f>I5/3.6</f>
        <v>0</v>
      </c>
      <c r="K5" s="4">
        <f>J5/0.514447</f>
        <v>0</v>
      </c>
      <c r="L5" s="15">
        <f>J5/SQRT(9.81*'hull data'!$C$3)</f>
        <v>0</v>
      </c>
      <c r="M5" s="6">
        <f>LOOKUP(J5,C$5:C$35,C$5:C$35)</f>
        <v>0</v>
      </c>
      <c r="N5" s="6" t="b">
        <f>M5=J5</f>
        <v>1</v>
      </c>
      <c r="O5" s="6">
        <f>MATCH(M5,C$5:C$35,0)</f>
        <v>1</v>
      </c>
      <c r="P5" s="6">
        <f>IF(N5,O5,O5+1)</f>
        <v>1</v>
      </c>
      <c r="Q5" s="39">
        <f>INDEX(C$5:C$35,O5)</f>
        <v>0</v>
      </c>
      <c r="R5" s="39">
        <f>INDEX(C$5:C$35,P5)</f>
        <v>0</v>
      </c>
      <c r="S5" s="39">
        <f>IF(N5,0,(J5-M5)/(R5-Q5))</f>
        <v>0</v>
      </c>
      <c r="T5" s="16">
        <f>LOOKUP(Q5,C$5:C$35,D$5:D$35)</f>
        <v>0</v>
      </c>
      <c r="U5" s="16">
        <f>LOOKUP(R5,C$5:C$35,D$5:D$35)</f>
        <v>0</v>
      </c>
      <c r="V5" s="16">
        <f>LOOKUP(Q5,C$5:C$35,E$5:E$35)</f>
        <v>0</v>
      </c>
      <c r="W5" s="16">
        <f>LOOKUP(R5,C$5:C$35,E$5:E$35)</f>
        <v>0</v>
      </c>
      <c r="X5" s="16">
        <f>LOOKUP(Q5,C$5:C$35,F$5:F$35)</f>
        <v>0</v>
      </c>
      <c r="Y5" s="4">
        <f>LOOKUP(R5,C$5:C$35,F$5:F$35)</f>
        <v>0</v>
      </c>
      <c r="Z5" s="1">
        <f t="shared" ref="Z5:Z35" si="0">T5+S5*(U5-T5)</f>
        <v>0</v>
      </c>
      <c r="AA5" s="1">
        <f>V5+S5*(W5-V5)</f>
        <v>0</v>
      </c>
      <c r="AB5" s="1">
        <f>X5+S5*(Y5-X5)</f>
        <v>0</v>
      </c>
      <c r="AC5" s="4">
        <f>SUM(Z5:AB5)</f>
        <v>0</v>
      </c>
      <c r="AN5">
        <v>1.5</v>
      </c>
      <c r="AO5">
        <f t="shared" ref="AO5:AO16" si="1">AN5*3.6</f>
        <v>5.4</v>
      </c>
    </row>
    <row r="6" spans="1:41" x14ac:dyDescent="0.25">
      <c r="A6" s="3"/>
      <c r="B6" s="60">
        <f>C6*3.6</f>
        <v>11.9808</v>
      </c>
      <c r="C6" s="38">
        <v>3.3279999999999998</v>
      </c>
      <c r="D6" s="38">
        <f>113.284-E6</f>
        <v>101.9556</v>
      </c>
      <c r="E6" s="38">
        <f>113.284*H6/100</f>
        <v>11.328400000000002</v>
      </c>
      <c r="F6" s="38">
        <v>0</v>
      </c>
      <c r="G6" s="12">
        <f t="shared" ref="G6:G35" si="2">SUM(D6:F6)</f>
        <v>113.28400000000001</v>
      </c>
      <c r="H6" s="61">
        <v>10</v>
      </c>
      <c r="I6" s="5">
        <v>1</v>
      </c>
      <c r="J6" s="1">
        <f t="shared" ref="J6:J35" si="3">I6/3.6</f>
        <v>0.27777777777777779</v>
      </c>
      <c r="K6" s="4">
        <f t="shared" ref="K6:K35" si="4">J6/0.514447</f>
        <v>0.53995412117823172</v>
      </c>
      <c r="L6" s="15">
        <f>J6/SQRT(9.81*'hull data'!$C$3)</f>
        <v>3.6267064405251667E-2</v>
      </c>
      <c r="M6" s="6">
        <f t="shared" ref="M6:M34" si="5">LOOKUP(J6,C$5:C$35,C$5:C$35)</f>
        <v>0</v>
      </c>
      <c r="N6" s="6" t="b">
        <f t="shared" ref="N6:N34" si="6">M6=J6</f>
        <v>0</v>
      </c>
      <c r="O6" s="6">
        <f t="shared" ref="O6:O34" si="7">MATCH(M6,C$5:C$35,0)</f>
        <v>1</v>
      </c>
      <c r="P6" s="6">
        <f t="shared" ref="P6:P34" si="8">IF(N6,O6,O6+1)</f>
        <v>2</v>
      </c>
      <c r="Q6" s="39">
        <f t="shared" ref="Q6:Q34" si="9">INDEX(C$5:C$35,O6)</f>
        <v>0</v>
      </c>
      <c r="R6" s="39">
        <f t="shared" ref="R6:R34" si="10">INDEX(C$5:C$35,P6)</f>
        <v>3.3279999999999998</v>
      </c>
      <c r="S6" s="39">
        <f t="shared" ref="S6:S34" si="11">IF(N6,0,(J6-M6)/(R6-Q6))</f>
        <v>8.3466880341880351E-2</v>
      </c>
      <c r="T6" s="16">
        <f t="shared" ref="T6:T34" si="12">LOOKUP(Q6,C$5:C$35,D$5:D$35)</f>
        <v>0</v>
      </c>
      <c r="U6" s="16">
        <f t="shared" ref="U6:U34" si="13">LOOKUP(R6,C$5:C$35,D$5:D$35)</f>
        <v>101.9556</v>
      </c>
      <c r="V6" s="16">
        <f t="shared" ref="V6:V34" si="14">LOOKUP(Q6,C$5:C$35,E$5:E$35)</f>
        <v>0</v>
      </c>
      <c r="W6" s="16">
        <f t="shared" ref="W6:W34" si="15">LOOKUP(R6,C$5:C$35,E$5:E$35)</f>
        <v>11.328400000000002</v>
      </c>
      <c r="X6" s="16">
        <f>LOOKUP(Q6,C$5:C$35,F$5:F$35)</f>
        <v>0</v>
      </c>
      <c r="Y6" s="4">
        <f>LOOKUP(R6,C$5:C$35,F$5:F$35)</f>
        <v>0</v>
      </c>
      <c r="Z6" s="1">
        <f t="shared" si="0"/>
        <v>8.5099158653846168</v>
      </c>
      <c r="AA6" s="1">
        <f>V6+S6*(W6-V6)</f>
        <v>0.94554620726495753</v>
      </c>
      <c r="AB6" s="1">
        <f>X6+S6*(Y6-X6)</f>
        <v>0</v>
      </c>
      <c r="AC6" s="4">
        <f>SUM(Z6:AB6)</f>
        <v>9.4554620726495742</v>
      </c>
      <c r="AN6">
        <v>2</v>
      </c>
      <c r="AO6">
        <f t="shared" si="1"/>
        <v>7.2</v>
      </c>
    </row>
    <row r="7" spans="1:41" x14ac:dyDescent="0.25">
      <c r="A7" s="3"/>
      <c r="B7" s="60">
        <f t="shared" ref="B7:B12" si="16">C7*3.6</f>
        <v>13.9968</v>
      </c>
      <c r="C7" s="38">
        <v>3.8879999999999999</v>
      </c>
      <c r="D7" s="38">
        <v>138.57400000000001</v>
      </c>
      <c r="E7" s="38">
        <f>155.915-D7</f>
        <v>17.34099999999998</v>
      </c>
      <c r="F7" s="38">
        <v>0</v>
      </c>
      <c r="G7" s="12">
        <f t="shared" si="2"/>
        <v>155.91499999999999</v>
      </c>
      <c r="H7" s="16">
        <f>E7/G7*100</f>
        <v>11.122085751851959</v>
      </c>
      <c r="I7" s="5">
        <v>2</v>
      </c>
      <c r="J7" s="1">
        <f t="shared" si="3"/>
        <v>0.55555555555555558</v>
      </c>
      <c r="K7" s="4">
        <f t="shared" si="4"/>
        <v>1.0799082423564634</v>
      </c>
      <c r="L7" s="15">
        <f>J7/SQRT(9.81*'hull data'!$C$3)</f>
        <v>7.2534128810503334E-2</v>
      </c>
      <c r="M7" s="6">
        <f>LOOKUP(J7,C$5:C$35,C$5:C$35)</f>
        <v>0</v>
      </c>
      <c r="N7" s="6" t="b">
        <f t="shared" si="6"/>
        <v>0</v>
      </c>
      <c r="O7" s="6">
        <f t="shared" si="7"/>
        <v>1</v>
      </c>
      <c r="P7" s="6">
        <f t="shared" si="8"/>
        <v>2</v>
      </c>
      <c r="Q7" s="39">
        <f t="shared" si="9"/>
        <v>0</v>
      </c>
      <c r="R7" s="39">
        <f t="shared" si="10"/>
        <v>3.3279999999999998</v>
      </c>
      <c r="S7" s="39">
        <f t="shared" si="11"/>
        <v>0.1669337606837607</v>
      </c>
      <c r="T7" s="16">
        <f t="shared" si="12"/>
        <v>0</v>
      </c>
      <c r="U7" s="16">
        <f t="shared" si="13"/>
        <v>101.9556</v>
      </c>
      <c r="V7" s="16">
        <f t="shared" si="14"/>
        <v>0</v>
      </c>
      <c r="W7" s="16">
        <f t="shared" si="15"/>
        <v>11.328400000000002</v>
      </c>
      <c r="X7" s="16">
        <f>LOOKUP(Q7,C$5:C$35,F$5:F$35)</f>
        <v>0</v>
      </c>
      <c r="Y7" s="4">
        <f>LOOKUP(R7,C$5:C$35,F$5:F$35)</f>
        <v>0</v>
      </c>
      <c r="Z7" s="1">
        <f>T7+S7*(U7-T7)</f>
        <v>17.019831730769234</v>
      </c>
      <c r="AA7" s="1">
        <f t="shared" ref="AA7:AA35" si="17">V7+S7*(W7-V7)</f>
        <v>1.8910924145299151</v>
      </c>
      <c r="AB7" s="1">
        <f t="shared" ref="AB7:AB38" si="18">X7+S7*(Y7-X7)</f>
        <v>0</v>
      </c>
      <c r="AC7" s="4">
        <f t="shared" ref="AC7:AC38" si="19">SUM(Z7:AB7)</f>
        <v>18.910924145299148</v>
      </c>
      <c r="AN7">
        <v>2.5</v>
      </c>
      <c r="AO7">
        <f t="shared" si="1"/>
        <v>9</v>
      </c>
    </row>
    <row r="8" spans="1:41" x14ac:dyDescent="0.25">
      <c r="A8" s="3"/>
      <c r="B8" s="60">
        <f t="shared" si="16"/>
        <v>15.991200000000001</v>
      </c>
      <c r="C8" s="38">
        <v>4.4420000000000002</v>
      </c>
      <c r="D8" s="38">
        <f>192.508-E8</f>
        <v>169.40703999999999</v>
      </c>
      <c r="E8" s="38">
        <f>192.508*H8/100</f>
        <v>23.100960000000001</v>
      </c>
      <c r="F8" s="38">
        <v>0</v>
      </c>
      <c r="G8" s="12">
        <f>SUM(D8:F8)</f>
        <v>192.50799999999998</v>
      </c>
      <c r="H8" s="61">
        <v>12</v>
      </c>
      <c r="I8" s="5">
        <v>3</v>
      </c>
      <c r="J8" s="1">
        <f t="shared" si="3"/>
        <v>0.83333333333333326</v>
      </c>
      <c r="K8" s="4">
        <f t="shared" si="4"/>
        <v>1.6198623635346951</v>
      </c>
      <c r="L8" s="15">
        <f>J8/SQRT(9.81*'hull data'!$C$3)</f>
        <v>0.108801193215755</v>
      </c>
      <c r="M8" s="6">
        <f t="shared" si="5"/>
        <v>0</v>
      </c>
      <c r="N8" s="6" t="b">
        <f t="shared" si="6"/>
        <v>0</v>
      </c>
      <c r="O8" s="6">
        <f t="shared" si="7"/>
        <v>1</v>
      </c>
      <c r="P8" s="6">
        <f t="shared" si="8"/>
        <v>2</v>
      </c>
      <c r="Q8" s="39">
        <f t="shared" si="9"/>
        <v>0</v>
      </c>
      <c r="R8" s="39">
        <f t="shared" si="10"/>
        <v>3.3279999999999998</v>
      </c>
      <c r="S8" s="39">
        <f t="shared" si="11"/>
        <v>0.25040064102564102</v>
      </c>
      <c r="T8" s="16">
        <f t="shared" si="12"/>
        <v>0</v>
      </c>
      <c r="U8" s="16">
        <f t="shared" si="13"/>
        <v>101.9556</v>
      </c>
      <c r="V8" s="16">
        <f t="shared" si="14"/>
        <v>0</v>
      </c>
      <c r="W8" s="16">
        <f t="shared" si="15"/>
        <v>11.328400000000002</v>
      </c>
      <c r="X8" s="16">
        <f>LOOKUP(Q8,C$5:C$35,F$5:F$35)</f>
        <v>0</v>
      </c>
      <c r="Y8" s="4">
        <f>LOOKUP(R8,C$5:C$35,F$5:F$35)</f>
        <v>0</v>
      </c>
      <c r="Z8" s="1">
        <f t="shared" si="0"/>
        <v>25.529747596153847</v>
      </c>
      <c r="AA8" s="1">
        <f t="shared" si="17"/>
        <v>2.8366386217948723</v>
      </c>
      <c r="AB8" s="1">
        <f t="shared" si="18"/>
        <v>0</v>
      </c>
      <c r="AC8" s="4">
        <f t="shared" si="19"/>
        <v>28.366386217948719</v>
      </c>
      <c r="AN8">
        <v>3</v>
      </c>
      <c r="AO8">
        <f t="shared" si="1"/>
        <v>10.8</v>
      </c>
    </row>
    <row r="9" spans="1:41" x14ac:dyDescent="0.25">
      <c r="A9" s="3"/>
      <c r="B9" s="60">
        <f t="shared" si="16"/>
        <v>18.032400000000003</v>
      </c>
      <c r="C9" s="38">
        <v>5.0090000000000003</v>
      </c>
      <c r="D9" s="38">
        <f>231.359-E9</f>
        <v>201.97640699999999</v>
      </c>
      <c r="E9" s="38">
        <f>231.359*H9/100</f>
        <v>29.382593</v>
      </c>
      <c r="F9" s="38">
        <v>0</v>
      </c>
      <c r="G9" s="12">
        <f t="shared" si="2"/>
        <v>231.35899999999998</v>
      </c>
      <c r="H9" s="61">
        <v>12.7</v>
      </c>
      <c r="I9" s="5">
        <v>4</v>
      </c>
      <c r="J9" s="1">
        <f t="shared" si="3"/>
        <v>1.1111111111111112</v>
      </c>
      <c r="K9" s="4">
        <f t="shared" si="4"/>
        <v>2.1598164847129269</v>
      </c>
      <c r="L9" s="15">
        <f>J9/SQRT(9.81*'hull data'!$C$3)</f>
        <v>0.14506825762100667</v>
      </c>
      <c r="M9" s="6">
        <f t="shared" si="5"/>
        <v>0</v>
      </c>
      <c r="N9" s="6" t="b">
        <f>M9=J9</f>
        <v>0</v>
      </c>
      <c r="O9" s="6">
        <f t="shared" si="7"/>
        <v>1</v>
      </c>
      <c r="P9" s="6">
        <f t="shared" si="8"/>
        <v>2</v>
      </c>
      <c r="Q9" s="39">
        <f t="shared" si="9"/>
        <v>0</v>
      </c>
      <c r="R9" s="39">
        <f t="shared" si="10"/>
        <v>3.3279999999999998</v>
      </c>
      <c r="S9" s="39">
        <f t="shared" si="11"/>
        <v>0.3338675213675214</v>
      </c>
      <c r="T9" s="16">
        <f t="shared" si="12"/>
        <v>0</v>
      </c>
      <c r="U9" s="16">
        <f t="shared" si="13"/>
        <v>101.9556</v>
      </c>
      <c r="V9" s="16">
        <f t="shared" si="14"/>
        <v>0</v>
      </c>
      <c r="W9" s="16">
        <f t="shared" si="15"/>
        <v>11.328400000000002</v>
      </c>
      <c r="X9" s="16">
        <f>LOOKUP(Q9,C$5:C$35,F$5:F$35)</f>
        <v>0</v>
      </c>
      <c r="Y9" s="4">
        <f>LOOKUP(R9,C$5:C$35,F$5:F$35)</f>
        <v>0</v>
      </c>
      <c r="Z9" s="1">
        <f t="shared" si="0"/>
        <v>34.039663461538467</v>
      </c>
      <c r="AA9" s="1">
        <f t="shared" si="17"/>
        <v>3.7821848290598301</v>
      </c>
      <c r="AB9" s="1">
        <f t="shared" si="18"/>
        <v>0</v>
      </c>
      <c r="AC9" s="4">
        <f t="shared" si="19"/>
        <v>37.821848290598297</v>
      </c>
      <c r="AN9">
        <v>3.5</v>
      </c>
      <c r="AO9">
        <f t="shared" si="1"/>
        <v>12.6</v>
      </c>
    </row>
    <row r="10" spans="1:41" x14ac:dyDescent="0.25">
      <c r="A10" s="3"/>
      <c r="B10" s="60">
        <f t="shared" si="16"/>
        <v>19.9908</v>
      </c>
      <c r="C10" s="38">
        <v>5.5529999999999999</v>
      </c>
      <c r="D10" s="38">
        <f>272.455-E10</f>
        <v>235.40111999999999</v>
      </c>
      <c r="E10" s="38">
        <f>272.455*H10/100</f>
        <v>37.053879999999992</v>
      </c>
      <c r="F10" s="38">
        <v>0</v>
      </c>
      <c r="G10" s="12">
        <f t="shared" si="2"/>
        <v>272.45499999999998</v>
      </c>
      <c r="H10" s="61">
        <v>13.6</v>
      </c>
      <c r="I10" s="5">
        <v>5</v>
      </c>
      <c r="J10" s="1">
        <f t="shared" si="3"/>
        <v>1.3888888888888888</v>
      </c>
      <c r="K10" s="4">
        <f t="shared" si="4"/>
        <v>2.6997706058911586</v>
      </c>
      <c r="L10" s="15">
        <f>J10/SQRT(9.81*'hull data'!$C$3)</f>
        <v>0.18133532202625835</v>
      </c>
      <c r="M10" s="6">
        <f t="shared" si="5"/>
        <v>0</v>
      </c>
      <c r="N10" s="6" t="b">
        <f t="shared" si="6"/>
        <v>0</v>
      </c>
      <c r="O10" s="6">
        <f t="shared" si="7"/>
        <v>1</v>
      </c>
      <c r="P10" s="6">
        <f t="shared" si="8"/>
        <v>2</v>
      </c>
      <c r="Q10" s="39">
        <f t="shared" si="9"/>
        <v>0</v>
      </c>
      <c r="R10" s="39">
        <f t="shared" si="10"/>
        <v>3.3279999999999998</v>
      </c>
      <c r="S10" s="39">
        <f t="shared" si="11"/>
        <v>0.41733440170940173</v>
      </c>
      <c r="T10" s="16">
        <f t="shared" si="12"/>
        <v>0</v>
      </c>
      <c r="U10" s="16">
        <f>LOOKUP(R10,C$5:C$35,D$5:D$35)</f>
        <v>101.9556</v>
      </c>
      <c r="V10" s="16">
        <f t="shared" si="14"/>
        <v>0</v>
      </c>
      <c r="W10" s="16">
        <f t="shared" si="15"/>
        <v>11.328400000000002</v>
      </c>
      <c r="X10" s="16">
        <f t="shared" ref="X10:X35" si="20">LOOKUP(Q10,C$5:C$35,F$5:F$35)</f>
        <v>0</v>
      </c>
      <c r="Y10" s="4">
        <f t="shared" ref="Y10:Y35" si="21">LOOKUP(R10,C$5:C$35,F$5:F$35)</f>
        <v>0</v>
      </c>
      <c r="Z10" s="1">
        <f t="shared" si="0"/>
        <v>42.54957932692308</v>
      </c>
      <c r="AA10" s="1">
        <f t="shared" si="17"/>
        <v>4.7277310363247871</v>
      </c>
      <c r="AB10" s="1">
        <f t="shared" si="18"/>
        <v>0</v>
      </c>
      <c r="AC10" s="4">
        <f t="shared" si="19"/>
        <v>47.277310363247864</v>
      </c>
      <c r="AN10">
        <v>4</v>
      </c>
      <c r="AO10">
        <f t="shared" si="1"/>
        <v>14.4</v>
      </c>
    </row>
    <row r="11" spans="1:41" x14ac:dyDescent="0.25">
      <c r="A11" s="3"/>
      <c r="B11" s="60">
        <f t="shared" si="16"/>
        <v>22.017599999999998</v>
      </c>
      <c r="C11" s="38">
        <v>6.1159999999999997</v>
      </c>
      <c r="D11" s="38">
        <v>272.34899999999999</v>
      </c>
      <c r="E11" s="38">
        <f>319.548-D11</f>
        <v>47.199000000000012</v>
      </c>
      <c r="F11" s="38">
        <v>0</v>
      </c>
      <c r="G11" s="12">
        <f t="shared" si="2"/>
        <v>319.548</v>
      </c>
      <c r="H11" s="16">
        <f>E11/G11*100</f>
        <v>14.770550903150703</v>
      </c>
      <c r="I11" s="5">
        <v>6</v>
      </c>
      <c r="J11" s="1">
        <f t="shared" si="3"/>
        <v>1.6666666666666665</v>
      </c>
      <c r="K11" s="4">
        <f t="shared" si="4"/>
        <v>3.2397247270693903</v>
      </c>
      <c r="L11" s="15">
        <f>J11/SQRT(9.81*'hull data'!$C$3)</f>
        <v>0.21760238643151</v>
      </c>
      <c r="M11" s="6">
        <f t="shared" si="5"/>
        <v>0</v>
      </c>
      <c r="N11" s="6" t="b">
        <f t="shared" si="6"/>
        <v>0</v>
      </c>
      <c r="O11" s="36">
        <f t="shared" si="7"/>
        <v>1</v>
      </c>
      <c r="P11" s="71">
        <f t="shared" si="8"/>
        <v>2</v>
      </c>
      <c r="Q11" s="39">
        <f t="shared" si="9"/>
        <v>0</v>
      </c>
      <c r="R11" s="39">
        <f t="shared" si="10"/>
        <v>3.3279999999999998</v>
      </c>
      <c r="S11" s="39">
        <f t="shared" si="11"/>
        <v>0.50080128205128205</v>
      </c>
      <c r="T11" s="16">
        <f t="shared" si="12"/>
        <v>0</v>
      </c>
      <c r="U11" s="16">
        <f t="shared" si="13"/>
        <v>101.9556</v>
      </c>
      <c r="V11" s="16">
        <f t="shared" si="14"/>
        <v>0</v>
      </c>
      <c r="W11" s="16">
        <f t="shared" si="15"/>
        <v>11.328400000000002</v>
      </c>
      <c r="X11" s="16">
        <f t="shared" si="20"/>
        <v>0</v>
      </c>
      <c r="Y11" s="4">
        <f t="shared" si="21"/>
        <v>0</v>
      </c>
      <c r="Z11" s="1">
        <f t="shared" si="0"/>
        <v>51.059495192307693</v>
      </c>
      <c r="AA11" s="1">
        <f t="shared" si="17"/>
        <v>5.6732772435897445</v>
      </c>
      <c r="AB11" s="1">
        <f t="shared" si="18"/>
        <v>0</v>
      </c>
      <c r="AC11" s="4">
        <f t="shared" si="19"/>
        <v>56.732772435897438</v>
      </c>
      <c r="AN11">
        <v>4.5</v>
      </c>
      <c r="AO11">
        <f t="shared" si="1"/>
        <v>16.2</v>
      </c>
    </row>
    <row r="12" spans="1:41" x14ac:dyDescent="0.25">
      <c r="A12" s="3"/>
      <c r="B12" s="60">
        <f t="shared" si="16"/>
        <v>24.001200000000001</v>
      </c>
      <c r="C12" s="38">
        <v>6.6669999999999998</v>
      </c>
      <c r="D12" s="38">
        <f>369.824-E12</f>
        <v>312.50128000000001</v>
      </c>
      <c r="E12" s="38">
        <f>369.824*H12/100</f>
        <v>57.322719999999997</v>
      </c>
      <c r="F12" s="38">
        <v>0</v>
      </c>
      <c r="G12" s="12">
        <f t="shared" si="2"/>
        <v>369.82400000000001</v>
      </c>
      <c r="H12" s="61">
        <v>15.5</v>
      </c>
      <c r="I12" s="5">
        <v>7</v>
      </c>
      <c r="J12" s="1">
        <f t="shared" si="3"/>
        <v>1.9444444444444444</v>
      </c>
      <c r="K12" s="4">
        <f t="shared" si="4"/>
        <v>3.779678848247622</v>
      </c>
      <c r="L12" s="15">
        <f>J12/SQRT(9.81*'hull data'!$C$3)</f>
        <v>0.25386945083676166</v>
      </c>
      <c r="M12" s="6">
        <f t="shared" si="5"/>
        <v>0</v>
      </c>
      <c r="N12" s="6" t="b">
        <f t="shared" si="6"/>
        <v>0</v>
      </c>
      <c r="O12" s="36">
        <f t="shared" si="7"/>
        <v>1</v>
      </c>
      <c r="P12" s="71">
        <f t="shared" si="8"/>
        <v>2</v>
      </c>
      <c r="Q12" s="39">
        <f t="shared" si="9"/>
        <v>0</v>
      </c>
      <c r="R12" s="39">
        <f t="shared" si="10"/>
        <v>3.3279999999999998</v>
      </c>
      <c r="S12" s="39">
        <f t="shared" si="11"/>
        <v>0.58426816239316237</v>
      </c>
      <c r="T12" s="16">
        <f t="shared" si="12"/>
        <v>0</v>
      </c>
      <c r="U12" s="16">
        <f t="shared" si="13"/>
        <v>101.9556</v>
      </c>
      <c r="V12" s="16">
        <f t="shared" si="14"/>
        <v>0</v>
      </c>
      <c r="W12" s="16">
        <f t="shared" si="15"/>
        <v>11.328400000000002</v>
      </c>
      <c r="X12" s="16">
        <f t="shared" si="20"/>
        <v>0</v>
      </c>
      <c r="Y12" s="4">
        <f t="shared" si="21"/>
        <v>0</v>
      </c>
      <c r="Z12" s="1">
        <f t="shared" si="0"/>
        <v>59.569411057692307</v>
      </c>
      <c r="AA12" s="1">
        <f t="shared" si="17"/>
        <v>6.6188234508547019</v>
      </c>
      <c r="AB12" s="1">
        <f>X12+S12*(Y12-X12)</f>
        <v>0</v>
      </c>
      <c r="AC12" s="4">
        <f t="shared" si="19"/>
        <v>66.188234508547012</v>
      </c>
      <c r="AN12">
        <v>5</v>
      </c>
      <c r="AO12">
        <f t="shared" si="1"/>
        <v>18</v>
      </c>
    </row>
    <row r="13" spans="1:41" x14ac:dyDescent="0.25">
      <c r="A13" s="3"/>
      <c r="B13" s="60"/>
      <c r="C13" s="38"/>
      <c r="D13" s="38">
        <v>0</v>
      </c>
      <c r="E13" s="38">
        <f t="shared" ref="E13:E24" si="22">D13*E$1</f>
        <v>0</v>
      </c>
      <c r="F13" s="38">
        <v>0</v>
      </c>
      <c r="G13" s="12">
        <f t="shared" si="2"/>
        <v>0</v>
      </c>
      <c r="H13" s="6"/>
      <c r="I13" s="5">
        <v>8</v>
      </c>
      <c r="J13" s="1">
        <f t="shared" si="3"/>
        <v>2.2222222222222223</v>
      </c>
      <c r="K13" s="4">
        <f t="shared" si="4"/>
        <v>4.3196329694258537</v>
      </c>
      <c r="L13" s="15">
        <f>J13/SQRT(9.81*'hull data'!$C$3)</f>
        <v>0.29013651524201334</v>
      </c>
      <c r="M13" s="6">
        <f t="shared" si="5"/>
        <v>0</v>
      </c>
      <c r="N13" s="6" t="b">
        <f t="shared" si="6"/>
        <v>0</v>
      </c>
      <c r="O13" s="36">
        <f t="shared" si="7"/>
        <v>1</v>
      </c>
      <c r="P13" s="71">
        <f t="shared" si="8"/>
        <v>2</v>
      </c>
      <c r="Q13" s="39">
        <f t="shared" si="9"/>
        <v>0</v>
      </c>
      <c r="R13" s="39">
        <f t="shared" si="10"/>
        <v>3.3279999999999998</v>
      </c>
      <c r="S13" s="39">
        <f t="shared" si="11"/>
        <v>0.66773504273504281</v>
      </c>
      <c r="T13" s="16">
        <f t="shared" si="12"/>
        <v>0</v>
      </c>
      <c r="U13" s="16">
        <f t="shared" si="13"/>
        <v>101.9556</v>
      </c>
      <c r="V13" s="16">
        <f t="shared" si="14"/>
        <v>0</v>
      </c>
      <c r="W13" s="16">
        <f t="shared" si="15"/>
        <v>11.328400000000002</v>
      </c>
      <c r="X13" s="16">
        <f t="shared" si="20"/>
        <v>0</v>
      </c>
      <c r="Y13" s="4">
        <f t="shared" si="21"/>
        <v>0</v>
      </c>
      <c r="Z13" s="1">
        <f>T13+S13*(U13-T13)</f>
        <v>68.079326923076934</v>
      </c>
      <c r="AA13" s="1">
        <f t="shared" si="17"/>
        <v>7.5643696581196602</v>
      </c>
      <c r="AB13" s="1">
        <f t="shared" si="18"/>
        <v>0</v>
      </c>
      <c r="AC13" s="4">
        <f t="shared" si="19"/>
        <v>75.643696581196593</v>
      </c>
      <c r="AN13">
        <v>5.5</v>
      </c>
      <c r="AO13">
        <f t="shared" si="1"/>
        <v>19.8</v>
      </c>
    </row>
    <row r="14" spans="1:41" x14ac:dyDescent="0.25">
      <c r="A14" s="3"/>
      <c r="B14" s="60"/>
      <c r="C14" s="38"/>
      <c r="D14" s="38">
        <v>0</v>
      </c>
      <c r="E14" s="38">
        <f t="shared" si="22"/>
        <v>0</v>
      </c>
      <c r="F14" s="38">
        <v>0</v>
      </c>
      <c r="G14" s="12">
        <f t="shared" si="2"/>
        <v>0</v>
      </c>
      <c r="H14" s="6"/>
      <c r="I14" s="5">
        <v>9</v>
      </c>
      <c r="J14" s="1">
        <f t="shared" si="3"/>
        <v>2.5</v>
      </c>
      <c r="K14" s="4">
        <f t="shared" si="4"/>
        <v>4.8595870906040854</v>
      </c>
      <c r="L14" s="15">
        <f>J14/SQRT(9.81*'hull data'!$C$3)</f>
        <v>0.32640357964726502</v>
      </c>
      <c r="M14" s="6">
        <f t="shared" si="5"/>
        <v>0</v>
      </c>
      <c r="N14" s="6" t="b">
        <f t="shared" si="6"/>
        <v>0</v>
      </c>
      <c r="O14" s="36">
        <f t="shared" si="7"/>
        <v>1</v>
      </c>
      <c r="P14" s="71">
        <f t="shared" si="8"/>
        <v>2</v>
      </c>
      <c r="Q14" s="39">
        <f t="shared" si="9"/>
        <v>0</v>
      </c>
      <c r="R14" s="39">
        <f t="shared" si="10"/>
        <v>3.3279999999999998</v>
      </c>
      <c r="S14" s="39">
        <f t="shared" si="11"/>
        <v>0.75120192307692313</v>
      </c>
      <c r="T14" s="16">
        <f t="shared" si="12"/>
        <v>0</v>
      </c>
      <c r="U14" s="16">
        <f t="shared" si="13"/>
        <v>101.9556</v>
      </c>
      <c r="V14" s="16">
        <f t="shared" si="14"/>
        <v>0</v>
      </c>
      <c r="W14" s="16">
        <f t="shared" si="15"/>
        <v>11.328400000000002</v>
      </c>
      <c r="X14" s="16">
        <f t="shared" si="20"/>
        <v>0</v>
      </c>
      <c r="Y14" s="4">
        <f t="shared" si="21"/>
        <v>0</v>
      </c>
      <c r="Z14" s="1">
        <f t="shared" si="0"/>
        <v>76.589242788461547</v>
      </c>
      <c r="AA14" s="1">
        <f t="shared" si="17"/>
        <v>8.5099158653846168</v>
      </c>
      <c r="AB14" s="1">
        <f t="shared" si="18"/>
        <v>0</v>
      </c>
      <c r="AC14" s="4">
        <f>SUM(Z14:AB14)</f>
        <v>85.09915865384616</v>
      </c>
      <c r="AN14">
        <v>6</v>
      </c>
      <c r="AO14">
        <f t="shared" si="1"/>
        <v>21.6</v>
      </c>
    </row>
    <row r="15" spans="1:41" x14ac:dyDescent="0.25">
      <c r="A15" s="3"/>
      <c r="B15" s="60"/>
      <c r="C15" s="38"/>
      <c r="D15" s="38">
        <v>0</v>
      </c>
      <c r="E15" s="38">
        <f t="shared" si="22"/>
        <v>0</v>
      </c>
      <c r="F15" s="38">
        <v>0</v>
      </c>
      <c r="G15" s="12">
        <f t="shared" si="2"/>
        <v>0</v>
      </c>
      <c r="H15" s="6"/>
      <c r="I15" s="5">
        <v>10</v>
      </c>
      <c r="J15" s="1">
        <f t="shared" si="3"/>
        <v>2.7777777777777777</v>
      </c>
      <c r="K15" s="4">
        <f t="shared" si="4"/>
        <v>5.3995412117823172</v>
      </c>
      <c r="L15" s="15">
        <f>J15/SQRT(9.81*'hull data'!$C$3)</f>
        <v>0.3626706440525167</v>
      </c>
      <c r="M15" s="6">
        <f t="shared" si="5"/>
        <v>0</v>
      </c>
      <c r="N15" s="6" t="b">
        <f>M15=J15</f>
        <v>0</v>
      </c>
      <c r="O15" s="36">
        <f t="shared" si="7"/>
        <v>1</v>
      </c>
      <c r="P15" s="71">
        <f t="shared" si="8"/>
        <v>2</v>
      </c>
      <c r="Q15" s="39">
        <f>INDEX(C$5:C$35,O15)</f>
        <v>0</v>
      </c>
      <c r="R15" s="39">
        <f t="shared" si="10"/>
        <v>3.3279999999999998</v>
      </c>
      <c r="S15" s="39">
        <f t="shared" si="11"/>
        <v>0.83466880341880345</v>
      </c>
      <c r="T15" s="16">
        <f t="shared" si="12"/>
        <v>0</v>
      </c>
      <c r="U15" s="16">
        <f t="shared" si="13"/>
        <v>101.9556</v>
      </c>
      <c r="V15" s="16">
        <f t="shared" si="14"/>
        <v>0</v>
      </c>
      <c r="W15" s="16">
        <f t="shared" si="15"/>
        <v>11.328400000000002</v>
      </c>
      <c r="X15" s="16">
        <f t="shared" si="20"/>
        <v>0</v>
      </c>
      <c r="Y15" s="4">
        <f t="shared" si="21"/>
        <v>0</v>
      </c>
      <c r="Z15" s="1">
        <f t="shared" si="0"/>
        <v>85.09915865384616</v>
      </c>
      <c r="AA15" s="1">
        <f t="shared" si="17"/>
        <v>9.4554620726495742</v>
      </c>
      <c r="AB15" s="1">
        <f t="shared" si="18"/>
        <v>0</v>
      </c>
      <c r="AC15" s="4">
        <f t="shared" si="19"/>
        <v>94.554620726495727</v>
      </c>
      <c r="AN15">
        <v>6.5</v>
      </c>
      <c r="AO15">
        <f t="shared" si="1"/>
        <v>23.400000000000002</v>
      </c>
    </row>
    <row r="16" spans="1:41" x14ac:dyDescent="0.25">
      <c r="A16" s="3"/>
      <c r="B16" s="60"/>
      <c r="C16" s="38"/>
      <c r="D16" s="38">
        <v>0</v>
      </c>
      <c r="E16" s="38">
        <f t="shared" si="22"/>
        <v>0</v>
      </c>
      <c r="F16" s="38">
        <v>0</v>
      </c>
      <c r="G16" s="12">
        <f t="shared" si="2"/>
        <v>0</v>
      </c>
      <c r="H16" s="6"/>
      <c r="I16" s="5">
        <v>11</v>
      </c>
      <c r="J16" s="1">
        <f t="shared" si="3"/>
        <v>3.0555555555555554</v>
      </c>
      <c r="K16" s="4">
        <f t="shared" si="4"/>
        <v>5.9394953329605489</v>
      </c>
      <c r="L16" s="15">
        <f>J16/SQRT(9.81*'hull data'!$C$3)</f>
        <v>0.39893770845776833</v>
      </c>
      <c r="M16" s="6">
        <f t="shared" si="5"/>
        <v>0</v>
      </c>
      <c r="N16" s="6" t="b">
        <f t="shared" si="6"/>
        <v>0</v>
      </c>
      <c r="O16" s="36">
        <f t="shared" si="7"/>
        <v>1</v>
      </c>
      <c r="P16" s="71">
        <f t="shared" si="8"/>
        <v>2</v>
      </c>
      <c r="Q16" s="39">
        <f t="shared" si="9"/>
        <v>0</v>
      </c>
      <c r="R16" s="39">
        <f t="shared" si="10"/>
        <v>3.3279999999999998</v>
      </c>
      <c r="S16" s="39">
        <f t="shared" si="11"/>
        <v>0.91813568376068377</v>
      </c>
      <c r="T16" s="16">
        <f t="shared" si="12"/>
        <v>0</v>
      </c>
      <c r="U16" s="16">
        <f t="shared" si="13"/>
        <v>101.9556</v>
      </c>
      <c r="V16" s="16">
        <f t="shared" si="14"/>
        <v>0</v>
      </c>
      <c r="W16" s="16">
        <f t="shared" si="15"/>
        <v>11.328400000000002</v>
      </c>
      <c r="X16" s="16">
        <f t="shared" si="20"/>
        <v>0</v>
      </c>
      <c r="Y16" s="4">
        <f t="shared" si="21"/>
        <v>0</v>
      </c>
      <c r="Z16" s="1">
        <f t="shared" si="0"/>
        <v>93.609074519230774</v>
      </c>
      <c r="AA16" s="1">
        <f t="shared" si="17"/>
        <v>10.401008279914532</v>
      </c>
      <c r="AB16" s="1">
        <f t="shared" si="18"/>
        <v>0</v>
      </c>
      <c r="AC16" s="4">
        <f t="shared" si="19"/>
        <v>104.01008279914531</v>
      </c>
      <c r="AN16">
        <v>7</v>
      </c>
      <c r="AO16">
        <f t="shared" si="1"/>
        <v>25.2</v>
      </c>
    </row>
    <row r="17" spans="1:29" x14ac:dyDescent="0.25">
      <c r="A17" s="3"/>
      <c r="B17" s="60"/>
      <c r="C17" s="38"/>
      <c r="D17" s="38">
        <v>0</v>
      </c>
      <c r="E17" s="38">
        <f t="shared" si="22"/>
        <v>0</v>
      </c>
      <c r="F17" s="38">
        <v>0</v>
      </c>
      <c r="G17" s="12">
        <f t="shared" si="2"/>
        <v>0</v>
      </c>
      <c r="H17" s="6"/>
      <c r="I17" s="5">
        <v>12</v>
      </c>
      <c r="J17" s="1">
        <f t="shared" si="3"/>
        <v>3.333333333333333</v>
      </c>
      <c r="K17" s="4">
        <f t="shared" si="4"/>
        <v>6.4794494541387806</v>
      </c>
      <c r="L17" s="15">
        <f>J17/SQRT(9.81*'hull data'!$C$3)</f>
        <v>0.43520477286302001</v>
      </c>
      <c r="M17" s="6">
        <f t="shared" si="5"/>
        <v>3.3279999999999998</v>
      </c>
      <c r="N17" s="6" t="b">
        <f t="shared" si="6"/>
        <v>0</v>
      </c>
      <c r="O17" s="36">
        <f t="shared" si="7"/>
        <v>2</v>
      </c>
      <c r="P17" s="71">
        <f t="shared" si="8"/>
        <v>3</v>
      </c>
      <c r="Q17" s="39">
        <f>INDEX(C$5:C$35,O17)</f>
        <v>3.3279999999999998</v>
      </c>
      <c r="R17" s="39">
        <f t="shared" si="10"/>
        <v>3.8879999999999999</v>
      </c>
      <c r="S17" s="39">
        <f t="shared" si="11"/>
        <v>9.5238095238092662E-3</v>
      </c>
      <c r="T17" s="16">
        <f t="shared" si="12"/>
        <v>101.9556</v>
      </c>
      <c r="U17" s="16">
        <f t="shared" si="13"/>
        <v>138.57400000000001</v>
      </c>
      <c r="V17" s="16">
        <f t="shared" si="14"/>
        <v>11.328400000000002</v>
      </c>
      <c r="W17" s="16">
        <f t="shared" si="15"/>
        <v>17.34099999999998</v>
      </c>
      <c r="X17" s="16">
        <f t="shared" si="20"/>
        <v>0</v>
      </c>
      <c r="Y17" s="4">
        <f t="shared" si="21"/>
        <v>0</v>
      </c>
      <c r="Z17" s="1">
        <f t="shared" si="0"/>
        <v>102.30434666666666</v>
      </c>
      <c r="AA17" s="1">
        <f>V17+S17*(W17-V17)</f>
        <v>11.385662857142858</v>
      </c>
      <c r="AB17" s="1">
        <f t="shared" si="18"/>
        <v>0</v>
      </c>
      <c r="AC17" s="4">
        <f t="shared" si="19"/>
        <v>113.69000952380952</v>
      </c>
    </row>
    <row r="18" spans="1:29" x14ac:dyDescent="0.25">
      <c r="A18" s="3"/>
      <c r="B18" s="60"/>
      <c r="C18" s="38"/>
      <c r="D18" s="38">
        <v>0</v>
      </c>
      <c r="E18" s="38">
        <f t="shared" si="22"/>
        <v>0</v>
      </c>
      <c r="F18" s="38">
        <v>0</v>
      </c>
      <c r="G18" s="12">
        <f t="shared" si="2"/>
        <v>0</v>
      </c>
      <c r="H18" s="6"/>
      <c r="I18" s="5">
        <v>13</v>
      </c>
      <c r="J18" s="1">
        <f t="shared" si="3"/>
        <v>3.6111111111111112</v>
      </c>
      <c r="K18" s="4">
        <f t="shared" si="4"/>
        <v>7.0194035753170123</v>
      </c>
      <c r="L18" s="15">
        <f>J18/SQRT(9.81*'hull data'!$C$3)</f>
        <v>0.47147183726827169</v>
      </c>
      <c r="M18" s="6">
        <f t="shared" si="5"/>
        <v>3.3279999999999998</v>
      </c>
      <c r="N18" s="6" t="b">
        <f t="shared" si="6"/>
        <v>0</v>
      </c>
      <c r="O18" s="36">
        <f t="shared" si="7"/>
        <v>2</v>
      </c>
      <c r="P18" s="71">
        <f t="shared" si="8"/>
        <v>3</v>
      </c>
      <c r="Q18" s="39">
        <f t="shared" si="9"/>
        <v>3.3279999999999998</v>
      </c>
      <c r="R18" s="39">
        <f>INDEX(C$5:C$35,P18)</f>
        <v>3.8879999999999999</v>
      </c>
      <c r="S18" s="39">
        <f t="shared" si="11"/>
        <v>0.50555555555555587</v>
      </c>
      <c r="T18" s="16">
        <f>LOOKUP(Q18,C$5:C$35,D$5:D$35)</f>
        <v>101.9556</v>
      </c>
      <c r="U18" s="16">
        <f>LOOKUP(R18,C$5:C$35,D$5:D$35)</f>
        <v>138.57400000000001</v>
      </c>
      <c r="V18" s="16">
        <f t="shared" si="14"/>
        <v>11.328400000000002</v>
      </c>
      <c r="W18" s="16">
        <f t="shared" si="15"/>
        <v>17.34099999999998</v>
      </c>
      <c r="X18" s="16">
        <f t="shared" si="20"/>
        <v>0</v>
      </c>
      <c r="Y18" s="4">
        <f t="shared" si="21"/>
        <v>0</v>
      </c>
      <c r="Z18" s="1">
        <f t="shared" si="0"/>
        <v>120.46823555555558</v>
      </c>
      <c r="AA18" s="1">
        <f t="shared" si="17"/>
        <v>14.368103333333327</v>
      </c>
      <c r="AB18" s="1">
        <f t="shared" si="18"/>
        <v>0</v>
      </c>
      <c r="AC18" s="4">
        <f t="shared" si="19"/>
        <v>134.83633888888892</v>
      </c>
    </row>
    <row r="19" spans="1:29" x14ac:dyDescent="0.25">
      <c r="A19" s="3"/>
      <c r="B19" s="60"/>
      <c r="C19" s="38"/>
      <c r="D19" s="38">
        <v>0</v>
      </c>
      <c r="E19" s="38">
        <f t="shared" si="22"/>
        <v>0</v>
      </c>
      <c r="F19" s="38">
        <v>0</v>
      </c>
      <c r="G19" s="12">
        <f t="shared" si="2"/>
        <v>0</v>
      </c>
      <c r="H19" s="6"/>
      <c r="I19" s="5">
        <v>14</v>
      </c>
      <c r="J19" s="1">
        <f t="shared" si="3"/>
        <v>3.8888888888888888</v>
      </c>
      <c r="K19" s="4">
        <f t="shared" si="4"/>
        <v>7.559357696495244</v>
      </c>
      <c r="L19" s="15">
        <f>J19/SQRT(9.81*'hull data'!$C$3)</f>
        <v>0.50773890167352331</v>
      </c>
      <c r="M19" s="6">
        <f t="shared" si="5"/>
        <v>3.8879999999999999</v>
      </c>
      <c r="N19" s="6" t="b">
        <f t="shared" si="6"/>
        <v>0</v>
      </c>
      <c r="O19" s="36">
        <f t="shared" si="7"/>
        <v>3</v>
      </c>
      <c r="P19" s="71">
        <f t="shared" si="8"/>
        <v>4</v>
      </c>
      <c r="Q19" s="39">
        <f t="shared" si="9"/>
        <v>3.8879999999999999</v>
      </c>
      <c r="R19" s="39">
        <f t="shared" si="10"/>
        <v>4.4420000000000002</v>
      </c>
      <c r="S19" s="39">
        <f t="shared" si="11"/>
        <v>1.6044925792219108E-3</v>
      </c>
      <c r="T19" s="16">
        <f t="shared" si="12"/>
        <v>138.57400000000001</v>
      </c>
      <c r="U19" s="16">
        <f t="shared" si="13"/>
        <v>169.40703999999999</v>
      </c>
      <c r="V19" s="16">
        <f t="shared" si="14"/>
        <v>17.34099999999998</v>
      </c>
      <c r="W19" s="16">
        <f t="shared" si="15"/>
        <v>23.100960000000001</v>
      </c>
      <c r="X19" s="16">
        <f t="shared" si="20"/>
        <v>0</v>
      </c>
      <c r="Y19" s="4">
        <f t="shared" si="21"/>
        <v>0</v>
      </c>
      <c r="Z19" s="1">
        <f>T19+S19*(U19-T19)</f>
        <v>138.62347138387486</v>
      </c>
      <c r="AA19" s="1">
        <f t="shared" si="17"/>
        <v>17.350241813076593</v>
      </c>
      <c r="AB19" s="1">
        <f t="shared" si="18"/>
        <v>0</v>
      </c>
      <c r="AC19" s="4">
        <f t="shared" si="19"/>
        <v>155.97371319695145</v>
      </c>
    </row>
    <row r="20" spans="1:29" x14ac:dyDescent="0.25">
      <c r="A20" s="3"/>
      <c r="B20" s="60"/>
      <c r="C20" s="38"/>
      <c r="D20" s="38">
        <v>0</v>
      </c>
      <c r="E20" s="38">
        <f t="shared" si="22"/>
        <v>0</v>
      </c>
      <c r="F20" s="38">
        <v>0</v>
      </c>
      <c r="G20" s="12">
        <f t="shared" si="2"/>
        <v>0</v>
      </c>
      <c r="H20" s="6"/>
      <c r="I20" s="5">
        <v>15</v>
      </c>
      <c r="J20" s="1">
        <f t="shared" si="3"/>
        <v>4.166666666666667</v>
      </c>
      <c r="K20" s="4">
        <f t="shared" si="4"/>
        <v>8.0993118176734775</v>
      </c>
      <c r="L20" s="15">
        <f>J20/SQRT(9.81*'hull data'!$C$3)</f>
        <v>0.54400596607877505</v>
      </c>
      <c r="M20" s="6">
        <f t="shared" si="5"/>
        <v>3.8879999999999999</v>
      </c>
      <c r="N20" s="6" t="b">
        <f t="shared" si="6"/>
        <v>0</v>
      </c>
      <c r="O20" s="36">
        <f t="shared" si="7"/>
        <v>3</v>
      </c>
      <c r="P20" s="71">
        <f t="shared" si="8"/>
        <v>4</v>
      </c>
      <c r="Q20" s="39">
        <f t="shared" si="9"/>
        <v>3.8879999999999999</v>
      </c>
      <c r="R20" s="39">
        <f t="shared" si="10"/>
        <v>4.4420000000000002</v>
      </c>
      <c r="S20" s="39">
        <f t="shared" si="11"/>
        <v>0.50300842358604136</v>
      </c>
      <c r="T20" s="16">
        <f>LOOKUP(Q20,C$5:C$35,D$5:D$35)</f>
        <v>138.57400000000001</v>
      </c>
      <c r="U20" s="16">
        <f>LOOKUP(R20,C$5:C$35,D$5:D$35)</f>
        <v>169.40703999999999</v>
      </c>
      <c r="V20" s="16">
        <f t="shared" si="14"/>
        <v>17.34099999999998</v>
      </c>
      <c r="W20" s="16">
        <f t="shared" si="15"/>
        <v>23.100960000000001</v>
      </c>
      <c r="X20" s="16">
        <f t="shared" si="20"/>
        <v>0</v>
      </c>
      <c r="Y20" s="4">
        <f t="shared" si="21"/>
        <v>0</v>
      </c>
      <c r="Z20" s="1">
        <f>T20+S20*(U20-T20)</f>
        <v>154.08327884476535</v>
      </c>
      <c r="AA20" s="1">
        <f t="shared" si="17"/>
        <v>20.238308399518644</v>
      </c>
      <c r="AB20" s="1">
        <f t="shared" si="18"/>
        <v>0</v>
      </c>
      <c r="AC20" s="4">
        <f t="shared" si="19"/>
        <v>174.32158724428399</v>
      </c>
    </row>
    <row r="21" spans="1:29" x14ac:dyDescent="0.25">
      <c r="A21" s="3"/>
      <c r="B21" s="60"/>
      <c r="C21" s="38"/>
      <c r="D21" s="38">
        <v>0</v>
      </c>
      <c r="E21" s="38">
        <f t="shared" si="22"/>
        <v>0</v>
      </c>
      <c r="F21" s="38">
        <v>0</v>
      </c>
      <c r="G21" s="12">
        <f t="shared" si="2"/>
        <v>0</v>
      </c>
      <c r="H21" s="6"/>
      <c r="I21" s="5">
        <v>16</v>
      </c>
      <c r="J21" s="1">
        <f t="shared" si="3"/>
        <v>4.4444444444444446</v>
      </c>
      <c r="K21" s="4">
        <f t="shared" si="4"/>
        <v>8.6392659388517075</v>
      </c>
      <c r="L21" s="15">
        <f>J21/SQRT(9.81*'hull data'!$C$3)</f>
        <v>0.58027303048402668</v>
      </c>
      <c r="M21" s="6">
        <f t="shared" si="5"/>
        <v>4.4420000000000002</v>
      </c>
      <c r="N21" s="6" t="b">
        <f t="shared" si="6"/>
        <v>0</v>
      </c>
      <c r="O21" s="36">
        <f t="shared" si="7"/>
        <v>4</v>
      </c>
      <c r="P21" s="71">
        <f t="shared" si="8"/>
        <v>5</v>
      </c>
      <c r="Q21" s="39">
        <f t="shared" si="9"/>
        <v>4.4420000000000002</v>
      </c>
      <c r="R21" s="39">
        <f t="shared" si="10"/>
        <v>5.0090000000000003</v>
      </c>
      <c r="S21" s="39">
        <f t="shared" si="11"/>
        <v>4.3111894963747278E-3</v>
      </c>
      <c r="T21" s="16">
        <f t="shared" si="12"/>
        <v>169.40703999999999</v>
      </c>
      <c r="U21" s="16">
        <f t="shared" si="13"/>
        <v>201.97640699999999</v>
      </c>
      <c r="V21" s="16">
        <f t="shared" si="14"/>
        <v>23.100960000000001</v>
      </c>
      <c r="W21" s="16">
        <f t="shared" si="15"/>
        <v>29.382593</v>
      </c>
      <c r="X21" s="16">
        <f t="shared" si="20"/>
        <v>0</v>
      </c>
      <c r="Y21" s="4">
        <f t="shared" si="21"/>
        <v>0</v>
      </c>
      <c r="Z21" s="1">
        <f t="shared" si="0"/>
        <v>169.54745271291398</v>
      </c>
      <c r="AA21" s="1">
        <f t="shared" si="17"/>
        <v>23.128041310209682</v>
      </c>
      <c r="AB21" s="1">
        <f t="shared" si="18"/>
        <v>0</v>
      </c>
      <c r="AC21" s="4">
        <f t="shared" si="19"/>
        <v>192.67549402312366</v>
      </c>
    </row>
    <row r="22" spans="1:29" x14ac:dyDescent="0.25">
      <c r="A22" s="3"/>
      <c r="B22" s="60"/>
      <c r="C22" s="38"/>
      <c r="D22" s="38">
        <v>0</v>
      </c>
      <c r="E22" s="38">
        <f t="shared" si="22"/>
        <v>0</v>
      </c>
      <c r="F22" s="38">
        <v>0</v>
      </c>
      <c r="G22" s="12">
        <f t="shared" si="2"/>
        <v>0</v>
      </c>
      <c r="H22" s="6"/>
      <c r="I22" s="5">
        <v>17</v>
      </c>
      <c r="J22" s="1">
        <f t="shared" si="3"/>
        <v>4.7222222222222223</v>
      </c>
      <c r="K22" s="4">
        <f t="shared" si="4"/>
        <v>9.1792200600299392</v>
      </c>
      <c r="L22" s="15">
        <f>J22/SQRT(9.81*'hull data'!$C$3)</f>
        <v>0.61654009488927841</v>
      </c>
      <c r="M22" s="6">
        <f t="shared" si="5"/>
        <v>4.4420000000000002</v>
      </c>
      <c r="N22" s="6" t="b">
        <f t="shared" si="6"/>
        <v>0</v>
      </c>
      <c r="O22" s="36">
        <f t="shared" si="7"/>
        <v>4</v>
      </c>
      <c r="P22" s="71">
        <f t="shared" si="8"/>
        <v>5</v>
      </c>
      <c r="Q22" s="39">
        <f t="shared" si="9"/>
        <v>4.4420000000000002</v>
      </c>
      <c r="R22" s="39">
        <f t="shared" si="10"/>
        <v>5.0090000000000003</v>
      </c>
      <c r="S22" s="39">
        <f t="shared" si="11"/>
        <v>0.49421908681167914</v>
      </c>
      <c r="T22" s="16">
        <f t="shared" si="12"/>
        <v>169.40703999999999</v>
      </c>
      <c r="U22" s="16">
        <f t="shared" si="13"/>
        <v>201.97640699999999</v>
      </c>
      <c r="V22" s="16">
        <f t="shared" si="14"/>
        <v>23.100960000000001</v>
      </c>
      <c r="W22" s="16">
        <f t="shared" si="15"/>
        <v>29.382593</v>
      </c>
      <c r="X22" s="16">
        <f t="shared" si="20"/>
        <v>0</v>
      </c>
      <c r="Y22" s="4">
        <f t="shared" si="21"/>
        <v>0</v>
      </c>
      <c r="Z22" s="1">
        <f t="shared" si="0"/>
        <v>185.50344281677442</v>
      </c>
      <c r="AA22" s="1">
        <f t="shared" si="17"/>
        <v>26.205462924946108</v>
      </c>
      <c r="AB22" s="1">
        <f t="shared" si="18"/>
        <v>0</v>
      </c>
      <c r="AC22" s="4">
        <f t="shared" si="19"/>
        <v>211.70890574172054</v>
      </c>
    </row>
    <row r="23" spans="1:29" x14ac:dyDescent="0.25">
      <c r="A23" s="3"/>
      <c r="B23" s="60"/>
      <c r="C23" s="38"/>
      <c r="D23" s="38">
        <v>0</v>
      </c>
      <c r="E23" s="38">
        <f t="shared" si="22"/>
        <v>0</v>
      </c>
      <c r="F23" s="38">
        <v>0</v>
      </c>
      <c r="G23" s="12">
        <f t="shared" si="2"/>
        <v>0</v>
      </c>
      <c r="H23" s="6"/>
      <c r="I23" s="5">
        <v>18</v>
      </c>
      <c r="J23" s="1">
        <f t="shared" si="3"/>
        <v>5</v>
      </c>
      <c r="K23" s="4">
        <f t="shared" si="4"/>
        <v>9.7191741812081709</v>
      </c>
      <c r="L23" s="15">
        <f>J23/SQRT(9.81*'hull data'!$C$3)</f>
        <v>0.65280715929453004</v>
      </c>
      <c r="M23" s="6">
        <f t="shared" si="5"/>
        <v>4.4420000000000002</v>
      </c>
      <c r="N23" s="6" t="b">
        <f t="shared" si="6"/>
        <v>0</v>
      </c>
      <c r="O23" s="36">
        <f t="shared" si="7"/>
        <v>4</v>
      </c>
      <c r="P23" s="71">
        <f t="shared" si="8"/>
        <v>5</v>
      </c>
      <c r="Q23" s="39">
        <f t="shared" si="9"/>
        <v>4.4420000000000002</v>
      </c>
      <c r="R23" s="39">
        <f t="shared" si="10"/>
        <v>5.0090000000000003</v>
      </c>
      <c r="S23" s="39">
        <f t="shared" si="11"/>
        <v>0.98412698412698352</v>
      </c>
      <c r="T23" s="16">
        <f t="shared" si="12"/>
        <v>169.40703999999999</v>
      </c>
      <c r="U23" s="16">
        <f t="shared" si="13"/>
        <v>201.97640699999999</v>
      </c>
      <c r="V23" s="16">
        <f t="shared" si="14"/>
        <v>23.100960000000001</v>
      </c>
      <c r="W23" s="16">
        <f t="shared" si="15"/>
        <v>29.382593</v>
      </c>
      <c r="X23" s="16">
        <f t="shared" si="20"/>
        <v>0</v>
      </c>
      <c r="Y23" s="4">
        <f t="shared" si="21"/>
        <v>0</v>
      </c>
      <c r="Z23" s="1">
        <f t="shared" si="0"/>
        <v>201.4594329206349</v>
      </c>
      <c r="AA23" s="1">
        <f t="shared" si="17"/>
        <v>29.282884539682534</v>
      </c>
      <c r="AB23" s="1">
        <f t="shared" si="18"/>
        <v>0</v>
      </c>
      <c r="AC23" s="4">
        <f t="shared" si="19"/>
        <v>230.74231746031742</v>
      </c>
    </row>
    <row r="24" spans="1:29" x14ac:dyDescent="0.25">
      <c r="A24" s="3"/>
      <c r="B24" s="60"/>
      <c r="C24" s="38"/>
      <c r="D24" s="38">
        <v>0</v>
      </c>
      <c r="E24" s="38">
        <f t="shared" si="22"/>
        <v>0</v>
      </c>
      <c r="F24" s="38">
        <v>0</v>
      </c>
      <c r="G24" s="12">
        <f t="shared" si="2"/>
        <v>0</v>
      </c>
      <c r="H24" s="6"/>
      <c r="I24" s="5">
        <v>19</v>
      </c>
      <c r="J24" s="1">
        <f t="shared" si="3"/>
        <v>5.2777777777777777</v>
      </c>
      <c r="K24" s="4">
        <f t="shared" si="4"/>
        <v>10.259128302386403</v>
      </c>
      <c r="L24" s="15">
        <f>J24/SQRT(9.81*'hull data'!$C$3)</f>
        <v>0.68907422369978166</v>
      </c>
      <c r="M24" s="6">
        <f t="shared" si="5"/>
        <v>5.0090000000000003</v>
      </c>
      <c r="N24" s="6" t="b">
        <f t="shared" si="6"/>
        <v>0</v>
      </c>
      <c r="O24" s="36">
        <f t="shared" si="7"/>
        <v>5</v>
      </c>
      <c r="P24" s="71">
        <f t="shared" si="8"/>
        <v>6</v>
      </c>
      <c r="Q24" s="39">
        <f t="shared" si="9"/>
        <v>5.0090000000000003</v>
      </c>
      <c r="R24" s="39">
        <f t="shared" si="10"/>
        <v>5.5529999999999999</v>
      </c>
      <c r="S24" s="39">
        <f t="shared" si="11"/>
        <v>0.49407679738562049</v>
      </c>
      <c r="T24" s="16">
        <f t="shared" si="12"/>
        <v>201.97640699999999</v>
      </c>
      <c r="U24" s="16">
        <f t="shared" si="13"/>
        <v>235.40111999999999</v>
      </c>
      <c r="V24" s="16">
        <f t="shared" si="14"/>
        <v>29.382593</v>
      </c>
      <c r="W24" s="16">
        <f t="shared" si="15"/>
        <v>37.053879999999992</v>
      </c>
      <c r="X24" s="16">
        <f t="shared" si="20"/>
        <v>0</v>
      </c>
      <c r="Y24" s="4">
        <f t="shared" si="21"/>
        <v>0</v>
      </c>
      <c r="Z24" s="1">
        <f t="shared" si="0"/>
        <v>218.4907821525735</v>
      </c>
      <c r="AA24" s="1">
        <f t="shared" si="17"/>
        <v>33.172797912785938</v>
      </c>
      <c r="AB24" s="1">
        <f t="shared" si="18"/>
        <v>0</v>
      </c>
      <c r="AC24" s="4">
        <f t="shared" si="19"/>
        <v>251.66358006535944</v>
      </c>
    </row>
    <row r="25" spans="1:29" x14ac:dyDescent="0.25">
      <c r="A25" s="3"/>
      <c r="B25" s="60"/>
      <c r="C25" s="58"/>
      <c r="D25" s="30"/>
      <c r="E25" s="38"/>
      <c r="F25" s="38"/>
      <c r="G25" s="12">
        <f t="shared" si="2"/>
        <v>0</v>
      </c>
      <c r="H25" s="6"/>
      <c r="I25" s="5">
        <v>20</v>
      </c>
      <c r="J25" s="1">
        <f t="shared" si="3"/>
        <v>5.5555555555555554</v>
      </c>
      <c r="K25" s="4">
        <f t="shared" si="4"/>
        <v>10.799082423564634</v>
      </c>
      <c r="L25" s="15">
        <f>J25/SQRT(9.81*'hull data'!$C$3)</f>
        <v>0.7253412881050334</v>
      </c>
      <c r="M25" s="6">
        <f t="shared" si="5"/>
        <v>5.5529999999999999</v>
      </c>
      <c r="N25" s="6" t="b">
        <f t="shared" si="6"/>
        <v>0</v>
      </c>
      <c r="O25" s="36">
        <f t="shared" si="7"/>
        <v>6</v>
      </c>
      <c r="P25" s="71">
        <f t="shared" si="8"/>
        <v>7</v>
      </c>
      <c r="Q25" s="39">
        <f t="shared" si="9"/>
        <v>5.5529999999999999</v>
      </c>
      <c r="R25" s="39">
        <f t="shared" si="10"/>
        <v>6.1159999999999997</v>
      </c>
      <c r="S25" s="39">
        <f t="shared" si="11"/>
        <v>4.5391750542725104E-3</v>
      </c>
      <c r="T25" s="16">
        <f t="shared" si="12"/>
        <v>235.40111999999999</v>
      </c>
      <c r="U25" s="16">
        <f t="shared" si="13"/>
        <v>272.34899999999999</v>
      </c>
      <c r="V25" s="16">
        <f t="shared" si="14"/>
        <v>37.053879999999992</v>
      </c>
      <c r="W25" s="16">
        <f t="shared" si="15"/>
        <v>47.199000000000012</v>
      </c>
      <c r="X25" s="16">
        <f t="shared" si="20"/>
        <v>0</v>
      </c>
      <c r="Y25" s="4">
        <f t="shared" si="21"/>
        <v>0</v>
      </c>
      <c r="Z25" s="1">
        <f>T25+S25*(U25-T25)</f>
        <v>235.56883289520425</v>
      </c>
      <c r="AA25" s="1">
        <f t="shared" si="17"/>
        <v>37.099930475626593</v>
      </c>
      <c r="AB25" s="1">
        <f t="shared" si="18"/>
        <v>0</v>
      </c>
      <c r="AC25" s="4">
        <f t="shared" si="19"/>
        <v>272.66876337083085</v>
      </c>
    </row>
    <row r="26" spans="1:29" x14ac:dyDescent="0.25">
      <c r="A26" s="3"/>
      <c r="B26" s="60"/>
      <c r="C26" s="58"/>
      <c r="D26" s="30"/>
      <c r="E26" s="38"/>
      <c r="F26" s="38"/>
      <c r="G26" s="12">
        <f t="shared" si="2"/>
        <v>0</v>
      </c>
      <c r="H26" s="6"/>
      <c r="I26" s="5">
        <v>21</v>
      </c>
      <c r="J26" s="1">
        <f t="shared" si="3"/>
        <v>5.833333333333333</v>
      </c>
      <c r="K26" s="4">
        <f t="shared" si="4"/>
        <v>11.339036544742866</v>
      </c>
      <c r="L26" s="15">
        <f>J26/SQRT(9.81*'hull data'!$C$3)</f>
        <v>0.76160835251028502</v>
      </c>
      <c r="M26" s="6">
        <f t="shared" si="5"/>
        <v>5.5529999999999999</v>
      </c>
      <c r="N26" s="6" t="b">
        <f t="shared" si="6"/>
        <v>0</v>
      </c>
      <c r="O26" s="36">
        <f t="shared" si="7"/>
        <v>6</v>
      </c>
      <c r="P26" s="71">
        <f t="shared" si="8"/>
        <v>7</v>
      </c>
      <c r="Q26" s="39">
        <f t="shared" si="9"/>
        <v>5.5529999999999999</v>
      </c>
      <c r="R26" s="39">
        <f t="shared" si="10"/>
        <v>6.1159999999999997</v>
      </c>
      <c r="S26" s="39">
        <f t="shared" si="11"/>
        <v>0.49792776791000576</v>
      </c>
      <c r="T26" s="16">
        <f t="shared" si="12"/>
        <v>235.40111999999999</v>
      </c>
      <c r="U26" s="16">
        <f t="shared" si="13"/>
        <v>272.34899999999999</v>
      </c>
      <c r="V26" s="16">
        <f t="shared" si="14"/>
        <v>37.053879999999992</v>
      </c>
      <c r="W26" s="16">
        <f t="shared" si="15"/>
        <v>47.199000000000012</v>
      </c>
      <c r="X26" s="16">
        <f t="shared" si="20"/>
        <v>0</v>
      </c>
      <c r="Y26" s="4">
        <f t="shared" si="21"/>
        <v>0</v>
      </c>
      <c r="Z26" s="1">
        <f t="shared" si="0"/>
        <v>253.79849541740674</v>
      </c>
      <c r="AA26" s="1">
        <f t="shared" si="17"/>
        <v>42.105416956779159</v>
      </c>
      <c r="AB26" s="1">
        <f t="shared" si="18"/>
        <v>0</v>
      </c>
      <c r="AC26" s="4">
        <f t="shared" si="19"/>
        <v>295.90391237418589</v>
      </c>
    </row>
    <row r="27" spans="1:29" x14ac:dyDescent="0.25">
      <c r="A27" s="3"/>
      <c r="B27" s="60"/>
      <c r="C27" s="58"/>
      <c r="D27" s="30"/>
      <c r="E27" s="38"/>
      <c r="F27" s="38"/>
      <c r="G27" s="12">
        <f t="shared" si="2"/>
        <v>0</v>
      </c>
      <c r="H27" s="6"/>
      <c r="I27" s="5">
        <v>22</v>
      </c>
      <c r="J27" s="1">
        <f t="shared" si="3"/>
        <v>6.1111111111111107</v>
      </c>
      <c r="K27" s="4">
        <f t="shared" si="4"/>
        <v>11.878990665921098</v>
      </c>
      <c r="L27" s="15">
        <f>J27/SQRT(9.81*'hull data'!$C$3)</f>
        <v>0.79787541691553665</v>
      </c>
      <c r="M27" s="6">
        <f t="shared" si="5"/>
        <v>5.5529999999999999</v>
      </c>
      <c r="N27" s="6" t="b">
        <f t="shared" si="6"/>
        <v>0</v>
      </c>
      <c r="O27" s="36">
        <f t="shared" si="7"/>
        <v>6</v>
      </c>
      <c r="P27" s="71">
        <f t="shared" si="8"/>
        <v>7</v>
      </c>
      <c r="Q27" s="39">
        <f t="shared" si="9"/>
        <v>5.5529999999999999</v>
      </c>
      <c r="R27" s="39">
        <f t="shared" si="10"/>
        <v>6.1159999999999997</v>
      </c>
      <c r="S27" s="39">
        <f t="shared" si="11"/>
        <v>0.99131636076573904</v>
      </c>
      <c r="T27" s="16">
        <f t="shared" si="12"/>
        <v>235.40111999999999</v>
      </c>
      <c r="U27" s="16">
        <f t="shared" si="13"/>
        <v>272.34899999999999</v>
      </c>
      <c r="V27" s="16">
        <f t="shared" si="14"/>
        <v>37.053879999999992</v>
      </c>
      <c r="W27" s="16">
        <f t="shared" si="15"/>
        <v>47.199000000000012</v>
      </c>
      <c r="X27" s="16">
        <f t="shared" si="20"/>
        <v>0</v>
      </c>
      <c r="Y27" s="4">
        <f t="shared" si="21"/>
        <v>0</v>
      </c>
      <c r="Z27" s="1">
        <f t="shared" si="0"/>
        <v>272.02815793960923</v>
      </c>
      <c r="AA27" s="1">
        <f t="shared" si="17"/>
        <v>47.110903437931725</v>
      </c>
      <c r="AB27" s="1">
        <f t="shared" si="18"/>
        <v>0</v>
      </c>
      <c r="AC27" s="4">
        <f t="shared" si="19"/>
        <v>319.13906137754094</v>
      </c>
    </row>
    <row r="28" spans="1:29" x14ac:dyDescent="0.25">
      <c r="A28" s="3"/>
      <c r="B28" s="60"/>
      <c r="C28" s="58"/>
      <c r="D28" s="30"/>
      <c r="E28" s="38"/>
      <c r="F28" s="38"/>
      <c r="G28" s="12">
        <f t="shared" si="2"/>
        <v>0</v>
      </c>
      <c r="H28" s="6"/>
      <c r="I28" s="5">
        <v>23</v>
      </c>
      <c r="J28" s="1">
        <f t="shared" si="3"/>
        <v>6.3888888888888884</v>
      </c>
      <c r="K28" s="4">
        <f t="shared" si="4"/>
        <v>12.418944787099329</v>
      </c>
      <c r="L28" s="15">
        <f>J28/SQRT(9.81*'hull data'!$C$3)</f>
        <v>0.83414248132078828</v>
      </c>
      <c r="M28" s="6">
        <f t="shared" si="5"/>
        <v>6.1159999999999997</v>
      </c>
      <c r="N28" s="6" t="b">
        <f t="shared" si="6"/>
        <v>0</v>
      </c>
      <c r="O28" s="36">
        <f t="shared" si="7"/>
        <v>7</v>
      </c>
      <c r="P28" s="71">
        <f t="shared" si="8"/>
        <v>8</v>
      </c>
      <c r="Q28" s="39">
        <f t="shared" si="9"/>
        <v>6.1159999999999997</v>
      </c>
      <c r="R28" s="39">
        <f t="shared" si="10"/>
        <v>6.6669999999999998</v>
      </c>
      <c r="S28" s="39">
        <f t="shared" si="11"/>
        <v>0.49526114135914456</v>
      </c>
      <c r="T28" s="16">
        <f t="shared" si="12"/>
        <v>272.34899999999999</v>
      </c>
      <c r="U28" s="16">
        <f t="shared" si="13"/>
        <v>312.50128000000001</v>
      </c>
      <c r="V28" s="16">
        <f t="shared" si="14"/>
        <v>47.199000000000012</v>
      </c>
      <c r="W28" s="16">
        <f t="shared" si="15"/>
        <v>57.322719999999997</v>
      </c>
      <c r="X28" s="16">
        <f t="shared" si="20"/>
        <v>0</v>
      </c>
      <c r="Y28" s="4">
        <f t="shared" si="21"/>
        <v>0</v>
      </c>
      <c r="Z28" s="1">
        <f t="shared" si="0"/>
        <v>292.23486402097194</v>
      </c>
      <c r="AA28" s="1">
        <f t="shared" si="17"/>
        <v>52.212885122000401</v>
      </c>
      <c r="AB28" s="1">
        <f t="shared" si="18"/>
        <v>0</v>
      </c>
      <c r="AC28" s="4">
        <f t="shared" si="19"/>
        <v>344.44774914297233</v>
      </c>
    </row>
    <row r="29" spans="1:29" x14ac:dyDescent="0.25">
      <c r="A29" s="3"/>
      <c r="B29" s="60"/>
      <c r="C29" s="58"/>
      <c r="D29" s="30"/>
      <c r="E29" s="38"/>
      <c r="F29" s="38"/>
      <c r="G29" s="12">
        <f t="shared" si="2"/>
        <v>0</v>
      </c>
      <c r="H29" s="6"/>
      <c r="I29" s="5">
        <v>24</v>
      </c>
      <c r="J29" s="1">
        <f t="shared" si="3"/>
        <v>6.6666666666666661</v>
      </c>
      <c r="K29" s="4">
        <f t="shared" si="4"/>
        <v>12.958898908277561</v>
      </c>
      <c r="L29" s="15">
        <f>J29/SQRT(9.81*'hull data'!$C$3)</f>
        <v>0.87040954572604001</v>
      </c>
      <c r="M29" s="6">
        <f t="shared" si="5"/>
        <v>6.1159999999999997</v>
      </c>
      <c r="N29" s="6" t="b">
        <f t="shared" si="6"/>
        <v>0</v>
      </c>
      <c r="O29" s="36">
        <f t="shared" si="7"/>
        <v>7</v>
      </c>
      <c r="P29" s="71">
        <f t="shared" si="8"/>
        <v>8</v>
      </c>
      <c r="Q29" s="39">
        <f t="shared" si="9"/>
        <v>6.1159999999999997</v>
      </c>
      <c r="R29" s="39">
        <f t="shared" si="10"/>
        <v>6.6669999999999998</v>
      </c>
      <c r="S29" s="39">
        <f t="shared" si="11"/>
        <v>0.99939503932244333</v>
      </c>
      <c r="T29" s="16">
        <f t="shared" si="12"/>
        <v>272.34899999999999</v>
      </c>
      <c r="U29" s="16">
        <f t="shared" si="13"/>
        <v>312.50128000000001</v>
      </c>
      <c r="V29" s="16">
        <f t="shared" si="14"/>
        <v>47.199000000000012</v>
      </c>
      <c r="W29" s="16">
        <f t="shared" si="15"/>
        <v>57.322719999999997</v>
      </c>
      <c r="X29" s="16">
        <f t="shared" si="20"/>
        <v>0</v>
      </c>
      <c r="Y29" s="4">
        <f t="shared" si="21"/>
        <v>0</v>
      </c>
      <c r="Z29" s="1">
        <f t="shared" si="0"/>
        <v>312.47698944948576</v>
      </c>
      <c r="AA29" s="1">
        <f t="shared" si="17"/>
        <v>57.316595547489399</v>
      </c>
      <c r="AB29" s="1">
        <f t="shared" si="18"/>
        <v>0</v>
      </c>
      <c r="AC29" s="4">
        <f t="shared" si="19"/>
        <v>369.79358499697514</v>
      </c>
    </row>
    <row r="30" spans="1:29" x14ac:dyDescent="0.25">
      <c r="A30" s="3"/>
      <c r="B30" s="60"/>
      <c r="C30" s="58"/>
      <c r="D30" s="30"/>
      <c r="E30" s="38"/>
      <c r="F30" s="38"/>
      <c r="G30" s="12">
        <f t="shared" si="2"/>
        <v>0</v>
      </c>
      <c r="H30" s="6"/>
      <c r="I30" s="5">
        <v>25</v>
      </c>
      <c r="J30" s="1">
        <f t="shared" si="3"/>
        <v>6.9444444444444446</v>
      </c>
      <c r="K30" s="4">
        <f t="shared" si="4"/>
        <v>13.498853029455795</v>
      </c>
      <c r="L30" s="15">
        <f>J30/SQRT(9.81*'hull data'!$C$3)</f>
        <v>0.90667661013129175</v>
      </c>
      <c r="M30" s="6">
        <f t="shared" si="5"/>
        <v>6.6669999999999998</v>
      </c>
      <c r="N30" s="6" t="b">
        <f t="shared" si="6"/>
        <v>0</v>
      </c>
      <c r="O30" s="36">
        <f t="shared" si="7"/>
        <v>8</v>
      </c>
      <c r="P30" s="71">
        <f t="shared" si="8"/>
        <v>9</v>
      </c>
      <c r="Q30" s="39">
        <f t="shared" si="9"/>
        <v>6.6669999999999998</v>
      </c>
      <c r="R30" s="39">
        <f t="shared" si="10"/>
        <v>0</v>
      </c>
      <c r="S30" s="39">
        <f t="shared" si="11"/>
        <v>-4.1614585937369858E-2</v>
      </c>
      <c r="T30" s="16">
        <f t="shared" si="12"/>
        <v>312.50128000000001</v>
      </c>
      <c r="U30" s="16">
        <f t="shared" si="13"/>
        <v>0</v>
      </c>
      <c r="V30" s="16">
        <f t="shared" si="14"/>
        <v>57.322719999999997</v>
      </c>
      <c r="W30" s="16">
        <f t="shared" si="15"/>
        <v>0</v>
      </c>
      <c r="X30" s="16">
        <f t="shared" si="20"/>
        <v>0</v>
      </c>
      <c r="Y30" s="4">
        <f t="shared" si="21"/>
        <v>0</v>
      </c>
      <c r="Z30" s="1">
        <f t="shared" si="0"/>
        <v>325.50589137209806</v>
      </c>
      <c r="AA30" s="1">
        <f t="shared" si="17"/>
        <v>59.708181257603783</v>
      </c>
      <c r="AB30" s="1">
        <f t="shared" si="18"/>
        <v>0</v>
      </c>
      <c r="AC30" s="4">
        <f t="shared" si="19"/>
        <v>385.21407262970183</v>
      </c>
    </row>
    <row r="31" spans="1:29" x14ac:dyDescent="0.25">
      <c r="A31" s="3"/>
      <c r="B31" s="60"/>
      <c r="C31" s="58"/>
      <c r="D31" s="30"/>
      <c r="E31" s="38"/>
      <c r="F31" s="38"/>
      <c r="G31" s="12">
        <f t="shared" si="2"/>
        <v>0</v>
      </c>
      <c r="H31" s="6"/>
      <c r="I31" s="5">
        <v>26</v>
      </c>
      <c r="J31" s="1">
        <f t="shared" si="3"/>
        <v>7.2222222222222223</v>
      </c>
      <c r="K31" s="4">
        <f t="shared" si="4"/>
        <v>14.038807150634025</v>
      </c>
      <c r="L31" s="15">
        <f>J31/SQRT(9.81*'hull data'!$C$3)</f>
        <v>0.94294367453654337</v>
      </c>
      <c r="M31" s="6">
        <f t="shared" si="5"/>
        <v>6.6669999999999998</v>
      </c>
      <c r="N31" s="6" t="b">
        <f t="shared" si="6"/>
        <v>0</v>
      </c>
      <c r="O31" s="36">
        <f t="shared" si="7"/>
        <v>8</v>
      </c>
      <c r="P31" s="71">
        <f t="shared" si="8"/>
        <v>9</v>
      </c>
      <c r="Q31" s="39">
        <f t="shared" si="9"/>
        <v>6.6669999999999998</v>
      </c>
      <c r="R31" s="39">
        <f t="shared" si="10"/>
        <v>0</v>
      </c>
      <c r="S31" s="39">
        <f t="shared" si="11"/>
        <v>-8.3279169374864639E-2</v>
      </c>
      <c r="T31" s="16">
        <f t="shared" si="12"/>
        <v>312.50128000000001</v>
      </c>
      <c r="U31" s="16">
        <f t="shared" si="13"/>
        <v>0</v>
      </c>
      <c r="V31" s="16">
        <f t="shared" si="14"/>
        <v>57.322719999999997</v>
      </c>
      <c r="W31" s="16">
        <f t="shared" si="15"/>
        <v>0</v>
      </c>
      <c r="X31" s="16">
        <f t="shared" si="20"/>
        <v>0</v>
      </c>
      <c r="Y31" s="4">
        <f t="shared" si="21"/>
        <v>0</v>
      </c>
      <c r="Z31" s="1">
        <f t="shared" si="0"/>
        <v>338.52612702698201</v>
      </c>
      <c r="AA31" s="1">
        <f t="shared" si="17"/>
        <v>62.096508507907934</v>
      </c>
      <c r="AB31" s="1">
        <f t="shared" si="18"/>
        <v>0</v>
      </c>
      <c r="AC31" s="4">
        <f t="shared" si="19"/>
        <v>400.62263553488992</v>
      </c>
    </row>
    <row r="32" spans="1:29" x14ac:dyDescent="0.25">
      <c r="A32" s="3"/>
      <c r="B32" s="60"/>
      <c r="C32" s="58"/>
      <c r="D32" s="30"/>
      <c r="E32" s="38"/>
      <c r="F32" s="38"/>
      <c r="G32" s="12">
        <f t="shared" si="2"/>
        <v>0</v>
      </c>
      <c r="H32" s="6"/>
      <c r="I32" s="5">
        <v>27</v>
      </c>
      <c r="J32" s="1">
        <f t="shared" si="3"/>
        <v>7.5</v>
      </c>
      <c r="K32" s="4">
        <f t="shared" si="4"/>
        <v>14.578761271812256</v>
      </c>
      <c r="L32" s="15">
        <f>J32/SQRT(9.81*'hull data'!$C$3)</f>
        <v>0.979210738941795</v>
      </c>
      <c r="M32" s="6">
        <f t="shared" si="5"/>
        <v>6.6669999999999998</v>
      </c>
      <c r="N32" s="6" t="b">
        <f t="shared" si="6"/>
        <v>0</v>
      </c>
      <c r="O32" s="36">
        <f t="shared" si="7"/>
        <v>8</v>
      </c>
      <c r="P32" s="71">
        <f t="shared" si="8"/>
        <v>9</v>
      </c>
      <c r="Q32" s="39">
        <f t="shared" si="9"/>
        <v>6.6669999999999998</v>
      </c>
      <c r="R32" s="39">
        <f t="shared" si="10"/>
        <v>0</v>
      </c>
      <c r="S32" s="39">
        <f t="shared" si="11"/>
        <v>-0.12494375281235941</v>
      </c>
      <c r="T32" s="16">
        <f t="shared" si="12"/>
        <v>312.50128000000001</v>
      </c>
      <c r="U32" s="16">
        <f t="shared" si="13"/>
        <v>0</v>
      </c>
      <c r="V32" s="16">
        <f t="shared" si="14"/>
        <v>57.322719999999997</v>
      </c>
      <c r="W32" s="16">
        <f t="shared" si="15"/>
        <v>0</v>
      </c>
      <c r="X32" s="16">
        <f t="shared" si="20"/>
        <v>0</v>
      </c>
      <c r="Y32" s="4">
        <f t="shared" si="21"/>
        <v>0</v>
      </c>
      <c r="Z32" s="1">
        <f t="shared" si="0"/>
        <v>351.5463626818659</v>
      </c>
      <c r="AA32" s="1">
        <f t="shared" si="17"/>
        <v>64.484835758212085</v>
      </c>
      <c r="AB32" s="1">
        <f t="shared" si="18"/>
        <v>0</v>
      </c>
      <c r="AC32" s="4">
        <f t="shared" si="19"/>
        <v>416.03119844007801</v>
      </c>
    </row>
    <row r="33" spans="1:34" x14ac:dyDescent="0.25">
      <c r="A33" s="3"/>
      <c r="B33" s="60"/>
      <c r="C33" s="58"/>
      <c r="D33" s="30"/>
      <c r="E33" s="38"/>
      <c r="F33" s="38"/>
      <c r="G33" s="12">
        <f t="shared" si="2"/>
        <v>0</v>
      </c>
      <c r="H33" s="6"/>
      <c r="I33" s="5">
        <v>28</v>
      </c>
      <c r="J33" s="1">
        <f t="shared" si="3"/>
        <v>7.7777777777777777</v>
      </c>
      <c r="K33" s="4">
        <f t="shared" si="4"/>
        <v>15.118715392990488</v>
      </c>
      <c r="L33" s="15">
        <f>J33/SQRT(9.81*'hull data'!$C$3)</f>
        <v>1.0154778033470466</v>
      </c>
      <c r="M33" s="6">
        <f t="shared" si="5"/>
        <v>6.6669999999999998</v>
      </c>
      <c r="N33" s="6" t="b">
        <f t="shared" si="6"/>
        <v>0</v>
      </c>
      <c r="O33" s="36">
        <f t="shared" si="7"/>
        <v>8</v>
      </c>
      <c r="P33" s="71">
        <f t="shared" si="8"/>
        <v>9</v>
      </c>
      <c r="Q33" s="39">
        <f t="shared" si="9"/>
        <v>6.6669999999999998</v>
      </c>
      <c r="R33" s="39">
        <f t="shared" si="10"/>
        <v>0</v>
      </c>
      <c r="S33" s="39">
        <f t="shared" si="11"/>
        <v>-0.16660833624985419</v>
      </c>
      <c r="T33" s="16">
        <f t="shared" si="12"/>
        <v>312.50128000000001</v>
      </c>
      <c r="U33" s="16">
        <f t="shared" si="13"/>
        <v>0</v>
      </c>
      <c r="V33" s="16">
        <f t="shared" si="14"/>
        <v>57.322719999999997</v>
      </c>
      <c r="W33" s="16">
        <f t="shared" si="15"/>
        <v>0</v>
      </c>
      <c r="X33" s="16">
        <f t="shared" si="20"/>
        <v>0</v>
      </c>
      <c r="Y33" s="4">
        <f t="shared" si="21"/>
        <v>0</v>
      </c>
      <c r="Z33" s="1">
        <f>T33+S33*(U33-T33)</f>
        <v>364.56659833674985</v>
      </c>
      <c r="AA33" s="1">
        <f>V33+S33*(W33-V33)</f>
        <v>66.873163008516244</v>
      </c>
      <c r="AB33" s="1">
        <f t="shared" si="18"/>
        <v>0</v>
      </c>
      <c r="AC33" s="4">
        <f t="shared" si="19"/>
        <v>431.43976134526611</v>
      </c>
    </row>
    <row r="34" spans="1:34" x14ac:dyDescent="0.25">
      <c r="A34" s="3"/>
      <c r="B34" s="60"/>
      <c r="C34" s="58"/>
      <c r="D34" s="30"/>
      <c r="E34" s="38"/>
      <c r="F34" s="38"/>
      <c r="G34" s="12">
        <f t="shared" si="2"/>
        <v>0</v>
      </c>
      <c r="H34" s="6"/>
      <c r="I34" s="5">
        <v>29</v>
      </c>
      <c r="J34" s="1">
        <f t="shared" si="3"/>
        <v>8.0555555555555554</v>
      </c>
      <c r="K34" s="4">
        <f t="shared" si="4"/>
        <v>15.65866951416872</v>
      </c>
      <c r="L34" s="15">
        <f>J34/SQRT(9.81*'hull data'!$C$3)</f>
        <v>1.0517448677522983</v>
      </c>
      <c r="M34" s="6">
        <f t="shared" si="5"/>
        <v>6.6669999999999998</v>
      </c>
      <c r="N34" s="6" t="b">
        <f t="shared" si="6"/>
        <v>0</v>
      </c>
      <c r="O34" s="36">
        <f t="shared" si="7"/>
        <v>8</v>
      </c>
      <c r="P34" s="71">
        <f t="shared" si="8"/>
        <v>9</v>
      </c>
      <c r="Q34" s="39">
        <f t="shared" si="9"/>
        <v>6.6669999999999998</v>
      </c>
      <c r="R34" s="39">
        <f t="shared" si="10"/>
        <v>0</v>
      </c>
      <c r="S34" s="39">
        <f t="shared" si="11"/>
        <v>-0.20827291968734896</v>
      </c>
      <c r="T34" s="16">
        <f t="shared" si="12"/>
        <v>312.50128000000001</v>
      </c>
      <c r="U34" s="16">
        <f t="shared" si="13"/>
        <v>0</v>
      </c>
      <c r="V34" s="16">
        <f t="shared" si="14"/>
        <v>57.322719999999997</v>
      </c>
      <c r="W34" s="16">
        <f t="shared" si="15"/>
        <v>0</v>
      </c>
      <c r="X34" s="16">
        <f t="shared" si="20"/>
        <v>0</v>
      </c>
      <c r="Y34" s="4">
        <f t="shared" si="21"/>
        <v>0</v>
      </c>
      <c r="Z34" s="1">
        <f t="shared" si="0"/>
        <v>377.58683399163374</v>
      </c>
      <c r="AA34" s="1">
        <f t="shared" si="17"/>
        <v>69.261490258820388</v>
      </c>
      <c r="AB34" s="1">
        <f t="shared" si="18"/>
        <v>0</v>
      </c>
      <c r="AC34" s="4">
        <f t="shared" si="19"/>
        <v>446.84832425045414</v>
      </c>
    </row>
    <row r="35" spans="1:34" x14ac:dyDescent="0.25">
      <c r="A35" s="3"/>
      <c r="B35" s="60"/>
      <c r="C35" s="58"/>
      <c r="D35" s="30"/>
      <c r="E35" s="38"/>
      <c r="F35" s="38"/>
      <c r="G35" s="12">
        <f t="shared" si="2"/>
        <v>0</v>
      </c>
      <c r="H35" s="6"/>
      <c r="I35" s="5">
        <v>30</v>
      </c>
      <c r="J35" s="1">
        <f t="shared" si="3"/>
        <v>8.3333333333333339</v>
      </c>
      <c r="K35" s="4">
        <f t="shared" si="4"/>
        <v>16.198623635346955</v>
      </c>
      <c r="L35" s="15">
        <f>J35/SQRT(9.81*'hull data'!$C$3)</f>
        <v>1.0880119321575501</v>
      </c>
      <c r="M35" s="6">
        <f>LOOKUP(J35,C$5:C$35,C$5:C$35)</f>
        <v>6.6669999999999998</v>
      </c>
      <c r="N35" s="6" t="b">
        <f>M35=J35</f>
        <v>0</v>
      </c>
      <c r="O35" s="36">
        <f>MATCH(M35,C$5:C$35,0)</f>
        <v>8</v>
      </c>
      <c r="P35" s="71">
        <f>IF(N35,O35,O35+1)</f>
        <v>9</v>
      </c>
      <c r="Q35" s="39">
        <f>INDEX(C$5:C$35,O35)</f>
        <v>6.6669999999999998</v>
      </c>
      <c r="R35" s="39">
        <f>INDEX(C$5:C$35,P35)</f>
        <v>0</v>
      </c>
      <c r="S35" s="39">
        <f>IF(N35,0,(J35-M35)/(R35-Q35))</f>
        <v>-0.24993750312484389</v>
      </c>
      <c r="T35" s="16">
        <f>LOOKUP(Q35,C$5:C$35,D$5:D$35)</f>
        <v>312.50128000000001</v>
      </c>
      <c r="U35" s="16">
        <f>LOOKUP(R35,C$5:C$35,D$5:D$35)</f>
        <v>0</v>
      </c>
      <c r="V35" s="16">
        <f>LOOKUP(Q35,C$5:C$35,E$5:E$35)</f>
        <v>57.322719999999997</v>
      </c>
      <c r="W35" s="16">
        <f>LOOKUP(R35,C$5:C$35,E$5:E$35)</f>
        <v>0</v>
      </c>
      <c r="X35" s="16">
        <f t="shared" si="20"/>
        <v>0</v>
      </c>
      <c r="Y35" s="4">
        <f t="shared" si="21"/>
        <v>0</v>
      </c>
      <c r="Z35" s="1">
        <f t="shared" si="0"/>
        <v>390.60706964651774</v>
      </c>
      <c r="AA35" s="1">
        <f t="shared" si="17"/>
        <v>71.649817509124546</v>
      </c>
      <c r="AB35" s="1">
        <f t="shared" si="18"/>
        <v>0</v>
      </c>
      <c r="AC35" s="4">
        <f t="shared" si="19"/>
        <v>462.25688715564229</v>
      </c>
    </row>
    <row r="36" spans="1:34" x14ac:dyDescent="0.25">
      <c r="M36" s="6"/>
      <c r="N36" s="6"/>
      <c r="O36" s="36"/>
      <c r="P36" s="71"/>
      <c r="Q36" s="6"/>
      <c r="R36" s="6"/>
      <c r="S36" s="6"/>
      <c r="T36" s="6"/>
      <c r="U36" s="6"/>
      <c r="V36" s="6"/>
      <c r="W36" s="6"/>
      <c r="X36" s="6"/>
      <c r="Y36" s="3"/>
      <c r="AE36" s="6"/>
      <c r="AF36" s="6"/>
      <c r="AG36" s="6"/>
      <c r="AH36" s="6"/>
    </row>
    <row r="37" spans="1:34" ht="13.8" x14ac:dyDescent="0.25">
      <c r="I37" s="70">
        <f>'propulsion ENG'!C45</f>
        <v>15.991288870652697</v>
      </c>
      <c r="J37" s="1">
        <f>I37/3.6</f>
        <v>4.4420246862924158</v>
      </c>
      <c r="K37" s="4">
        <f>J37/0.514447</f>
        <v>8.6345623286605147</v>
      </c>
      <c r="L37" s="15">
        <f>J37/SQRT(9.81*'hull data'!$C$3)</f>
        <v>0.57995710339494555</v>
      </c>
      <c r="M37" s="6">
        <f>LOOKUP(J37,C$5:C$35,C$5:C$35)</f>
        <v>4.4420000000000002</v>
      </c>
      <c r="N37" s="6" t="b">
        <f>M37=J37</f>
        <v>0</v>
      </c>
      <c r="O37" s="36">
        <f>MATCH(M37,C$5:C$35,0)</f>
        <v>4</v>
      </c>
      <c r="P37" s="71">
        <f>IF(N37,O37,O37+1)</f>
        <v>5</v>
      </c>
      <c r="Q37" s="39">
        <f>INDEX(C$5:C$35,O37)</f>
        <v>4.4420000000000002</v>
      </c>
      <c r="R37" s="39">
        <f>INDEX(C$5:C$35,P37)</f>
        <v>5.0090000000000003</v>
      </c>
      <c r="S37" s="39">
        <f>IF(N37,0,(J37-M37)/(R37-Q37))</f>
        <v>4.3538434595392811E-5</v>
      </c>
      <c r="T37" s="16">
        <f>LOOKUP(Q37,C$5:C$35,D$5:D$35)</f>
        <v>169.40703999999999</v>
      </c>
      <c r="U37" s="16">
        <f>LOOKUP(R37,C$5:C$35,D$5:D$35)</f>
        <v>201.97640699999999</v>
      </c>
      <c r="V37" s="16">
        <f>LOOKUP(Q37,C$5:C$35,E$5:E$35)</f>
        <v>23.100960000000001</v>
      </c>
      <c r="W37" s="16">
        <f>LOOKUP(R37,C$5:C$35,E$5:E$35)</f>
        <v>29.382593</v>
      </c>
      <c r="X37" s="16">
        <f>LOOKUP(Q37,C$5:C$35,F$5:F$35)</f>
        <v>0</v>
      </c>
      <c r="Y37" s="4">
        <f>LOOKUP(R37,C$5:C$35,F$5:F$35)</f>
        <v>0</v>
      </c>
      <c r="Z37" s="1">
        <f>T37+S37*(U37-T37)</f>
        <v>169.40845801925494</v>
      </c>
      <c r="AA37" s="1">
        <f>V37+S37*(W37-V37)</f>
        <v>23.101233492467525</v>
      </c>
      <c r="AB37" s="1">
        <f t="shared" si="18"/>
        <v>0</v>
      </c>
      <c r="AC37" s="4">
        <f t="shared" si="19"/>
        <v>192.50969151172245</v>
      </c>
      <c r="AE37" s="19"/>
      <c r="AF37" s="19"/>
      <c r="AG37" s="19"/>
      <c r="AH37" s="6"/>
    </row>
    <row r="38" spans="1:34" x14ac:dyDescent="0.25">
      <c r="I38" s="70">
        <f>'propulsion ENG'!C46</f>
        <v>21.579784982852228</v>
      </c>
      <c r="J38" s="1">
        <f>I38/3.6</f>
        <v>5.994384717458952</v>
      </c>
      <c r="K38" s="4">
        <f>J38/0.514447</f>
        <v>11.652093835631177</v>
      </c>
      <c r="L38" s="15">
        <f>J38/SQRT(9.81*'hull data'!$C$3)</f>
        <v>0.78263545182458449</v>
      </c>
      <c r="M38" s="6">
        <f>LOOKUP(J38,C$5:C$35,C$5:C$35)</f>
        <v>5.5529999999999999</v>
      </c>
      <c r="N38" s="6" t="b">
        <f>M38=J38</f>
        <v>0</v>
      </c>
      <c r="O38" s="36">
        <f>MATCH(M38,C$5:C$35,0)</f>
        <v>6</v>
      </c>
      <c r="P38" s="71">
        <f>IF(N38,O38,O38+1)</f>
        <v>7</v>
      </c>
      <c r="Q38" s="39">
        <f>INDEX(C$5:C$35,O38)</f>
        <v>5.5529999999999999</v>
      </c>
      <c r="R38" s="39">
        <f>INDEX(C$5:C$35,P38)</f>
        <v>6.1159999999999997</v>
      </c>
      <c r="S38" s="39">
        <f>IF(N38,0,(J38-M38)/(R38-Q38))</f>
        <v>0.78398706475835211</v>
      </c>
      <c r="T38" s="16">
        <f>LOOKUP(Q38,C$5:C$35,D$5:D$35)</f>
        <v>235.40111999999999</v>
      </c>
      <c r="U38" s="16">
        <f>LOOKUP(R38,C$5:C$35,D$5:D$35)</f>
        <v>272.34899999999999</v>
      </c>
      <c r="V38" s="16">
        <f>LOOKUP(Q38,C$5:C$35,E$5:E$35)</f>
        <v>37.053879999999992</v>
      </c>
      <c r="W38" s="16">
        <f>LOOKUP(R38,C$5:C$35,E$5:E$35)</f>
        <v>47.199000000000012</v>
      </c>
      <c r="X38" s="16">
        <f>LOOKUP(Q38,C$5:C$35,F$5:F$35)</f>
        <v>0</v>
      </c>
      <c r="Y38" s="4">
        <f>LOOKUP(R38,C$5:C$35,F$5:F$35)</f>
        <v>0</v>
      </c>
      <c r="Z38" s="1">
        <f>T38+S38*(U38-T38)</f>
        <v>264.36777999024383</v>
      </c>
      <c r="AA38" s="1">
        <f>V38+S38*(W38-V38)</f>
        <v>45.00752285042126</v>
      </c>
      <c r="AB38" s="1">
        <f t="shared" si="18"/>
        <v>0</v>
      </c>
      <c r="AC38" s="4">
        <f t="shared" si="19"/>
        <v>309.37530284066509</v>
      </c>
    </row>
    <row r="39" spans="1:34" x14ac:dyDescent="0.25">
      <c r="O39" s="31"/>
      <c r="P39" s="69"/>
      <c r="AE39" s="20"/>
      <c r="AF39" s="20"/>
      <c r="AG39" s="20"/>
      <c r="AH39" s="6"/>
    </row>
    <row r="40" spans="1:34" x14ac:dyDescent="0.25">
      <c r="B40" s="2">
        <f>C5</f>
        <v>0</v>
      </c>
      <c r="C40">
        <f>H5</f>
        <v>5</v>
      </c>
      <c r="O40" s="31"/>
      <c r="P40" s="69"/>
      <c r="AE40" s="20"/>
      <c r="AF40" s="21"/>
      <c r="AG40" s="20"/>
      <c r="AH40" s="6"/>
    </row>
    <row r="41" spans="1:34" x14ac:dyDescent="0.25">
      <c r="B41" s="2">
        <f t="shared" ref="B41:B47" si="23">C6</f>
        <v>3.3279999999999998</v>
      </c>
      <c r="C41">
        <f t="shared" ref="C41:C47" si="24">H6</f>
        <v>10</v>
      </c>
      <c r="O41" s="31"/>
      <c r="P41" s="69"/>
      <c r="AE41" s="20"/>
      <c r="AF41" s="20"/>
      <c r="AG41" s="20"/>
      <c r="AH41" s="6"/>
    </row>
    <row r="42" spans="1:34" x14ac:dyDescent="0.25">
      <c r="B42" s="2">
        <f t="shared" si="23"/>
        <v>3.8879999999999999</v>
      </c>
      <c r="C42">
        <f t="shared" si="24"/>
        <v>11.122085751851959</v>
      </c>
      <c r="O42" s="31"/>
      <c r="P42" s="69"/>
      <c r="AE42" s="20"/>
      <c r="AF42" s="20"/>
      <c r="AG42" s="20"/>
      <c r="AH42" s="6"/>
    </row>
    <row r="43" spans="1:34" x14ac:dyDescent="0.25">
      <c r="B43" s="2">
        <f t="shared" si="23"/>
        <v>4.4420000000000002</v>
      </c>
      <c r="C43">
        <f t="shared" si="24"/>
        <v>12</v>
      </c>
      <c r="O43" s="31"/>
      <c r="P43" s="69"/>
      <c r="AE43" s="20"/>
      <c r="AF43" s="20"/>
      <c r="AG43" s="20"/>
      <c r="AH43" s="6"/>
    </row>
    <row r="44" spans="1:34" x14ac:dyDescent="0.25">
      <c r="B44" s="2">
        <f t="shared" si="23"/>
        <v>5.0090000000000003</v>
      </c>
      <c r="C44">
        <f>H9</f>
        <v>12.7</v>
      </c>
      <c r="O44" s="31"/>
      <c r="P44" s="69"/>
      <c r="AE44" s="20"/>
      <c r="AF44" s="20"/>
      <c r="AG44" s="20"/>
      <c r="AH44" s="6"/>
    </row>
    <row r="45" spans="1:34" x14ac:dyDescent="0.25">
      <c r="B45" s="2">
        <f t="shared" si="23"/>
        <v>5.5529999999999999</v>
      </c>
      <c r="C45">
        <f t="shared" si="24"/>
        <v>13.6</v>
      </c>
      <c r="O45" s="31"/>
      <c r="P45" s="69"/>
      <c r="AE45" s="20"/>
      <c r="AF45" s="20"/>
      <c r="AG45" s="20"/>
      <c r="AH45" s="6"/>
    </row>
    <row r="46" spans="1:34" x14ac:dyDescent="0.25">
      <c r="B46" s="2">
        <f t="shared" si="23"/>
        <v>6.1159999999999997</v>
      </c>
      <c r="C46">
        <f t="shared" si="24"/>
        <v>14.770550903150703</v>
      </c>
      <c r="O46" s="31"/>
      <c r="P46" s="69"/>
      <c r="AE46" s="20"/>
      <c r="AF46" s="20"/>
      <c r="AG46" s="20"/>
      <c r="AH46" s="6"/>
    </row>
    <row r="47" spans="1:34" x14ac:dyDescent="0.25">
      <c r="B47" s="2">
        <f t="shared" si="23"/>
        <v>6.6669999999999998</v>
      </c>
      <c r="C47">
        <f t="shared" si="24"/>
        <v>15.5</v>
      </c>
      <c r="AE47" s="20"/>
      <c r="AF47" s="20"/>
      <c r="AG47" s="20"/>
      <c r="AH47" s="6"/>
    </row>
    <row r="48" spans="1:34" x14ac:dyDescent="0.25">
      <c r="B48" s="2"/>
      <c r="AE48" s="20"/>
      <c r="AF48" s="21"/>
      <c r="AG48" s="20"/>
      <c r="AH48" s="6"/>
    </row>
    <row r="49" spans="31:34" x14ac:dyDescent="0.25">
      <c r="AE49" s="6"/>
      <c r="AF49" s="6"/>
      <c r="AG49" s="6"/>
      <c r="AH49" s="6"/>
    </row>
  </sheetData>
  <mergeCells count="8">
    <mergeCell ref="X4:Y4"/>
    <mergeCell ref="M3:Y3"/>
    <mergeCell ref="B2:G2"/>
    <mergeCell ref="T4:U4"/>
    <mergeCell ref="V4:W4"/>
    <mergeCell ref="O4:P4"/>
    <mergeCell ref="Q4:R4"/>
    <mergeCell ref="B3:C3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L307"/>
  <sheetViews>
    <sheetView topLeftCell="A10" zoomScale="80" zoomScaleNormal="80" workbookViewId="0">
      <selection activeCell="F26" sqref="F26"/>
    </sheetView>
  </sheetViews>
  <sheetFormatPr defaultRowHeight="13.2" x14ac:dyDescent="0.25"/>
  <cols>
    <col min="2" max="3" width="6.44140625" bestFit="1" customWidth="1"/>
    <col min="4" max="4" width="7.109375" bestFit="1" customWidth="1"/>
    <col min="5" max="5" width="6.109375" bestFit="1" customWidth="1"/>
    <col min="6" max="6" width="8.33203125" bestFit="1" customWidth="1"/>
    <col min="7" max="7" width="8.33203125" customWidth="1"/>
    <col min="8" max="8" width="8.33203125" bestFit="1" customWidth="1"/>
    <col min="9" max="9" width="11.44140625" customWidth="1"/>
    <col min="10" max="10" width="13" customWidth="1"/>
    <col min="16" max="16" width="10" customWidth="1"/>
    <col min="18" max="19" width="11.5546875" customWidth="1"/>
    <col min="20" max="20" width="13" customWidth="1"/>
    <col min="21" max="21" width="11.5546875" customWidth="1"/>
    <col min="24" max="24" width="10" customWidth="1"/>
    <col min="25" max="25" width="13" customWidth="1"/>
    <col min="26" max="26" width="11.5546875" customWidth="1"/>
    <col min="27" max="27" width="14.5546875" customWidth="1"/>
    <col min="28" max="28" width="17.44140625" customWidth="1"/>
    <col min="32" max="32" width="11" bestFit="1" customWidth="1"/>
    <col min="33" max="33" width="11.88671875" customWidth="1"/>
    <col min="34" max="34" width="9" customWidth="1"/>
    <col min="35" max="35" width="10.109375" bestFit="1" customWidth="1"/>
    <col min="36" max="37" width="9" customWidth="1"/>
    <col min="38" max="38" width="6.5546875" customWidth="1"/>
    <col min="39" max="39" width="8" customWidth="1"/>
    <col min="40" max="43" width="5.88671875" customWidth="1"/>
    <col min="44" max="81" width="7.33203125" customWidth="1"/>
  </cols>
  <sheetData>
    <row r="2" spans="2:90" x14ac:dyDescent="0.25">
      <c r="N2">
        <v>0.24</v>
      </c>
    </row>
    <row r="3" spans="2:90" x14ac:dyDescent="0.25">
      <c r="M3" s="31" t="s">
        <v>59</v>
      </c>
      <c r="N3" s="30">
        <v>0.48</v>
      </c>
      <c r="O3" t="s">
        <v>8</v>
      </c>
      <c r="R3" s="31" t="s">
        <v>63</v>
      </c>
      <c r="S3" s="31"/>
      <c r="T3" s="57">
        <f>PI()*(N3/2)^2</f>
        <v>0.18095573684677208</v>
      </c>
      <c r="U3" s="57"/>
      <c r="V3" s="31" t="s">
        <v>64</v>
      </c>
      <c r="W3" s="31"/>
      <c r="X3" s="31"/>
      <c r="Y3" s="31"/>
      <c r="Z3" s="31"/>
      <c r="AA3" s="31"/>
      <c r="AB3" s="31"/>
      <c r="AC3" s="31"/>
    </row>
    <row r="4" spans="2:90" x14ac:dyDescent="0.25">
      <c r="E4" s="60">
        <f>E3*E5</f>
        <v>0</v>
      </c>
      <c r="F4" t="s">
        <v>256</v>
      </c>
      <c r="M4" s="31" t="s">
        <v>60</v>
      </c>
      <c r="N4" s="58">
        <v>0.08</v>
      </c>
      <c r="O4" t="s">
        <v>8</v>
      </c>
      <c r="R4" s="31" t="s">
        <v>62</v>
      </c>
      <c r="S4" s="31"/>
      <c r="T4" s="57">
        <f>(N3-N4)/2*N5</f>
        <v>5.9999999999999993E-3</v>
      </c>
      <c r="U4" s="57"/>
      <c r="V4" s="31" t="s">
        <v>64</v>
      </c>
      <c r="W4" s="31"/>
      <c r="X4" s="31"/>
      <c r="Y4" s="31"/>
      <c r="Z4" s="31"/>
      <c r="AA4" s="31"/>
      <c r="AB4" s="31"/>
      <c r="AC4" s="31"/>
      <c r="AG4" s="31" t="s">
        <v>79</v>
      </c>
      <c r="AH4" s="31" t="s">
        <v>68</v>
      </c>
      <c r="AQ4" s="31" t="s">
        <v>110</v>
      </c>
      <c r="AR4">
        <v>1</v>
      </c>
      <c r="AS4">
        <v>2</v>
      </c>
      <c r="AT4">
        <v>3</v>
      </c>
      <c r="AU4">
        <v>4</v>
      </c>
      <c r="AV4">
        <v>5</v>
      </c>
      <c r="AW4">
        <v>6</v>
      </c>
      <c r="AX4">
        <v>7</v>
      </c>
      <c r="AY4">
        <v>8</v>
      </c>
      <c r="AZ4">
        <v>9</v>
      </c>
      <c r="BA4">
        <v>10</v>
      </c>
      <c r="BB4">
        <v>11</v>
      </c>
      <c r="BC4">
        <v>12</v>
      </c>
      <c r="BD4">
        <v>13</v>
      </c>
      <c r="BE4">
        <v>14</v>
      </c>
      <c r="BF4">
        <v>15</v>
      </c>
      <c r="BG4">
        <v>16</v>
      </c>
      <c r="BH4">
        <v>17</v>
      </c>
      <c r="BI4">
        <v>18</v>
      </c>
      <c r="BJ4">
        <v>19</v>
      </c>
      <c r="BK4">
        <v>20</v>
      </c>
      <c r="BL4">
        <v>21</v>
      </c>
      <c r="BM4">
        <v>22</v>
      </c>
      <c r="BN4">
        <v>23</v>
      </c>
      <c r="BO4">
        <v>24</v>
      </c>
      <c r="BP4">
        <v>25</v>
      </c>
      <c r="BQ4">
        <v>26</v>
      </c>
      <c r="BR4">
        <v>27</v>
      </c>
      <c r="BS4">
        <v>28</v>
      </c>
      <c r="BT4">
        <v>29</v>
      </c>
      <c r="BU4">
        <v>30</v>
      </c>
      <c r="BV4">
        <v>31</v>
      </c>
      <c r="BW4">
        <v>32</v>
      </c>
      <c r="BX4">
        <v>33</v>
      </c>
      <c r="BY4">
        <v>34</v>
      </c>
      <c r="BZ4">
        <v>35</v>
      </c>
      <c r="CA4">
        <v>36</v>
      </c>
      <c r="CB4">
        <v>37</v>
      </c>
    </row>
    <row r="5" spans="2:90" ht="14.4" x14ac:dyDescent="0.25">
      <c r="D5" t="s">
        <v>41</v>
      </c>
      <c r="E5">
        <v>988</v>
      </c>
      <c r="F5" t="s">
        <v>42</v>
      </c>
      <c r="M5" s="31" t="s">
        <v>61</v>
      </c>
      <c r="N5" s="58">
        <v>0.03</v>
      </c>
      <c r="O5" t="s">
        <v>8</v>
      </c>
      <c r="AG5" s="55">
        <f>AH5/0.88</f>
        <v>1363.6363636363637</v>
      </c>
      <c r="AH5" s="30">
        <v>1200</v>
      </c>
      <c r="AI5" s="36" t="s">
        <v>65</v>
      </c>
      <c r="AJ5" s="37" t="s">
        <v>66</v>
      </c>
      <c r="AQ5" s="33" t="s">
        <v>56</v>
      </c>
      <c r="AR5" s="2">
        <f>$N$6</f>
        <v>0</v>
      </c>
      <c r="AS5" s="2">
        <f t="shared" ref="AS5:CB5" si="0">$N$6</f>
        <v>0</v>
      </c>
      <c r="AT5" s="2">
        <f t="shared" si="0"/>
        <v>0</v>
      </c>
      <c r="AU5" s="2">
        <f t="shared" si="0"/>
        <v>0</v>
      </c>
      <c r="AV5" s="2">
        <f t="shared" si="0"/>
        <v>0</v>
      </c>
      <c r="AW5" s="2">
        <f t="shared" si="0"/>
        <v>0</v>
      </c>
      <c r="AX5" s="2">
        <f t="shared" si="0"/>
        <v>0</v>
      </c>
      <c r="AY5" s="2">
        <f t="shared" si="0"/>
        <v>0</v>
      </c>
      <c r="AZ5" s="2">
        <f t="shared" si="0"/>
        <v>0</v>
      </c>
      <c r="BA5" s="2">
        <f t="shared" si="0"/>
        <v>0</v>
      </c>
      <c r="BB5" s="2">
        <f t="shared" si="0"/>
        <v>0</v>
      </c>
      <c r="BC5" s="2">
        <f t="shared" si="0"/>
        <v>0</v>
      </c>
      <c r="BD5" s="2">
        <f t="shared" si="0"/>
        <v>0</v>
      </c>
      <c r="BE5" s="2">
        <f t="shared" si="0"/>
        <v>0</v>
      </c>
      <c r="BF5" s="2">
        <f t="shared" si="0"/>
        <v>0</v>
      </c>
      <c r="BG5" s="2">
        <f t="shared" si="0"/>
        <v>0</v>
      </c>
      <c r="BH5" s="2">
        <f t="shared" si="0"/>
        <v>0</v>
      </c>
      <c r="BI5" s="2">
        <f t="shared" si="0"/>
        <v>0</v>
      </c>
      <c r="BJ5" s="2">
        <f t="shared" si="0"/>
        <v>0</v>
      </c>
      <c r="BK5" s="2">
        <f t="shared" si="0"/>
        <v>0</v>
      </c>
      <c r="BL5" s="2">
        <f t="shared" si="0"/>
        <v>0</v>
      </c>
      <c r="BM5" s="2">
        <f t="shared" si="0"/>
        <v>0</v>
      </c>
      <c r="BN5" s="2">
        <f t="shared" si="0"/>
        <v>0</v>
      </c>
      <c r="BO5" s="2">
        <f t="shared" si="0"/>
        <v>0</v>
      </c>
      <c r="BP5" s="2">
        <f t="shared" si="0"/>
        <v>0</v>
      </c>
      <c r="BQ5" s="2">
        <f t="shared" si="0"/>
        <v>0</v>
      </c>
      <c r="BR5" s="2">
        <f t="shared" si="0"/>
        <v>0</v>
      </c>
      <c r="BS5" s="2">
        <f t="shared" si="0"/>
        <v>0</v>
      </c>
      <c r="BT5" s="2">
        <f t="shared" si="0"/>
        <v>0</v>
      </c>
      <c r="BU5" s="2">
        <f t="shared" si="0"/>
        <v>0</v>
      </c>
      <c r="BV5" s="2">
        <f t="shared" si="0"/>
        <v>0</v>
      </c>
      <c r="BW5" s="2">
        <f t="shared" si="0"/>
        <v>0</v>
      </c>
      <c r="BX5" s="2">
        <f t="shared" si="0"/>
        <v>0</v>
      </c>
      <c r="BY5" s="2">
        <f t="shared" si="0"/>
        <v>0</v>
      </c>
      <c r="BZ5" s="2">
        <f>$N$6</f>
        <v>0</v>
      </c>
      <c r="CA5" s="2">
        <f t="shared" si="0"/>
        <v>0</v>
      </c>
      <c r="CB5" s="2">
        <f t="shared" si="0"/>
        <v>0</v>
      </c>
      <c r="CE5" s="22">
        <f>L45</f>
        <v>1.4379820653630757</v>
      </c>
      <c r="CF5">
        <v>0</v>
      </c>
    </row>
    <row r="6" spans="2:90" ht="14.4" x14ac:dyDescent="0.25">
      <c r="D6" t="s">
        <v>69</v>
      </c>
      <c r="E6" s="30">
        <v>5</v>
      </c>
      <c r="F6" t="s">
        <v>71</v>
      </c>
      <c r="M6" s="31" t="s">
        <v>56</v>
      </c>
      <c r="N6" s="58"/>
      <c r="O6" s="32" t="s">
        <v>58</v>
      </c>
      <c r="P6" s="32"/>
      <c r="AE6" s="6"/>
      <c r="AF6" s="6"/>
      <c r="AG6" s="55">
        <f>AH6/0.88</f>
        <v>2840.909090909091</v>
      </c>
      <c r="AH6" s="30">
        <v>2500</v>
      </c>
      <c r="AI6" s="37" t="s">
        <v>65</v>
      </c>
      <c r="AJ6" s="31" t="s">
        <v>67</v>
      </c>
      <c r="AM6" t="s">
        <v>55</v>
      </c>
      <c r="AQ6" s="33" t="s">
        <v>57</v>
      </c>
      <c r="AR6" s="2">
        <f>$N$7</f>
        <v>6.6314559621623054E-2</v>
      </c>
      <c r="AS6" s="2">
        <f t="shared" ref="AS6:CB6" si="1">$N$7</f>
        <v>6.6314559621623054E-2</v>
      </c>
      <c r="AT6" s="2">
        <f t="shared" si="1"/>
        <v>6.6314559621623054E-2</v>
      </c>
      <c r="AU6" s="2">
        <f t="shared" si="1"/>
        <v>6.6314559621623054E-2</v>
      </c>
      <c r="AV6" s="2">
        <f t="shared" si="1"/>
        <v>6.6314559621623054E-2</v>
      </c>
      <c r="AW6" s="2">
        <f t="shared" si="1"/>
        <v>6.6314559621623054E-2</v>
      </c>
      <c r="AX6" s="2">
        <f t="shared" si="1"/>
        <v>6.6314559621623054E-2</v>
      </c>
      <c r="AY6" s="2">
        <f t="shared" si="1"/>
        <v>6.6314559621623054E-2</v>
      </c>
      <c r="AZ6" s="2">
        <f t="shared" si="1"/>
        <v>6.6314559621623054E-2</v>
      </c>
      <c r="BA6" s="2">
        <f t="shared" si="1"/>
        <v>6.6314559621623054E-2</v>
      </c>
      <c r="BB6" s="2">
        <f t="shared" si="1"/>
        <v>6.6314559621623054E-2</v>
      </c>
      <c r="BC6" s="2">
        <f t="shared" si="1"/>
        <v>6.6314559621623054E-2</v>
      </c>
      <c r="BD6" s="2">
        <f t="shared" si="1"/>
        <v>6.6314559621623054E-2</v>
      </c>
      <c r="BE6" s="2">
        <f t="shared" si="1"/>
        <v>6.6314559621623054E-2</v>
      </c>
      <c r="BF6" s="2">
        <f t="shared" si="1"/>
        <v>6.6314559621623054E-2</v>
      </c>
      <c r="BG6" s="2">
        <f t="shared" si="1"/>
        <v>6.6314559621623054E-2</v>
      </c>
      <c r="BH6" s="2">
        <f t="shared" si="1"/>
        <v>6.6314559621623054E-2</v>
      </c>
      <c r="BI6" s="2">
        <f t="shared" si="1"/>
        <v>6.6314559621623054E-2</v>
      </c>
      <c r="BJ6" s="2">
        <f t="shared" si="1"/>
        <v>6.6314559621623054E-2</v>
      </c>
      <c r="BK6" s="2">
        <f t="shared" si="1"/>
        <v>6.6314559621623054E-2</v>
      </c>
      <c r="BL6" s="2">
        <f t="shared" si="1"/>
        <v>6.6314559621623054E-2</v>
      </c>
      <c r="BM6" s="2">
        <f t="shared" si="1"/>
        <v>6.6314559621623054E-2</v>
      </c>
      <c r="BN6" s="2">
        <f t="shared" si="1"/>
        <v>6.6314559621623054E-2</v>
      </c>
      <c r="BO6" s="2">
        <f t="shared" si="1"/>
        <v>6.6314559621623054E-2</v>
      </c>
      <c r="BP6" s="2">
        <f t="shared" si="1"/>
        <v>6.6314559621623054E-2</v>
      </c>
      <c r="BQ6" s="2">
        <f t="shared" si="1"/>
        <v>6.6314559621623054E-2</v>
      </c>
      <c r="BR6" s="2">
        <f t="shared" si="1"/>
        <v>6.6314559621623054E-2</v>
      </c>
      <c r="BS6" s="2">
        <f t="shared" si="1"/>
        <v>6.6314559621623054E-2</v>
      </c>
      <c r="BT6" s="2">
        <f t="shared" si="1"/>
        <v>6.6314559621623054E-2</v>
      </c>
      <c r="BU6" s="2">
        <f t="shared" si="1"/>
        <v>6.6314559621623054E-2</v>
      </c>
      <c r="BV6" s="2">
        <f t="shared" si="1"/>
        <v>6.6314559621623054E-2</v>
      </c>
      <c r="BW6" s="2">
        <f t="shared" si="1"/>
        <v>6.6314559621623054E-2</v>
      </c>
      <c r="BX6" s="2">
        <f t="shared" si="1"/>
        <v>6.6314559621623054E-2</v>
      </c>
      <c r="BY6" s="2">
        <f t="shared" si="1"/>
        <v>6.6314559621623054E-2</v>
      </c>
      <c r="BZ6" s="2">
        <f>$N$7</f>
        <v>6.6314559621623054E-2</v>
      </c>
      <c r="CA6" s="2">
        <f t="shared" si="1"/>
        <v>6.6314559621623054E-2</v>
      </c>
      <c r="CB6" s="2">
        <f t="shared" si="1"/>
        <v>6.6314559621623054E-2</v>
      </c>
      <c r="CE6" s="22">
        <f>L45</f>
        <v>1.4379820653630757</v>
      </c>
      <c r="CF6" s="22">
        <f>T45</f>
        <v>0.77337708208933387</v>
      </c>
    </row>
    <row r="7" spans="2:90" ht="14.4" x14ac:dyDescent="0.25">
      <c r="D7" t="s">
        <v>70</v>
      </c>
      <c r="E7" s="30">
        <v>0</v>
      </c>
      <c r="F7" t="s">
        <v>71</v>
      </c>
      <c r="M7" s="29" t="s">
        <v>57</v>
      </c>
      <c r="N7" s="38">
        <f>2*T4/T3</f>
        <v>6.6314559621623054E-2</v>
      </c>
      <c r="O7" s="32" t="s">
        <v>58</v>
      </c>
      <c r="P7" s="32"/>
      <c r="AM7" s="31" t="s">
        <v>78</v>
      </c>
      <c r="AQ7" s="33" t="s">
        <v>30</v>
      </c>
      <c r="AR7" s="38">
        <v>0</v>
      </c>
      <c r="AS7" s="38">
        <v>0.11700000000000001</v>
      </c>
      <c r="AT7" s="38">
        <v>0.22800000000000001</v>
      </c>
      <c r="AU7" s="38">
        <v>0.34699999999999998</v>
      </c>
      <c r="AV7" s="38">
        <v>0.45900000000000002</v>
      </c>
      <c r="AW7" s="38">
        <v>0.57399999999999995</v>
      </c>
      <c r="AX7" s="38">
        <v>0.69</v>
      </c>
      <c r="AY7" s="38">
        <v>0.80300000000000005</v>
      </c>
      <c r="AZ7" s="38">
        <v>0.91600000000000004</v>
      </c>
      <c r="BA7" s="38">
        <v>1.032</v>
      </c>
      <c r="BB7" s="38">
        <v>1.145</v>
      </c>
      <c r="BC7" s="38">
        <v>1.2629999999999999</v>
      </c>
      <c r="BD7" s="38">
        <v>1.375</v>
      </c>
      <c r="BE7" s="38">
        <v>1.4890000000000001</v>
      </c>
      <c r="BF7" s="38">
        <v>1.6</v>
      </c>
      <c r="BG7" s="38">
        <v>1.718</v>
      </c>
      <c r="BH7" s="38">
        <v>1.829</v>
      </c>
      <c r="BI7" s="38">
        <v>1.98</v>
      </c>
      <c r="BJ7" s="38">
        <v>2.0920000000000001</v>
      </c>
      <c r="BK7" s="38">
        <v>2.2050000000000001</v>
      </c>
      <c r="BL7" s="38">
        <v>2.319</v>
      </c>
      <c r="BM7" s="38">
        <v>2.431</v>
      </c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</row>
    <row r="8" spans="2:90" x14ac:dyDescent="0.25">
      <c r="M8" t="s">
        <v>51</v>
      </c>
      <c r="N8" s="30">
        <v>3</v>
      </c>
      <c r="O8" s="32" t="s">
        <v>58</v>
      </c>
      <c r="P8" s="32"/>
      <c r="AM8" s="35">
        <f>AH5</f>
        <v>1200</v>
      </c>
      <c r="AN8" s="35">
        <f>AH6</f>
        <v>2500</v>
      </c>
      <c r="AQ8" s="34" t="s">
        <v>32</v>
      </c>
      <c r="AR8" s="38">
        <v>0.10920000000000001</v>
      </c>
      <c r="AS8" s="38">
        <v>0.11559999999999999</v>
      </c>
      <c r="AT8" s="38">
        <v>0.1191</v>
      </c>
      <c r="AU8" s="38">
        <v>0.1207</v>
      </c>
      <c r="AV8" s="38">
        <v>0.12239999999999999</v>
      </c>
      <c r="AW8" s="38">
        <v>0.1197</v>
      </c>
      <c r="AX8" s="38">
        <v>0.1143</v>
      </c>
      <c r="AY8" s="38">
        <v>0.11550000000000001</v>
      </c>
      <c r="AZ8" s="38">
        <v>0.10730000000000001</v>
      </c>
      <c r="BA8" s="38">
        <v>0.1053</v>
      </c>
      <c r="BB8" s="38">
        <v>0.1026</v>
      </c>
      <c r="BC8" s="38">
        <v>9.9500000000000005E-2</v>
      </c>
      <c r="BD8" s="38">
        <v>9.5699999999999993E-2</v>
      </c>
      <c r="BE8" s="38">
        <v>9.1600000000000001E-2</v>
      </c>
      <c r="BF8" s="38">
        <v>9.35E-2</v>
      </c>
      <c r="BG8" s="38">
        <v>7.8299999999999995E-2</v>
      </c>
      <c r="BH8" s="38">
        <v>6.8099999999999994E-2</v>
      </c>
      <c r="BI8" s="38">
        <v>5.21E-2</v>
      </c>
      <c r="BJ8" s="38">
        <v>0.04</v>
      </c>
      <c r="BK8" s="38">
        <v>2.5600000000000001E-2</v>
      </c>
      <c r="BL8" s="38">
        <v>9.9000000000000008E-3</v>
      </c>
      <c r="BM8" s="38">
        <v>-5.3E-3</v>
      </c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E8" s="22">
        <f>L46</f>
        <v>1.5204358219909933</v>
      </c>
      <c r="CF8">
        <v>0</v>
      </c>
    </row>
    <row r="9" spans="2:90" ht="39.6" x14ac:dyDescent="0.25">
      <c r="AB9" s="83" t="s">
        <v>31</v>
      </c>
      <c r="AG9" s="84" t="s">
        <v>96</v>
      </c>
      <c r="AQ9" s="34" t="s">
        <v>50</v>
      </c>
      <c r="AR9" s="38">
        <v>0.25790000000000002</v>
      </c>
      <c r="AS9" s="38">
        <v>0.26729999999999998</v>
      </c>
      <c r="AT9" s="38">
        <v>0.26640000000000003</v>
      </c>
      <c r="AU9" s="38">
        <v>0.25890000000000002</v>
      </c>
      <c r="AV9" s="38">
        <v>0.2535</v>
      </c>
      <c r="AW9" s="38">
        <v>0.25319999999999998</v>
      </c>
      <c r="AX9" s="38">
        <v>0.25919999999999999</v>
      </c>
      <c r="AY9" s="38">
        <v>0.26240000000000002</v>
      </c>
      <c r="AZ9" s="38">
        <v>0.26540000000000002</v>
      </c>
      <c r="BA9" s="38">
        <v>0.26840000000000003</v>
      </c>
      <c r="BB9" s="38">
        <v>0.27160000000000001</v>
      </c>
      <c r="BC9" s="38">
        <v>0.27500000000000002</v>
      </c>
      <c r="BD9" s="38">
        <v>0.27639999999999998</v>
      </c>
      <c r="BE9" s="38">
        <v>0.27579999999999999</v>
      </c>
      <c r="BF9" s="38">
        <v>0.27850000000000003</v>
      </c>
      <c r="BG9" s="38">
        <v>0.24809999999999999</v>
      </c>
      <c r="BH9" s="38">
        <v>0.22819999999999999</v>
      </c>
      <c r="BI9" s="38">
        <v>0.19239999999999999</v>
      </c>
      <c r="BJ9" s="38">
        <v>0.16439999999999999</v>
      </c>
      <c r="BK9" s="38">
        <v>0.13300000000000001</v>
      </c>
      <c r="BL9" s="38">
        <v>0.1003</v>
      </c>
      <c r="BM9" s="38">
        <v>6.9699999999999998E-2</v>
      </c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E9" s="22">
        <f>L46</f>
        <v>1.5204358219909933</v>
      </c>
      <c r="CF9" s="22">
        <f>T46</f>
        <v>0.80530635552662677</v>
      </c>
    </row>
    <row r="10" spans="2:90" x14ac:dyDescent="0.25">
      <c r="B10" s="376"/>
      <c r="C10" s="376"/>
      <c r="D10" s="370" t="s">
        <v>47</v>
      </c>
      <c r="E10" s="370"/>
      <c r="F10" s="370"/>
      <c r="G10" s="370"/>
      <c r="H10" s="370"/>
      <c r="I10" s="355"/>
      <c r="J10" s="79"/>
      <c r="K10" s="370" t="s">
        <v>33</v>
      </c>
      <c r="L10" s="370"/>
      <c r="M10" s="370"/>
      <c r="N10" s="370"/>
      <c r="O10" s="370"/>
      <c r="P10" s="370"/>
      <c r="Q10" s="370"/>
      <c r="R10" s="370"/>
      <c r="S10" s="370"/>
      <c r="T10" s="370"/>
      <c r="U10" s="370"/>
      <c r="V10" s="370"/>
      <c r="W10" s="370"/>
      <c r="X10" s="370"/>
      <c r="Y10" s="370"/>
      <c r="Z10" s="370"/>
      <c r="AA10" s="370"/>
      <c r="AB10" s="370" t="s">
        <v>53</v>
      </c>
      <c r="AC10" s="370"/>
      <c r="AD10" s="370"/>
      <c r="AE10" s="370"/>
      <c r="AF10" s="377" t="s">
        <v>27</v>
      </c>
      <c r="AG10" s="377"/>
      <c r="AH10" s="377"/>
      <c r="AI10" s="82"/>
      <c r="AJ10" s="82"/>
      <c r="AK10" s="6"/>
      <c r="AL10" s="34" t="s">
        <v>54</v>
      </c>
      <c r="AM10" s="56">
        <f>SUM(AM13:AM42)</f>
        <v>15.991288870652697</v>
      </c>
      <c r="AN10" s="56">
        <f>SUM(AN13:AN42)</f>
        <v>21.579784982852228</v>
      </c>
      <c r="AQ10" s="34" t="s">
        <v>34</v>
      </c>
      <c r="AR10" s="1">
        <f t="shared" ref="AR10:CB10" si="2">IF(AR8&lt;0,0,AR7*AR8/(AR9/10*2*PI()))</f>
        <v>0</v>
      </c>
      <c r="AS10" s="1">
        <f t="shared" si="2"/>
        <v>8.0531329454040512E-2</v>
      </c>
      <c r="AT10" s="1">
        <f t="shared" si="2"/>
        <v>0.16223050483002249</v>
      </c>
      <c r="AU10" s="1">
        <f t="shared" si="2"/>
        <v>0.25746892877649835</v>
      </c>
      <c r="AV10" s="1">
        <f t="shared" si="2"/>
        <v>0.35272502370065589</v>
      </c>
      <c r="AW10" s="1">
        <f t="shared" si="2"/>
        <v>0.43187938384555002</v>
      </c>
      <c r="AX10" s="1">
        <f t="shared" si="2"/>
        <v>0.48426207163690238</v>
      </c>
      <c r="AY10" s="1">
        <f t="shared" si="2"/>
        <v>0.56254054609270088</v>
      </c>
      <c r="AZ10" s="1">
        <f t="shared" si="2"/>
        <v>0.58940580484870009</v>
      </c>
      <c r="BA10" s="1">
        <f t="shared" si="2"/>
        <v>0.64438539507522463</v>
      </c>
      <c r="BB10" s="1">
        <f t="shared" si="2"/>
        <v>0.68840372789420423</v>
      </c>
      <c r="BC10" s="1">
        <f t="shared" si="2"/>
        <v>0.72730047148886712</v>
      </c>
      <c r="BD10" s="1">
        <f t="shared" si="2"/>
        <v>0.75769902583591819</v>
      </c>
      <c r="BE10" s="1">
        <f t="shared" si="2"/>
        <v>0.78707486077472899</v>
      </c>
      <c r="BF10" s="1">
        <f t="shared" si="2"/>
        <v>0.85492206414892435</v>
      </c>
      <c r="BG10" s="1">
        <f t="shared" si="2"/>
        <v>0.86293540716468775</v>
      </c>
      <c r="BH10" s="1">
        <f t="shared" si="2"/>
        <v>0.86869097376497428</v>
      </c>
      <c r="BI10" s="1">
        <f t="shared" si="2"/>
        <v>0.85333189290404055</v>
      </c>
      <c r="BJ10" s="1">
        <f t="shared" si="2"/>
        <v>0.81010253272079102</v>
      </c>
      <c r="BK10" s="1">
        <f t="shared" si="2"/>
        <v>0.67548708478581265</v>
      </c>
      <c r="BL10" s="1">
        <f t="shared" si="2"/>
        <v>0.36429662003968516</v>
      </c>
      <c r="BM10" s="1">
        <f t="shared" si="2"/>
        <v>0</v>
      </c>
      <c r="BN10" s="1" t="e">
        <f t="shared" si="2"/>
        <v>#DIV/0!</v>
      </c>
      <c r="BO10" s="1" t="e">
        <f t="shared" si="2"/>
        <v>#DIV/0!</v>
      </c>
      <c r="BP10" s="1" t="e">
        <f t="shared" si="2"/>
        <v>#DIV/0!</v>
      </c>
      <c r="BQ10" s="1" t="e">
        <f t="shared" si="2"/>
        <v>#DIV/0!</v>
      </c>
      <c r="BR10" s="1" t="e">
        <f t="shared" si="2"/>
        <v>#DIV/0!</v>
      </c>
      <c r="BS10" s="1" t="e">
        <f t="shared" si="2"/>
        <v>#DIV/0!</v>
      </c>
      <c r="BT10" s="1" t="e">
        <f t="shared" si="2"/>
        <v>#DIV/0!</v>
      </c>
      <c r="BU10" s="1" t="e">
        <f t="shared" si="2"/>
        <v>#DIV/0!</v>
      </c>
      <c r="BV10" s="1" t="e">
        <f t="shared" si="2"/>
        <v>#DIV/0!</v>
      </c>
      <c r="BW10" s="1" t="e">
        <f t="shared" si="2"/>
        <v>#DIV/0!</v>
      </c>
      <c r="BX10" s="1" t="e">
        <f t="shared" si="2"/>
        <v>#DIV/0!</v>
      </c>
      <c r="BY10" s="1" t="e">
        <f t="shared" si="2"/>
        <v>#DIV/0!</v>
      </c>
      <c r="BZ10" s="1" t="e">
        <f t="shared" si="2"/>
        <v>#DIV/0!</v>
      </c>
      <c r="CA10" s="1" t="e">
        <f t="shared" si="2"/>
        <v>#DIV/0!</v>
      </c>
      <c r="CB10" s="1" t="e">
        <f t="shared" si="2"/>
        <v>#DIV/0!</v>
      </c>
    </row>
    <row r="11" spans="2:90" ht="29.25" customHeight="1" x14ac:dyDescent="0.25">
      <c r="B11" s="374" t="str">
        <f>resistance!I3</f>
        <v>Speed</v>
      </c>
      <c r="C11" s="375"/>
      <c r="D11" s="47" t="str">
        <f>resistance!Z3</f>
        <v>Rhull</v>
      </c>
      <c r="E11" s="47" t="str">
        <f>resistance!AA3</f>
        <v>Rpod</v>
      </c>
      <c r="F11" s="47" t="str">
        <f>resistance!AB3</f>
        <v>Radd</v>
      </c>
      <c r="G11" s="47" t="str">
        <f>resistance!AC3</f>
        <v>Rtotal</v>
      </c>
      <c r="H11" s="48" t="s">
        <v>39</v>
      </c>
      <c r="I11" s="49" t="s">
        <v>72</v>
      </c>
      <c r="J11" s="48" t="s">
        <v>73</v>
      </c>
      <c r="K11" s="49" t="s">
        <v>40</v>
      </c>
      <c r="L11" s="50" t="s">
        <v>30</v>
      </c>
      <c r="M11" s="65" t="s">
        <v>94</v>
      </c>
      <c r="N11" s="49" t="s">
        <v>35</v>
      </c>
      <c r="O11" s="64" t="s">
        <v>35</v>
      </c>
      <c r="P11" s="65" t="s">
        <v>29</v>
      </c>
      <c r="Q11" s="65" t="s">
        <v>29</v>
      </c>
      <c r="R11" s="50" t="s">
        <v>48</v>
      </c>
      <c r="S11" s="65" t="s">
        <v>101</v>
      </c>
      <c r="T11" s="50" t="s">
        <v>36</v>
      </c>
      <c r="U11" s="66" t="s">
        <v>93</v>
      </c>
      <c r="V11" s="50" t="s">
        <v>45</v>
      </c>
      <c r="W11" s="50" t="s">
        <v>46</v>
      </c>
      <c r="X11" s="50" t="s">
        <v>26</v>
      </c>
      <c r="Y11" s="66" t="s">
        <v>91</v>
      </c>
      <c r="Z11" s="74" t="s">
        <v>92</v>
      </c>
      <c r="AA11" s="67" t="s">
        <v>95</v>
      </c>
      <c r="AB11" s="51" t="s">
        <v>36</v>
      </c>
      <c r="AC11" s="51" t="s">
        <v>35</v>
      </c>
      <c r="AD11" s="52" t="s">
        <v>46</v>
      </c>
      <c r="AE11" s="53" t="s">
        <v>76</v>
      </c>
      <c r="AF11" s="54" t="s">
        <v>35</v>
      </c>
      <c r="AG11" s="52" t="s">
        <v>36</v>
      </c>
      <c r="AH11" s="53" t="s">
        <v>77</v>
      </c>
      <c r="AI11" s="52"/>
      <c r="AJ11" s="52"/>
      <c r="AK11" s="52"/>
      <c r="AL11" s="6"/>
      <c r="AM11" s="1"/>
      <c r="AN11" s="1"/>
      <c r="AP11" s="10"/>
    </row>
    <row r="12" spans="2:90" x14ac:dyDescent="0.25">
      <c r="B12" s="80" t="str">
        <f>resistance!J4</f>
        <v>[m/s]</v>
      </c>
      <c r="C12" s="43" t="str">
        <f>resistance!I4</f>
        <v>[km/h]</v>
      </c>
      <c r="D12" s="42" t="str">
        <f>resistance!Z4</f>
        <v>[N]</v>
      </c>
      <c r="E12" s="42" t="str">
        <f>resistance!AA4</f>
        <v>[N]</v>
      </c>
      <c r="F12" s="42" t="str">
        <f>resistance!AB4</f>
        <v>[N]</v>
      </c>
      <c r="G12" s="42" t="str">
        <f>resistance!AC4</f>
        <v>[N]</v>
      </c>
      <c r="H12" s="43" t="s">
        <v>44</v>
      </c>
      <c r="I12" s="42" t="s">
        <v>17</v>
      </c>
      <c r="J12" s="43" t="s">
        <v>2</v>
      </c>
      <c r="K12" s="44" t="s">
        <v>49</v>
      </c>
      <c r="L12" s="45" t="s">
        <v>16</v>
      </c>
      <c r="M12" s="45"/>
      <c r="N12" s="42" t="s">
        <v>28</v>
      </c>
      <c r="O12" s="59" t="s">
        <v>90</v>
      </c>
      <c r="P12" s="59"/>
      <c r="Q12" s="59"/>
      <c r="R12" s="42"/>
      <c r="S12" s="42"/>
      <c r="T12" s="42"/>
      <c r="U12" s="42"/>
      <c r="V12" s="42" t="s">
        <v>17</v>
      </c>
      <c r="W12" s="42" t="s">
        <v>37</v>
      </c>
      <c r="X12" s="42" t="s">
        <v>44</v>
      </c>
      <c r="Y12" s="63" t="s">
        <v>89</v>
      </c>
      <c r="Z12" s="59" t="s">
        <v>89</v>
      </c>
      <c r="AA12" s="63" t="s">
        <v>44</v>
      </c>
      <c r="AB12" s="42" t="s">
        <v>16</v>
      </c>
      <c r="AC12" s="42" t="s">
        <v>52</v>
      </c>
      <c r="AD12" s="42" t="s">
        <v>37</v>
      </c>
      <c r="AE12" s="46" t="s">
        <v>44</v>
      </c>
      <c r="AF12" s="42" t="s">
        <v>52</v>
      </c>
      <c r="AG12" s="42" t="s">
        <v>16</v>
      </c>
      <c r="AH12" s="43" t="s">
        <v>44</v>
      </c>
      <c r="AI12" s="42"/>
      <c r="AJ12" s="42"/>
      <c r="AK12" s="42"/>
      <c r="AL12" s="8"/>
      <c r="AM12" s="1"/>
      <c r="AN12" s="1"/>
      <c r="AP12" s="6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t="s">
        <v>38</v>
      </c>
    </row>
    <row r="13" spans="2:90" x14ac:dyDescent="0.25">
      <c r="B13" s="70">
        <f>resistance!J5</f>
        <v>0</v>
      </c>
      <c r="C13" s="3">
        <f>resistance!I5</f>
        <v>0</v>
      </c>
      <c r="D13" s="1">
        <f>resistance!Z5</f>
        <v>0</v>
      </c>
      <c r="E13" s="1">
        <f>resistance!AA5</f>
        <v>0</v>
      </c>
      <c r="F13" s="1">
        <f>resistance!AB5</f>
        <v>0</v>
      </c>
      <c r="G13" s="1">
        <f>resistance!AC5</f>
        <v>0</v>
      </c>
      <c r="H13" s="4">
        <f t="shared" ref="H13:H18" si="3">B13*G13</f>
        <v>0</v>
      </c>
      <c r="I13" s="16">
        <f>G13/(1-$E$6/100)</f>
        <v>0</v>
      </c>
      <c r="J13" s="4">
        <f t="shared" ref="J13:J43" si="4">B13*(1-$E$7/100)</f>
        <v>0</v>
      </c>
      <c r="K13" s="28"/>
      <c r="L13" s="27">
        <v>0</v>
      </c>
      <c r="M13" s="27">
        <v>0</v>
      </c>
      <c r="N13" s="16">
        <v>0</v>
      </c>
      <c r="O13" s="16">
        <f>N13/60</f>
        <v>0</v>
      </c>
      <c r="P13" s="72">
        <v>0</v>
      </c>
      <c r="Q13" s="72">
        <v>0</v>
      </c>
      <c r="R13" s="22">
        <v>0</v>
      </c>
      <c r="S13" s="72" t="e">
        <f t="shared" ref="S13:S46" si="5">W13/($E$5*O13^2*$N$3^5)</f>
        <v>#DIV/0!</v>
      </c>
      <c r="T13" s="78">
        <v>0</v>
      </c>
      <c r="U13" s="22">
        <f t="shared" ref="U13:U43" si="6">L13*O13*$N$3</f>
        <v>0</v>
      </c>
      <c r="V13" s="1">
        <f t="shared" ref="V13:V43" si="7">P13*$E$5*(N13/60)^2*$N$3^4</f>
        <v>0</v>
      </c>
      <c r="W13" s="1">
        <f t="shared" ref="W13:W43" si="8">R13/10*$E$5*(N13/60)^2*$N$3^5</f>
        <v>0</v>
      </c>
      <c r="X13" s="16">
        <f t="shared" ref="X13:X43" si="9">W13*N13/60*2*PI()</f>
        <v>0</v>
      </c>
      <c r="Y13" s="68"/>
      <c r="Z13" s="73"/>
      <c r="AA13" s="75"/>
      <c r="AB13" s="68">
        <v>0.97</v>
      </c>
      <c r="AC13" s="40">
        <f t="shared" ref="AC13:AC43" si="10">$N$8*N13</f>
        <v>0</v>
      </c>
      <c r="AD13" s="39">
        <f t="shared" ref="AD13:AD43" si="11">W13/($N$8*AB13)</f>
        <v>0</v>
      </c>
      <c r="AE13" s="41">
        <f>AC13/60*AD13*2*PI()</f>
        <v>0</v>
      </c>
      <c r="AF13" s="12">
        <f>AC13</f>
        <v>0</v>
      </c>
      <c r="AG13" s="78">
        <v>0.84</v>
      </c>
      <c r="AH13" s="41">
        <f>X13/(AB13*AG13)</f>
        <v>0</v>
      </c>
      <c r="AI13" s="40"/>
      <c r="AJ13" s="40"/>
      <c r="AK13" s="40"/>
      <c r="AM13" s="1">
        <f t="shared" ref="AM13:AM43" si="12">IF(SIGN(AE13-$AM$8)*SIGN(AE14-$AM$8)=-1,INTERCEPT(C13:C14,AE13:AE14-$AM$8),0)</f>
        <v>0</v>
      </c>
      <c r="AN13" s="1">
        <f t="shared" ref="AN13:AN43" si="13">IF(SIGN(AE13-$AN$8)*SIGN(AE14-$AN$8)=-1,INTERCEPT(C13:C14,AE13:AE14-$AN$8),0)</f>
        <v>0</v>
      </c>
      <c r="AP13" s="6"/>
      <c r="AR13" s="22">
        <f t="shared" ref="AR13:CB13" si="14">IF(SIGN(AR$8-$K13*AR$7^2)*SIGN(AS$8-$K13*AS$7^2)=-1,INTERCEPT(AR$7:AS$7, AR$8:AS$8-$K13*(AR$7:AS$7)^2),0)</f>
        <v>0</v>
      </c>
      <c r="AS13" s="22">
        <f t="shared" si="14"/>
        <v>0</v>
      </c>
      <c r="AT13" s="22">
        <f t="shared" si="14"/>
        <v>0</v>
      </c>
      <c r="AU13" s="22">
        <f t="shared" si="14"/>
        <v>0</v>
      </c>
      <c r="AV13" s="22">
        <f t="shared" si="14"/>
        <v>0</v>
      </c>
      <c r="AW13" s="22">
        <f t="shared" si="14"/>
        <v>0</v>
      </c>
      <c r="AX13" s="22">
        <f t="shared" si="14"/>
        <v>0</v>
      </c>
      <c r="AY13" s="22">
        <f t="shared" si="14"/>
        <v>0</v>
      </c>
      <c r="AZ13" s="22">
        <f t="shared" si="14"/>
        <v>0</v>
      </c>
      <c r="BA13" s="22">
        <f t="shared" si="14"/>
        <v>0</v>
      </c>
      <c r="BB13" s="22">
        <f t="shared" si="14"/>
        <v>0</v>
      </c>
      <c r="BC13" s="22">
        <f t="shared" si="14"/>
        <v>0</v>
      </c>
      <c r="BD13" s="22">
        <f t="shared" si="14"/>
        <v>0</v>
      </c>
      <c r="BE13" s="22">
        <f t="shared" si="14"/>
        <v>0</v>
      </c>
      <c r="BF13" s="22">
        <f t="shared" si="14"/>
        <v>0</v>
      </c>
      <c r="BG13" s="22">
        <f t="shared" si="14"/>
        <v>0</v>
      </c>
      <c r="BH13" s="22">
        <f t="shared" si="14"/>
        <v>0</v>
      </c>
      <c r="BI13" s="22">
        <f t="shared" si="14"/>
        <v>0</v>
      </c>
      <c r="BJ13" s="22">
        <f t="shared" si="14"/>
        <v>0</v>
      </c>
      <c r="BK13" s="22">
        <f t="shared" si="14"/>
        <v>0</v>
      </c>
      <c r="BL13" s="22">
        <f t="shared" si="14"/>
        <v>2.3919473684210528</v>
      </c>
      <c r="BM13" s="22">
        <f t="shared" si="14"/>
        <v>0</v>
      </c>
      <c r="BN13" s="22">
        <f t="shared" si="14"/>
        <v>0</v>
      </c>
      <c r="BO13" s="22">
        <f t="shared" si="14"/>
        <v>0</v>
      </c>
      <c r="BP13" s="22">
        <f t="shared" si="14"/>
        <v>0</v>
      </c>
      <c r="BQ13" s="22">
        <f t="shared" si="14"/>
        <v>0</v>
      </c>
      <c r="BR13" s="22">
        <f t="shared" si="14"/>
        <v>0</v>
      </c>
      <c r="BS13" s="22">
        <f t="shared" si="14"/>
        <v>0</v>
      </c>
      <c r="BT13" s="22">
        <f t="shared" si="14"/>
        <v>0</v>
      </c>
      <c r="BU13" s="22">
        <f t="shared" si="14"/>
        <v>0</v>
      </c>
      <c r="BV13" s="22">
        <f t="shared" si="14"/>
        <v>0</v>
      </c>
      <c r="BW13" s="22">
        <f t="shared" si="14"/>
        <v>0</v>
      </c>
      <c r="BX13" s="22">
        <f t="shared" si="14"/>
        <v>0</v>
      </c>
      <c r="BY13" s="22">
        <f t="shared" si="14"/>
        <v>0</v>
      </c>
      <c r="BZ13" s="22">
        <f t="shared" si="14"/>
        <v>0</v>
      </c>
      <c r="CA13" s="22">
        <f t="shared" si="14"/>
        <v>0</v>
      </c>
      <c r="CB13" s="22">
        <f t="shared" si="14"/>
        <v>0</v>
      </c>
      <c r="CC13" s="22">
        <f t="shared" ref="CC13:CC23" si="15">SUM(AR13:CB13)</f>
        <v>2.3919473684210528</v>
      </c>
    </row>
    <row r="14" spans="2:90" x14ac:dyDescent="0.25">
      <c r="B14" s="70">
        <f>resistance!J6</f>
        <v>0.27777777777777779</v>
      </c>
      <c r="C14" s="3">
        <f>resistance!I6</f>
        <v>1</v>
      </c>
      <c r="D14" s="1">
        <f>resistance!Z6</f>
        <v>8.5099158653846168</v>
      </c>
      <c r="E14" s="1">
        <f>resistance!AA6</f>
        <v>0.94554620726495753</v>
      </c>
      <c r="F14" s="1">
        <f>resistance!AB6</f>
        <v>0</v>
      </c>
      <c r="G14" s="1">
        <f>resistance!AC6</f>
        <v>9.4554620726495742</v>
      </c>
      <c r="H14" s="4">
        <f t="shared" si="3"/>
        <v>2.6265172424026595</v>
      </c>
      <c r="I14" s="16">
        <f>G14/(1-$E$6/100)</f>
        <v>9.9531179712100784</v>
      </c>
      <c r="J14" s="4">
        <f t="shared" si="4"/>
        <v>0.27777777777777779</v>
      </c>
      <c r="K14" s="28">
        <f t="shared" ref="K14:K19" si="16">I14/($E$5*J14^2*$N$3^2)</f>
        <v>0.56666283996008782</v>
      </c>
      <c r="L14" s="27">
        <f>SUM(AR14:CB14)</f>
        <v>0.46395187797865495</v>
      </c>
      <c r="M14" s="27">
        <f t="shared" ref="M14:M46" si="17">J14/(O14*$N$3)</f>
        <v>0.46395187797865506</v>
      </c>
      <c r="N14" s="16">
        <f t="shared" ref="N14:N43" si="18">J14/(L14*$N$3)*60</f>
        <v>74.840137243327831</v>
      </c>
      <c r="O14" s="16">
        <f>N14/60</f>
        <v>1.2473356207221304</v>
      </c>
      <c r="P14" s="72">
        <f t="shared" ref="P14:P43" si="19">K14*L14^2</f>
        <v>0.12197493850821675</v>
      </c>
      <c r="Q14" s="72">
        <f t="shared" ref="Q14:Q43" si="20">I14/($E$5*O14^2*$N$3^4)</f>
        <v>0.12197493850821679</v>
      </c>
      <c r="R14" s="22">
        <f>CC52</f>
        <v>0.25348708205744697</v>
      </c>
      <c r="S14" s="72">
        <f t="shared" si="5"/>
        <v>2.53487082057447E-2</v>
      </c>
      <c r="T14" s="78">
        <f t="shared" ref="T14:T43" si="21">P14*L14/(R14/10*2*PI())</f>
        <v>0.3553103384355244</v>
      </c>
      <c r="U14" s="22">
        <f t="shared" si="6"/>
        <v>0.27777777777777779</v>
      </c>
      <c r="V14" s="1">
        <f t="shared" si="7"/>
        <v>9.9531179712100748</v>
      </c>
      <c r="W14" s="1">
        <f t="shared" si="8"/>
        <v>0.99285451103408207</v>
      </c>
      <c r="X14" s="16">
        <f t="shared" si="9"/>
        <v>7.7812399272600929</v>
      </c>
      <c r="Y14" s="68">
        <f t="shared" ref="Y14:Y43" si="22">(G14*B14)/(2*PI()*O14*W14)</f>
        <v>0.33754482151374821</v>
      </c>
      <c r="Z14" s="76">
        <f>(V14*U14)/(2*PI()*O14*W14)</f>
        <v>0.35531033843552429</v>
      </c>
      <c r="AA14" s="77">
        <f>X14*Z14</f>
        <v>2.7647549920027981</v>
      </c>
      <c r="AB14" s="68">
        <v>0.97</v>
      </c>
      <c r="AC14" s="40">
        <f t="shared" si="10"/>
        <v>224.52041172998349</v>
      </c>
      <c r="AD14" s="39">
        <f t="shared" si="11"/>
        <v>0.34118711719384259</v>
      </c>
      <c r="AE14" s="41">
        <f>AC14/60*AD14*2*PI()</f>
        <v>8.0218968322269006</v>
      </c>
      <c r="AF14" s="12">
        <f t="shared" ref="AF14:AF46" si="23">AC14</f>
        <v>224.52041172998349</v>
      </c>
      <c r="AG14" s="78">
        <f>AG13</f>
        <v>0.84</v>
      </c>
      <c r="AH14" s="41">
        <f t="shared" ref="AH14:AH43" si="24">X14/(AB14*AG14)</f>
        <v>9.5498771812225005</v>
      </c>
      <c r="AI14" s="40"/>
      <c r="AJ14" s="40"/>
      <c r="AK14" s="40"/>
      <c r="AM14" s="1">
        <f t="shared" si="12"/>
        <v>0</v>
      </c>
      <c r="AN14" s="1">
        <f t="shared" si="13"/>
        <v>0</v>
      </c>
      <c r="AP14" s="16"/>
      <c r="AR14" s="22">
        <f t="shared" ref="AR14:CB14" si="25">IF(SIGN(AR$8-$K14*AR$7^2)*SIGN(AS$8-$K14*AS$7^2)=-1,INTERCEPT(AR$7:AS$7, AR$8:AS$8-$K14*(AR$7:AS$7)^2),0)</f>
        <v>0</v>
      </c>
      <c r="AS14" s="22">
        <f t="shared" si="25"/>
        <v>0</v>
      </c>
      <c r="AT14" s="22">
        <f t="shared" si="25"/>
        <v>0</v>
      </c>
      <c r="AU14" s="22">
        <f t="shared" si="25"/>
        <v>0</v>
      </c>
      <c r="AV14" s="22">
        <f t="shared" si="25"/>
        <v>0.46395187797865495</v>
      </c>
      <c r="AW14" s="22">
        <f t="shared" si="25"/>
        <v>0</v>
      </c>
      <c r="AX14" s="22">
        <f t="shared" si="25"/>
        <v>0</v>
      </c>
      <c r="AY14" s="22">
        <f t="shared" si="25"/>
        <v>0</v>
      </c>
      <c r="AZ14" s="22">
        <f t="shared" si="25"/>
        <v>0</v>
      </c>
      <c r="BA14" s="22">
        <f t="shared" si="25"/>
        <v>0</v>
      </c>
      <c r="BB14" s="22">
        <f t="shared" si="25"/>
        <v>0</v>
      </c>
      <c r="BC14" s="22">
        <f t="shared" si="25"/>
        <v>0</v>
      </c>
      <c r="BD14" s="22">
        <f t="shared" si="25"/>
        <v>0</v>
      </c>
      <c r="BE14" s="22">
        <f t="shared" si="25"/>
        <v>0</v>
      </c>
      <c r="BF14" s="22">
        <f t="shared" si="25"/>
        <v>0</v>
      </c>
      <c r="BG14" s="22">
        <f t="shared" si="25"/>
        <v>0</v>
      </c>
      <c r="BH14" s="22">
        <f t="shared" si="25"/>
        <v>0</v>
      </c>
      <c r="BI14" s="22">
        <f t="shared" si="25"/>
        <v>0</v>
      </c>
      <c r="BJ14" s="22">
        <f t="shared" si="25"/>
        <v>0</v>
      </c>
      <c r="BK14" s="22">
        <f t="shared" si="25"/>
        <v>0</v>
      </c>
      <c r="BL14" s="22">
        <f t="shared" si="25"/>
        <v>0</v>
      </c>
      <c r="BM14" s="22">
        <f t="shared" si="25"/>
        <v>0</v>
      </c>
      <c r="BN14" s="22">
        <f t="shared" si="25"/>
        <v>0</v>
      </c>
      <c r="BO14" s="22">
        <f t="shared" si="25"/>
        <v>0</v>
      </c>
      <c r="BP14" s="22">
        <f t="shared" si="25"/>
        <v>0</v>
      </c>
      <c r="BQ14" s="22">
        <f t="shared" si="25"/>
        <v>0</v>
      </c>
      <c r="BR14" s="22">
        <f t="shared" si="25"/>
        <v>0</v>
      </c>
      <c r="BS14" s="22">
        <f t="shared" si="25"/>
        <v>0</v>
      </c>
      <c r="BT14" s="22">
        <f t="shared" si="25"/>
        <v>0</v>
      </c>
      <c r="BU14" s="22">
        <f t="shared" si="25"/>
        <v>0</v>
      </c>
      <c r="BV14" s="22">
        <f t="shared" si="25"/>
        <v>0</v>
      </c>
      <c r="BW14" s="22">
        <f t="shared" si="25"/>
        <v>0</v>
      </c>
      <c r="BX14" s="22">
        <f t="shared" si="25"/>
        <v>0</v>
      </c>
      <c r="BY14" s="22">
        <f t="shared" si="25"/>
        <v>0</v>
      </c>
      <c r="BZ14" s="22">
        <f t="shared" si="25"/>
        <v>0</v>
      </c>
      <c r="CA14" s="22">
        <f t="shared" si="25"/>
        <v>0</v>
      </c>
      <c r="CB14" s="22">
        <f t="shared" si="25"/>
        <v>0</v>
      </c>
      <c r="CC14" s="22">
        <f t="shared" si="15"/>
        <v>0.46395187797865495</v>
      </c>
      <c r="CG14" s="1"/>
      <c r="CH14" s="1"/>
      <c r="CI14" s="1"/>
      <c r="CJ14" s="1"/>
      <c r="CK14" s="1"/>
      <c r="CL14" s="1"/>
    </row>
    <row r="15" spans="2:90" x14ac:dyDescent="0.25">
      <c r="B15" s="70">
        <f>resistance!J7</f>
        <v>0.55555555555555558</v>
      </c>
      <c r="C15" s="3">
        <f>resistance!I7</f>
        <v>2</v>
      </c>
      <c r="D15" s="1">
        <f>resistance!Z7</f>
        <v>17.019831730769234</v>
      </c>
      <c r="E15" s="1">
        <f>resistance!AA7</f>
        <v>1.8910924145299151</v>
      </c>
      <c r="F15" s="1">
        <f>resistance!AB7</f>
        <v>0</v>
      </c>
      <c r="G15" s="1">
        <f>resistance!AC7</f>
        <v>18.910924145299148</v>
      </c>
      <c r="H15" s="4">
        <f t="shared" si="3"/>
        <v>10.506068969610638</v>
      </c>
      <c r="I15" s="16">
        <f>G15/(1-$E$6/100)</f>
        <v>19.906235942420157</v>
      </c>
      <c r="J15" s="4">
        <f t="shared" si="4"/>
        <v>0.55555555555555558</v>
      </c>
      <c r="K15" s="28">
        <f>I15/($E$5*J15^2*$N$3^2)</f>
        <v>0.28333141998004391</v>
      </c>
      <c r="L15" s="27">
        <f t="shared" ref="L15:L43" si="26">SUM(AR15:CB15)</f>
        <v>0.63911052002685464</v>
      </c>
      <c r="M15" s="27">
        <f>J15/(O15*$N$3)</f>
        <v>0.63911052002685453</v>
      </c>
      <c r="N15" s="16">
        <f t="shared" si="18"/>
        <v>108.65795862901221</v>
      </c>
      <c r="O15" s="16">
        <f t="shared" ref="O15:O46" si="27">N15/60</f>
        <v>1.8109659771502036</v>
      </c>
      <c r="P15" s="72">
        <f>K15*L15^2</f>
        <v>0.11573019122994635</v>
      </c>
      <c r="Q15" s="72">
        <f t="shared" si="20"/>
        <v>0.11573019122994635</v>
      </c>
      <c r="R15" s="22">
        <f t="shared" ref="R15:R32" si="28">CC53</f>
        <v>0.25656778551863041</v>
      </c>
      <c r="S15" s="72">
        <f>W15/($E$5*O15^2*$N$3^5)</f>
        <v>2.5656778551863036E-2</v>
      </c>
      <c r="T15" s="78">
        <f t="shared" si="21"/>
        <v>0.45881820648740773</v>
      </c>
      <c r="U15" s="22">
        <f t="shared" si="6"/>
        <v>0.55555555555555569</v>
      </c>
      <c r="V15" s="1">
        <f>P15*$E$5*(N15/60)^2*$N$3^4</f>
        <v>19.906235942420153</v>
      </c>
      <c r="W15" s="1">
        <f>R15/10*$E$5*(N15/60)^2*$N$3^5</f>
        <v>2.1182920665299476</v>
      </c>
      <c r="X15" s="16">
        <f t="shared" si="9"/>
        <v>24.103271865944823</v>
      </c>
      <c r="Y15" s="68">
        <f>(G15*B15)/(2*PI()*O15*W15)</f>
        <v>0.43587729616303733</v>
      </c>
      <c r="Z15" s="76">
        <f>(V15*U15)/(2*PI()*O15*W15)</f>
        <v>0.45881820648740773</v>
      </c>
      <c r="AA15" s="77">
        <f t="shared" ref="AA15:AA46" si="29">X15*Z15</f>
        <v>11.059019968011198</v>
      </c>
      <c r="AB15" s="68">
        <v>0.97</v>
      </c>
      <c r="AC15" s="40">
        <f t="shared" si="10"/>
        <v>325.97387588703663</v>
      </c>
      <c r="AD15" s="39">
        <f t="shared" si="11"/>
        <v>0.72793541805152839</v>
      </c>
      <c r="AE15" s="41">
        <f>AC15/60*AD15*2*PI()</f>
        <v>24.848733882417346</v>
      </c>
      <c r="AF15" s="12">
        <f t="shared" si="23"/>
        <v>325.97387588703663</v>
      </c>
      <c r="AG15" s="78">
        <f>AG14</f>
        <v>0.84</v>
      </c>
      <c r="AH15" s="41">
        <f t="shared" si="24"/>
        <v>29.581826050496836</v>
      </c>
      <c r="AI15" s="40"/>
      <c r="AJ15" s="40"/>
      <c r="AK15" s="40"/>
      <c r="AM15" s="1">
        <f t="shared" si="12"/>
        <v>0</v>
      </c>
      <c r="AN15" s="1">
        <f t="shared" si="13"/>
        <v>0</v>
      </c>
      <c r="AP15" s="16"/>
      <c r="AR15" s="22">
        <f t="shared" ref="AR15:CB15" si="30">IF(SIGN(AR$8-$K15*AR$7^2)*SIGN(AS$8-$K15*AS$7^2)=-1,INTERCEPT(AR$7:AS$7, AR$8:AS$8-$K15*(AR$7:AS$7)^2),0)</f>
        <v>0</v>
      </c>
      <c r="AS15" s="22">
        <f t="shared" si="30"/>
        <v>0</v>
      </c>
      <c r="AT15" s="22">
        <f t="shared" si="30"/>
        <v>0</v>
      </c>
      <c r="AU15" s="22">
        <f t="shared" si="30"/>
        <v>0</v>
      </c>
      <c r="AV15" s="22">
        <f t="shared" si="30"/>
        <v>0</v>
      </c>
      <c r="AW15" s="22">
        <f t="shared" si="30"/>
        <v>0.63911052002685464</v>
      </c>
      <c r="AX15" s="22">
        <f t="shared" si="30"/>
        <v>0</v>
      </c>
      <c r="AY15" s="22">
        <f t="shared" si="30"/>
        <v>0</v>
      </c>
      <c r="AZ15" s="22">
        <f t="shared" si="30"/>
        <v>0</v>
      </c>
      <c r="BA15" s="22">
        <f t="shared" si="30"/>
        <v>0</v>
      </c>
      <c r="BB15" s="22">
        <f t="shared" si="30"/>
        <v>0</v>
      </c>
      <c r="BC15" s="22">
        <f t="shared" si="30"/>
        <v>0</v>
      </c>
      <c r="BD15" s="22">
        <f t="shared" si="30"/>
        <v>0</v>
      </c>
      <c r="BE15" s="22">
        <f t="shared" si="30"/>
        <v>0</v>
      </c>
      <c r="BF15" s="22">
        <f t="shared" si="30"/>
        <v>0</v>
      </c>
      <c r="BG15" s="22">
        <f t="shared" si="30"/>
        <v>0</v>
      </c>
      <c r="BH15" s="22">
        <f t="shared" si="30"/>
        <v>0</v>
      </c>
      <c r="BI15" s="22">
        <f t="shared" si="30"/>
        <v>0</v>
      </c>
      <c r="BJ15" s="22">
        <f t="shared" si="30"/>
        <v>0</v>
      </c>
      <c r="BK15" s="22">
        <f t="shared" si="30"/>
        <v>0</v>
      </c>
      <c r="BL15" s="22">
        <f t="shared" si="30"/>
        <v>0</v>
      </c>
      <c r="BM15" s="22">
        <f t="shared" si="30"/>
        <v>0</v>
      </c>
      <c r="BN15" s="22">
        <f t="shared" si="30"/>
        <v>0</v>
      </c>
      <c r="BO15" s="22">
        <f t="shared" si="30"/>
        <v>0</v>
      </c>
      <c r="BP15" s="22">
        <f t="shared" si="30"/>
        <v>0</v>
      </c>
      <c r="BQ15" s="22">
        <f t="shared" si="30"/>
        <v>0</v>
      </c>
      <c r="BR15" s="22">
        <f t="shared" si="30"/>
        <v>0</v>
      </c>
      <c r="BS15" s="22">
        <f t="shared" si="30"/>
        <v>0</v>
      </c>
      <c r="BT15" s="22">
        <f t="shared" si="30"/>
        <v>0</v>
      </c>
      <c r="BU15" s="22">
        <f t="shared" si="30"/>
        <v>0</v>
      </c>
      <c r="BV15" s="22">
        <f t="shared" si="30"/>
        <v>0</v>
      </c>
      <c r="BW15" s="22">
        <f t="shared" si="30"/>
        <v>0</v>
      </c>
      <c r="BX15" s="22">
        <f t="shared" si="30"/>
        <v>0</v>
      </c>
      <c r="BY15" s="22">
        <f t="shared" si="30"/>
        <v>0</v>
      </c>
      <c r="BZ15" s="22">
        <f t="shared" si="30"/>
        <v>0</v>
      </c>
      <c r="CA15" s="22">
        <f t="shared" si="30"/>
        <v>0</v>
      </c>
      <c r="CB15" s="22">
        <f t="shared" si="30"/>
        <v>0</v>
      </c>
      <c r="CC15" s="22">
        <f t="shared" si="15"/>
        <v>0.63911052002685464</v>
      </c>
      <c r="CG15" s="1"/>
      <c r="CH15" s="1"/>
      <c r="CI15" s="1"/>
      <c r="CJ15" s="1"/>
      <c r="CK15" s="1"/>
      <c r="CL15" s="1"/>
    </row>
    <row r="16" spans="2:90" x14ac:dyDescent="0.25">
      <c r="B16" s="70">
        <f>resistance!J8</f>
        <v>0.83333333333333326</v>
      </c>
      <c r="C16" s="3">
        <f>resistance!I8</f>
        <v>3</v>
      </c>
      <c r="D16" s="1">
        <f>resistance!Z8</f>
        <v>25.529747596153847</v>
      </c>
      <c r="E16" s="1">
        <f>resistance!AA8</f>
        <v>2.8366386217948723</v>
      </c>
      <c r="F16" s="1">
        <f>resistance!AB8</f>
        <v>0</v>
      </c>
      <c r="G16" s="1">
        <f>resistance!AC8</f>
        <v>28.366386217948719</v>
      </c>
      <c r="H16" s="4">
        <f t="shared" si="3"/>
        <v>23.638655181623932</v>
      </c>
      <c r="I16" s="16">
        <f>G16/(1-$E$6/100)</f>
        <v>29.859353913630233</v>
      </c>
      <c r="J16" s="4">
        <f t="shared" si="4"/>
        <v>0.83333333333333326</v>
      </c>
      <c r="K16" s="28">
        <f>I16/($E$5*J16^2*$N$3^2)</f>
        <v>0.18888761332002937</v>
      </c>
      <c r="L16" s="27">
        <f>SUM(AR16:CB16)</f>
        <v>0.77979929568612816</v>
      </c>
      <c r="M16" s="27">
        <f>J16/(O16*$N$3)</f>
        <v>0.77979929568612816</v>
      </c>
      <c r="N16" s="16">
        <f>J16/(L16*$N$3)*60</f>
        <v>133.58138080262398</v>
      </c>
      <c r="O16" s="16">
        <f t="shared" si="27"/>
        <v>2.2263563467103995</v>
      </c>
      <c r="P16" s="72">
        <f t="shared" si="19"/>
        <v>0.11486009108094333</v>
      </c>
      <c r="Q16" s="72">
        <f>I16/($E$5*O16^2*$N$3^4)</f>
        <v>0.11486009108094332</v>
      </c>
      <c r="R16" s="22">
        <f t="shared" si="28"/>
        <v>0.26174298890438596</v>
      </c>
      <c r="S16" s="72">
        <f t="shared" si="5"/>
        <v>2.61742988904386E-2</v>
      </c>
      <c r="T16" s="78">
        <f t="shared" si="21"/>
        <v>0.54462436822455806</v>
      </c>
      <c r="U16" s="22">
        <f>L16*O16*$N$3</f>
        <v>0.83333333333333326</v>
      </c>
      <c r="V16" s="1">
        <f>P16*$E$5*(N16/60)^2*$N$3^4</f>
        <v>29.859353913630237</v>
      </c>
      <c r="W16" s="1">
        <f>R16/10*$E$5*(N16/60)^2*$N$3^5</f>
        <v>3.266085464452487</v>
      </c>
      <c r="X16" s="16">
        <f t="shared" si="9"/>
        <v>45.687994110769552</v>
      </c>
      <c r="Y16" s="68">
        <f>(G16*B16)/(2*PI()*O16*W16)</f>
        <v>0.51739314981333007</v>
      </c>
      <c r="Z16" s="76">
        <f>(V16*U16)/(2*PI()*O16*W16)</f>
        <v>0.54462436822455806</v>
      </c>
      <c r="AA16" s="77">
        <f>X16*Z16</f>
        <v>24.882794928025195</v>
      </c>
      <c r="AB16" s="68">
        <v>0.97</v>
      </c>
      <c r="AC16" s="40">
        <f t="shared" si="10"/>
        <v>400.74414240787195</v>
      </c>
      <c r="AD16" s="39">
        <f t="shared" si="11"/>
        <v>1.1223661389871089</v>
      </c>
      <c r="AE16" s="41">
        <f t="shared" ref="AE16:AE46" si="31">AC16/60*AD16*2*PI()</f>
        <v>47.101024856463461</v>
      </c>
      <c r="AF16" s="12">
        <f t="shared" si="23"/>
        <v>400.74414240787195</v>
      </c>
      <c r="AG16" s="78">
        <f>AG15</f>
        <v>0.84</v>
      </c>
      <c r="AH16" s="41">
        <f>X16/(AB16*AG16)</f>
        <v>56.072648638646974</v>
      </c>
      <c r="AI16" s="40"/>
      <c r="AJ16" s="40"/>
      <c r="AK16" s="40"/>
      <c r="AM16" s="1">
        <f t="shared" si="12"/>
        <v>0</v>
      </c>
      <c r="AN16" s="1">
        <f t="shared" si="13"/>
        <v>0</v>
      </c>
      <c r="AP16" s="16"/>
      <c r="AR16" s="22">
        <f t="shared" ref="AR16:CB16" si="32">IF(SIGN(AR$8-$K16*AR$7^2)*SIGN(AS$8-$K16*AS$7^2)=-1,INTERCEPT(AR$7:AS$7, AR$8:AS$8-$K16*(AR$7:AS$7)^2),0)</f>
        <v>0</v>
      </c>
      <c r="AS16" s="22">
        <f t="shared" si="32"/>
        <v>0</v>
      </c>
      <c r="AT16" s="22">
        <f t="shared" si="32"/>
        <v>0</v>
      </c>
      <c r="AU16" s="22" cm="1">
        <f t="array" ref="AU16">IF(SIGN(AU$8-$K16*AU$7^2)*SIGN(AV$8-$K16*AV$7^2)=-1,INTERCEPT(AU$7:AV$7, AU$8:AV$8-$K16*(AU$7:AV$7)^2),0)</f>
        <v>0</v>
      </c>
      <c r="AV16" s="22">
        <f t="shared" si="32"/>
        <v>0</v>
      </c>
      <c r="AW16" s="22">
        <f t="shared" si="32"/>
        <v>0</v>
      </c>
      <c r="AX16" s="22" cm="1">
        <f t="array" ref="AX16">IF(SIGN(AX$8-$K16*AX$7^2)*SIGN(AY$8-$K16*AY$7^2)=-1,INTERCEPT(AX$7:AY$7, AX$8:AY$8-$K16*(AX$7:AY$7)^2),0)</f>
        <v>0.77979929568612816</v>
      </c>
      <c r="AY16" s="22">
        <f t="shared" si="32"/>
        <v>0</v>
      </c>
      <c r="AZ16" s="22">
        <f t="shared" si="32"/>
        <v>0</v>
      </c>
      <c r="BA16" s="22">
        <f t="shared" si="32"/>
        <v>0</v>
      </c>
      <c r="BB16" s="22">
        <f t="shared" si="32"/>
        <v>0</v>
      </c>
      <c r="BC16" s="22">
        <f t="shared" si="32"/>
        <v>0</v>
      </c>
      <c r="BD16" s="22">
        <f t="shared" si="32"/>
        <v>0</v>
      </c>
      <c r="BE16" s="22">
        <f t="shared" si="32"/>
        <v>0</v>
      </c>
      <c r="BF16" s="22">
        <f t="shared" si="32"/>
        <v>0</v>
      </c>
      <c r="BG16" s="22">
        <f t="shared" si="32"/>
        <v>0</v>
      </c>
      <c r="BH16" s="22">
        <f t="shared" si="32"/>
        <v>0</v>
      </c>
      <c r="BI16" s="22">
        <f t="shared" si="32"/>
        <v>0</v>
      </c>
      <c r="BJ16" s="22">
        <f t="shared" si="32"/>
        <v>0</v>
      </c>
      <c r="BK16" s="22">
        <f t="shared" si="32"/>
        <v>0</v>
      </c>
      <c r="BL16" s="22">
        <f t="shared" si="32"/>
        <v>0</v>
      </c>
      <c r="BM16" s="22">
        <f t="shared" si="32"/>
        <v>0</v>
      </c>
      <c r="BN16" s="22">
        <f t="shared" si="32"/>
        <v>0</v>
      </c>
      <c r="BO16" s="22">
        <f t="shared" si="32"/>
        <v>0</v>
      </c>
      <c r="BP16" s="22">
        <f t="shared" si="32"/>
        <v>0</v>
      </c>
      <c r="BQ16" s="22">
        <f t="shared" si="32"/>
        <v>0</v>
      </c>
      <c r="BR16" s="22">
        <f t="shared" si="32"/>
        <v>0</v>
      </c>
      <c r="BS16" s="22">
        <f t="shared" si="32"/>
        <v>0</v>
      </c>
      <c r="BT16" s="22">
        <f t="shared" si="32"/>
        <v>0</v>
      </c>
      <c r="BU16" s="22">
        <f t="shared" si="32"/>
        <v>0</v>
      </c>
      <c r="BV16" s="22">
        <f t="shared" si="32"/>
        <v>0</v>
      </c>
      <c r="BW16" s="22">
        <f t="shared" si="32"/>
        <v>0</v>
      </c>
      <c r="BX16" s="22">
        <f t="shared" si="32"/>
        <v>0</v>
      </c>
      <c r="BY16" s="22">
        <f t="shared" si="32"/>
        <v>0</v>
      </c>
      <c r="BZ16" s="22">
        <f t="shared" si="32"/>
        <v>0</v>
      </c>
      <c r="CA16" s="22">
        <f t="shared" si="32"/>
        <v>0</v>
      </c>
      <c r="CB16" s="22">
        <f t="shared" si="32"/>
        <v>0</v>
      </c>
      <c r="CC16" s="22">
        <f t="shared" si="15"/>
        <v>0.77979929568612816</v>
      </c>
      <c r="CD16" s="1"/>
      <c r="CG16" s="1"/>
      <c r="CH16" s="1"/>
      <c r="CI16" s="1"/>
      <c r="CJ16" s="1"/>
      <c r="CK16" s="1"/>
      <c r="CL16" s="1"/>
    </row>
    <row r="17" spans="2:90" x14ac:dyDescent="0.25">
      <c r="B17" s="70">
        <f>resistance!J9</f>
        <v>1.1111111111111112</v>
      </c>
      <c r="C17" s="3">
        <f>resistance!I9</f>
        <v>4</v>
      </c>
      <c r="D17" s="1">
        <f>resistance!Z9</f>
        <v>34.039663461538467</v>
      </c>
      <c r="E17" s="1">
        <f>resistance!AA9</f>
        <v>3.7821848290598301</v>
      </c>
      <c r="F17" s="1">
        <f>resistance!AB9</f>
        <v>0</v>
      </c>
      <c r="G17" s="1">
        <f>resistance!AC9</f>
        <v>37.821848290598297</v>
      </c>
      <c r="H17" s="4">
        <f>B17*G17</f>
        <v>42.024275878442552</v>
      </c>
      <c r="I17" s="16">
        <f>G17/(1-$E$6/100)</f>
        <v>39.812471884840313</v>
      </c>
      <c r="J17" s="4">
        <f>B17*(1-$E$7/100)</f>
        <v>1.1111111111111112</v>
      </c>
      <c r="K17" s="28">
        <f>I17/($E$5*J17^2*$N$3^2)</f>
        <v>0.14166570999002195</v>
      </c>
      <c r="L17" s="27">
        <f>SUM(AR17:CB17)</f>
        <v>0.87941081987854841</v>
      </c>
      <c r="M17" s="27">
        <f>J17/(O17*$N$3)</f>
        <v>0.87941081987854841</v>
      </c>
      <c r="N17" s="16">
        <f>J17/(L17*$N$3)*60</f>
        <v>157.93402326806742</v>
      </c>
      <c r="O17" s="16">
        <f t="shared" si="27"/>
        <v>2.6322337211344569</v>
      </c>
      <c r="P17" s="72">
        <f t="shared" si="19"/>
        <v>0.10955907374156373</v>
      </c>
      <c r="Q17" s="72">
        <f t="shared" si="20"/>
        <v>0.10955907374156375</v>
      </c>
      <c r="R17" s="22">
        <f t="shared" si="28"/>
        <v>0.26442860583748362</v>
      </c>
      <c r="S17" s="72">
        <f t="shared" si="5"/>
        <v>2.6442860583748364E-2</v>
      </c>
      <c r="T17" s="78">
        <f t="shared" si="21"/>
        <v>0.57989832318998824</v>
      </c>
      <c r="U17" s="22">
        <f t="shared" si="6"/>
        <v>1.1111111111111112</v>
      </c>
      <c r="V17" s="1">
        <f>P17*$E$5*(N17/60)^2*$N$3^4</f>
        <v>39.812471884840306</v>
      </c>
      <c r="W17" s="1">
        <f>R17/10*$E$5*(N17/60)^2*$N$3^5</f>
        <v>4.612330970355826</v>
      </c>
      <c r="X17" s="16">
        <f t="shared" si="9"/>
        <v>76.282475915268392</v>
      </c>
      <c r="Y17" s="68">
        <f t="shared" si="22"/>
        <v>0.55090340703048879</v>
      </c>
      <c r="Z17" s="76">
        <f t="shared" ref="Z17:Z46" si="33">(V17*U17)/(2*PI()*O17*W17)</f>
        <v>0.57989832318998802</v>
      </c>
      <c r="AA17" s="77">
        <f t="shared" si="29"/>
        <v>44.23607987204479</v>
      </c>
      <c r="AB17" s="68">
        <v>0.97</v>
      </c>
      <c r="AC17" s="40">
        <f t="shared" si="10"/>
        <v>473.80206980420223</v>
      </c>
      <c r="AD17" s="39">
        <f t="shared" si="11"/>
        <v>1.5849934606033766</v>
      </c>
      <c r="AE17" s="41">
        <f t="shared" si="31"/>
        <v>78.641727747699349</v>
      </c>
      <c r="AF17" s="12">
        <f t="shared" si="23"/>
        <v>473.80206980420223</v>
      </c>
      <c r="AG17" s="78">
        <f t="shared" ref="AG17:AG43" si="34">AG16</f>
        <v>0.84</v>
      </c>
      <c r="AH17" s="41">
        <f>X17/(AB17*AG17)</f>
        <v>93.621104461546878</v>
      </c>
      <c r="AI17" s="40"/>
      <c r="AJ17" s="40"/>
      <c r="AK17" s="40"/>
      <c r="AM17" s="1">
        <f t="shared" si="12"/>
        <v>0</v>
      </c>
      <c r="AN17" s="1">
        <f t="shared" si="13"/>
        <v>0</v>
      </c>
      <c r="AP17" s="16"/>
      <c r="AR17" s="22">
        <f t="shared" ref="AR17:CB17" si="35">IF(SIGN(AR$8-$K17*AR$7^2)*SIGN(AS$8-$K17*AS$7^2)=-1,INTERCEPT(AR$7:AS$7, AR$8:AS$8-$K17*(AR$7:AS$7)^2),0)</f>
        <v>0</v>
      </c>
      <c r="AS17" s="22">
        <f t="shared" si="35"/>
        <v>0</v>
      </c>
      <c r="AT17" s="22">
        <f t="shared" si="35"/>
        <v>0</v>
      </c>
      <c r="AU17" s="22">
        <f t="shared" si="35"/>
        <v>0</v>
      </c>
      <c r="AV17" s="22">
        <f t="shared" si="35"/>
        <v>0</v>
      </c>
      <c r="AW17" s="22">
        <f t="shared" si="35"/>
        <v>0</v>
      </c>
      <c r="AX17" s="22">
        <f t="shared" si="35"/>
        <v>0</v>
      </c>
      <c r="AY17" s="22">
        <f t="shared" si="35"/>
        <v>0.87941081987854841</v>
      </c>
      <c r="AZ17" s="22">
        <f t="shared" si="35"/>
        <v>0</v>
      </c>
      <c r="BA17" s="22">
        <f t="shared" si="35"/>
        <v>0</v>
      </c>
      <c r="BB17" s="22">
        <f t="shared" si="35"/>
        <v>0</v>
      </c>
      <c r="BC17" s="22">
        <f t="shared" si="35"/>
        <v>0</v>
      </c>
      <c r="BD17" s="22">
        <f t="shared" si="35"/>
        <v>0</v>
      </c>
      <c r="BE17" s="22">
        <f t="shared" si="35"/>
        <v>0</v>
      </c>
      <c r="BF17" s="22">
        <f t="shared" si="35"/>
        <v>0</v>
      </c>
      <c r="BG17" s="22">
        <f t="shared" si="35"/>
        <v>0</v>
      </c>
      <c r="BH17" s="22">
        <f t="shared" si="35"/>
        <v>0</v>
      </c>
      <c r="BI17" s="22">
        <f t="shared" si="35"/>
        <v>0</v>
      </c>
      <c r="BJ17" s="22">
        <f t="shared" si="35"/>
        <v>0</v>
      </c>
      <c r="BK17" s="22">
        <f t="shared" si="35"/>
        <v>0</v>
      </c>
      <c r="BL17" s="22">
        <f t="shared" si="35"/>
        <v>0</v>
      </c>
      <c r="BM17" s="22">
        <f t="shared" si="35"/>
        <v>0</v>
      </c>
      <c r="BN17" s="22">
        <f t="shared" si="35"/>
        <v>0</v>
      </c>
      <c r="BO17" s="22">
        <f t="shared" si="35"/>
        <v>0</v>
      </c>
      <c r="BP17" s="22">
        <f t="shared" si="35"/>
        <v>0</v>
      </c>
      <c r="BQ17" s="22">
        <f t="shared" si="35"/>
        <v>0</v>
      </c>
      <c r="BR17" s="22">
        <f t="shared" si="35"/>
        <v>0</v>
      </c>
      <c r="BS17" s="22">
        <f t="shared" si="35"/>
        <v>0</v>
      </c>
      <c r="BT17" s="22">
        <f t="shared" si="35"/>
        <v>0</v>
      </c>
      <c r="BU17" s="22">
        <f t="shared" si="35"/>
        <v>0</v>
      </c>
      <c r="BV17" s="22">
        <f t="shared" si="35"/>
        <v>0</v>
      </c>
      <c r="BW17" s="22">
        <f t="shared" si="35"/>
        <v>0</v>
      </c>
      <c r="BX17" s="22">
        <f t="shared" si="35"/>
        <v>0</v>
      </c>
      <c r="BY17" s="22">
        <f t="shared" si="35"/>
        <v>0</v>
      </c>
      <c r="BZ17" s="22">
        <f t="shared" si="35"/>
        <v>0</v>
      </c>
      <c r="CA17" s="22">
        <f t="shared" si="35"/>
        <v>0</v>
      </c>
      <c r="CB17" s="22">
        <f t="shared" si="35"/>
        <v>0</v>
      </c>
      <c r="CC17" s="22">
        <f t="shared" si="15"/>
        <v>0.87941081987854841</v>
      </c>
      <c r="CG17" s="1"/>
      <c r="CH17" s="1"/>
      <c r="CI17" s="1"/>
      <c r="CJ17" s="1"/>
      <c r="CK17" s="1"/>
      <c r="CL17" s="1"/>
    </row>
    <row r="18" spans="2:90" x14ac:dyDescent="0.25">
      <c r="B18" s="70">
        <f>resistance!J10</f>
        <v>1.3888888888888888</v>
      </c>
      <c r="C18" s="3">
        <f>resistance!I10</f>
        <v>5</v>
      </c>
      <c r="D18" s="1">
        <f>resistance!Z10</f>
        <v>42.54957932692308</v>
      </c>
      <c r="E18" s="1">
        <f>resistance!AA10</f>
        <v>4.7277310363247871</v>
      </c>
      <c r="F18" s="1">
        <f>resistance!AB10</f>
        <v>0</v>
      </c>
      <c r="G18" s="1">
        <f>resistance!AC10</f>
        <v>47.277310363247864</v>
      </c>
      <c r="H18" s="4">
        <f t="shared" si="3"/>
        <v>65.66293106006647</v>
      </c>
      <c r="I18" s="16">
        <f t="shared" ref="I18:I46" si="36">G18/(1-$E$6/100)</f>
        <v>49.765589856050383</v>
      </c>
      <c r="J18" s="4">
        <f t="shared" si="4"/>
        <v>1.3888888888888888</v>
      </c>
      <c r="K18" s="28">
        <f t="shared" si="16"/>
        <v>0.11333256799201757</v>
      </c>
      <c r="L18" s="27">
        <f t="shared" si="26"/>
        <v>0.96728970878458609</v>
      </c>
      <c r="M18" s="27">
        <f>J18/(O18*$N$3)</f>
        <v>0.96728970878458598</v>
      </c>
      <c r="N18" s="16">
        <f>J18/(L18*$N$3)*60</f>
        <v>179.48202026180562</v>
      </c>
      <c r="O18" s="16">
        <f>N18/60</f>
        <v>2.9913670043634268</v>
      </c>
      <c r="P18" s="72">
        <f t="shared" si="19"/>
        <v>0.10603954705720306</v>
      </c>
      <c r="Q18" s="72">
        <f t="shared" si="20"/>
        <v>0.10603954705720303</v>
      </c>
      <c r="R18" s="22">
        <f>CC56</f>
        <v>0.2667264579858083</v>
      </c>
      <c r="S18" s="72">
        <f>W18/($E$5*O18^2*$N$3^5)</f>
        <v>2.6672645798580832E-2</v>
      </c>
      <c r="T18" s="78">
        <f t="shared" si="21"/>
        <v>0.61203810966426797</v>
      </c>
      <c r="U18" s="22">
        <f>L18*O18*$N$3</f>
        <v>1.3888888888888888</v>
      </c>
      <c r="V18" s="1">
        <f t="shared" si="7"/>
        <v>49.76558985605039</v>
      </c>
      <c r="W18" s="1">
        <f t="shared" si="8"/>
        <v>6.0085354403341187</v>
      </c>
      <c r="X18" s="16">
        <f t="shared" si="9"/>
        <v>112.9323055356553</v>
      </c>
      <c r="Y18" s="68">
        <f t="shared" si="22"/>
        <v>0.58143620418105424</v>
      </c>
      <c r="Z18" s="76">
        <f>(V18*U18)/(2*PI()*O18*W18)</f>
        <v>0.61203810966426775</v>
      </c>
      <c r="AA18" s="77">
        <f t="shared" si="29"/>
        <v>69.118874800069989</v>
      </c>
      <c r="AB18" s="68">
        <v>0.97</v>
      </c>
      <c r="AC18" s="40">
        <f t="shared" si="10"/>
        <v>538.44606078541688</v>
      </c>
      <c r="AD18" s="39">
        <f t="shared" si="11"/>
        <v>2.0647888111113808</v>
      </c>
      <c r="AE18" s="41">
        <f t="shared" si="31"/>
        <v>116.42505725325289</v>
      </c>
      <c r="AF18" s="12">
        <f t="shared" si="23"/>
        <v>538.44606078541688</v>
      </c>
      <c r="AG18" s="78">
        <f>AG17</f>
        <v>0.84</v>
      </c>
      <c r="AH18" s="41">
        <f t="shared" si="24"/>
        <v>138.60125863482489</v>
      </c>
      <c r="AI18" s="40"/>
      <c r="AJ18" s="40"/>
      <c r="AK18" s="40"/>
      <c r="AM18" s="1">
        <f t="shared" si="12"/>
        <v>0</v>
      </c>
      <c r="AN18" s="1">
        <f t="shared" si="13"/>
        <v>0</v>
      </c>
      <c r="AP18" s="16"/>
      <c r="AR18" s="22">
        <f t="shared" ref="AR18:CB18" si="37">IF(SIGN(AR$8-$K18*AR$7^2)*SIGN(AS$8-$K18*AS$7^2)=-1,INTERCEPT(AR$7:AS$7, AR$8:AS$8-$K18*(AR$7:AS$7)^2),0)</f>
        <v>0</v>
      </c>
      <c r="AS18" s="22">
        <f t="shared" si="37"/>
        <v>0</v>
      </c>
      <c r="AT18" s="22">
        <f t="shared" si="37"/>
        <v>0</v>
      </c>
      <c r="AU18" s="22">
        <f t="shared" si="37"/>
        <v>0</v>
      </c>
      <c r="AV18" s="22">
        <f t="shared" si="37"/>
        <v>0</v>
      </c>
      <c r="AW18" s="22">
        <f t="shared" si="37"/>
        <v>0</v>
      </c>
      <c r="AX18" s="22">
        <f t="shared" si="37"/>
        <v>0</v>
      </c>
      <c r="AY18" s="22">
        <f t="shared" si="37"/>
        <v>0</v>
      </c>
      <c r="AZ18" s="22">
        <f t="shared" si="37"/>
        <v>0.96728970878458609</v>
      </c>
      <c r="BA18" s="22">
        <f t="shared" si="37"/>
        <v>0</v>
      </c>
      <c r="BB18" s="22">
        <f t="shared" si="37"/>
        <v>0</v>
      </c>
      <c r="BC18" s="22">
        <f t="shared" si="37"/>
        <v>0</v>
      </c>
      <c r="BD18" s="22">
        <f t="shared" si="37"/>
        <v>0</v>
      </c>
      <c r="BE18" s="22">
        <f t="shared" si="37"/>
        <v>0</v>
      </c>
      <c r="BF18" s="22">
        <f t="shared" si="37"/>
        <v>0</v>
      </c>
      <c r="BG18" s="22">
        <f t="shared" si="37"/>
        <v>0</v>
      </c>
      <c r="BH18" s="22">
        <f t="shared" si="37"/>
        <v>0</v>
      </c>
      <c r="BI18" s="22">
        <f t="shared" si="37"/>
        <v>0</v>
      </c>
      <c r="BJ18" s="22">
        <f t="shared" si="37"/>
        <v>0</v>
      </c>
      <c r="BK18" s="22">
        <f t="shared" si="37"/>
        <v>0</v>
      </c>
      <c r="BL18" s="22">
        <f t="shared" si="37"/>
        <v>0</v>
      </c>
      <c r="BM18" s="22">
        <f t="shared" si="37"/>
        <v>0</v>
      </c>
      <c r="BN18" s="22">
        <f t="shared" si="37"/>
        <v>0</v>
      </c>
      <c r="BO18" s="22">
        <f t="shared" si="37"/>
        <v>0</v>
      </c>
      <c r="BP18" s="22">
        <f t="shared" si="37"/>
        <v>0</v>
      </c>
      <c r="BQ18" s="22">
        <f t="shared" si="37"/>
        <v>0</v>
      </c>
      <c r="BR18" s="22">
        <f t="shared" si="37"/>
        <v>0</v>
      </c>
      <c r="BS18" s="22">
        <f t="shared" si="37"/>
        <v>0</v>
      </c>
      <c r="BT18" s="22">
        <f t="shared" si="37"/>
        <v>0</v>
      </c>
      <c r="BU18" s="22">
        <f t="shared" si="37"/>
        <v>0</v>
      </c>
      <c r="BV18" s="22">
        <f t="shared" si="37"/>
        <v>0</v>
      </c>
      <c r="BW18" s="22">
        <f t="shared" si="37"/>
        <v>0</v>
      </c>
      <c r="BX18" s="22">
        <f t="shared" si="37"/>
        <v>0</v>
      </c>
      <c r="BY18" s="22">
        <f t="shared" si="37"/>
        <v>0</v>
      </c>
      <c r="BZ18" s="22">
        <f t="shared" si="37"/>
        <v>0</v>
      </c>
      <c r="CA18" s="22">
        <f t="shared" si="37"/>
        <v>0</v>
      </c>
      <c r="CB18" s="22">
        <f t="shared" si="37"/>
        <v>0</v>
      </c>
      <c r="CC18" s="22">
        <f t="shared" si="15"/>
        <v>0.96728970878458609</v>
      </c>
      <c r="CG18" s="1"/>
      <c r="CH18" s="1"/>
      <c r="CI18" s="1"/>
      <c r="CJ18" s="1"/>
      <c r="CK18" s="1"/>
      <c r="CL18" s="1"/>
    </row>
    <row r="19" spans="2:90" x14ac:dyDescent="0.25">
      <c r="B19" s="70">
        <f>resistance!J11</f>
        <v>1.6666666666666665</v>
      </c>
      <c r="C19" s="3">
        <f>resistance!I11</f>
        <v>6</v>
      </c>
      <c r="D19" s="1">
        <f>resistance!Z11</f>
        <v>51.059495192307693</v>
      </c>
      <c r="E19" s="1">
        <f>resistance!AA11</f>
        <v>5.6732772435897445</v>
      </c>
      <c r="F19" s="1">
        <f>resistance!AB11</f>
        <v>0</v>
      </c>
      <c r="G19" s="1">
        <f>resistance!AC11</f>
        <v>56.732772435897438</v>
      </c>
      <c r="H19" s="4">
        <f>B19*G19</f>
        <v>94.554620726495727</v>
      </c>
      <c r="I19" s="16">
        <f t="shared" si="36"/>
        <v>59.718707827260467</v>
      </c>
      <c r="J19" s="4">
        <f>B19*(1-$E$7/100)</f>
        <v>1.6666666666666665</v>
      </c>
      <c r="K19" s="28">
        <f t="shared" si="16"/>
        <v>9.4443806660014687E-2</v>
      </c>
      <c r="L19" s="27">
        <f t="shared" si="26"/>
        <v>1.052545189163284</v>
      </c>
      <c r="M19" s="27">
        <f t="shared" si="17"/>
        <v>1.052545189163284</v>
      </c>
      <c r="N19" s="16">
        <f>J19/(L19*$N$3)*60</f>
        <v>197.9329110790454</v>
      </c>
      <c r="O19" s="16">
        <f t="shared" si="27"/>
        <v>3.2988818513174234</v>
      </c>
      <c r="P19" s="72">
        <f t="shared" si="19"/>
        <v>0.10462970109032653</v>
      </c>
      <c r="Q19" s="72">
        <f t="shared" si="20"/>
        <v>0.10462970109032654</v>
      </c>
      <c r="R19" s="22">
        <f t="shared" si="28"/>
        <v>0.2689818106665709</v>
      </c>
      <c r="S19" s="72">
        <f t="shared" si="5"/>
        <v>2.6898181066657093E-2</v>
      </c>
      <c r="T19" s="78">
        <f t="shared" si="21"/>
        <v>0.65161782225378928</v>
      </c>
      <c r="U19" s="22">
        <f t="shared" si="6"/>
        <v>1.6666666666666665</v>
      </c>
      <c r="V19" s="1">
        <f t="shared" si="7"/>
        <v>59.718707827260467</v>
      </c>
      <c r="W19" s="1">
        <f t="shared" si="8"/>
        <v>7.369186834553795</v>
      </c>
      <c r="X19" s="16">
        <f t="shared" si="9"/>
        <v>152.74471678482695</v>
      </c>
      <c r="Y19" s="68">
        <f t="shared" si="22"/>
        <v>0.61903693114109992</v>
      </c>
      <c r="Z19" s="76">
        <f t="shared" si="33"/>
        <v>0.65161782225378939</v>
      </c>
      <c r="AA19" s="77">
        <f t="shared" si="29"/>
        <v>99.531179712100766</v>
      </c>
      <c r="AB19" s="68">
        <v>0.97</v>
      </c>
      <c r="AC19" s="40">
        <f t="shared" si="10"/>
        <v>593.79873323713616</v>
      </c>
      <c r="AD19" s="39">
        <f t="shared" si="11"/>
        <v>2.5323666098123008</v>
      </c>
      <c r="AE19" s="41">
        <f t="shared" si="31"/>
        <v>157.46878019054327</v>
      </c>
      <c r="AF19" s="12">
        <f t="shared" si="23"/>
        <v>593.79873323713616</v>
      </c>
      <c r="AG19" s="78">
        <f t="shared" si="34"/>
        <v>0.84</v>
      </c>
      <c r="AH19" s="41">
        <f t="shared" si="24"/>
        <v>187.46283356017054</v>
      </c>
      <c r="AI19" s="40"/>
      <c r="AJ19" s="40"/>
      <c r="AK19" s="40"/>
      <c r="AM19" s="1">
        <f t="shared" si="12"/>
        <v>0</v>
      </c>
      <c r="AN19" s="1">
        <f t="shared" si="13"/>
        <v>0</v>
      </c>
      <c r="AP19" s="16"/>
      <c r="AR19" s="22">
        <f t="shared" ref="AR19:CB19" si="38">IF(SIGN(AR$8-$K19*AR$7^2)*SIGN(AS$8-$K19*AS$7^2)=-1,INTERCEPT(AR$7:AS$7, AR$8:AS$8-$K19*(AR$7:AS$7)^2),0)</f>
        <v>0</v>
      </c>
      <c r="AS19" s="22">
        <f t="shared" si="38"/>
        <v>0</v>
      </c>
      <c r="AT19" s="22">
        <f t="shared" si="38"/>
        <v>0</v>
      </c>
      <c r="AU19" s="22">
        <f t="shared" si="38"/>
        <v>0</v>
      </c>
      <c r="AV19" s="22" cm="1">
        <f t="array" ref="AV19">IF(SIGN(AV$8-$K19*AV$7^2)*SIGN(AW$8-$K19*AW$7^2)=-1,INTERCEPT(AV$7:AW$7, AV$8:AW$8-$K19*(AV$7:AW$7)^2),0)</f>
        <v>0</v>
      </c>
      <c r="AW19" s="22">
        <f t="shared" si="38"/>
        <v>0</v>
      </c>
      <c r="AX19" s="22">
        <f t="shared" si="38"/>
        <v>0</v>
      </c>
      <c r="AY19" s="22">
        <f t="shared" si="38"/>
        <v>0</v>
      </c>
      <c r="AZ19" s="22">
        <f t="shared" si="38"/>
        <v>0</v>
      </c>
      <c r="BA19" s="22">
        <f t="shared" si="38"/>
        <v>1.052545189163284</v>
      </c>
      <c r="BB19" s="22">
        <f t="shared" si="38"/>
        <v>0</v>
      </c>
      <c r="BC19" s="22">
        <f t="shared" si="38"/>
        <v>0</v>
      </c>
      <c r="BD19" s="22">
        <f t="shared" si="38"/>
        <v>0</v>
      </c>
      <c r="BE19" s="22">
        <f t="shared" si="38"/>
        <v>0</v>
      </c>
      <c r="BF19" s="22">
        <f t="shared" si="38"/>
        <v>0</v>
      </c>
      <c r="BG19" s="22">
        <f t="shared" si="38"/>
        <v>0</v>
      </c>
      <c r="BH19" s="22">
        <f t="shared" si="38"/>
        <v>0</v>
      </c>
      <c r="BI19" s="22">
        <f t="shared" si="38"/>
        <v>0</v>
      </c>
      <c r="BJ19" s="22">
        <f t="shared" si="38"/>
        <v>0</v>
      </c>
      <c r="BK19" s="22">
        <f t="shared" si="38"/>
        <v>0</v>
      </c>
      <c r="BL19" s="22">
        <f t="shared" si="38"/>
        <v>0</v>
      </c>
      <c r="BM19" s="22">
        <f t="shared" si="38"/>
        <v>0</v>
      </c>
      <c r="BN19" s="22">
        <f t="shared" si="38"/>
        <v>0</v>
      </c>
      <c r="BO19" s="22">
        <f t="shared" si="38"/>
        <v>0</v>
      </c>
      <c r="BP19" s="22">
        <f t="shared" si="38"/>
        <v>0</v>
      </c>
      <c r="BQ19" s="22">
        <f t="shared" si="38"/>
        <v>0</v>
      </c>
      <c r="BR19" s="22">
        <f t="shared" si="38"/>
        <v>0</v>
      </c>
      <c r="BS19" s="22">
        <f t="shared" si="38"/>
        <v>0</v>
      </c>
      <c r="BT19" s="22">
        <f t="shared" si="38"/>
        <v>0</v>
      </c>
      <c r="BU19" s="22">
        <f t="shared" si="38"/>
        <v>0</v>
      </c>
      <c r="BV19" s="22">
        <f t="shared" si="38"/>
        <v>0</v>
      </c>
      <c r="BW19" s="22">
        <f t="shared" si="38"/>
        <v>0</v>
      </c>
      <c r="BX19" s="22">
        <f t="shared" si="38"/>
        <v>0</v>
      </c>
      <c r="BY19" s="22">
        <f t="shared" si="38"/>
        <v>0</v>
      </c>
      <c r="BZ19" s="22">
        <f t="shared" si="38"/>
        <v>0</v>
      </c>
      <c r="CA19" s="22">
        <f t="shared" si="38"/>
        <v>0</v>
      </c>
      <c r="CB19" s="22">
        <f t="shared" si="38"/>
        <v>0</v>
      </c>
      <c r="CC19" s="22">
        <f t="shared" si="15"/>
        <v>1.052545189163284</v>
      </c>
      <c r="CG19" s="1"/>
      <c r="CH19" s="1"/>
      <c r="CI19" s="1"/>
      <c r="CJ19" s="1"/>
      <c r="CK19" s="1"/>
      <c r="CL19" s="1"/>
    </row>
    <row r="20" spans="2:90" x14ac:dyDescent="0.25">
      <c r="B20" s="70">
        <f>resistance!J12</f>
        <v>1.9444444444444444</v>
      </c>
      <c r="C20" s="3">
        <f>resistance!I12</f>
        <v>7</v>
      </c>
      <c r="D20" s="1">
        <f>resistance!Z12</f>
        <v>59.569411057692307</v>
      </c>
      <c r="E20" s="1">
        <f>resistance!AA12</f>
        <v>6.6188234508547019</v>
      </c>
      <c r="F20" s="1">
        <f>resistance!AB12</f>
        <v>0</v>
      </c>
      <c r="G20" s="1">
        <f>resistance!AC12</f>
        <v>66.188234508547012</v>
      </c>
      <c r="H20" s="4">
        <f>B20*G20</f>
        <v>128.69934487773031</v>
      </c>
      <c r="I20" s="16">
        <f t="shared" si="36"/>
        <v>69.671825798470536</v>
      </c>
      <c r="J20" s="4">
        <f t="shared" si="4"/>
        <v>1.9444444444444444</v>
      </c>
      <c r="K20" s="28">
        <f t="shared" ref="K20:K43" si="39">I20/($E$5*J20^2*$N$3^2)</f>
        <v>8.0951834280012569E-2</v>
      </c>
      <c r="L20" s="27">
        <f t="shared" si="26"/>
        <v>1.1273617148962809</v>
      </c>
      <c r="M20" s="27">
        <f t="shared" si="17"/>
        <v>1.1273617148962811</v>
      </c>
      <c r="N20" s="16">
        <f t="shared" si="18"/>
        <v>215.59677993670118</v>
      </c>
      <c r="O20" s="16">
        <f t="shared" si="27"/>
        <v>3.5932796656116865</v>
      </c>
      <c r="P20" s="72">
        <f t="shared" si="19"/>
        <v>0.10288528337949028</v>
      </c>
      <c r="Q20" s="72">
        <f t="shared" si="20"/>
        <v>0.10288528337949028</v>
      </c>
      <c r="R20" s="22">
        <f t="shared" si="28"/>
        <v>0.27110050874042568</v>
      </c>
      <c r="S20" s="72">
        <f t="shared" si="5"/>
        <v>2.7110050874042571E-2</v>
      </c>
      <c r="T20" s="78">
        <f t="shared" si="21"/>
        <v>0.6809360690966989</v>
      </c>
      <c r="U20" s="22">
        <f t="shared" si="6"/>
        <v>1.9444444444444442</v>
      </c>
      <c r="V20" s="1">
        <f t="shared" si="7"/>
        <v>69.671825798470536</v>
      </c>
      <c r="W20" s="1">
        <f t="shared" si="8"/>
        <v>8.8120205954065209</v>
      </c>
      <c r="X20" s="16">
        <f t="shared" si="9"/>
        <v>198.95112148758682</v>
      </c>
      <c r="Y20" s="68">
        <f t="shared" si="22"/>
        <v>0.64688926564186389</v>
      </c>
      <c r="Z20" s="76">
        <f>(V20*U20)/(2*PI()*O20*W20)</f>
        <v>0.68093606909669868</v>
      </c>
      <c r="AA20" s="77">
        <f t="shared" si="29"/>
        <v>135.4729946081371</v>
      </c>
      <c r="AB20" s="68">
        <v>0.97</v>
      </c>
      <c r="AC20" s="40">
        <f t="shared" si="10"/>
        <v>646.79033981010355</v>
      </c>
      <c r="AD20" s="39">
        <f t="shared" si="11"/>
        <v>3.0281857716173608</v>
      </c>
      <c r="AE20" s="41">
        <f t="shared" si="31"/>
        <v>205.10424895627503</v>
      </c>
      <c r="AF20" s="12">
        <f t="shared" si="23"/>
        <v>646.79033981010355</v>
      </c>
      <c r="AG20" s="78">
        <v>0.86</v>
      </c>
      <c r="AH20" s="41">
        <f t="shared" si="24"/>
        <v>238.49331273985476</v>
      </c>
      <c r="AI20" s="40"/>
      <c r="AJ20" s="40"/>
      <c r="AK20" s="40"/>
      <c r="AM20" s="1">
        <f t="shared" si="12"/>
        <v>0</v>
      </c>
      <c r="AN20" s="1">
        <f t="shared" si="13"/>
        <v>0</v>
      </c>
      <c r="AP20" s="16"/>
      <c r="AR20" s="22">
        <f t="shared" ref="AR20:CB20" si="40">IF(SIGN(AR$8-$K20*AR$7^2)*SIGN(AS$8-$K20*AS$7^2)=-1,INTERCEPT(AR$7:AS$7, AR$8:AS$8-$K20*(AR$7:AS$7)^2),0)</f>
        <v>0</v>
      </c>
      <c r="AS20" s="22">
        <f t="shared" si="40"/>
        <v>0</v>
      </c>
      <c r="AT20" s="22">
        <f t="shared" si="40"/>
        <v>0</v>
      </c>
      <c r="AU20" s="22">
        <f t="shared" si="40"/>
        <v>0</v>
      </c>
      <c r="AV20" s="22">
        <f t="shared" si="40"/>
        <v>0</v>
      </c>
      <c r="AW20" s="22">
        <f t="shared" si="40"/>
        <v>0</v>
      </c>
      <c r="AX20" s="22">
        <f t="shared" si="40"/>
        <v>0</v>
      </c>
      <c r="AY20" s="22">
        <f t="shared" si="40"/>
        <v>0</v>
      </c>
      <c r="AZ20" s="22">
        <f t="shared" si="40"/>
        <v>0</v>
      </c>
      <c r="BA20" s="22">
        <f t="shared" si="40"/>
        <v>1.1273617148962809</v>
      </c>
      <c r="BB20" s="22">
        <f t="shared" si="40"/>
        <v>0</v>
      </c>
      <c r="BC20" s="22">
        <f t="shared" si="40"/>
        <v>0</v>
      </c>
      <c r="BD20" s="22">
        <f t="shared" si="40"/>
        <v>0</v>
      </c>
      <c r="BE20" s="22">
        <f t="shared" si="40"/>
        <v>0</v>
      </c>
      <c r="BF20" s="22">
        <f t="shared" si="40"/>
        <v>0</v>
      </c>
      <c r="BG20" s="22">
        <f t="shared" si="40"/>
        <v>0</v>
      </c>
      <c r="BH20" s="22">
        <f t="shared" si="40"/>
        <v>0</v>
      </c>
      <c r="BI20" s="22">
        <f t="shared" si="40"/>
        <v>0</v>
      </c>
      <c r="BJ20" s="22">
        <f t="shared" si="40"/>
        <v>0</v>
      </c>
      <c r="BK20" s="22">
        <f t="shared" si="40"/>
        <v>0</v>
      </c>
      <c r="BL20" s="22">
        <f t="shared" si="40"/>
        <v>0</v>
      </c>
      <c r="BM20" s="22">
        <f t="shared" si="40"/>
        <v>0</v>
      </c>
      <c r="BN20" s="22">
        <f t="shared" si="40"/>
        <v>0</v>
      </c>
      <c r="BO20" s="22">
        <f t="shared" si="40"/>
        <v>0</v>
      </c>
      <c r="BP20" s="22">
        <f t="shared" si="40"/>
        <v>0</v>
      </c>
      <c r="BQ20" s="22">
        <f t="shared" si="40"/>
        <v>0</v>
      </c>
      <c r="BR20" s="22">
        <f t="shared" si="40"/>
        <v>0</v>
      </c>
      <c r="BS20" s="22">
        <f t="shared" si="40"/>
        <v>0</v>
      </c>
      <c r="BT20" s="22">
        <f t="shared" si="40"/>
        <v>0</v>
      </c>
      <c r="BU20" s="22">
        <f t="shared" si="40"/>
        <v>0</v>
      </c>
      <c r="BV20" s="22">
        <f t="shared" si="40"/>
        <v>0</v>
      </c>
      <c r="BW20" s="22">
        <f t="shared" si="40"/>
        <v>0</v>
      </c>
      <c r="BX20" s="22">
        <f t="shared" si="40"/>
        <v>0</v>
      </c>
      <c r="BY20" s="22">
        <f t="shared" si="40"/>
        <v>0</v>
      </c>
      <c r="BZ20" s="22">
        <f t="shared" si="40"/>
        <v>0</v>
      </c>
      <c r="CA20" s="22">
        <f t="shared" si="40"/>
        <v>0</v>
      </c>
      <c r="CB20" s="22">
        <f t="shared" si="40"/>
        <v>0</v>
      </c>
      <c r="CC20" s="22">
        <f t="shared" si="15"/>
        <v>1.1273617148962809</v>
      </c>
      <c r="CG20" s="1"/>
      <c r="CH20" s="1"/>
      <c r="CI20" s="1"/>
      <c r="CJ20" s="1"/>
      <c r="CK20" s="1"/>
      <c r="CL20" s="1"/>
    </row>
    <row r="21" spans="2:90" x14ac:dyDescent="0.25">
      <c r="B21" s="70">
        <f>resistance!J13</f>
        <v>2.2222222222222223</v>
      </c>
      <c r="C21" s="3">
        <f>resistance!I13</f>
        <v>8</v>
      </c>
      <c r="D21" s="1">
        <f>resistance!Z13</f>
        <v>68.079326923076934</v>
      </c>
      <c r="E21" s="1">
        <f>resistance!AA13</f>
        <v>7.5643696581196602</v>
      </c>
      <c r="F21" s="1">
        <f>resistance!AB13</f>
        <v>0</v>
      </c>
      <c r="G21" s="1">
        <f>resistance!AC13</f>
        <v>75.643696581196593</v>
      </c>
      <c r="H21" s="4">
        <f t="shared" ref="H21:H46" si="41">B21*G21</f>
        <v>168.09710351377021</v>
      </c>
      <c r="I21" s="16">
        <f t="shared" si="36"/>
        <v>79.624943769680627</v>
      </c>
      <c r="J21" s="4">
        <f t="shared" si="4"/>
        <v>2.2222222222222223</v>
      </c>
      <c r="K21" s="28">
        <f t="shared" si="39"/>
        <v>7.0832854995010977E-2</v>
      </c>
      <c r="L21" s="27">
        <f t="shared" si="26"/>
        <v>1.1944641305072294</v>
      </c>
      <c r="M21" s="27">
        <f t="shared" si="17"/>
        <v>1.1944641305072294</v>
      </c>
      <c r="N21" s="16">
        <f t="shared" si="18"/>
        <v>232.55430672482345</v>
      </c>
      <c r="O21" s="16">
        <f t="shared" si="27"/>
        <v>3.8759051120803907</v>
      </c>
      <c r="P21" s="72">
        <f t="shared" si="19"/>
        <v>0.10106039046741226</v>
      </c>
      <c r="Q21" s="72">
        <f t="shared" si="20"/>
        <v>0.10106039046741229</v>
      </c>
      <c r="R21" s="22">
        <f t="shared" si="28"/>
        <v>0.27302523765868286</v>
      </c>
      <c r="S21" s="72">
        <f t="shared" si="5"/>
        <v>2.7302523765868284E-2</v>
      </c>
      <c r="T21" s="78">
        <f t="shared" si="21"/>
        <v>0.70367386652923702</v>
      </c>
      <c r="U21" s="22">
        <f t="shared" si="6"/>
        <v>2.2222222222222223</v>
      </c>
      <c r="V21" s="1">
        <f t="shared" si="7"/>
        <v>79.624943769680613</v>
      </c>
      <c r="W21" s="1">
        <f t="shared" si="8"/>
        <v>10.325526317432429</v>
      </c>
      <c r="X21" s="16">
        <f t="shared" si="9"/>
        <v>251.45785271368641</v>
      </c>
      <c r="Y21" s="68">
        <f>(G21*B21)/(2*PI()*O21*W21)</f>
        <v>0.66849017320277537</v>
      </c>
      <c r="Z21" s="76">
        <f>(V21*U21)/(2*PI()*O21*W21)</f>
        <v>0.70367386652923714</v>
      </c>
      <c r="AA21" s="77">
        <f t="shared" si="29"/>
        <v>176.94431948817913</v>
      </c>
      <c r="AB21" s="68">
        <v>0.97</v>
      </c>
      <c r="AC21" s="40">
        <f t="shared" si="10"/>
        <v>697.6629201744704</v>
      </c>
      <c r="AD21" s="39">
        <f t="shared" si="11"/>
        <v>3.5482908307327934</v>
      </c>
      <c r="AE21" s="41">
        <f t="shared" si="31"/>
        <v>259.23489970483138</v>
      </c>
      <c r="AF21" s="12">
        <f t="shared" si="23"/>
        <v>697.6629201744704</v>
      </c>
      <c r="AG21" s="78">
        <f t="shared" si="34"/>
        <v>0.86</v>
      </c>
      <c r="AH21" s="41">
        <f t="shared" si="24"/>
        <v>301.43592988933881</v>
      </c>
      <c r="AI21" s="40"/>
      <c r="AJ21" s="40"/>
      <c r="AK21" s="40"/>
      <c r="AM21" s="1">
        <f t="shared" si="12"/>
        <v>0</v>
      </c>
      <c r="AN21" s="1">
        <f t="shared" si="13"/>
        <v>0</v>
      </c>
      <c r="AP21" s="16"/>
      <c r="AR21" s="22">
        <f t="shared" ref="AR21:CB21" si="42">IF(SIGN(AR$8-$K21*AR$7^2)*SIGN(AS$8-$K21*AS$7^2)=-1,INTERCEPT(AR$7:AS$7, AR$8:AS$8-$K21*(AR$7:AS$7)^2),0)</f>
        <v>0</v>
      </c>
      <c r="AS21" s="22">
        <f t="shared" si="42"/>
        <v>0</v>
      </c>
      <c r="AT21" s="22">
        <f t="shared" si="42"/>
        <v>0</v>
      </c>
      <c r="AU21" s="22">
        <f t="shared" si="42"/>
        <v>0</v>
      </c>
      <c r="AV21" s="22">
        <f t="shared" si="42"/>
        <v>0</v>
      </c>
      <c r="AW21" s="22">
        <f t="shared" si="42"/>
        <v>0</v>
      </c>
      <c r="AX21" s="22">
        <f t="shared" si="42"/>
        <v>0</v>
      </c>
      <c r="AY21" s="22">
        <f t="shared" si="42"/>
        <v>0</v>
      </c>
      <c r="AZ21" s="22">
        <f t="shared" si="42"/>
        <v>0</v>
      </c>
      <c r="BA21" s="22">
        <f t="shared" si="42"/>
        <v>0</v>
      </c>
      <c r="BB21" s="22">
        <f t="shared" si="42"/>
        <v>1.1944641305072294</v>
      </c>
      <c r="BC21" s="22">
        <f t="shared" si="42"/>
        <v>0</v>
      </c>
      <c r="BD21" s="22">
        <f t="shared" si="42"/>
        <v>0</v>
      </c>
      <c r="BE21" s="22">
        <f t="shared" si="42"/>
        <v>0</v>
      </c>
      <c r="BF21" s="22">
        <f t="shared" si="42"/>
        <v>0</v>
      </c>
      <c r="BG21" s="22">
        <f t="shared" si="42"/>
        <v>0</v>
      </c>
      <c r="BH21" s="22">
        <f t="shared" si="42"/>
        <v>0</v>
      </c>
      <c r="BI21" s="22">
        <f t="shared" si="42"/>
        <v>0</v>
      </c>
      <c r="BJ21" s="22">
        <f t="shared" si="42"/>
        <v>0</v>
      </c>
      <c r="BK21" s="22">
        <f t="shared" si="42"/>
        <v>0</v>
      </c>
      <c r="BL21" s="22">
        <f t="shared" si="42"/>
        <v>0</v>
      </c>
      <c r="BM21" s="22">
        <f t="shared" si="42"/>
        <v>0</v>
      </c>
      <c r="BN21" s="22">
        <f t="shared" si="42"/>
        <v>0</v>
      </c>
      <c r="BO21" s="22">
        <f t="shared" si="42"/>
        <v>0</v>
      </c>
      <c r="BP21" s="22">
        <f t="shared" si="42"/>
        <v>0</v>
      </c>
      <c r="BQ21" s="22">
        <f t="shared" si="42"/>
        <v>0</v>
      </c>
      <c r="BR21" s="22">
        <f t="shared" si="42"/>
        <v>0</v>
      </c>
      <c r="BS21" s="22">
        <f t="shared" si="42"/>
        <v>0</v>
      </c>
      <c r="BT21" s="22">
        <f t="shared" si="42"/>
        <v>0</v>
      </c>
      <c r="BU21" s="22">
        <f t="shared" si="42"/>
        <v>0</v>
      </c>
      <c r="BV21" s="22">
        <f t="shared" si="42"/>
        <v>0</v>
      </c>
      <c r="BW21" s="22">
        <f t="shared" si="42"/>
        <v>0</v>
      </c>
      <c r="BX21" s="22">
        <f t="shared" si="42"/>
        <v>0</v>
      </c>
      <c r="BY21" s="22">
        <f t="shared" si="42"/>
        <v>0</v>
      </c>
      <c r="BZ21" s="22">
        <f t="shared" si="42"/>
        <v>0</v>
      </c>
      <c r="CA21" s="22">
        <f t="shared" si="42"/>
        <v>0</v>
      </c>
      <c r="CB21" s="22">
        <f t="shared" si="42"/>
        <v>0</v>
      </c>
      <c r="CC21" s="22">
        <f t="shared" si="15"/>
        <v>1.1944641305072294</v>
      </c>
      <c r="CG21" s="1"/>
      <c r="CH21" s="1"/>
      <c r="CI21" s="1"/>
      <c r="CJ21" s="1"/>
      <c r="CK21" s="1"/>
      <c r="CL21" s="1"/>
    </row>
    <row r="22" spans="2:90" x14ac:dyDescent="0.25">
      <c r="B22" s="70">
        <f>resistance!J14</f>
        <v>2.5</v>
      </c>
      <c r="C22" s="3">
        <f>resistance!I14</f>
        <v>9</v>
      </c>
      <c r="D22" s="1">
        <f>resistance!Z14</f>
        <v>76.589242788461547</v>
      </c>
      <c r="E22" s="1">
        <f>resistance!AA14</f>
        <v>8.5099158653846168</v>
      </c>
      <c r="F22" s="1">
        <f>resistance!AB14</f>
        <v>0</v>
      </c>
      <c r="G22" s="1">
        <f>resistance!AC14</f>
        <v>85.09915865384616</v>
      </c>
      <c r="H22" s="4">
        <f t="shared" si="41"/>
        <v>212.74789663461542</v>
      </c>
      <c r="I22" s="16">
        <f t="shared" si="36"/>
        <v>89.578061740890703</v>
      </c>
      <c r="J22" s="4">
        <f t="shared" si="4"/>
        <v>2.5</v>
      </c>
      <c r="K22" s="28">
        <f>I22/($E$5*J22^2*$N$3^2)</f>
        <v>6.2962537773343111E-2</v>
      </c>
      <c r="L22" s="27">
        <f t="shared" si="26"/>
        <v>1.2577388001446164</v>
      </c>
      <c r="M22" s="27">
        <f t="shared" si="17"/>
        <v>1.2577388001446164</v>
      </c>
      <c r="N22" s="16">
        <f t="shared" si="18"/>
        <v>248.4617632564634</v>
      </c>
      <c r="O22" s="16">
        <f t="shared" si="27"/>
        <v>4.1410293876077233</v>
      </c>
      <c r="P22" s="72">
        <f t="shared" si="19"/>
        <v>9.9600872277080421E-2</v>
      </c>
      <c r="Q22" s="72">
        <f t="shared" si="20"/>
        <v>9.9600872277080421E-2</v>
      </c>
      <c r="R22" s="22">
        <f t="shared" si="28"/>
        <v>0.27484840610586181</v>
      </c>
      <c r="S22" s="72">
        <f t="shared" si="5"/>
        <v>2.7484840610586182E-2</v>
      </c>
      <c r="T22" s="78">
        <f t="shared" si="21"/>
        <v>0.72540494115043352</v>
      </c>
      <c r="U22" s="22">
        <f t="shared" si="6"/>
        <v>2.4999999999999996</v>
      </c>
      <c r="V22" s="1">
        <f t="shared" si="7"/>
        <v>89.578061740890703</v>
      </c>
      <c r="W22" s="1">
        <f t="shared" si="8"/>
        <v>11.865143071299046</v>
      </c>
      <c r="X22" s="16">
        <f t="shared" si="9"/>
        <v>308.71743718352383</v>
      </c>
      <c r="Y22" s="68">
        <f t="shared" si="22"/>
        <v>0.68913469409291184</v>
      </c>
      <c r="Z22" s="76">
        <f t="shared" si="33"/>
        <v>0.72540494115043341</v>
      </c>
      <c r="AA22" s="77">
        <f t="shared" si="29"/>
        <v>223.94515435222672</v>
      </c>
      <c r="AB22" s="68">
        <v>0.97</v>
      </c>
      <c r="AC22" s="40">
        <f t="shared" si="10"/>
        <v>745.38528976939017</v>
      </c>
      <c r="AD22" s="39">
        <f t="shared" si="11"/>
        <v>4.0773687530237268</v>
      </c>
      <c r="AE22" s="41">
        <f t="shared" si="31"/>
        <v>318.26539915827192</v>
      </c>
      <c r="AF22" s="12">
        <f t="shared" si="23"/>
        <v>745.38528976939017</v>
      </c>
      <c r="AG22" s="78">
        <f t="shared" si="34"/>
        <v>0.86</v>
      </c>
      <c r="AH22" s="41">
        <f>X22/(AB22*AG22)</f>
        <v>370.07604553287445</v>
      </c>
      <c r="AI22" s="40"/>
      <c r="AJ22" s="40"/>
      <c r="AK22" s="40"/>
      <c r="AM22" s="1">
        <f t="shared" si="12"/>
        <v>0</v>
      </c>
      <c r="AN22" s="1">
        <f t="shared" si="13"/>
        <v>0</v>
      </c>
      <c r="AP22" s="16"/>
      <c r="AR22" s="22">
        <f t="shared" ref="AR22:CB22" si="43">IF(SIGN(AR$8-$K22*AR$7^2)*SIGN(AS$8-$K22*AS$7^2)=-1,INTERCEPT(AR$7:AS$7, AR$8:AS$8-$K22*(AR$7:AS$7)^2),0)</f>
        <v>0</v>
      </c>
      <c r="AS22" s="22">
        <f t="shared" si="43"/>
        <v>0</v>
      </c>
      <c r="AT22" s="22">
        <f t="shared" si="43"/>
        <v>0</v>
      </c>
      <c r="AU22" s="22">
        <f t="shared" si="43"/>
        <v>0</v>
      </c>
      <c r="AV22" s="22">
        <f t="shared" si="43"/>
        <v>0</v>
      </c>
      <c r="AW22" s="22">
        <f t="shared" si="43"/>
        <v>0</v>
      </c>
      <c r="AX22" s="22">
        <f t="shared" si="43"/>
        <v>0</v>
      </c>
      <c r="AY22" s="22">
        <f t="shared" si="43"/>
        <v>0</v>
      </c>
      <c r="AZ22" s="22">
        <f t="shared" si="43"/>
        <v>0</v>
      </c>
      <c r="BA22" s="22">
        <f t="shared" si="43"/>
        <v>0</v>
      </c>
      <c r="BB22" s="22">
        <f t="shared" si="43"/>
        <v>1.2577388001446164</v>
      </c>
      <c r="BC22" s="22">
        <f t="shared" si="43"/>
        <v>0</v>
      </c>
      <c r="BD22" s="22">
        <f t="shared" si="43"/>
        <v>0</v>
      </c>
      <c r="BE22" s="22">
        <f t="shared" si="43"/>
        <v>0</v>
      </c>
      <c r="BF22" s="22">
        <f t="shared" si="43"/>
        <v>0</v>
      </c>
      <c r="BG22" s="22">
        <f t="shared" si="43"/>
        <v>0</v>
      </c>
      <c r="BH22" s="22">
        <f t="shared" si="43"/>
        <v>0</v>
      </c>
      <c r="BI22" s="22">
        <f t="shared" si="43"/>
        <v>0</v>
      </c>
      <c r="BJ22" s="22">
        <f t="shared" si="43"/>
        <v>0</v>
      </c>
      <c r="BK22" s="22">
        <f t="shared" si="43"/>
        <v>0</v>
      </c>
      <c r="BL22" s="22">
        <f t="shared" si="43"/>
        <v>0</v>
      </c>
      <c r="BM22" s="22">
        <f t="shared" si="43"/>
        <v>0</v>
      </c>
      <c r="BN22" s="22">
        <f t="shared" si="43"/>
        <v>0</v>
      </c>
      <c r="BO22" s="22">
        <f t="shared" si="43"/>
        <v>0</v>
      </c>
      <c r="BP22" s="22">
        <f t="shared" si="43"/>
        <v>0</v>
      </c>
      <c r="BQ22" s="22">
        <f t="shared" si="43"/>
        <v>0</v>
      </c>
      <c r="BR22" s="22">
        <f t="shared" si="43"/>
        <v>0</v>
      </c>
      <c r="BS22" s="22">
        <f t="shared" si="43"/>
        <v>0</v>
      </c>
      <c r="BT22" s="22">
        <f t="shared" si="43"/>
        <v>0</v>
      </c>
      <c r="BU22" s="22">
        <f t="shared" si="43"/>
        <v>0</v>
      </c>
      <c r="BV22" s="22">
        <f t="shared" si="43"/>
        <v>0</v>
      </c>
      <c r="BW22" s="22">
        <f t="shared" si="43"/>
        <v>0</v>
      </c>
      <c r="BX22" s="22">
        <f t="shared" si="43"/>
        <v>0</v>
      </c>
      <c r="BY22" s="22">
        <f t="shared" si="43"/>
        <v>0</v>
      </c>
      <c r="BZ22" s="22">
        <f t="shared" si="43"/>
        <v>0</v>
      </c>
      <c r="CA22" s="22">
        <f t="shared" si="43"/>
        <v>0</v>
      </c>
      <c r="CB22" s="22">
        <f t="shared" si="43"/>
        <v>0</v>
      </c>
      <c r="CC22" s="22">
        <f t="shared" si="15"/>
        <v>1.2577388001446164</v>
      </c>
      <c r="CG22" s="1"/>
      <c r="CH22" s="1"/>
      <c r="CI22" s="1"/>
      <c r="CJ22" s="1"/>
      <c r="CK22" s="1"/>
      <c r="CL22" s="1"/>
    </row>
    <row r="23" spans="2:90" x14ac:dyDescent="0.25">
      <c r="B23" s="70">
        <f>resistance!J15</f>
        <v>2.7777777777777777</v>
      </c>
      <c r="C23" s="3">
        <f>resistance!I15</f>
        <v>10</v>
      </c>
      <c r="D23" s="1">
        <f>resistance!Z15</f>
        <v>85.09915865384616</v>
      </c>
      <c r="E23" s="1">
        <f>resistance!AA15</f>
        <v>9.4554620726495742</v>
      </c>
      <c r="F23" s="1">
        <f>resistance!AB15</f>
        <v>0</v>
      </c>
      <c r="G23" s="1">
        <f>resistance!AC15</f>
        <v>94.554620726495727</v>
      </c>
      <c r="H23" s="4">
        <f t="shared" si="41"/>
        <v>262.65172424026588</v>
      </c>
      <c r="I23" s="16">
        <f t="shared" si="36"/>
        <v>99.531179712100766</v>
      </c>
      <c r="J23" s="4">
        <f t="shared" si="4"/>
        <v>2.7777777777777777</v>
      </c>
      <c r="K23" s="28">
        <f t="shared" si="39"/>
        <v>5.6666283996008787E-2</v>
      </c>
      <c r="L23" s="27">
        <f t="shared" si="26"/>
        <v>1.3126564551910231</v>
      </c>
      <c r="M23" s="27">
        <f t="shared" si="17"/>
        <v>1.3126564551910231</v>
      </c>
      <c r="N23" s="16">
        <f t="shared" si="18"/>
        <v>264.51873287111744</v>
      </c>
      <c r="O23" s="16">
        <f t="shared" si="27"/>
        <v>4.4086455478519575</v>
      </c>
      <c r="P23" s="72">
        <f t="shared" si="19"/>
        <v>9.7639802229593481E-2</v>
      </c>
      <c r="Q23" s="72">
        <f t="shared" si="20"/>
        <v>9.7639802229593481E-2</v>
      </c>
      <c r="R23" s="22">
        <f t="shared" si="28"/>
        <v>0.27562070568988778</v>
      </c>
      <c r="S23" s="72">
        <f t="shared" si="5"/>
        <v>2.7562070568988774E-2</v>
      </c>
      <c r="T23" s="78">
        <f t="shared" si="21"/>
        <v>0.74009293940441601</v>
      </c>
      <c r="U23" s="22">
        <f t="shared" si="6"/>
        <v>2.7777777777777772</v>
      </c>
      <c r="V23" s="1">
        <f t="shared" si="7"/>
        <v>99.531179712100766</v>
      </c>
      <c r="W23" s="1">
        <f t="shared" si="8"/>
        <v>13.486067786605167</v>
      </c>
      <c r="X23" s="16">
        <f>W23*N23/60*2*PI()</f>
        <v>373.56862156092353</v>
      </c>
      <c r="Y23" s="68">
        <f t="shared" si="22"/>
        <v>0.70308829243419535</v>
      </c>
      <c r="Z23" s="76">
        <f t="shared" si="33"/>
        <v>0.74009293940441612</v>
      </c>
      <c r="AA23" s="77">
        <f t="shared" si="29"/>
        <v>276.47549920027984</v>
      </c>
      <c r="AB23" s="68">
        <v>0.97</v>
      </c>
      <c r="AC23" s="40">
        <f t="shared" si="10"/>
        <v>793.55619861335231</v>
      </c>
      <c r="AD23" s="39">
        <f t="shared" si="11"/>
        <v>4.6343875555344214</v>
      </c>
      <c r="AE23" s="41">
        <f t="shared" si="31"/>
        <v>385.12229026899331</v>
      </c>
      <c r="AF23" s="12">
        <f t="shared" si="23"/>
        <v>793.55619861335231</v>
      </c>
      <c r="AG23" s="78">
        <f t="shared" si="34"/>
        <v>0.86</v>
      </c>
      <c r="AH23" s="41">
        <f t="shared" si="24"/>
        <v>447.81661659185272</v>
      </c>
      <c r="AI23" s="40"/>
      <c r="AJ23" s="40"/>
      <c r="AK23" s="40"/>
      <c r="AM23" s="1">
        <f t="shared" si="12"/>
        <v>0</v>
      </c>
      <c r="AN23" s="1">
        <f t="shared" si="13"/>
        <v>0</v>
      </c>
      <c r="AP23" s="16"/>
      <c r="AR23" s="22">
        <f t="shared" ref="AR23:CB23" si="44">IF(SIGN(AR$8-$K23*AR$7^2)*SIGN(AS$8-$K23*AS$7^2)=-1,INTERCEPT(AR$7:AS$7, AR$8:AS$8-$K23*(AR$7:AS$7)^2),0)</f>
        <v>0</v>
      </c>
      <c r="AS23" s="22">
        <f t="shared" si="44"/>
        <v>0</v>
      </c>
      <c r="AT23" s="22">
        <f t="shared" si="44"/>
        <v>0</v>
      </c>
      <c r="AU23" s="22">
        <f t="shared" si="44"/>
        <v>0</v>
      </c>
      <c r="AV23" s="22">
        <f t="shared" si="44"/>
        <v>0</v>
      </c>
      <c r="AW23" s="22">
        <f t="shared" si="44"/>
        <v>0</v>
      </c>
      <c r="AX23" s="22">
        <f t="shared" si="44"/>
        <v>0</v>
      </c>
      <c r="AY23" s="22">
        <f t="shared" si="44"/>
        <v>0</v>
      </c>
      <c r="AZ23" s="22">
        <f t="shared" si="44"/>
        <v>0</v>
      </c>
      <c r="BA23" s="22">
        <f t="shared" si="44"/>
        <v>0</v>
      </c>
      <c r="BB23" s="22">
        <f t="shared" si="44"/>
        <v>0</v>
      </c>
      <c r="BC23" s="22">
        <f t="shared" si="44"/>
        <v>1.3126564551910231</v>
      </c>
      <c r="BD23" s="22">
        <f t="shared" si="44"/>
        <v>0</v>
      </c>
      <c r="BE23" s="22">
        <f t="shared" si="44"/>
        <v>0</v>
      </c>
      <c r="BF23" s="22">
        <f t="shared" si="44"/>
        <v>0</v>
      </c>
      <c r="BG23" s="22">
        <f t="shared" si="44"/>
        <v>0</v>
      </c>
      <c r="BH23" s="22">
        <f t="shared" si="44"/>
        <v>0</v>
      </c>
      <c r="BI23" s="22">
        <f t="shared" si="44"/>
        <v>0</v>
      </c>
      <c r="BJ23" s="22">
        <f t="shared" si="44"/>
        <v>0</v>
      </c>
      <c r="BK23" s="22">
        <f t="shared" si="44"/>
        <v>0</v>
      </c>
      <c r="BL23" s="22">
        <f t="shared" si="44"/>
        <v>0</v>
      </c>
      <c r="BM23" s="22">
        <f t="shared" si="44"/>
        <v>0</v>
      </c>
      <c r="BN23" s="22">
        <f t="shared" si="44"/>
        <v>0</v>
      </c>
      <c r="BO23" s="22">
        <f t="shared" si="44"/>
        <v>0</v>
      </c>
      <c r="BP23" s="22">
        <f t="shared" si="44"/>
        <v>0</v>
      </c>
      <c r="BQ23" s="22">
        <f t="shared" si="44"/>
        <v>0</v>
      </c>
      <c r="BR23" s="22">
        <f t="shared" si="44"/>
        <v>0</v>
      </c>
      <c r="BS23" s="22">
        <f t="shared" si="44"/>
        <v>0</v>
      </c>
      <c r="BT23" s="22">
        <f t="shared" si="44"/>
        <v>0</v>
      </c>
      <c r="BU23" s="22">
        <f t="shared" si="44"/>
        <v>0</v>
      </c>
      <c r="BV23" s="22">
        <f t="shared" si="44"/>
        <v>0</v>
      </c>
      <c r="BW23" s="22">
        <f t="shared" si="44"/>
        <v>0</v>
      </c>
      <c r="BX23" s="22">
        <f t="shared" si="44"/>
        <v>0</v>
      </c>
      <c r="BY23" s="22">
        <f t="shared" si="44"/>
        <v>0</v>
      </c>
      <c r="BZ23" s="22">
        <f t="shared" si="44"/>
        <v>0</v>
      </c>
      <c r="CA23" s="22">
        <f t="shared" si="44"/>
        <v>0</v>
      </c>
      <c r="CB23" s="22">
        <f t="shared" si="44"/>
        <v>0</v>
      </c>
      <c r="CC23" s="22">
        <f t="shared" si="15"/>
        <v>1.3126564551910231</v>
      </c>
      <c r="CG23" s="1"/>
      <c r="CH23" s="1"/>
      <c r="CI23" s="1"/>
      <c r="CJ23" s="1"/>
      <c r="CK23" s="1"/>
      <c r="CL23" s="1"/>
    </row>
    <row r="24" spans="2:90" x14ac:dyDescent="0.25">
      <c r="B24" s="70">
        <f>resistance!J16</f>
        <v>3.0555555555555554</v>
      </c>
      <c r="C24" s="3">
        <f>resistance!I16</f>
        <v>11</v>
      </c>
      <c r="D24" s="1">
        <f>resistance!Z16</f>
        <v>93.609074519230774</v>
      </c>
      <c r="E24" s="1">
        <f>resistance!AA16</f>
        <v>10.401008279914532</v>
      </c>
      <c r="F24" s="1">
        <f>resistance!AB16</f>
        <v>0</v>
      </c>
      <c r="G24" s="1">
        <f>resistance!AC16</f>
        <v>104.01008279914531</v>
      </c>
      <c r="H24" s="4">
        <f t="shared" si="41"/>
        <v>317.80858633072177</v>
      </c>
      <c r="I24" s="16">
        <f t="shared" si="36"/>
        <v>109.48429768331086</v>
      </c>
      <c r="J24" s="4">
        <f t="shared" si="4"/>
        <v>3.0555555555555554</v>
      </c>
      <c r="K24" s="28">
        <f t="shared" si="39"/>
        <v>5.1514803632735279E-2</v>
      </c>
      <c r="L24" s="27">
        <f t="shared" si="26"/>
        <v>1.3650180810998749</v>
      </c>
      <c r="M24" s="27">
        <f t="shared" si="17"/>
        <v>1.3650180810998747</v>
      </c>
      <c r="N24" s="16">
        <f t="shared" si="18"/>
        <v>279.80907339827286</v>
      </c>
      <c r="O24" s="16">
        <f t="shared" si="27"/>
        <v>4.6634845566378811</v>
      </c>
      <c r="P24" s="72">
        <f t="shared" si="19"/>
        <v>9.598621285840972E-2</v>
      </c>
      <c r="Q24" s="72">
        <f t="shared" si="20"/>
        <v>9.5986212858409678E-2</v>
      </c>
      <c r="R24" s="22">
        <f t="shared" si="28"/>
        <v>0.27627522601374843</v>
      </c>
      <c r="S24" s="72">
        <f t="shared" si="5"/>
        <v>2.762752260137484E-2</v>
      </c>
      <c r="T24" s="78">
        <f t="shared" si="21"/>
        <v>0.7547888044325396</v>
      </c>
      <c r="U24" s="22">
        <f t="shared" si="6"/>
        <v>3.0555555555555558</v>
      </c>
      <c r="V24" s="1">
        <f t="shared" si="7"/>
        <v>109.4842976833109</v>
      </c>
      <c r="W24" s="1">
        <f t="shared" si="8"/>
        <v>15.126071890528069</v>
      </c>
      <c r="X24" s="16">
        <f t="shared" si="9"/>
        <v>443.21716494436748</v>
      </c>
      <c r="Y24" s="68">
        <f t="shared" si="22"/>
        <v>0.71704936421091225</v>
      </c>
      <c r="Z24" s="76">
        <f t="shared" si="33"/>
        <v>0.7547888044325396</v>
      </c>
      <c r="AA24" s="77">
        <f t="shared" si="29"/>
        <v>334.53535403233883</v>
      </c>
      <c r="AB24" s="68">
        <v>0.97</v>
      </c>
      <c r="AC24" s="40">
        <f t="shared" si="10"/>
        <v>839.42722019481857</v>
      </c>
      <c r="AD24" s="39">
        <f t="shared" si="11"/>
        <v>5.1979628489787171</v>
      </c>
      <c r="AE24" s="41">
        <f t="shared" si="31"/>
        <v>456.92491231378085</v>
      </c>
      <c r="AF24" s="12">
        <f t="shared" si="23"/>
        <v>839.42722019481857</v>
      </c>
      <c r="AG24" s="78">
        <f t="shared" si="34"/>
        <v>0.86</v>
      </c>
      <c r="AH24" s="41">
        <f t="shared" si="24"/>
        <v>531.3080375741639</v>
      </c>
      <c r="AI24" s="40"/>
      <c r="AJ24" s="40"/>
      <c r="AK24" s="40"/>
      <c r="AM24" s="1">
        <f t="shared" si="12"/>
        <v>0</v>
      </c>
      <c r="AN24" s="1">
        <f t="shared" si="13"/>
        <v>0</v>
      </c>
      <c r="AP24" s="16"/>
      <c r="AR24" s="22">
        <f t="shared" ref="AR24:CB24" si="45">IF(SIGN(AR$8-$K24*AR$7^2)*SIGN(AS$8-$K24*AS$7^2)=-1,INTERCEPT(AR$7:AS$7, AR$8:AS$8-$K24*(AR$7:AS$7)^2),0)</f>
        <v>0</v>
      </c>
      <c r="AS24" s="22">
        <f t="shared" si="45"/>
        <v>0</v>
      </c>
      <c r="AT24" s="22">
        <f t="shared" si="45"/>
        <v>0</v>
      </c>
      <c r="AU24" s="22">
        <f t="shared" si="45"/>
        <v>0</v>
      </c>
      <c r="AV24" s="22">
        <f t="shared" si="45"/>
        <v>0</v>
      </c>
      <c r="AW24" s="22">
        <f t="shared" si="45"/>
        <v>0</v>
      </c>
      <c r="AX24" s="22">
        <f t="shared" si="45"/>
        <v>0</v>
      </c>
      <c r="AY24" s="22">
        <f t="shared" si="45"/>
        <v>0</v>
      </c>
      <c r="AZ24" s="22">
        <f t="shared" si="45"/>
        <v>0</v>
      </c>
      <c r="BA24" s="22">
        <f t="shared" si="45"/>
        <v>0</v>
      </c>
      <c r="BB24" s="22">
        <f t="shared" si="45"/>
        <v>0</v>
      </c>
      <c r="BC24" s="22">
        <f t="shared" si="45"/>
        <v>1.3650180810998749</v>
      </c>
      <c r="BD24" s="22">
        <f t="shared" si="45"/>
        <v>0</v>
      </c>
      <c r="BE24" s="22">
        <f t="shared" si="45"/>
        <v>0</v>
      </c>
      <c r="BF24" s="22">
        <f t="shared" si="45"/>
        <v>0</v>
      </c>
      <c r="BG24" s="22">
        <f t="shared" si="45"/>
        <v>0</v>
      </c>
      <c r="BH24" s="22">
        <f t="shared" si="45"/>
        <v>0</v>
      </c>
      <c r="BI24" s="22">
        <f t="shared" si="45"/>
        <v>0</v>
      </c>
      <c r="BJ24" s="22">
        <f t="shared" si="45"/>
        <v>0</v>
      </c>
      <c r="BK24" s="22">
        <f t="shared" si="45"/>
        <v>0</v>
      </c>
      <c r="BL24" s="22">
        <f t="shared" si="45"/>
        <v>0</v>
      </c>
      <c r="BM24" s="22">
        <f t="shared" si="45"/>
        <v>0</v>
      </c>
      <c r="BN24" s="22">
        <f t="shared" si="45"/>
        <v>0</v>
      </c>
      <c r="BO24" s="22">
        <f t="shared" si="45"/>
        <v>0</v>
      </c>
      <c r="BP24" s="22">
        <f t="shared" si="45"/>
        <v>0</v>
      </c>
      <c r="BQ24" s="22">
        <f t="shared" si="45"/>
        <v>0</v>
      </c>
      <c r="BR24" s="22">
        <f t="shared" si="45"/>
        <v>0</v>
      </c>
      <c r="BS24" s="22">
        <f t="shared" si="45"/>
        <v>0</v>
      </c>
      <c r="BT24" s="22">
        <f t="shared" si="45"/>
        <v>0</v>
      </c>
      <c r="BU24" s="22">
        <f t="shared" si="45"/>
        <v>0</v>
      </c>
      <c r="BV24" s="22">
        <f t="shared" si="45"/>
        <v>0</v>
      </c>
      <c r="BW24" s="22">
        <f t="shared" si="45"/>
        <v>0</v>
      </c>
      <c r="BX24" s="22">
        <f t="shared" si="45"/>
        <v>0</v>
      </c>
      <c r="BY24" s="22">
        <f t="shared" si="45"/>
        <v>0</v>
      </c>
      <c r="BZ24" s="22">
        <f t="shared" si="45"/>
        <v>0</v>
      </c>
      <c r="CA24" s="22">
        <f t="shared" si="45"/>
        <v>0</v>
      </c>
      <c r="CB24" s="22">
        <f t="shared" si="45"/>
        <v>0</v>
      </c>
      <c r="CC24" s="22">
        <f>SUM(AR24:CB24)</f>
        <v>1.3650180810998749</v>
      </c>
      <c r="CG24" s="1"/>
      <c r="CH24" s="1"/>
      <c r="CI24" s="1"/>
      <c r="CJ24" s="1"/>
      <c r="CK24" s="1"/>
      <c r="CL24" s="1"/>
    </row>
    <row r="25" spans="2:90" x14ac:dyDescent="0.25">
      <c r="B25" s="70">
        <f>resistance!J17</f>
        <v>3.333333333333333</v>
      </c>
      <c r="C25" s="3">
        <f>resistance!I17</f>
        <v>12</v>
      </c>
      <c r="D25" s="1">
        <f>resistance!Z17</f>
        <v>102.30434666666666</v>
      </c>
      <c r="E25" s="1">
        <f>resistance!AA17</f>
        <v>11.385662857142858</v>
      </c>
      <c r="F25" s="1">
        <f>resistance!AB17</f>
        <v>0</v>
      </c>
      <c r="G25" s="1">
        <f>resistance!AC17</f>
        <v>113.69000952380952</v>
      </c>
      <c r="H25" s="4">
        <f t="shared" si="41"/>
        <v>378.96669841269835</v>
      </c>
      <c r="I25" s="16">
        <f t="shared" si="36"/>
        <v>119.67369423558898</v>
      </c>
      <c r="J25" s="4">
        <f t="shared" si="4"/>
        <v>3.333333333333333</v>
      </c>
      <c r="K25" s="28">
        <f t="shared" si="39"/>
        <v>4.7315320658681131E-2</v>
      </c>
      <c r="L25" s="27">
        <f t="shared" si="26"/>
        <v>1.4114160128547082</v>
      </c>
      <c r="M25" s="27">
        <f t="shared" si="17"/>
        <v>1.411416012854708</v>
      </c>
      <c r="N25" s="16">
        <f t="shared" si="18"/>
        <v>295.21180351633046</v>
      </c>
      <c r="O25" s="16">
        <f t="shared" si="27"/>
        <v>4.9201967252721746</v>
      </c>
      <c r="P25" s="72">
        <f t="shared" si="19"/>
        <v>9.4256621341536118E-2</v>
      </c>
      <c r="Q25" s="72">
        <f t="shared" si="20"/>
        <v>9.425662134153609E-2</v>
      </c>
      <c r="R25" s="22">
        <f t="shared" si="28"/>
        <v>0.27620833677444889</v>
      </c>
      <c r="S25" s="72">
        <f t="shared" si="5"/>
        <v>2.7620833677444889E-2</v>
      </c>
      <c r="T25" s="78">
        <f t="shared" si="21"/>
        <v>0.76656724386612185</v>
      </c>
      <c r="U25" s="22">
        <f t="shared" si="6"/>
        <v>3.3333333333333335</v>
      </c>
      <c r="V25" s="1">
        <f t="shared" si="7"/>
        <v>119.67369423558902</v>
      </c>
      <c r="W25" s="1">
        <f t="shared" si="8"/>
        <v>16.833128912962479</v>
      </c>
      <c r="X25" s="16">
        <f t="shared" si="9"/>
        <v>520.38789461802082</v>
      </c>
      <c r="Y25" s="68">
        <f>(G25*B25)/(2*PI()*O25*W25)</f>
        <v>0.72823888167281514</v>
      </c>
      <c r="Z25" s="76">
        <f t="shared" si="33"/>
        <v>0.76656724386612174</v>
      </c>
      <c r="AA25" s="77">
        <f t="shared" si="29"/>
        <v>398.91231411863004</v>
      </c>
      <c r="AB25" s="68">
        <v>0.97</v>
      </c>
      <c r="AC25" s="40">
        <f t="shared" si="10"/>
        <v>885.63541054899133</v>
      </c>
      <c r="AD25" s="39">
        <f t="shared" si="11"/>
        <v>5.7845803824613329</v>
      </c>
      <c r="AE25" s="41">
        <f t="shared" si="31"/>
        <v>536.48236558558847</v>
      </c>
      <c r="AF25" s="12">
        <f t="shared" si="23"/>
        <v>885.63541054899133</v>
      </c>
      <c r="AG25" s="78">
        <f t="shared" si="34"/>
        <v>0.86</v>
      </c>
      <c r="AH25" s="41">
        <f t="shared" si="24"/>
        <v>623.81670416928898</v>
      </c>
      <c r="AI25" s="40"/>
      <c r="AJ25" s="40"/>
      <c r="AK25" s="40"/>
      <c r="AM25" s="1">
        <f t="shared" si="12"/>
        <v>0</v>
      </c>
      <c r="AN25" s="1">
        <f t="shared" si="13"/>
        <v>0</v>
      </c>
      <c r="AP25" s="16"/>
      <c r="AR25" s="22">
        <f t="shared" ref="AR25:CB25" si="46">IF(SIGN(AR$8-$K25*AR$7^2)*SIGN(AS$8-$K25*AS$7^2)=-1,INTERCEPT(AR$7:AS$7, AR$8:AS$8-$K25*(AR$7:AS$7)^2),0)</f>
        <v>0</v>
      </c>
      <c r="AS25" s="22">
        <f t="shared" si="46"/>
        <v>0</v>
      </c>
      <c r="AT25" s="22">
        <f t="shared" si="46"/>
        <v>0</v>
      </c>
      <c r="AU25" s="22">
        <f t="shared" si="46"/>
        <v>0</v>
      </c>
      <c r="AV25" s="22">
        <f t="shared" si="46"/>
        <v>0</v>
      </c>
      <c r="AW25" s="22">
        <f t="shared" si="46"/>
        <v>0</v>
      </c>
      <c r="AX25" s="22">
        <f t="shared" si="46"/>
        <v>0</v>
      </c>
      <c r="AY25" s="22">
        <f t="shared" si="46"/>
        <v>0</v>
      </c>
      <c r="AZ25" s="22">
        <f t="shared" si="46"/>
        <v>0</v>
      </c>
      <c r="BA25" s="22">
        <f t="shared" si="46"/>
        <v>0</v>
      </c>
      <c r="BB25" s="22">
        <f t="shared" si="46"/>
        <v>0</v>
      </c>
      <c r="BC25" s="22">
        <f t="shared" si="46"/>
        <v>0</v>
      </c>
      <c r="BD25" s="22">
        <f t="shared" si="46"/>
        <v>1.4114160128547082</v>
      </c>
      <c r="BE25" s="22">
        <f t="shared" si="46"/>
        <v>0</v>
      </c>
      <c r="BF25" s="22">
        <f t="shared" si="46"/>
        <v>0</v>
      </c>
      <c r="BG25" s="22">
        <f t="shared" si="46"/>
        <v>0</v>
      </c>
      <c r="BH25" s="22">
        <f t="shared" si="46"/>
        <v>0</v>
      </c>
      <c r="BI25" s="22">
        <f t="shared" si="46"/>
        <v>0</v>
      </c>
      <c r="BJ25" s="22">
        <f t="shared" si="46"/>
        <v>0</v>
      </c>
      <c r="BK25" s="22">
        <f t="shared" si="46"/>
        <v>0</v>
      </c>
      <c r="BL25" s="22">
        <f t="shared" si="46"/>
        <v>0</v>
      </c>
      <c r="BM25" s="22">
        <f t="shared" si="46"/>
        <v>0</v>
      </c>
      <c r="BN25" s="22">
        <f t="shared" si="46"/>
        <v>0</v>
      </c>
      <c r="BO25" s="22">
        <f t="shared" si="46"/>
        <v>0</v>
      </c>
      <c r="BP25" s="22">
        <f t="shared" si="46"/>
        <v>0</v>
      </c>
      <c r="BQ25" s="22">
        <f t="shared" si="46"/>
        <v>0</v>
      </c>
      <c r="BR25" s="22">
        <f t="shared" si="46"/>
        <v>0</v>
      </c>
      <c r="BS25" s="22">
        <f t="shared" si="46"/>
        <v>0</v>
      </c>
      <c r="BT25" s="22">
        <f t="shared" si="46"/>
        <v>0</v>
      </c>
      <c r="BU25" s="22">
        <f t="shared" si="46"/>
        <v>0</v>
      </c>
      <c r="BV25" s="22">
        <f t="shared" si="46"/>
        <v>0</v>
      </c>
      <c r="BW25" s="22">
        <f t="shared" si="46"/>
        <v>0</v>
      </c>
      <c r="BX25" s="22">
        <f t="shared" si="46"/>
        <v>0</v>
      </c>
      <c r="BY25" s="22">
        <f t="shared" si="46"/>
        <v>0</v>
      </c>
      <c r="BZ25" s="22">
        <f t="shared" si="46"/>
        <v>0</v>
      </c>
      <c r="CA25" s="22">
        <f t="shared" si="46"/>
        <v>0</v>
      </c>
      <c r="CB25" s="22">
        <f t="shared" si="46"/>
        <v>0</v>
      </c>
      <c r="CC25" s="22">
        <f>SUM(AR25:CB25)</f>
        <v>1.4114160128547082</v>
      </c>
      <c r="CG25" s="1"/>
      <c r="CH25" s="1"/>
      <c r="CI25" s="1"/>
      <c r="CJ25" s="1"/>
      <c r="CK25" s="1"/>
      <c r="CL25" s="1"/>
    </row>
    <row r="26" spans="2:90" x14ac:dyDescent="0.25">
      <c r="B26" s="70">
        <f>resistance!J18</f>
        <v>3.6111111111111112</v>
      </c>
      <c r="C26" s="3">
        <f>resistance!I18</f>
        <v>13</v>
      </c>
      <c r="D26" s="1">
        <f>resistance!Z18</f>
        <v>120.46823555555558</v>
      </c>
      <c r="E26" s="1">
        <f>resistance!AA18</f>
        <v>14.368103333333327</v>
      </c>
      <c r="F26" s="1">
        <f>resistance!AB18</f>
        <v>0</v>
      </c>
      <c r="G26" s="1">
        <f>resistance!AC18</f>
        <v>134.83633888888892</v>
      </c>
      <c r="H26" s="4">
        <f t="shared" si="41"/>
        <v>486.90900154320997</v>
      </c>
      <c r="I26" s="16">
        <f t="shared" si="36"/>
        <v>141.93298830409361</v>
      </c>
      <c r="J26" s="4">
        <f t="shared" si="4"/>
        <v>3.6111111111111112</v>
      </c>
      <c r="K26" s="28">
        <f t="shared" si="39"/>
        <v>4.7814786863098396E-2</v>
      </c>
      <c r="L26" s="27">
        <f t="shared" si="26"/>
        <v>1.4056533864035099</v>
      </c>
      <c r="M26" s="27">
        <f t="shared" si="17"/>
        <v>1.4056533864035097</v>
      </c>
      <c r="N26" s="16">
        <f t="shared" si="18"/>
        <v>321.12389388098575</v>
      </c>
      <c r="O26" s="16">
        <f t="shared" si="27"/>
        <v>5.3520648980164287</v>
      </c>
      <c r="P26" s="72">
        <f t="shared" si="19"/>
        <v>9.4475393754080636E-2</v>
      </c>
      <c r="Q26" s="72">
        <f t="shared" si="20"/>
        <v>9.4475393754080622E-2</v>
      </c>
      <c r="R26" s="22">
        <f t="shared" si="28"/>
        <v>0.27623866638734995</v>
      </c>
      <c r="S26" s="72">
        <f t="shared" si="5"/>
        <v>2.7623866638734992E-2</v>
      </c>
      <c r="T26" s="78">
        <f t="shared" si="21"/>
        <v>0.76512539517695732</v>
      </c>
      <c r="U26" s="22">
        <f t="shared" si="6"/>
        <v>3.6111111111111112</v>
      </c>
      <c r="V26" s="1">
        <f t="shared" si="7"/>
        <v>141.93298830409364</v>
      </c>
      <c r="W26" s="1">
        <f t="shared" si="8"/>
        <v>19.92004623301645</v>
      </c>
      <c r="X26" s="16">
        <f t="shared" si="9"/>
        <v>669.87162408794086</v>
      </c>
      <c r="Y26" s="68">
        <f t="shared" si="22"/>
        <v>0.72686912541810922</v>
      </c>
      <c r="Z26" s="76">
        <f t="shared" si="33"/>
        <v>0.76512539517695732</v>
      </c>
      <c r="AA26" s="77">
        <f t="shared" si="29"/>
        <v>512.53579109811596</v>
      </c>
      <c r="AB26" s="68">
        <v>0.97</v>
      </c>
      <c r="AC26" s="40">
        <f t="shared" si="10"/>
        <v>963.37168164295724</v>
      </c>
      <c r="AD26" s="39">
        <f t="shared" si="11"/>
        <v>6.8453767123767868</v>
      </c>
      <c r="AE26" s="41">
        <f t="shared" si="31"/>
        <v>690.58930318344426</v>
      </c>
      <c r="AF26" s="12">
        <f t="shared" si="23"/>
        <v>963.37168164295724</v>
      </c>
      <c r="AG26" s="78">
        <f t="shared" si="34"/>
        <v>0.86</v>
      </c>
      <c r="AH26" s="41">
        <f t="shared" si="24"/>
        <v>803.01081765516767</v>
      </c>
      <c r="AI26" s="40"/>
      <c r="AJ26" s="40"/>
      <c r="AK26" s="40"/>
      <c r="AM26" s="1">
        <f t="shared" si="12"/>
        <v>0</v>
      </c>
      <c r="AN26" s="1">
        <f t="shared" si="13"/>
        <v>0</v>
      </c>
      <c r="AP26" s="16"/>
      <c r="AR26" s="22">
        <f t="shared" ref="AR26:CB26" si="47">IF(SIGN(AR$8-$K26*AR$7^2)*SIGN(AS$8-$K26*AS$7^2)=-1,INTERCEPT(AR$7:AS$7, AR$8:AS$8-$K26*(AR$7:AS$7)^2),0)</f>
        <v>0</v>
      </c>
      <c r="AS26" s="22">
        <f t="shared" si="47"/>
        <v>0</v>
      </c>
      <c r="AT26" s="22">
        <f t="shared" si="47"/>
        <v>0</v>
      </c>
      <c r="AU26" s="22">
        <f t="shared" si="47"/>
        <v>0</v>
      </c>
      <c r="AV26" s="22">
        <f t="shared" si="47"/>
        <v>0</v>
      </c>
      <c r="AW26" s="22">
        <f t="shared" si="47"/>
        <v>0</v>
      </c>
      <c r="AX26" s="22">
        <f t="shared" si="47"/>
        <v>0</v>
      </c>
      <c r="AY26" s="22">
        <f t="shared" si="47"/>
        <v>0</v>
      </c>
      <c r="AZ26" s="22">
        <f t="shared" si="47"/>
        <v>0</v>
      </c>
      <c r="BA26" s="22">
        <f t="shared" si="47"/>
        <v>0</v>
      </c>
      <c r="BB26" s="22">
        <f t="shared" si="47"/>
        <v>0</v>
      </c>
      <c r="BC26" s="22">
        <f t="shared" si="47"/>
        <v>0</v>
      </c>
      <c r="BD26" s="22">
        <f t="shared" si="47"/>
        <v>1.4056533864035099</v>
      </c>
      <c r="BE26" s="22">
        <f t="shared" si="47"/>
        <v>0</v>
      </c>
      <c r="BF26" s="22">
        <f t="shared" si="47"/>
        <v>0</v>
      </c>
      <c r="BG26" s="22">
        <f t="shared" si="47"/>
        <v>0</v>
      </c>
      <c r="BH26" s="22">
        <f t="shared" si="47"/>
        <v>0</v>
      </c>
      <c r="BI26" s="22">
        <f t="shared" si="47"/>
        <v>0</v>
      </c>
      <c r="BJ26" s="22">
        <f t="shared" si="47"/>
        <v>0</v>
      </c>
      <c r="BK26" s="22">
        <f t="shared" si="47"/>
        <v>0</v>
      </c>
      <c r="BL26" s="22">
        <f t="shared" si="47"/>
        <v>0</v>
      </c>
      <c r="BM26" s="22">
        <f t="shared" si="47"/>
        <v>0</v>
      </c>
      <c r="BN26" s="22">
        <f t="shared" si="47"/>
        <v>0</v>
      </c>
      <c r="BO26" s="22">
        <f t="shared" si="47"/>
        <v>0</v>
      </c>
      <c r="BP26" s="22">
        <f t="shared" si="47"/>
        <v>0</v>
      </c>
      <c r="BQ26" s="22">
        <f t="shared" si="47"/>
        <v>0</v>
      </c>
      <c r="BR26" s="22">
        <f t="shared" si="47"/>
        <v>0</v>
      </c>
      <c r="BS26" s="22">
        <f t="shared" si="47"/>
        <v>0</v>
      </c>
      <c r="BT26" s="22">
        <f t="shared" si="47"/>
        <v>0</v>
      </c>
      <c r="BU26" s="22">
        <f t="shared" si="47"/>
        <v>0</v>
      </c>
      <c r="BV26" s="22">
        <f t="shared" si="47"/>
        <v>0</v>
      </c>
      <c r="BW26" s="22">
        <f t="shared" si="47"/>
        <v>0</v>
      </c>
      <c r="BX26" s="22">
        <f t="shared" si="47"/>
        <v>0</v>
      </c>
      <c r="BY26" s="22">
        <f t="shared" si="47"/>
        <v>0</v>
      </c>
      <c r="BZ26" s="22">
        <f t="shared" si="47"/>
        <v>0</v>
      </c>
      <c r="CA26" s="22">
        <f t="shared" si="47"/>
        <v>0</v>
      </c>
      <c r="CB26" s="22">
        <f t="shared" si="47"/>
        <v>0</v>
      </c>
      <c r="CC26" s="22">
        <f t="shared" ref="CC26:CC31" si="48">SUM(AR26:CB26)</f>
        <v>1.4056533864035099</v>
      </c>
      <c r="CG26" s="1"/>
      <c r="CH26" s="1"/>
      <c r="CI26" s="1"/>
      <c r="CJ26" s="1"/>
      <c r="CK26" s="1"/>
      <c r="CL26" s="1"/>
    </row>
    <row r="27" spans="2:90" x14ac:dyDescent="0.25">
      <c r="B27" s="70">
        <f>resistance!J19</f>
        <v>3.8888888888888888</v>
      </c>
      <c r="C27" s="3">
        <f>resistance!I19</f>
        <v>14</v>
      </c>
      <c r="D27" s="1">
        <f>resistance!Z19</f>
        <v>138.62347138387486</v>
      </c>
      <c r="E27" s="1">
        <f>resistance!AA19</f>
        <v>17.350241813076593</v>
      </c>
      <c r="F27" s="1">
        <f>resistance!AB19</f>
        <v>0</v>
      </c>
      <c r="G27" s="1">
        <f>resistance!AC19</f>
        <v>155.97371319695145</v>
      </c>
      <c r="H27" s="4">
        <f t="shared" si="41"/>
        <v>606.5644402103668</v>
      </c>
      <c r="I27" s="16">
        <f t="shared" si="36"/>
        <v>164.18285599679101</v>
      </c>
      <c r="J27" s="4">
        <f t="shared" si="4"/>
        <v>3.8888888888888888</v>
      </c>
      <c r="K27" s="28">
        <f t="shared" si="39"/>
        <v>4.7691097505884371E-2</v>
      </c>
      <c r="L27" s="27">
        <f t="shared" si="26"/>
        <v>1.4070715602561064</v>
      </c>
      <c r="M27" s="27">
        <f t="shared" si="17"/>
        <v>1.4070715602561064</v>
      </c>
      <c r="N27" s="16">
        <f t="shared" si="18"/>
        <v>345.47717745260394</v>
      </c>
      <c r="O27" s="16">
        <f t="shared" si="27"/>
        <v>5.7579529575433988</v>
      </c>
      <c r="P27" s="72">
        <f t="shared" si="19"/>
        <v>9.4421237313690773E-2</v>
      </c>
      <c r="Q27" s="72">
        <f t="shared" si="20"/>
        <v>9.4421237313690731E-2</v>
      </c>
      <c r="R27" s="22">
        <f t="shared" si="28"/>
        <v>0.27623120231444154</v>
      </c>
      <c r="S27" s="72">
        <f t="shared" si="5"/>
        <v>2.7623120231444153E-2</v>
      </c>
      <c r="T27" s="78">
        <f t="shared" si="21"/>
        <v>0.76547898139789439</v>
      </c>
      <c r="U27" s="22">
        <f t="shared" si="6"/>
        <v>3.8888888888888893</v>
      </c>
      <c r="V27" s="1">
        <f t="shared" si="7"/>
        <v>164.18285599679109</v>
      </c>
      <c r="W27" s="1">
        <f t="shared" si="8"/>
        <v>23.055369661335185</v>
      </c>
      <c r="X27" s="16">
        <f t="shared" si="9"/>
        <v>834.10374412368105</v>
      </c>
      <c r="Y27" s="68">
        <f t="shared" si="22"/>
        <v>0.72720503232799949</v>
      </c>
      <c r="Z27" s="76">
        <f t="shared" si="33"/>
        <v>0.76547898139789461</v>
      </c>
      <c r="AA27" s="77">
        <f t="shared" si="29"/>
        <v>638.48888443196552</v>
      </c>
      <c r="AB27" s="68">
        <v>0.97</v>
      </c>
      <c r="AC27" s="40">
        <f t="shared" si="10"/>
        <v>1036.4315323578119</v>
      </c>
      <c r="AD27" s="39">
        <f t="shared" si="11"/>
        <v>7.9228074437577947</v>
      </c>
      <c r="AE27" s="41">
        <f t="shared" si="31"/>
        <v>859.90076713781536</v>
      </c>
      <c r="AF27" s="12">
        <f t="shared" si="23"/>
        <v>1036.4315323578119</v>
      </c>
      <c r="AG27" s="78">
        <f t="shared" si="34"/>
        <v>0.86</v>
      </c>
      <c r="AH27" s="41">
        <f t="shared" si="24"/>
        <v>999.88461295094839</v>
      </c>
      <c r="AI27" s="40"/>
      <c r="AJ27" s="40"/>
      <c r="AK27" s="40"/>
      <c r="AM27" s="1">
        <f t="shared" si="12"/>
        <v>0</v>
      </c>
      <c r="AN27" s="1">
        <f t="shared" si="13"/>
        <v>0</v>
      </c>
      <c r="AP27" s="16"/>
      <c r="AR27" s="22">
        <f t="shared" ref="AR27:CB27" si="49">IF(SIGN(AR$8-$K27*AR$7^2)*SIGN(AS$8-$K27*AS$7^2)=-1,INTERCEPT(AR$7:AS$7, AR$8:AS$8-$K27*(AR$7:AS$7)^2),0)</f>
        <v>0</v>
      </c>
      <c r="AS27" s="22">
        <f t="shared" si="49"/>
        <v>0</v>
      </c>
      <c r="AT27" s="22">
        <f t="shared" si="49"/>
        <v>0</v>
      </c>
      <c r="AU27" s="22">
        <f t="shared" si="49"/>
        <v>0</v>
      </c>
      <c r="AV27" s="22">
        <f t="shared" si="49"/>
        <v>0</v>
      </c>
      <c r="AW27" s="22">
        <f t="shared" si="49"/>
        <v>0</v>
      </c>
      <c r="AX27" s="22">
        <f t="shared" si="49"/>
        <v>0</v>
      </c>
      <c r="AY27" s="22">
        <f t="shared" si="49"/>
        <v>0</v>
      </c>
      <c r="AZ27" s="22">
        <f t="shared" si="49"/>
        <v>0</v>
      </c>
      <c r="BA27" s="22">
        <f t="shared" si="49"/>
        <v>0</v>
      </c>
      <c r="BB27" s="22">
        <f t="shared" si="49"/>
        <v>0</v>
      </c>
      <c r="BC27" s="22">
        <f t="shared" si="49"/>
        <v>0</v>
      </c>
      <c r="BD27" s="22">
        <f t="shared" si="49"/>
        <v>1.4070715602561064</v>
      </c>
      <c r="BE27" s="22">
        <f t="shared" si="49"/>
        <v>0</v>
      </c>
      <c r="BF27" s="22">
        <f t="shared" si="49"/>
        <v>0</v>
      </c>
      <c r="BG27" s="22">
        <f t="shared" si="49"/>
        <v>0</v>
      </c>
      <c r="BH27" s="22">
        <f t="shared" si="49"/>
        <v>0</v>
      </c>
      <c r="BI27" s="22">
        <f t="shared" si="49"/>
        <v>0</v>
      </c>
      <c r="BJ27" s="22">
        <f t="shared" si="49"/>
        <v>0</v>
      </c>
      <c r="BK27" s="22">
        <f t="shared" si="49"/>
        <v>0</v>
      </c>
      <c r="BL27" s="22">
        <f t="shared" si="49"/>
        <v>0</v>
      </c>
      <c r="BM27" s="22">
        <f t="shared" si="49"/>
        <v>0</v>
      </c>
      <c r="BN27" s="22">
        <f t="shared" si="49"/>
        <v>0</v>
      </c>
      <c r="BO27" s="22">
        <f t="shared" si="49"/>
        <v>0</v>
      </c>
      <c r="BP27" s="22">
        <f t="shared" si="49"/>
        <v>0</v>
      </c>
      <c r="BQ27" s="22">
        <f t="shared" si="49"/>
        <v>0</v>
      </c>
      <c r="BR27" s="22">
        <f t="shared" si="49"/>
        <v>0</v>
      </c>
      <c r="BS27" s="22">
        <f t="shared" si="49"/>
        <v>0</v>
      </c>
      <c r="BT27" s="22">
        <f t="shared" si="49"/>
        <v>0</v>
      </c>
      <c r="BU27" s="22">
        <f t="shared" si="49"/>
        <v>0</v>
      </c>
      <c r="BV27" s="22">
        <f t="shared" si="49"/>
        <v>0</v>
      </c>
      <c r="BW27" s="22">
        <f t="shared" si="49"/>
        <v>0</v>
      </c>
      <c r="BX27" s="22">
        <f t="shared" si="49"/>
        <v>0</v>
      </c>
      <c r="BY27" s="22">
        <f t="shared" si="49"/>
        <v>0</v>
      </c>
      <c r="BZ27" s="22">
        <f t="shared" si="49"/>
        <v>0</v>
      </c>
      <c r="CA27" s="22">
        <f t="shared" si="49"/>
        <v>0</v>
      </c>
      <c r="CB27" s="22">
        <f t="shared" si="49"/>
        <v>0</v>
      </c>
      <c r="CC27" s="22">
        <f t="shared" si="48"/>
        <v>1.4070715602561064</v>
      </c>
      <c r="CG27" s="1"/>
      <c r="CH27" s="1"/>
      <c r="CI27" s="1"/>
      <c r="CJ27" s="1"/>
      <c r="CK27" s="1"/>
      <c r="CL27" s="1"/>
    </row>
    <row r="28" spans="2:90" ht="13.5" customHeight="1" x14ac:dyDescent="0.25">
      <c r="B28" s="70">
        <f>resistance!J20</f>
        <v>4.166666666666667</v>
      </c>
      <c r="C28" s="3">
        <f>resistance!I20</f>
        <v>15</v>
      </c>
      <c r="D28" s="1">
        <f>resistance!Z20</f>
        <v>154.08327884476535</v>
      </c>
      <c r="E28" s="1">
        <f>resistance!AA20</f>
        <v>20.238308399518644</v>
      </c>
      <c r="F28" s="1">
        <f>resistance!AB20</f>
        <v>0</v>
      </c>
      <c r="G28" s="1">
        <f>resistance!AC20</f>
        <v>174.32158724428399</v>
      </c>
      <c r="H28" s="4">
        <f t="shared" si="41"/>
        <v>726.3399468511833</v>
      </c>
      <c r="I28" s="16">
        <f t="shared" si="36"/>
        <v>183.49640762556211</v>
      </c>
      <c r="J28" s="4">
        <f t="shared" si="4"/>
        <v>4.166666666666667</v>
      </c>
      <c r="K28" s="28">
        <f t="shared" si="39"/>
        <v>4.6431277233188788E-2</v>
      </c>
      <c r="L28" s="27">
        <f t="shared" si="26"/>
        <v>1.421854947503902</v>
      </c>
      <c r="M28" s="27">
        <f t="shared" si="17"/>
        <v>1.4218549475039022</v>
      </c>
      <c r="N28" s="16">
        <f t="shared" si="18"/>
        <v>366.30553225395312</v>
      </c>
      <c r="O28" s="16">
        <f t="shared" si="27"/>
        <v>6.1050922042325517</v>
      </c>
      <c r="P28" s="72">
        <f t="shared" si="19"/>
        <v>9.3868789507475736E-2</v>
      </c>
      <c r="Q28" s="72">
        <f t="shared" si="20"/>
        <v>9.3868789507475764E-2</v>
      </c>
      <c r="R28" s="22">
        <f t="shared" si="28"/>
        <v>0.27615339501313735</v>
      </c>
      <c r="S28" s="72">
        <f t="shared" si="5"/>
        <v>2.761533950131374E-2</v>
      </c>
      <c r="T28" s="78">
        <f t="shared" si="21"/>
        <v>0.76921236310087515</v>
      </c>
      <c r="U28" s="22">
        <f t="shared" si="6"/>
        <v>4.1666666666666661</v>
      </c>
      <c r="V28" s="1">
        <f t="shared" si="7"/>
        <v>183.49640762556206</v>
      </c>
      <c r="W28" s="1">
        <f t="shared" si="8"/>
        <v>25.911823278118856</v>
      </c>
      <c r="X28" s="16">
        <f t="shared" si="9"/>
        <v>993.96265814599576</v>
      </c>
      <c r="Y28" s="68">
        <f t="shared" si="22"/>
        <v>0.73075174494583128</v>
      </c>
      <c r="Z28" s="76">
        <f>(V28*U28)/(2*PI()*O28*W28)</f>
        <v>0.76921236310087482</v>
      </c>
      <c r="AA28" s="77">
        <f t="shared" si="29"/>
        <v>764.5683651065084</v>
      </c>
      <c r="AB28" s="68">
        <v>0.97</v>
      </c>
      <c r="AC28" s="40">
        <f t="shared" si="10"/>
        <v>1098.9165967618594</v>
      </c>
      <c r="AD28" s="39">
        <f t="shared" si="11"/>
        <v>8.9044066247831122</v>
      </c>
      <c r="AE28" s="41">
        <f t="shared" si="31"/>
        <v>1024.7037712845317</v>
      </c>
      <c r="AF28" s="12">
        <f t="shared" si="23"/>
        <v>1098.9165967618594</v>
      </c>
      <c r="AG28" s="78">
        <v>0.88</v>
      </c>
      <c r="AH28" s="41">
        <f t="shared" si="24"/>
        <v>1164.4361037324225</v>
      </c>
      <c r="AI28" s="40"/>
      <c r="AJ28" s="40"/>
      <c r="AK28" s="40"/>
      <c r="AM28" s="1">
        <f t="shared" si="12"/>
        <v>15.991288870652697</v>
      </c>
      <c r="AN28" s="1">
        <f t="shared" si="13"/>
        <v>0</v>
      </c>
      <c r="AP28" s="16"/>
      <c r="AR28" s="22">
        <f t="shared" ref="AR28:CB28" si="50">IF(SIGN(AR$8-$K28*AR$7^2)*SIGN(AS$8-$K28*AS$7^2)=-1,INTERCEPT(AR$7:AS$7, AR$8:AS$8-$K28*(AR$7:AS$7)^2),0)</f>
        <v>0</v>
      </c>
      <c r="AS28" s="22">
        <f t="shared" si="50"/>
        <v>0</v>
      </c>
      <c r="AT28" s="22">
        <f t="shared" si="50"/>
        <v>0</v>
      </c>
      <c r="AU28" s="22">
        <f t="shared" si="50"/>
        <v>0</v>
      </c>
      <c r="AV28" s="22">
        <f t="shared" si="50"/>
        <v>0</v>
      </c>
      <c r="AW28" s="22">
        <f t="shared" si="50"/>
        <v>0</v>
      </c>
      <c r="AX28" s="22">
        <f t="shared" si="50"/>
        <v>0</v>
      </c>
      <c r="AY28" s="22">
        <f t="shared" si="50"/>
        <v>0</v>
      </c>
      <c r="AZ28" s="22">
        <f t="shared" si="50"/>
        <v>0</v>
      </c>
      <c r="BA28" s="22">
        <f t="shared" si="50"/>
        <v>0</v>
      </c>
      <c r="BB28" s="22">
        <f t="shared" si="50"/>
        <v>0</v>
      </c>
      <c r="BC28" s="22">
        <f t="shared" si="50"/>
        <v>0</v>
      </c>
      <c r="BD28" s="22">
        <f t="shared" si="50"/>
        <v>1.421854947503902</v>
      </c>
      <c r="BE28" s="22">
        <f t="shared" si="50"/>
        <v>0</v>
      </c>
      <c r="BF28" s="22">
        <f t="shared" si="50"/>
        <v>0</v>
      </c>
      <c r="BG28" s="22">
        <f t="shared" si="50"/>
        <v>0</v>
      </c>
      <c r="BH28" s="22">
        <f t="shared" si="50"/>
        <v>0</v>
      </c>
      <c r="BI28" s="22">
        <f t="shared" si="50"/>
        <v>0</v>
      </c>
      <c r="BJ28" s="22">
        <f t="shared" si="50"/>
        <v>0</v>
      </c>
      <c r="BK28" s="22">
        <f t="shared" si="50"/>
        <v>0</v>
      </c>
      <c r="BL28" s="22">
        <f t="shared" si="50"/>
        <v>0</v>
      </c>
      <c r="BM28" s="22">
        <f t="shared" si="50"/>
        <v>0</v>
      </c>
      <c r="BN28" s="22">
        <f t="shared" si="50"/>
        <v>0</v>
      </c>
      <c r="BO28" s="22">
        <f t="shared" si="50"/>
        <v>0</v>
      </c>
      <c r="BP28" s="22">
        <f t="shared" si="50"/>
        <v>0</v>
      </c>
      <c r="BQ28" s="22">
        <f t="shared" si="50"/>
        <v>0</v>
      </c>
      <c r="BR28" s="22">
        <f t="shared" si="50"/>
        <v>0</v>
      </c>
      <c r="BS28" s="22">
        <f t="shared" si="50"/>
        <v>0</v>
      </c>
      <c r="BT28" s="22">
        <f t="shared" si="50"/>
        <v>0</v>
      </c>
      <c r="BU28" s="22">
        <f t="shared" si="50"/>
        <v>0</v>
      </c>
      <c r="BV28" s="22">
        <f t="shared" si="50"/>
        <v>0</v>
      </c>
      <c r="BW28" s="22">
        <f t="shared" si="50"/>
        <v>0</v>
      </c>
      <c r="BX28" s="22">
        <f t="shared" si="50"/>
        <v>0</v>
      </c>
      <c r="BY28" s="22">
        <f t="shared" si="50"/>
        <v>0</v>
      </c>
      <c r="BZ28" s="22">
        <f t="shared" si="50"/>
        <v>0</v>
      </c>
      <c r="CA28" s="22">
        <f t="shared" si="50"/>
        <v>0</v>
      </c>
      <c r="CB28" s="22">
        <f t="shared" si="50"/>
        <v>0</v>
      </c>
      <c r="CC28" s="22">
        <f t="shared" si="48"/>
        <v>1.421854947503902</v>
      </c>
      <c r="CG28" s="1"/>
      <c r="CH28" s="1"/>
      <c r="CI28" s="1"/>
      <c r="CJ28" s="1"/>
      <c r="CK28" s="1"/>
      <c r="CL28" s="1"/>
    </row>
    <row r="29" spans="2:90" ht="13.5" customHeight="1" x14ac:dyDescent="0.25">
      <c r="B29" s="70">
        <f>resistance!J21</f>
        <v>4.4444444444444446</v>
      </c>
      <c r="C29" s="3">
        <f>resistance!I21</f>
        <v>16</v>
      </c>
      <c r="D29" s="1">
        <f>resistance!Z21</f>
        <v>169.54745271291398</v>
      </c>
      <c r="E29" s="1">
        <f>resistance!AA21</f>
        <v>23.128041310209682</v>
      </c>
      <c r="F29" s="1">
        <f>resistance!AB21</f>
        <v>0</v>
      </c>
      <c r="G29" s="1">
        <f>resistance!AC21</f>
        <v>192.67549402312366</v>
      </c>
      <c r="H29" s="4">
        <f t="shared" si="41"/>
        <v>856.33552899166079</v>
      </c>
      <c r="I29" s="16">
        <f t="shared" si="36"/>
        <v>202.81630949802491</v>
      </c>
      <c r="J29" s="4">
        <f>B29*(1-$E$7/100)</f>
        <v>4.4444444444444446</v>
      </c>
      <c r="K29" s="28">
        <f t="shared" si="39"/>
        <v>4.5105395247912052E-2</v>
      </c>
      <c r="L29" s="27">
        <f t="shared" si="26"/>
        <v>1.4381112099316138</v>
      </c>
      <c r="M29" s="27">
        <f t="shared" si="17"/>
        <v>1.438111209931614</v>
      </c>
      <c r="N29" s="16">
        <f t="shared" si="18"/>
        <v>386.30917533976651</v>
      </c>
      <c r="O29" s="16">
        <f t="shared" si="27"/>
        <v>6.4384862556627755</v>
      </c>
      <c r="P29" s="72">
        <f t="shared" si="19"/>
        <v>9.328534798781174E-2</v>
      </c>
      <c r="Q29" s="72">
        <f t="shared" si="20"/>
        <v>9.3285347987811754E-2</v>
      </c>
      <c r="R29" s="22">
        <f t="shared" si="28"/>
        <v>0.27606783573720206</v>
      </c>
      <c r="S29" s="72">
        <f t="shared" si="5"/>
        <v>2.7606783573720206E-2</v>
      </c>
      <c r="T29" s="78">
        <f t="shared" si="21"/>
        <v>0.77341079337388996</v>
      </c>
      <c r="U29" s="22">
        <f t="shared" si="6"/>
        <v>4.4444444444444446</v>
      </c>
      <c r="V29" s="1">
        <f t="shared" si="7"/>
        <v>202.81630949802488</v>
      </c>
      <c r="W29" s="1">
        <f t="shared" si="8"/>
        <v>28.810214245937178</v>
      </c>
      <c r="X29" s="16">
        <f t="shared" si="9"/>
        <v>1165.4942337421649</v>
      </c>
      <c r="Y29" s="68">
        <f t="shared" si="22"/>
        <v>0.73474025370519569</v>
      </c>
      <c r="Z29" s="76">
        <f t="shared" si="33"/>
        <v>0.77341079337389007</v>
      </c>
      <c r="AA29" s="77">
        <f t="shared" si="29"/>
        <v>901.40581999122185</v>
      </c>
      <c r="AB29" s="68">
        <v>0.97</v>
      </c>
      <c r="AC29" s="40">
        <f t="shared" si="10"/>
        <v>1158.9275260192994</v>
      </c>
      <c r="AD29" s="39">
        <f t="shared" si="11"/>
        <v>9.9004172666450785</v>
      </c>
      <c r="AE29" s="41">
        <f t="shared" si="31"/>
        <v>1201.5404471568709</v>
      </c>
      <c r="AF29" s="12">
        <f t="shared" si="23"/>
        <v>1158.9275260192994</v>
      </c>
      <c r="AG29" s="78">
        <f t="shared" si="34"/>
        <v>0.88</v>
      </c>
      <c r="AH29" s="41">
        <f t="shared" si="24"/>
        <v>1365.3868717691714</v>
      </c>
      <c r="AI29" s="40"/>
      <c r="AJ29" s="40"/>
      <c r="AK29" s="40"/>
      <c r="AM29" s="1">
        <f t="shared" si="12"/>
        <v>0</v>
      </c>
      <c r="AN29" s="1">
        <f t="shared" si="13"/>
        <v>0</v>
      </c>
      <c r="AP29" s="16"/>
      <c r="AR29" s="22">
        <f t="shared" ref="AR29:CB29" si="51">IF(SIGN(AR$8-$K29*AR$7^2)*SIGN(AS$8-$K29*AS$7^2)=-1,INTERCEPT(AR$7:AS$7, AR$8:AS$8-$K29*(AR$7:AS$7)^2),0)</f>
        <v>0</v>
      </c>
      <c r="AS29" s="22">
        <f t="shared" si="51"/>
        <v>0</v>
      </c>
      <c r="AT29" s="22">
        <f t="shared" si="51"/>
        <v>0</v>
      </c>
      <c r="AU29" s="22">
        <f t="shared" si="51"/>
        <v>0</v>
      </c>
      <c r="AV29" s="22">
        <f t="shared" si="51"/>
        <v>0</v>
      </c>
      <c r="AW29" s="22">
        <f t="shared" si="51"/>
        <v>0</v>
      </c>
      <c r="AX29" s="22" cm="1">
        <f t="array" ref="AX29">IF(SIGN(AX$8-$K29*AX$7^2)*SIGN(AY$8-$K29*AY$7^2)=-1,INTERCEPT(AX$7:AY$7, AX$8:AY$8-$K29*(AX$7:AY$7)^2),0)</f>
        <v>0</v>
      </c>
      <c r="AY29" s="22">
        <f t="shared" si="51"/>
        <v>0</v>
      </c>
      <c r="AZ29" s="22">
        <f t="shared" si="51"/>
        <v>0</v>
      </c>
      <c r="BA29" s="22">
        <f t="shared" si="51"/>
        <v>0</v>
      </c>
      <c r="BB29" s="22">
        <f t="shared" si="51"/>
        <v>0</v>
      </c>
      <c r="BC29" s="22">
        <f t="shared" si="51"/>
        <v>0</v>
      </c>
      <c r="BD29" s="22">
        <f t="shared" si="51"/>
        <v>1.4381112099316138</v>
      </c>
      <c r="BE29" s="22">
        <f t="shared" si="51"/>
        <v>0</v>
      </c>
      <c r="BF29" s="22">
        <f t="shared" si="51"/>
        <v>0</v>
      </c>
      <c r="BG29" s="22">
        <f t="shared" si="51"/>
        <v>0</v>
      </c>
      <c r="BH29" s="22">
        <f t="shared" si="51"/>
        <v>0</v>
      </c>
      <c r="BI29" s="22">
        <f t="shared" si="51"/>
        <v>0</v>
      </c>
      <c r="BJ29" s="22">
        <f t="shared" si="51"/>
        <v>0</v>
      </c>
      <c r="BK29" s="22">
        <f t="shared" si="51"/>
        <v>0</v>
      </c>
      <c r="BL29" s="22">
        <f t="shared" si="51"/>
        <v>0</v>
      </c>
      <c r="BM29" s="22">
        <f t="shared" si="51"/>
        <v>0</v>
      </c>
      <c r="BN29" s="22">
        <f t="shared" si="51"/>
        <v>0</v>
      </c>
      <c r="BO29" s="22">
        <f t="shared" si="51"/>
        <v>0</v>
      </c>
      <c r="BP29" s="22">
        <f t="shared" si="51"/>
        <v>0</v>
      </c>
      <c r="BQ29" s="22">
        <f t="shared" si="51"/>
        <v>0</v>
      </c>
      <c r="BR29" s="22">
        <f t="shared" si="51"/>
        <v>0</v>
      </c>
      <c r="BS29" s="22">
        <f t="shared" si="51"/>
        <v>0</v>
      </c>
      <c r="BT29" s="22">
        <f t="shared" si="51"/>
        <v>0</v>
      </c>
      <c r="BU29" s="22">
        <f t="shared" si="51"/>
        <v>0</v>
      </c>
      <c r="BV29" s="22">
        <f t="shared" si="51"/>
        <v>0</v>
      </c>
      <c r="BW29" s="22">
        <f t="shared" si="51"/>
        <v>0</v>
      </c>
      <c r="BX29" s="22">
        <f t="shared" si="51"/>
        <v>0</v>
      </c>
      <c r="BY29" s="22">
        <f t="shared" si="51"/>
        <v>0</v>
      </c>
      <c r="BZ29" s="22">
        <f t="shared" si="51"/>
        <v>0</v>
      </c>
      <c r="CA29" s="22">
        <f t="shared" si="51"/>
        <v>0</v>
      </c>
      <c r="CB29" s="22">
        <f t="shared" si="51"/>
        <v>0</v>
      </c>
      <c r="CC29" s="22">
        <f t="shared" si="48"/>
        <v>1.4381112099316138</v>
      </c>
      <c r="CG29" s="1"/>
      <c r="CH29" s="1"/>
      <c r="CI29" s="1"/>
      <c r="CJ29" s="1"/>
      <c r="CK29" s="1"/>
      <c r="CL29" s="1"/>
    </row>
    <row r="30" spans="2:90" x14ac:dyDescent="0.25">
      <c r="B30" s="70">
        <f>resistance!J22</f>
        <v>4.7222222222222223</v>
      </c>
      <c r="C30" s="3">
        <f>resistance!I22</f>
        <v>17</v>
      </c>
      <c r="D30" s="1">
        <f>resistance!Z22</f>
        <v>185.50344281677442</v>
      </c>
      <c r="E30" s="1">
        <f>resistance!AA22</f>
        <v>26.205462924946108</v>
      </c>
      <c r="F30" s="1">
        <f>resistance!AB22</f>
        <v>0</v>
      </c>
      <c r="G30" s="1">
        <f>resistance!AC22</f>
        <v>211.70890574172054</v>
      </c>
      <c r="H30" s="4">
        <f t="shared" si="41"/>
        <v>999.73649933590264</v>
      </c>
      <c r="I30" s="16">
        <f t="shared" si="36"/>
        <v>222.85147972812689</v>
      </c>
      <c r="J30" s="4">
        <f t="shared" si="4"/>
        <v>4.7222222222222223</v>
      </c>
      <c r="K30" s="28">
        <f t="shared" si="39"/>
        <v>4.3901894480153317E-2</v>
      </c>
      <c r="L30" s="27">
        <f t="shared" si="26"/>
        <v>1.4535280495458014</v>
      </c>
      <c r="M30" s="27">
        <f>J30/(O30*$N$3)</f>
        <v>1.4535280495458012</v>
      </c>
      <c r="N30" s="16">
        <f t="shared" si="18"/>
        <v>406.1000253570806</v>
      </c>
      <c r="O30" s="16">
        <f t="shared" si="27"/>
        <v>6.7683337559513435</v>
      </c>
      <c r="P30" s="72">
        <f t="shared" si="19"/>
        <v>9.2753454968021662E-2</v>
      </c>
      <c r="Q30" s="72">
        <f t="shared" si="20"/>
        <v>9.2753454968021648E-2</v>
      </c>
      <c r="R30" s="22">
        <f t="shared" si="28"/>
        <v>0.27598669447607471</v>
      </c>
      <c r="S30" s="72">
        <f t="shared" si="5"/>
        <v>2.7598669447607468E-2</v>
      </c>
      <c r="T30" s="78">
        <f t="shared" si="21"/>
        <v>0.77747332852597406</v>
      </c>
      <c r="U30" s="22">
        <f t="shared" si="6"/>
        <v>4.7222222222222223</v>
      </c>
      <c r="V30" s="1">
        <f t="shared" si="7"/>
        <v>222.85147972812692</v>
      </c>
      <c r="W30" s="1">
        <f t="shared" si="8"/>
        <v>31.828400106310539</v>
      </c>
      <c r="X30" s="16">
        <f t="shared" si="9"/>
        <v>1353.5566703264842</v>
      </c>
      <c r="Y30" s="68">
        <f t="shared" si="22"/>
        <v>0.7385996620996752</v>
      </c>
      <c r="Z30" s="76">
        <f t="shared" si="33"/>
        <v>0.77747332852597395</v>
      </c>
      <c r="AA30" s="77">
        <f t="shared" si="29"/>
        <v>1052.354209827266</v>
      </c>
      <c r="AB30" s="68">
        <v>0.97</v>
      </c>
      <c r="AC30" s="40">
        <f t="shared" si="10"/>
        <v>1218.3000760712418</v>
      </c>
      <c r="AD30" s="39">
        <f t="shared" si="11"/>
        <v>10.937594538251044</v>
      </c>
      <c r="AE30" s="41">
        <f t="shared" si="31"/>
        <v>1395.4192477592624</v>
      </c>
      <c r="AF30" s="12">
        <f t="shared" si="23"/>
        <v>1218.3000760712418</v>
      </c>
      <c r="AG30" s="78">
        <f>AG29</f>
        <v>0.88</v>
      </c>
      <c r="AH30" s="41">
        <f t="shared" si="24"/>
        <v>1585.7036906355249</v>
      </c>
      <c r="AI30" s="40"/>
      <c r="AJ30" s="40"/>
      <c r="AK30" s="40"/>
      <c r="AM30" s="1">
        <f t="shared" si="12"/>
        <v>0</v>
      </c>
      <c r="AN30" s="1">
        <f t="shared" si="13"/>
        <v>0</v>
      </c>
      <c r="AP30" s="16"/>
      <c r="AR30" s="22">
        <f t="shared" ref="AR30:CB30" si="52">IF(SIGN(AR$8-$K30*AR$7^2)*SIGN(AS$8-$K30*AS$7^2)=-1,INTERCEPT(AR$7:AS$7, AR$8:AS$8-$K30*(AR$7:AS$7)^2),0)</f>
        <v>0</v>
      </c>
      <c r="AS30" s="22">
        <f t="shared" si="52"/>
        <v>0</v>
      </c>
      <c r="AT30" s="22">
        <f t="shared" si="52"/>
        <v>0</v>
      </c>
      <c r="AU30" s="22">
        <f t="shared" si="52"/>
        <v>0</v>
      </c>
      <c r="AV30" s="22">
        <f t="shared" si="52"/>
        <v>0</v>
      </c>
      <c r="AW30" s="22">
        <f t="shared" si="52"/>
        <v>0</v>
      </c>
      <c r="AX30" s="22">
        <f t="shared" si="52"/>
        <v>0</v>
      </c>
      <c r="AY30" s="22">
        <f t="shared" si="52"/>
        <v>0</v>
      </c>
      <c r="AZ30" s="22">
        <f t="shared" si="52"/>
        <v>0</v>
      </c>
      <c r="BA30" s="22">
        <f t="shared" si="52"/>
        <v>0</v>
      </c>
      <c r="BB30" s="22">
        <f t="shared" si="52"/>
        <v>0</v>
      </c>
      <c r="BC30" s="22">
        <f t="shared" si="52"/>
        <v>0</v>
      </c>
      <c r="BD30" s="22">
        <f t="shared" si="52"/>
        <v>1.4535280495458014</v>
      </c>
      <c r="BE30" s="22">
        <f t="shared" si="52"/>
        <v>0</v>
      </c>
      <c r="BF30" s="22">
        <f t="shared" si="52"/>
        <v>0</v>
      </c>
      <c r="BG30" s="22">
        <f t="shared" si="52"/>
        <v>0</v>
      </c>
      <c r="BH30" s="22">
        <f t="shared" si="52"/>
        <v>0</v>
      </c>
      <c r="BI30" s="22">
        <f t="shared" si="52"/>
        <v>0</v>
      </c>
      <c r="BJ30" s="22">
        <f t="shared" si="52"/>
        <v>0</v>
      </c>
      <c r="BK30" s="22">
        <f t="shared" si="52"/>
        <v>0</v>
      </c>
      <c r="BL30" s="22">
        <f t="shared" si="52"/>
        <v>0</v>
      </c>
      <c r="BM30" s="22">
        <f t="shared" si="52"/>
        <v>0</v>
      </c>
      <c r="BN30" s="22">
        <f t="shared" si="52"/>
        <v>0</v>
      </c>
      <c r="BO30" s="22">
        <f t="shared" si="52"/>
        <v>0</v>
      </c>
      <c r="BP30" s="22">
        <f t="shared" si="52"/>
        <v>0</v>
      </c>
      <c r="BQ30" s="22">
        <f t="shared" si="52"/>
        <v>0</v>
      </c>
      <c r="BR30" s="22">
        <f t="shared" si="52"/>
        <v>0</v>
      </c>
      <c r="BS30" s="22">
        <f t="shared" si="52"/>
        <v>0</v>
      </c>
      <c r="BT30" s="22">
        <f t="shared" si="52"/>
        <v>0</v>
      </c>
      <c r="BU30" s="22">
        <f t="shared" si="52"/>
        <v>0</v>
      </c>
      <c r="BV30" s="22">
        <f t="shared" si="52"/>
        <v>0</v>
      </c>
      <c r="BW30" s="22">
        <f t="shared" si="52"/>
        <v>0</v>
      </c>
      <c r="BX30" s="22">
        <f t="shared" si="52"/>
        <v>0</v>
      </c>
      <c r="BY30" s="22">
        <f t="shared" si="52"/>
        <v>0</v>
      </c>
      <c r="BZ30" s="22">
        <f t="shared" si="52"/>
        <v>0</v>
      </c>
      <c r="CA30" s="22">
        <f t="shared" si="52"/>
        <v>0</v>
      </c>
      <c r="CB30" s="22">
        <f t="shared" si="52"/>
        <v>0</v>
      </c>
      <c r="CC30" s="22">
        <f t="shared" si="48"/>
        <v>1.4535280495458014</v>
      </c>
      <c r="CG30" s="1"/>
      <c r="CH30" s="1"/>
      <c r="CI30" s="1"/>
      <c r="CJ30" s="1"/>
      <c r="CK30" s="1"/>
      <c r="CL30" s="1"/>
    </row>
    <row r="31" spans="2:90" x14ac:dyDescent="0.25">
      <c r="B31" s="70">
        <f>resistance!J23</f>
        <v>5</v>
      </c>
      <c r="C31" s="3">
        <f>resistance!I23</f>
        <v>18</v>
      </c>
      <c r="D31" s="1">
        <f>resistance!Z23</f>
        <v>201.4594329206349</v>
      </c>
      <c r="E31" s="1">
        <f>resistance!AA23</f>
        <v>29.282884539682534</v>
      </c>
      <c r="F31" s="1">
        <f>resistance!AB23</f>
        <v>0</v>
      </c>
      <c r="G31" s="1">
        <f>resistance!AC23</f>
        <v>230.74231746031742</v>
      </c>
      <c r="H31" s="4">
        <f t="shared" si="41"/>
        <v>1153.7115873015871</v>
      </c>
      <c r="I31" s="16">
        <f t="shared" si="36"/>
        <v>242.88664995822887</v>
      </c>
      <c r="J31" s="4">
        <f t="shared" si="4"/>
        <v>5</v>
      </c>
      <c r="K31" s="28">
        <f t="shared" si="39"/>
        <v>4.2679980944639297E-2</v>
      </c>
      <c r="L31" s="27">
        <f t="shared" si="26"/>
        <v>1.4698680480044013</v>
      </c>
      <c r="M31" s="27">
        <f t="shared" si="17"/>
        <v>1.4698680480044013</v>
      </c>
      <c r="N31" s="16">
        <f t="shared" si="18"/>
        <v>425.20823610564571</v>
      </c>
      <c r="O31" s="16">
        <f t="shared" si="27"/>
        <v>7.0868039350940952</v>
      </c>
      <c r="P31" s="72">
        <f t="shared" si="19"/>
        <v>9.2210614342932443E-2</v>
      </c>
      <c r="Q31" s="72">
        <f t="shared" si="20"/>
        <v>9.2210614342932429E-2</v>
      </c>
      <c r="R31" s="22">
        <f t="shared" si="28"/>
        <v>0.27590069448418736</v>
      </c>
      <c r="S31" s="72">
        <f t="shared" si="5"/>
        <v>2.7590069448418734E-2</v>
      </c>
      <c r="T31" s="78">
        <f t="shared" si="21"/>
        <v>0.78185569295145185</v>
      </c>
      <c r="U31" s="22">
        <f t="shared" si="6"/>
        <v>5</v>
      </c>
      <c r="V31" s="1">
        <f t="shared" si="7"/>
        <v>242.8866499582289</v>
      </c>
      <c r="W31" s="1">
        <f t="shared" si="8"/>
        <v>34.88323553999146</v>
      </c>
      <c r="X31" s="16">
        <f t="shared" si="9"/>
        <v>1553.2703294731309</v>
      </c>
      <c r="Y31" s="68">
        <f t="shared" si="22"/>
        <v>0.74276290830387903</v>
      </c>
      <c r="Z31" s="76">
        <f t="shared" si="33"/>
        <v>0.78185569295145174</v>
      </c>
      <c r="AA31" s="77">
        <f t="shared" si="29"/>
        <v>1214.4332497911446</v>
      </c>
      <c r="AB31" s="68">
        <v>0.97</v>
      </c>
      <c r="AC31" s="40">
        <f t="shared" si="10"/>
        <v>1275.6247083169371</v>
      </c>
      <c r="AD31" s="39">
        <f t="shared" si="11"/>
        <v>11.987366164945518</v>
      </c>
      <c r="AE31" s="41">
        <f t="shared" si="31"/>
        <v>1601.3096180135369</v>
      </c>
      <c r="AF31" s="12">
        <f t="shared" si="23"/>
        <v>1275.6247083169371</v>
      </c>
      <c r="AG31" s="78">
        <f t="shared" si="34"/>
        <v>0.88</v>
      </c>
      <c r="AH31" s="41">
        <f t="shared" si="24"/>
        <v>1819.6700204699284</v>
      </c>
      <c r="AI31" s="40"/>
      <c r="AJ31" s="40"/>
      <c r="AK31" s="40"/>
      <c r="AM31" s="1">
        <f t="shared" si="12"/>
        <v>0</v>
      </c>
      <c r="AN31" s="1">
        <f t="shared" si="13"/>
        <v>0</v>
      </c>
      <c r="AP31" s="16"/>
      <c r="AR31" s="22">
        <f t="shared" ref="AR31:CB31" si="53">IF(SIGN(AR$8-$K31*AR$7^2)*SIGN(AS$8-$K31*AS$7^2)=-1,INTERCEPT(AR$7:AS$7, AR$8:AS$8-$K31*(AR$7:AS$7)^2),0)</f>
        <v>0</v>
      </c>
      <c r="AS31" s="22">
        <f t="shared" si="53"/>
        <v>0</v>
      </c>
      <c r="AT31" s="22">
        <f t="shared" si="53"/>
        <v>0</v>
      </c>
      <c r="AU31" s="22">
        <f t="shared" si="53"/>
        <v>0</v>
      </c>
      <c r="AV31" s="22">
        <f t="shared" si="53"/>
        <v>0</v>
      </c>
      <c r="AW31" s="22">
        <f t="shared" si="53"/>
        <v>0</v>
      </c>
      <c r="AX31" s="22">
        <f t="shared" si="53"/>
        <v>0</v>
      </c>
      <c r="AY31" s="22">
        <f t="shared" si="53"/>
        <v>0</v>
      </c>
      <c r="AZ31" s="22">
        <f t="shared" si="53"/>
        <v>0</v>
      </c>
      <c r="BA31" s="22">
        <f t="shared" si="53"/>
        <v>0</v>
      </c>
      <c r="BB31" s="22">
        <f t="shared" si="53"/>
        <v>0</v>
      </c>
      <c r="BC31" s="22">
        <f t="shared" si="53"/>
        <v>0</v>
      </c>
      <c r="BD31" s="22">
        <f t="shared" si="53"/>
        <v>1.4698680480044013</v>
      </c>
      <c r="BE31" s="22">
        <f t="shared" si="53"/>
        <v>0</v>
      </c>
      <c r="BF31" s="22">
        <f t="shared" si="53"/>
        <v>0</v>
      </c>
      <c r="BG31" s="22">
        <f t="shared" si="53"/>
        <v>0</v>
      </c>
      <c r="BH31" s="22">
        <f t="shared" si="53"/>
        <v>0</v>
      </c>
      <c r="BI31" s="22">
        <f t="shared" si="53"/>
        <v>0</v>
      </c>
      <c r="BJ31" s="22">
        <f t="shared" si="53"/>
        <v>0</v>
      </c>
      <c r="BK31" s="22">
        <f t="shared" si="53"/>
        <v>0</v>
      </c>
      <c r="BL31" s="22">
        <f t="shared" si="53"/>
        <v>0</v>
      </c>
      <c r="BM31" s="22">
        <f t="shared" si="53"/>
        <v>0</v>
      </c>
      <c r="BN31" s="22">
        <f t="shared" si="53"/>
        <v>0</v>
      </c>
      <c r="BO31" s="22">
        <f t="shared" si="53"/>
        <v>0</v>
      </c>
      <c r="BP31" s="22">
        <f t="shared" si="53"/>
        <v>0</v>
      </c>
      <c r="BQ31" s="22">
        <f t="shared" si="53"/>
        <v>0</v>
      </c>
      <c r="BR31" s="22">
        <f t="shared" si="53"/>
        <v>0</v>
      </c>
      <c r="BS31" s="22">
        <f t="shared" si="53"/>
        <v>0</v>
      </c>
      <c r="BT31" s="22">
        <f t="shared" si="53"/>
        <v>0</v>
      </c>
      <c r="BU31" s="22">
        <f t="shared" si="53"/>
        <v>0</v>
      </c>
      <c r="BV31" s="22">
        <f t="shared" si="53"/>
        <v>0</v>
      </c>
      <c r="BW31" s="22">
        <f t="shared" si="53"/>
        <v>0</v>
      </c>
      <c r="BX31" s="22">
        <f t="shared" si="53"/>
        <v>0</v>
      </c>
      <c r="BY31" s="22">
        <f t="shared" si="53"/>
        <v>0</v>
      </c>
      <c r="BZ31" s="22">
        <f t="shared" si="53"/>
        <v>0</v>
      </c>
      <c r="CA31" s="22">
        <f t="shared" si="53"/>
        <v>0</v>
      </c>
      <c r="CB31" s="22">
        <f t="shared" si="53"/>
        <v>0</v>
      </c>
      <c r="CC31" s="22">
        <f t="shared" si="48"/>
        <v>1.4698680480044013</v>
      </c>
      <c r="CG31" s="1"/>
      <c r="CH31" s="1"/>
      <c r="CI31" s="1"/>
      <c r="CJ31" s="1"/>
      <c r="CK31" s="1"/>
      <c r="CL31" s="1"/>
    </row>
    <row r="32" spans="2:90" x14ac:dyDescent="0.25">
      <c r="B32" s="70">
        <f>resistance!J24</f>
        <v>5.2777777777777777</v>
      </c>
      <c r="C32" s="3">
        <f>resistance!I24</f>
        <v>19</v>
      </c>
      <c r="D32" s="1">
        <f>resistance!Z24</f>
        <v>218.4907821525735</v>
      </c>
      <c r="E32" s="1">
        <f>resistance!AA24</f>
        <v>33.172797912785938</v>
      </c>
      <c r="F32" s="1">
        <f>resistance!AB24</f>
        <v>0</v>
      </c>
      <c r="G32" s="1">
        <f>resistance!AC24</f>
        <v>251.66358006535944</v>
      </c>
      <c r="H32" s="4">
        <f t="shared" si="41"/>
        <v>1328.2244503449526</v>
      </c>
      <c r="I32" s="16">
        <f t="shared" si="36"/>
        <v>264.90903164774681</v>
      </c>
      <c r="J32" s="4">
        <f t="shared" si="4"/>
        <v>5.2777777777777777</v>
      </c>
      <c r="K32" s="28">
        <f t="shared" si="39"/>
        <v>4.1778721472590083E-2</v>
      </c>
      <c r="L32" s="27">
        <f t="shared" si="26"/>
        <v>1.4823910409224705</v>
      </c>
      <c r="M32" s="27">
        <f t="shared" si="17"/>
        <v>1.4823910409224705</v>
      </c>
      <c r="N32" s="16">
        <f t="shared" si="18"/>
        <v>445.0392669748507</v>
      </c>
      <c r="O32" s="16">
        <f t="shared" si="27"/>
        <v>7.4173211162475114</v>
      </c>
      <c r="P32" s="72">
        <f t="shared" si="19"/>
        <v>9.1808038478595325E-2</v>
      </c>
      <c r="Q32" s="72">
        <f t="shared" si="20"/>
        <v>9.1808038478595325E-2</v>
      </c>
      <c r="R32" s="22">
        <f t="shared" si="28"/>
        <v>0.27583478399514488</v>
      </c>
      <c r="S32" s="72">
        <f t="shared" si="5"/>
        <v>2.7583478399514486E-2</v>
      </c>
      <c r="T32" s="78">
        <f t="shared" si="21"/>
        <v>0.78526201492067516</v>
      </c>
      <c r="U32" s="22">
        <f t="shared" si="6"/>
        <v>5.2777777777777777</v>
      </c>
      <c r="V32" s="1">
        <f t="shared" si="7"/>
        <v>264.90903164774681</v>
      </c>
      <c r="W32" s="1">
        <f t="shared" si="8"/>
        <v>38.203779137682623</v>
      </c>
      <c r="X32" s="16">
        <f t="shared" si="9"/>
        <v>1780.4643212041051</v>
      </c>
      <c r="Y32" s="68">
        <f t="shared" si="22"/>
        <v>0.74599891417464148</v>
      </c>
      <c r="Z32" s="76">
        <f t="shared" si="33"/>
        <v>0.78526201492067527</v>
      </c>
      <c r="AA32" s="77">
        <f t="shared" si="29"/>
        <v>1398.1310003631079</v>
      </c>
      <c r="AB32" s="68">
        <v>0.97</v>
      </c>
      <c r="AC32" s="40">
        <f t="shared" si="10"/>
        <v>1335.1178009245521</v>
      </c>
      <c r="AD32" s="39">
        <f t="shared" si="11"/>
        <v>13.128446439066193</v>
      </c>
      <c r="AE32" s="41">
        <f t="shared" si="31"/>
        <v>1835.5302280454696</v>
      </c>
      <c r="AF32" s="12">
        <f t="shared" si="23"/>
        <v>1335.1178009245521</v>
      </c>
      <c r="AG32" s="78">
        <f t="shared" si="34"/>
        <v>0.88</v>
      </c>
      <c r="AH32" s="41">
        <f t="shared" si="24"/>
        <v>2085.8298045971242</v>
      </c>
      <c r="AI32" s="40"/>
      <c r="AJ32" s="40"/>
      <c r="AK32" s="40"/>
      <c r="AM32" s="1">
        <f t="shared" si="12"/>
        <v>0</v>
      </c>
      <c r="AN32" s="1">
        <f t="shared" si="13"/>
        <v>0</v>
      </c>
      <c r="AP32" s="16"/>
      <c r="AR32" s="22">
        <f t="shared" ref="AR32:CB32" si="54">IF(SIGN(AR$8-$K32*AR$7^2)*SIGN(AS$8-$K32*AS$7^2)=-1,INTERCEPT(AR$7:AS$7, AR$8:AS$8-$K32*(AR$7:AS$7)^2),0)</f>
        <v>0</v>
      </c>
      <c r="AS32" s="22">
        <f t="shared" si="54"/>
        <v>0</v>
      </c>
      <c r="AT32" s="22">
        <f t="shared" si="54"/>
        <v>0</v>
      </c>
      <c r="AU32" s="22">
        <f t="shared" si="54"/>
        <v>0</v>
      </c>
      <c r="AV32" s="22">
        <f t="shared" si="54"/>
        <v>0</v>
      </c>
      <c r="AW32" s="22">
        <f t="shared" si="54"/>
        <v>0</v>
      </c>
      <c r="AX32" s="22">
        <f t="shared" si="54"/>
        <v>0</v>
      </c>
      <c r="AY32" s="22">
        <f t="shared" si="54"/>
        <v>0</v>
      </c>
      <c r="AZ32" s="22">
        <f t="shared" si="54"/>
        <v>0</v>
      </c>
      <c r="BA32" s="22">
        <f t="shared" si="54"/>
        <v>0</v>
      </c>
      <c r="BB32" s="22">
        <f t="shared" si="54"/>
        <v>0</v>
      </c>
      <c r="BC32" s="22">
        <f t="shared" si="54"/>
        <v>0</v>
      </c>
      <c r="BD32" s="22">
        <f t="shared" si="54"/>
        <v>1.4823910409224705</v>
      </c>
      <c r="BE32" s="22">
        <f t="shared" si="54"/>
        <v>0</v>
      </c>
      <c r="BF32" s="22">
        <f t="shared" si="54"/>
        <v>0</v>
      </c>
      <c r="BG32" s="22">
        <f t="shared" si="54"/>
        <v>0</v>
      </c>
      <c r="BH32" s="22">
        <f t="shared" si="54"/>
        <v>0</v>
      </c>
      <c r="BI32" s="22">
        <f t="shared" si="54"/>
        <v>0</v>
      </c>
      <c r="BJ32" s="22">
        <f t="shared" si="54"/>
        <v>0</v>
      </c>
      <c r="BK32" s="22">
        <f t="shared" si="54"/>
        <v>0</v>
      </c>
      <c r="BL32" s="22">
        <f t="shared" si="54"/>
        <v>0</v>
      </c>
      <c r="BM32" s="22">
        <f t="shared" si="54"/>
        <v>0</v>
      </c>
      <c r="BN32" s="22">
        <f t="shared" si="54"/>
        <v>0</v>
      </c>
      <c r="BO32" s="22">
        <f t="shared" si="54"/>
        <v>0</v>
      </c>
      <c r="BP32" s="22">
        <f t="shared" si="54"/>
        <v>0</v>
      </c>
      <c r="BQ32" s="22">
        <f t="shared" si="54"/>
        <v>0</v>
      </c>
      <c r="BR32" s="22">
        <f t="shared" si="54"/>
        <v>0</v>
      </c>
      <c r="BS32" s="22">
        <f t="shared" si="54"/>
        <v>0</v>
      </c>
      <c r="BT32" s="22">
        <f t="shared" si="54"/>
        <v>0</v>
      </c>
      <c r="BU32" s="22">
        <f t="shared" si="54"/>
        <v>0</v>
      </c>
      <c r="BV32" s="22">
        <f t="shared" si="54"/>
        <v>0</v>
      </c>
      <c r="BW32" s="22">
        <f t="shared" si="54"/>
        <v>0</v>
      </c>
      <c r="BX32" s="22">
        <f t="shared" si="54"/>
        <v>0</v>
      </c>
      <c r="BY32" s="22">
        <f t="shared" si="54"/>
        <v>0</v>
      </c>
      <c r="BZ32" s="22">
        <f t="shared" si="54"/>
        <v>0</v>
      </c>
      <c r="CA32" s="22">
        <f t="shared" si="54"/>
        <v>0</v>
      </c>
      <c r="CB32" s="22">
        <f t="shared" si="54"/>
        <v>0</v>
      </c>
      <c r="CC32" s="22">
        <f>SUM(AR32:CB32)</f>
        <v>1.4823910409224705</v>
      </c>
      <c r="CE32" s="1"/>
    </row>
    <row r="33" spans="1:81" x14ac:dyDescent="0.25">
      <c r="B33" s="70">
        <f>resistance!J25</f>
        <v>5.5555555555555554</v>
      </c>
      <c r="C33" s="3">
        <f>resistance!I25</f>
        <v>20</v>
      </c>
      <c r="D33" s="1">
        <f>resistance!Z25</f>
        <v>235.56883289520425</v>
      </c>
      <c r="E33" s="1">
        <f>resistance!AA25</f>
        <v>37.099930475626593</v>
      </c>
      <c r="F33" s="1">
        <f>resistance!AB25</f>
        <v>0</v>
      </c>
      <c r="G33" s="1">
        <f>resistance!AC25</f>
        <v>272.66876337083085</v>
      </c>
      <c r="H33" s="4">
        <f t="shared" si="41"/>
        <v>1514.8264631712825</v>
      </c>
      <c r="I33" s="16">
        <f t="shared" si="36"/>
        <v>287.01975091666407</v>
      </c>
      <c r="J33" s="4">
        <f t="shared" si="4"/>
        <v>5.5555555555555554</v>
      </c>
      <c r="K33" s="28">
        <f t="shared" si="39"/>
        <v>4.0852381045198269E-2</v>
      </c>
      <c r="L33" s="27">
        <f t="shared" si="26"/>
        <v>1.4984001351181564</v>
      </c>
      <c r="M33" s="27">
        <f t="shared" si="17"/>
        <v>1.4984001351181564</v>
      </c>
      <c r="N33" s="16">
        <f t="shared" si="18"/>
        <v>463.45727564265331</v>
      </c>
      <c r="O33" s="16">
        <f t="shared" si="27"/>
        <v>7.7242879273775555</v>
      </c>
      <c r="P33" s="72">
        <f t="shared" si="19"/>
        <v>9.1721887046806935E-2</v>
      </c>
      <c r="Q33" s="72">
        <f t="shared" si="20"/>
        <v>9.1721887046806935E-2</v>
      </c>
      <c r="R33" s="22">
        <f t="shared" ref="R33:R43" si="55">CC71</f>
        <v>0.27602865193530651</v>
      </c>
      <c r="S33" s="72">
        <f t="shared" si="5"/>
        <v>2.7602865193530651E-2</v>
      </c>
      <c r="T33" s="78">
        <f t="shared" si="21"/>
        <v>0.79244066158258353</v>
      </c>
      <c r="U33" s="22">
        <f t="shared" si="6"/>
        <v>5.5555555555555545</v>
      </c>
      <c r="V33" s="1">
        <f t="shared" si="7"/>
        <v>287.01975091666407</v>
      </c>
      <c r="W33" s="1">
        <f t="shared" si="8"/>
        <v>41.460468365935448</v>
      </c>
      <c r="X33" s="16">
        <f t="shared" si="9"/>
        <v>2012.2064011389318</v>
      </c>
      <c r="Y33" s="68">
        <f t="shared" si="22"/>
        <v>0.75281862850345438</v>
      </c>
      <c r="Z33" s="76">
        <f t="shared" si="33"/>
        <v>0.79244066158258353</v>
      </c>
      <c r="AA33" s="77">
        <f t="shared" si="29"/>
        <v>1594.5541717592446</v>
      </c>
      <c r="AB33" s="68">
        <v>0.97</v>
      </c>
      <c r="AC33" s="40">
        <f t="shared" si="10"/>
        <v>1390.37182692796</v>
      </c>
      <c r="AD33" s="39">
        <f t="shared" si="11"/>
        <v>14.247583630905652</v>
      </c>
      <c r="AE33" s="41">
        <f t="shared" si="31"/>
        <v>2074.4395888030222</v>
      </c>
      <c r="AF33" s="12">
        <f t="shared" si="23"/>
        <v>1390.37182692796</v>
      </c>
      <c r="AG33" s="78">
        <f t="shared" si="34"/>
        <v>0.88</v>
      </c>
      <c r="AH33" s="41">
        <f t="shared" si="24"/>
        <v>2357.3177145488889</v>
      </c>
      <c r="AI33" s="40"/>
      <c r="AJ33" s="40"/>
      <c r="AK33" s="40"/>
      <c r="AM33" s="1">
        <f t="shared" si="12"/>
        <v>0</v>
      </c>
      <c r="AN33" s="1">
        <f t="shared" si="13"/>
        <v>0</v>
      </c>
      <c r="AR33" s="22">
        <f t="shared" ref="AR33:CB33" si="56">IF(SIGN(AR$8-$K33*AR$7^2)*SIGN(AS$8-$K33*AS$7^2)=-1,INTERCEPT(AR$7:AS$7, AR$8:AS$8-$K33*(AR$7:AS$7)^2),0)</f>
        <v>0</v>
      </c>
      <c r="AS33" s="22">
        <f t="shared" si="56"/>
        <v>0</v>
      </c>
      <c r="AT33" s="22">
        <f t="shared" si="56"/>
        <v>0</v>
      </c>
      <c r="AU33" s="22">
        <f t="shared" si="56"/>
        <v>0</v>
      </c>
      <c r="AV33" s="22">
        <f t="shared" si="56"/>
        <v>0</v>
      </c>
      <c r="AW33" s="22">
        <f t="shared" si="56"/>
        <v>0</v>
      </c>
      <c r="AX33" s="22">
        <f t="shared" si="56"/>
        <v>0</v>
      </c>
      <c r="AY33" s="22">
        <f t="shared" si="56"/>
        <v>0</v>
      </c>
      <c r="AZ33" s="22">
        <f t="shared" si="56"/>
        <v>0</v>
      </c>
      <c r="BA33" s="22">
        <f t="shared" si="56"/>
        <v>0</v>
      </c>
      <c r="BB33" s="22">
        <f t="shared" si="56"/>
        <v>0</v>
      </c>
      <c r="BC33" s="22">
        <f t="shared" si="56"/>
        <v>0</v>
      </c>
      <c r="BD33" s="22">
        <f t="shared" si="56"/>
        <v>0</v>
      </c>
      <c r="BE33" s="22">
        <f t="shared" si="56"/>
        <v>1.4984001351181564</v>
      </c>
      <c r="BF33" s="22">
        <f t="shared" si="56"/>
        <v>0</v>
      </c>
      <c r="BG33" s="22">
        <f t="shared" si="56"/>
        <v>0</v>
      </c>
      <c r="BH33" s="22">
        <f t="shared" si="56"/>
        <v>0</v>
      </c>
      <c r="BI33" s="22">
        <f t="shared" si="56"/>
        <v>0</v>
      </c>
      <c r="BJ33" s="22">
        <f t="shared" si="56"/>
        <v>0</v>
      </c>
      <c r="BK33" s="22">
        <f t="shared" si="56"/>
        <v>0</v>
      </c>
      <c r="BL33" s="22">
        <f t="shared" si="56"/>
        <v>0</v>
      </c>
      <c r="BM33" s="22">
        <f t="shared" si="56"/>
        <v>0</v>
      </c>
      <c r="BN33" s="22">
        <f t="shared" si="56"/>
        <v>0</v>
      </c>
      <c r="BO33" s="22">
        <f t="shared" si="56"/>
        <v>0</v>
      </c>
      <c r="BP33" s="22">
        <f t="shared" si="56"/>
        <v>0</v>
      </c>
      <c r="BQ33" s="22">
        <f t="shared" si="56"/>
        <v>0</v>
      </c>
      <c r="BR33" s="22">
        <f t="shared" si="56"/>
        <v>0</v>
      </c>
      <c r="BS33" s="22">
        <f t="shared" si="56"/>
        <v>0</v>
      </c>
      <c r="BT33" s="22">
        <f t="shared" si="56"/>
        <v>0</v>
      </c>
      <c r="BU33" s="22">
        <f t="shared" si="56"/>
        <v>0</v>
      </c>
      <c r="BV33" s="22">
        <f t="shared" si="56"/>
        <v>0</v>
      </c>
      <c r="BW33" s="22">
        <f t="shared" si="56"/>
        <v>0</v>
      </c>
      <c r="BX33" s="22">
        <f t="shared" si="56"/>
        <v>0</v>
      </c>
      <c r="BY33" s="22">
        <f t="shared" si="56"/>
        <v>0</v>
      </c>
      <c r="BZ33" s="22">
        <f t="shared" si="56"/>
        <v>0</v>
      </c>
      <c r="CA33" s="22">
        <f t="shared" si="56"/>
        <v>0</v>
      </c>
      <c r="CB33" s="22">
        <f t="shared" si="56"/>
        <v>0</v>
      </c>
      <c r="CC33" s="22">
        <f t="shared" ref="CC33:CC43" si="57">SUM(AR33:CB33)</f>
        <v>1.4984001351181564</v>
      </c>
    </row>
    <row r="34" spans="1:81" x14ac:dyDescent="0.25">
      <c r="B34" s="70">
        <f>resistance!J26</f>
        <v>5.833333333333333</v>
      </c>
      <c r="C34" s="3">
        <f>resistance!I26</f>
        <v>21</v>
      </c>
      <c r="D34" s="1">
        <f>resistance!Z26</f>
        <v>253.79849541740674</v>
      </c>
      <c r="E34" s="1">
        <f>resistance!AA26</f>
        <v>42.105416956779159</v>
      </c>
      <c r="F34" s="1">
        <f>resistance!AB26</f>
        <v>0</v>
      </c>
      <c r="G34" s="1">
        <f>resistance!AC26</f>
        <v>295.90391237418589</v>
      </c>
      <c r="H34" s="4">
        <f t="shared" si="41"/>
        <v>1726.1061555160843</v>
      </c>
      <c r="I34" s="16">
        <f t="shared" si="36"/>
        <v>311.47780249914308</v>
      </c>
      <c r="J34" s="4">
        <f t="shared" si="4"/>
        <v>5.833333333333333</v>
      </c>
      <c r="K34" s="28">
        <f t="shared" si="39"/>
        <v>4.0211853788722725E-2</v>
      </c>
      <c r="L34" s="27">
        <f t="shared" si="26"/>
        <v>1.5118339513090693</v>
      </c>
      <c r="M34" s="27">
        <f t="shared" si="17"/>
        <v>1.5118339513090693</v>
      </c>
      <c r="N34" s="16">
        <f t="shared" si="18"/>
        <v>482.30605354198764</v>
      </c>
      <c r="O34" s="16">
        <f t="shared" si="27"/>
        <v>8.0384342256997936</v>
      </c>
      <c r="P34" s="72">
        <f t="shared" si="19"/>
        <v>9.1909897748632799E-2</v>
      </c>
      <c r="Q34" s="72">
        <f t="shared" si="20"/>
        <v>9.1909897748632785E-2</v>
      </c>
      <c r="R34" s="22">
        <f t="shared" si="55"/>
        <v>0.27635542043724765</v>
      </c>
      <c r="S34" s="72">
        <f t="shared" si="5"/>
        <v>2.7635542043724769E-2</v>
      </c>
      <c r="T34" s="78">
        <f t="shared" si="21"/>
        <v>0.80023680419027099</v>
      </c>
      <c r="U34" s="22">
        <f t="shared" si="6"/>
        <v>5.8333333333333339</v>
      </c>
      <c r="V34" s="1">
        <f t="shared" si="7"/>
        <v>311.47780249914308</v>
      </c>
      <c r="W34" s="1">
        <f t="shared" si="8"/>
        <v>44.954590271584273</v>
      </c>
      <c r="X34" s="16">
        <f t="shared" si="9"/>
        <v>2270.5202240106596</v>
      </c>
      <c r="Y34" s="68">
        <f t="shared" si="22"/>
        <v>0.76022496398075712</v>
      </c>
      <c r="Z34" s="76">
        <f t="shared" si="33"/>
        <v>0.80023680419027088</v>
      </c>
      <c r="AA34" s="77">
        <f t="shared" si="29"/>
        <v>1816.9538479116682</v>
      </c>
      <c r="AB34" s="68">
        <v>0.97</v>
      </c>
      <c r="AC34" s="40">
        <f t="shared" si="10"/>
        <v>1446.9181606259629</v>
      </c>
      <c r="AD34" s="39">
        <f t="shared" si="11"/>
        <v>15.448312808104561</v>
      </c>
      <c r="AE34" s="41">
        <f t="shared" si="31"/>
        <v>2340.7424989800616</v>
      </c>
      <c r="AF34" s="12">
        <f t="shared" si="23"/>
        <v>1446.9181606259629</v>
      </c>
      <c r="AG34" s="78">
        <f t="shared" si="34"/>
        <v>0.88</v>
      </c>
      <c r="AH34" s="41">
        <f t="shared" si="24"/>
        <v>2659.9346579318881</v>
      </c>
      <c r="AI34" s="40"/>
      <c r="AJ34" s="40"/>
      <c r="AK34" s="40"/>
      <c r="AM34" s="1">
        <f t="shared" si="12"/>
        <v>0</v>
      </c>
      <c r="AN34" s="1">
        <f t="shared" si="13"/>
        <v>21.579784982852228</v>
      </c>
      <c r="AR34" s="22">
        <f t="shared" ref="AR34:CB34" si="58">IF(SIGN(AR$8-$K34*AR$7^2)*SIGN(AS$8-$K34*AS$7^2)=-1,INTERCEPT(AR$7:AS$7, AR$8:AS$8-$K34*(AR$7:AS$7)^2),0)</f>
        <v>0</v>
      </c>
      <c r="AS34" s="22">
        <f t="shared" si="58"/>
        <v>0</v>
      </c>
      <c r="AT34" s="22">
        <f t="shared" si="58"/>
        <v>0</v>
      </c>
      <c r="AU34" s="22">
        <f t="shared" si="58"/>
        <v>0</v>
      </c>
      <c r="AV34" s="22">
        <f t="shared" si="58"/>
        <v>0</v>
      </c>
      <c r="AW34" s="22">
        <f t="shared" si="58"/>
        <v>0</v>
      </c>
      <c r="AX34" s="22">
        <f t="shared" si="58"/>
        <v>0</v>
      </c>
      <c r="AY34" s="22">
        <f t="shared" si="58"/>
        <v>0</v>
      </c>
      <c r="AZ34" s="22">
        <f t="shared" si="58"/>
        <v>0</v>
      </c>
      <c r="BA34" s="22">
        <f t="shared" si="58"/>
        <v>0</v>
      </c>
      <c r="BB34" s="22">
        <f t="shared" si="58"/>
        <v>0</v>
      </c>
      <c r="BC34" s="22">
        <f t="shared" si="58"/>
        <v>0</v>
      </c>
      <c r="BD34" s="22">
        <f t="shared" si="58"/>
        <v>0</v>
      </c>
      <c r="BE34" s="22">
        <f t="shared" si="58"/>
        <v>1.5118339513090693</v>
      </c>
      <c r="BF34" s="22">
        <f t="shared" si="58"/>
        <v>0</v>
      </c>
      <c r="BG34" s="22">
        <f t="shared" si="58"/>
        <v>0</v>
      </c>
      <c r="BH34" s="22">
        <f t="shared" si="58"/>
        <v>0</v>
      </c>
      <c r="BI34" s="22">
        <f t="shared" si="58"/>
        <v>0</v>
      </c>
      <c r="BJ34" s="22">
        <f t="shared" si="58"/>
        <v>0</v>
      </c>
      <c r="BK34" s="22">
        <f t="shared" si="58"/>
        <v>0</v>
      </c>
      <c r="BL34" s="22">
        <f t="shared" si="58"/>
        <v>0</v>
      </c>
      <c r="BM34" s="22">
        <f t="shared" si="58"/>
        <v>0</v>
      </c>
      <c r="BN34" s="22">
        <f t="shared" si="58"/>
        <v>0</v>
      </c>
      <c r="BO34" s="22">
        <f t="shared" si="58"/>
        <v>0</v>
      </c>
      <c r="BP34" s="22">
        <f t="shared" si="58"/>
        <v>0</v>
      </c>
      <c r="BQ34" s="22">
        <f t="shared" si="58"/>
        <v>0</v>
      </c>
      <c r="BR34" s="22">
        <f t="shared" si="58"/>
        <v>0</v>
      </c>
      <c r="BS34" s="22">
        <f t="shared" si="58"/>
        <v>0</v>
      </c>
      <c r="BT34" s="22">
        <f t="shared" si="58"/>
        <v>0</v>
      </c>
      <c r="BU34" s="22">
        <f t="shared" si="58"/>
        <v>0</v>
      </c>
      <c r="BV34" s="22">
        <f t="shared" si="58"/>
        <v>0</v>
      </c>
      <c r="BW34" s="22">
        <f t="shared" si="58"/>
        <v>0</v>
      </c>
      <c r="BX34" s="22">
        <f t="shared" si="58"/>
        <v>0</v>
      </c>
      <c r="BY34" s="22">
        <f t="shared" si="58"/>
        <v>0</v>
      </c>
      <c r="BZ34" s="22">
        <f t="shared" si="58"/>
        <v>0</v>
      </c>
      <c r="CA34" s="22">
        <f t="shared" si="58"/>
        <v>0</v>
      </c>
      <c r="CB34" s="22">
        <f t="shared" si="58"/>
        <v>0</v>
      </c>
      <c r="CC34" s="22">
        <f t="shared" si="57"/>
        <v>1.5118339513090693</v>
      </c>
    </row>
    <row r="35" spans="1:81" x14ac:dyDescent="0.25">
      <c r="B35" s="70">
        <f>resistance!J27</f>
        <v>6.1111111111111107</v>
      </c>
      <c r="C35" s="3">
        <f>resistance!I27</f>
        <v>22</v>
      </c>
      <c r="D35" s="1">
        <f>resistance!Z27</f>
        <v>272.02815793960923</v>
      </c>
      <c r="E35" s="1">
        <f>resistance!AA27</f>
        <v>47.110903437931725</v>
      </c>
      <c r="F35" s="1">
        <f>resistance!AB27</f>
        <v>0</v>
      </c>
      <c r="G35" s="1">
        <f>resistance!AC27</f>
        <v>319.13906137754094</v>
      </c>
      <c r="H35" s="4">
        <f t="shared" si="41"/>
        <v>1950.2942639738612</v>
      </c>
      <c r="I35" s="16">
        <f t="shared" si="36"/>
        <v>335.93585408162204</v>
      </c>
      <c r="J35" s="4">
        <f t="shared" si="4"/>
        <v>6.1111111111111107</v>
      </c>
      <c r="K35" s="28">
        <f t="shared" si="39"/>
        <v>3.9516327734657297E-2</v>
      </c>
      <c r="L35" s="27">
        <f t="shared" si="26"/>
        <v>1.5269949004181849</v>
      </c>
      <c r="M35" s="27">
        <f t="shared" si="17"/>
        <v>1.5269949004181846</v>
      </c>
      <c r="N35" s="16">
        <f t="shared" si="18"/>
        <v>500.25634576755249</v>
      </c>
      <c r="O35" s="16">
        <f t="shared" si="27"/>
        <v>8.337605762792542</v>
      </c>
      <c r="P35" s="72">
        <f t="shared" si="19"/>
        <v>9.2140751921289121E-2</v>
      </c>
      <c r="Q35" s="72">
        <f t="shared" si="20"/>
        <v>9.2140751921289107E-2</v>
      </c>
      <c r="R35" s="22">
        <f t="shared" si="55"/>
        <v>0.27672420028044231</v>
      </c>
      <c r="S35" s="72">
        <f t="shared" si="5"/>
        <v>2.767242002804423E-2</v>
      </c>
      <c r="T35" s="78">
        <f t="shared" si="21"/>
        <v>0.80921202778352097</v>
      </c>
      <c r="U35" s="22">
        <f t="shared" si="6"/>
        <v>6.1111111111111116</v>
      </c>
      <c r="V35" s="1">
        <f t="shared" si="7"/>
        <v>335.9358540816221</v>
      </c>
      <c r="W35" s="1">
        <f t="shared" si="8"/>
        <v>48.427604226547473</v>
      </c>
      <c r="X35" s="16">
        <f t="shared" si="9"/>
        <v>2536.9634409932432</v>
      </c>
      <c r="Y35" s="68">
        <f t="shared" si="22"/>
        <v>0.76875142639434479</v>
      </c>
      <c r="Z35" s="76">
        <f t="shared" si="33"/>
        <v>0.80921202778352108</v>
      </c>
      <c r="AA35" s="77">
        <f t="shared" si="29"/>
        <v>2052.9413304988016</v>
      </c>
      <c r="AB35" s="68">
        <v>0.97</v>
      </c>
      <c r="AC35" s="40">
        <f t="shared" si="10"/>
        <v>1500.7690373026576</v>
      </c>
      <c r="AD35" s="39">
        <f t="shared" si="11"/>
        <v>16.641788394002567</v>
      </c>
      <c r="AE35" s="41">
        <f t="shared" si="31"/>
        <v>2615.4262278280862</v>
      </c>
      <c r="AF35" s="12">
        <f t="shared" si="23"/>
        <v>1500.7690373026576</v>
      </c>
      <c r="AG35" s="78">
        <f t="shared" si="34"/>
        <v>0.88</v>
      </c>
      <c r="AH35" s="41">
        <f t="shared" si="24"/>
        <v>2972.075258895552</v>
      </c>
      <c r="AI35" s="40"/>
      <c r="AJ35" s="40"/>
      <c r="AK35" s="40"/>
      <c r="AM35" s="1">
        <f t="shared" si="12"/>
        <v>0</v>
      </c>
      <c r="AN35" s="1">
        <f t="shared" si="13"/>
        <v>0</v>
      </c>
      <c r="AR35" s="22">
        <f t="shared" ref="AR35:CB35" si="59">IF(SIGN(AR$8-$K35*AR$7^2)*SIGN(AS$8-$K35*AS$7^2)=-1,INTERCEPT(AR$7:AS$7, AR$8:AS$8-$K35*(AR$7:AS$7)^2),0)</f>
        <v>0</v>
      </c>
      <c r="AS35" s="22">
        <f t="shared" si="59"/>
        <v>0</v>
      </c>
      <c r="AT35" s="22">
        <f t="shared" si="59"/>
        <v>0</v>
      </c>
      <c r="AU35" s="22">
        <f t="shared" si="59"/>
        <v>0</v>
      </c>
      <c r="AV35" s="22">
        <f t="shared" si="59"/>
        <v>0</v>
      </c>
      <c r="AW35" s="22">
        <f t="shared" si="59"/>
        <v>0</v>
      </c>
      <c r="AX35" s="22">
        <f t="shared" si="59"/>
        <v>0</v>
      </c>
      <c r="AY35" s="22">
        <f t="shared" si="59"/>
        <v>0</v>
      </c>
      <c r="AZ35" s="22">
        <f t="shared" si="59"/>
        <v>0</v>
      </c>
      <c r="BA35" s="22">
        <f t="shared" si="59"/>
        <v>0</v>
      </c>
      <c r="BB35" s="22">
        <f t="shared" si="59"/>
        <v>0</v>
      </c>
      <c r="BC35" s="22">
        <f t="shared" si="59"/>
        <v>0</v>
      </c>
      <c r="BD35" s="22">
        <f t="shared" si="59"/>
        <v>0</v>
      </c>
      <c r="BE35" s="22">
        <f t="shared" si="59"/>
        <v>1.5269949004181849</v>
      </c>
      <c r="BF35" s="22">
        <f t="shared" si="59"/>
        <v>0</v>
      </c>
      <c r="BG35" s="22">
        <f t="shared" si="59"/>
        <v>0</v>
      </c>
      <c r="BH35" s="22">
        <f t="shared" si="59"/>
        <v>0</v>
      </c>
      <c r="BI35" s="22">
        <f t="shared" si="59"/>
        <v>0</v>
      </c>
      <c r="BJ35" s="22">
        <f t="shared" si="59"/>
        <v>0</v>
      </c>
      <c r="BK35" s="22">
        <f t="shared" si="59"/>
        <v>0</v>
      </c>
      <c r="BL35" s="22">
        <f t="shared" si="59"/>
        <v>0</v>
      </c>
      <c r="BM35" s="22">
        <f t="shared" si="59"/>
        <v>0</v>
      </c>
      <c r="BN35" s="22">
        <f t="shared" si="59"/>
        <v>0</v>
      </c>
      <c r="BO35" s="22">
        <f t="shared" si="59"/>
        <v>0</v>
      </c>
      <c r="BP35" s="22">
        <f t="shared" si="59"/>
        <v>0</v>
      </c>
      <c r="BQ35" s="22">
        <f t="shared" si="59"/>
        <v>0</v>
      </c>
      <c r="BR35" s="22">
        <f t="shared" si="59"/>
        <v>0</v>
      </c>
      <c r="BS35" s="22">
        <f t="shared" si="59"/>
        <v>0</v>
      </c>
      <c r="BT35" s="22">
        <f t="shared" si="59"/>
        <v>0</v>
      </c>
      <c r="BU35" s="22">
        <f t="shared" si="59"/>
        <v>0</v>
      </c>
      <c r="BV35" s="22">
        <f t="shared" si="59"/>
        <v>0</v>
      </c>
      <c r="BW35" s="22">
        <f t="shared" si="59"/>
        <v>0</v>
      </c>
      <c r="BX35" s="22">
        <f t="shared" si="59"/>
        <v>0</v>
      </c>
      <c r="BY35" s="22">
        <f t="shared" si="59"/>
        <v>0</v>
      </c>
      <c r="BZ35" s="22">
        <f t="shared" si="59"/>
        <v>0</v>
      </c>
      <c r="CA35" s="22">
        <f t="shared" si="59"/>
        <v>0</v>
      </c>
      <c r="CB35" s="22">
        <f t="shared" si="59"/>
        <v>0</v>
      </c>
      <c r="CC35" s="22">
        <f t="shared" si="57"/>
        <v>1.5269949004181849</v>
      </c>
    </row>
    <row r="36" spans="1:81" x14ac:dyDescent="0.25">
      <c r="B36" s="70">
        <f>resistance!J28</f>
        <v>6.3888888888888884</v>
      </c>
      <c r="C36" s="3">
        <f>resistance!I28</f>
        <v>23</v>
      </c>
      <c r="D36" s="1">
        <f>resistance!Z28</f>
        <v>292.23486402097194</v>
      </c>
      <c r="E36" s="1">
        <f>resistance!AA28</f>
        <v>52.212885122000401</v>
      </c>
      <c r="F36" s="1">
        <f>resistance!AB28</f>
        <v>0</v>
      </c>
      <c r="G36" s="1">
        <f>resistance!AC28</f>
        <v>344.44774914297233</v>
      </c>
      <c r="H36" s="4">
        <f t="shared" si="41"/>
        <v>2200.638397302323</v>
      </c>
      <c r="I36" s="16">
        <f t="shared" si="36"/>
        <v>362.57657804523404</v>
      </c>
      <c r="J36" s="4">
        <f t="shared" si="4"/>
        <v>6.3888888888888884</v>
      </c>
      <c r="K36" s="28">
        <f t="shared" si="39"/>
        <v>3.9022011807176508E-2</v>
      </c>
      <c r="L36" s="27">
        <f t="shared" si="26"/>
        <v>1.5381528319738331</v>
      </c>
      <c r="M36" s="27">
        <f t="shared" si="17"/>
        <v>1.5381528319738333</v>
      </c>
      <c r="N36" s="16">
        <f t="shared" si="18"/>
        <v>519.20140476957295</v>
      </c>
      <c r="O36" s="16">
        <f t="shared" si="27"/>
        <v>8.6533567461595489</v>
      </c>
      <c r="P36" s="72">
        <f t="shared" si="19"/>
        <v>9.2322729291580793E-2</v>
      </c>
      <c r="Q36" s="72">
        <f t="shared" si="20"/>
        <v>9.2322729291580793E-2</v>
      </c>
      <c r="R36" s="22">
        <f t="shared" si="55"/>
        <v>0.27699560942639057</v>
      </c>
      <c r="S36" s="72">
        <f t="shared" si="5"/>
        <v>2.7699560942639055E-2</v>
      </c>
      <c r="T36" s="78">
        <f t="shared" si="21"/>
        <v>0.81593463892431806</v>
      </c>
      <c r="U36" s="22">
        <f t="shared" si="6"/>
        <v>6.3888888888888875</v>
      </c>
      <c r="V36" s="1">
        <f t="shared" si="7"/>
        <v>362.57657804523404</v>
      </c>
      <c r="W36" s="1">
        <f t="shared" si="8"/>
        <v>52.216196450873475</v>
      </c>
      <c r="X36" s="16">
        <f t="shared" si="9"/>
        <v>2839.0282264501507</v>
      </c>
      <c r="Y36" s="68">
        <f t="shared" si="22"/>
        <v>0.77513790697810203</v>
      </c>
      <c r="Z36" s="76">
        <f t="shared" si="33"/>
        <v>0.81593463892431783</v>
      </c>
      <c r="AA36" s="77">
        <f t="shared" si="29"/>
        <v>2316.4614708445501</v>
      </c>
      <c r="AB36" s="68">
        <v>0.97</v>
      </c>
      <c r="AC36" s="40">
        <f t="shared" si="10"/>
        <v>1557.6042143087188</v>
      </c>
      <c r="AD36" s="39">
        <f t="shared" si="11"/>
        <v>17.943710120575076</v>
      </c>
      <c r="AE36" s="41">
        <f t="shared" si="31"/>
        <v>2926.8332231444847</v>
      </c>
      <c r="AF36" s="12">
        <f t="shared" si="23"/>
        <v>1557.6042143087188</v>
      </c>
      <c r="AG36" s="78">
        <f t="shared" si="34"/>
        <v>0.88</v>
      </c>
      <c r="AH36" s="41">
        <f t="shared" si="24"/>
        <v>3325.9468444823697</v>
      </c>
      <c r="AI36" s="40"/>
      <c r="AJ36" s="40"/>
      <c r="AK36" s="40"/>
      <c r="AM36" s="1">
        <f t="shared" si="12"/>
        <v>0</v>
      </c>
      <c r="AN36" s="1">
        <f t="shared" si="13"/>
        <v>0</v>
      </c>
      <c r="AR36" s="22">
        <f t="shared" ref="AR36:CB36" si="60">IF(SIGN(AR$8-$K36*AR$7^2)*SIGN(AS$8-$K36*AS$7^2)=-1,INTERCEPT(AR$7:AS$7, AR$8:AS$8-$K36*(AR$7:AS$7)^2),0)</f>
        <v>0</v>
      </c>
      <c r="AS36" s="22">
        <f t="shared" si="60"/>
        <v>0</v>
      </c>
      <c r="AT36" s="22">
        <f t="shared" si="60"/>
        <v>0</v>
      </c>
      <c r="AU36" s="22">
        <f t="shared" si="60"/>
        <v>0</v>
      </c>
      <c r="AV36" s="22">
        <f t="shared" si="60"/>
        <v>0</v>
      </c>
      <c r="AW36" s="22">
        <f t="shared" si="60"/>
        <v>0</v>
      </c>
      <c r="AX36" s="22">
        <f t="shared" si="60"/>
        <v>0</v>
      </c>
      <c r="AY36" s="22">
        <f t="shared" si="60"/>
        <v>0</v>
      </c>
      <c r="AZ36" s="22">
        <f t="shared" si="60"/>
        <v>0</v>
      </c>
      <c r="BA36" s="22">
        <f t="shared" si="60"/>
        <v>0</v>
      </c>
      <c r="BB36" s="22">
        <f t="shared" si="60"/>
        <v>0</v>
      </c>
      <c r="BC36" s="22">
        <f t="shared" si="60"/>
        <v>0</v>
      </c>
      <c r="BD36" s="22">
        <f t="shared" si="60"/>
        <v>0</v>
      </c>
      <c r="BE36" s="22">
        <f t="shared" si="60"/>
        <v>1.5381528319738331</v>
      </c>
      <c r="BF36" s="22">
        <f t="shared" si="60"/>
        <v>0</v>
      </c>
      <c r="BG36" s="22">
        <f t="shared" si="60"/>
        <v>0</v>
      </c>
      <c r="BH36" s="22">
        <f t="shared" si="60"/>
        <v>0</v>
      </c>
      <c r="BI36" s="22">
        <f t="shared" si="60"/>
        <v>0</v>
      </c>
      <c r="BJ36" s="22">
        <f t="shared" si="60"/>
        <v>0</v>
      </c>
      <c r="BK36" s="22">
        <f t="shared" si="60"/>
        <v>0</v>
      </c>
      <c r="BL36" s="22">
        <f t="shared" si="60"/>
        <v>0</v>
      </c>
      <c r="BM36" s="22">
        <f t="shared" si="60"/>
        <v>0</v>
      </c>
      <c r="BN36" s="22">
        <f t="shared" si="60"/>
        <v>0</v>
      </c>
      <c r="BO36" s="22">
        <f t="shared" si="60"/>
        <v>0</v>
      </c>
      <c r="BP36" s="22">
        <f t="shared" si="60"/>
        <v>0</v>
      </c>
      <c r="BQ36" s="22">
        <f t="shared" si="60"/>
        <v>0</v>
      </c>
      <c r="BR36" s="22">
        <f t="shared" si="60"/>
        <v>0</v>
      </c>
      <c r="BS36" s="22">
        <f t="shared" si="60"/>
        <v>0</v>
      </c>
      <c r="BT36" s="22">
        <f t="shared" si="60"/>
        <v>0</v>
      </c>
      <c r="BU36" s="22">
        <f t="shared" si="60"/>
        <v>0</v>
      </c>
      <c r="BV36" s="22">
        <f t="shared" si="60"/>
        <v>0</v>
      </c>
      <c r="BW36" s="22">
        <f t="shared" si="60"/>
        <v>0</v>
      </c>
      <c r="BX36" s="22">
        <f t="shared" si="60"/>
        <v>0</v>
      </c>
      <c r="BY36" s="22">
        <f t="shared" si="60"/>
        <v>0</v>
      </c>
      <c r="BZ36" s="22">
        <f t="shared" si="60"/>
        <v>0</v>
      </c>
      <c r="CA36" s="22">
        <f t="shared" si="60"/>
        <v>0</v>
      </c>
      <c r="CB36" s="22">
        <f t="shared" si="60"/>
        <v>0</v>
      </c>
      <c r="CC36" s="22">
        <f t="shared" si="57"/>
        <v>1.5381528319738331</v>
      </c>
    </row>
    <row r="37" spans="1:81" x14ac:dyDescent="0.25">
      <c r="B37" s="70">
        <f>resistance!J29</f>
        <v>6.6666666666666661</v>
      </c>
      <c r="C37" s="3">
        <f>resistance!I29</f>
        <v>24</v>
      </c>
      <c r="D37" s="1">
        <f>resistance!Z29</f>
        <v>312.47698944948576</v>
      </c>
      <c r="E37" s="1">
        <f>resistance!AA29</f>
        <v>57.316595547489399</v>
      </c>
      <c r="F37" s="1">
        <f>resistance!AB29</f>
        <v>0</v>
      </c>
      <c r="G37" s="1">
        <f>resistance!AC29</f>
        <v>369.79358499697514</v>
      </c>
      <c r="H37" s="4">
        <f t="shared" si="41"/>
        <v>2465.2905666465008</v>
      </c>
      <c r="I37" s="16">
        <f t="shared" si="36"/>
        <v>389.25640525997386</v>
      </c>
      <c r="J37" s="4">
        <f>B37*(1-$E$7/100)</f>
        <v>6.6666666666666661</v>
      </c>
      <c r="K37" s="28">
        <f t="shared" si="39"/>
        <v>3.8475021079118758E-2</v>
      </c>
      <c r="L37" s="27">
        <f t="shared" si="26"/>
        <v>1.550890152447306</v>
      </c>
      <c r="M37" s="27">
        <f t="shared" si="17"/>
        <v>1.5508901524473058</v>
      </c>
      <c r="N37" s="16">
        <f t="shared" si="18"/>
        <v>537.32582673139848</v>
      </c>
      <c r="O37" s="16">
        <f t="shared" si="27"/>
        <v>8.9554304455233087</v>
      </c>
      <c r="P37" s="72">
        <f t="shared" si="19"/>
        <v>9.2542439395026904E-2</v>
      </c>
      <c r="Q37" s="72">
        <f t="shared" si="20"/>
        <v>9.2542439395026876E-2</v>
      </c>
      <c r="R37" s="22">
        <f t="shared" si="55"/>
        <v>0.27730543614061015</v>
      </c>
      <c r="S37" s="72">
        <f t="shared" si="5"/>
        <v>2.7730543614061014E-2</v>
      </c>
      <c r="T37" s="78">
        <f t="shared" si="21"/>
        <v>0.82372781263899075</v>
      </c>
      <c r="U37" s="22">
        <f t="shared" si="6"/>
        <v>6.666666666666667</v>
      </c>
      <c r="V37" s="1">
        <f t="shared" si="7"/>
        <v>389.25640525997409</v>
      </c>
      <c r="W37" s="1">
        <f t="shared" si="8"/>
        <v>55.987934411131448</v>
      </c>
      <c r="X37" s="16">
        <f t="shared" si="9"/>
        <v>3150.3643095640755</v>
      </c>
      <c r="Y37" s="68">
        <f t="shared" si="22"/>
        <v>0.78254142200704058</v>
      </c>
      <c r="Z37" s="76">
        <f t="shared" si="33"/>
        <v>0.82372781263899075</v>
      </c>
      <c r="AA37" s="77">
        <f t="shared" si="29"/>
        <v>2595.0427017331604</v>
      </c>
      <c r="AB37" s="68">
        <v>0.97</v>
      </c>
      <c r="AC37" s="40">
        <f t="shared" si="10"/>
        <v>1611.9774801941953</v>
      </c>
      <c r="AD37" s="39">
        <f t="shared" si="11"/>
        <v>19.23984000382524</v>
      </c>
      <c r="AE37" s="41">
        <f t="shared" si="31"/>
        <v>3247.7982572825517</v>
      </c>
      <c r="AF37" s="12">
        <f t="shared" si="23"/>
        <v>1611.9774801941953</v>
      </c>
      <c r="AG37" s="78">
        <f t="shared" si="34"/>
        <v>0.88</v>
      </c>
      <c r="AH37" s="41">
        <f t="shared" si="24"/>
        <v>3690.6798378210819</v>
      </c>
      <c r="AI37" s="40"/>
      <c r="AJ37" s="40"/>
      <c r="AK37" s="40"/>
      <c r="AM37" s="1">
        <f t="shared" si="12"/>
        <v>0</v>
      </c>
      <c r="AN37" s="1">
        <f t="shared" si="13"/>
        <v>0</v>
      </c>
      <c r="AR37" s="22">
        <f t="shared" ref="AR37:CB37" si="61">IF(SIGN(AR$8-$K37*AR$7^2)*SIGN(AS$8-$K37*AS$7^2)=-1,INTERCEPT(AR$7:AS$7, AR$8:AS$8-$K37*(AR$7:AS$7)^2),0)</f>
        <v>0</v>
      </c>
      <c r="AS37" s="22">
        <f t="shared" si="61"/>
        <v>0</v>
      </c>
      <c r="AT37" s="22">
        <f t="shared" si="61"/>
        <v>0</v>
      </c>
      <c r="AU37" s="22">
        <f t="shared" si="61"/>
        <v>0</v>
      </c>
      <c r="AV37" s="22">
        <f t="shared" si="61"/>
        <v>0</v>
      </c>
      <c r="AW37" s="22">
        <f t="shared" si="61"/>
        <v>0</v>
      </c>
      <c r="AX37" s="22">
        <f t="shared" si="61"/>
        <v>0</v>
      </c>
      <c r="AY37" s="22">
        <f t="shared" si="61"/>
        <v>0</v>
      </c>
      <c r="AZ37" s="22">
        <f t="shared" si="61"/>
        <v>0</v>
      </c>
      <c r="BA37" s="22">
        <f t="shared" si="61"/>
        <v>0</v>
      </c>
      <c r="BB37" s="22">
        <f t="shared" si="61"/>
        <v>0</v>
      </c>
      <c r="BC37" s="22">
        <f t="shared" si="61"/>
        <v>0</v>
      </c>
      <c r="BD37" s="22">
        <f t="shared" si="61"/>
        <v>0</v>
      </c>
      <c r="BE37" s="22">
        <f t="shared" si="61"/>
        <v>1.550890152447306</v>
      </c>
      <c r="BF37" s="22">
        <f t="shared" si="61"/>
        <v>0</v>
      </c>
      <c r="BG37" s="22">
        <f t="shared" si="61"/>
        <v>0</v>
      </c>
      <c r="BH37" s="22">
        <f t="shared" si="61"/>
        <v>0</v>
      </c>
      <c r="BI37" s="22">
        <f t="shared" si="61"/>
        <v>0</v>
      </c>
      <c r="BJ37" s="22">
        <f t="shared" si="61"/>
        <v>0</v>
      </c>
      <c r="BK37" s="22">
        <f t="shared" si="61"/>
        <v>0</v>
      </c>
      <c r="BL37" s="22">
        <f t="shared" si="61"/>
        <v>0</v>
      </c>
      <c r="BM37" s="22">
        <f t="shared" si="61"/>
        <v>0</v>
      </c>
      <c r="BN37" s="22">
        <f t="shared" si="61"/>
        <v>0</v>
      </c>
      <c r="BO37" s="22">
        <f t="shared" si="61"/>
        <v>0</v>
      </c>
      <c r="BP37" s="22">
        <f t="shared" si="61"/>
        <v>0</v>
      </c>
      <c r="BQ37" s="22">
        <f t="shared" si="61"/>
        <v>0</v>
      </c>
      <c r="BR37" s="22">
        <f t="shared" si="61"/>
        <v>0</v>
      </c>
      <c r="BS37" s="22">
        <f t="shared" si="61"/>
        <v>0</v>
      </c>
      <c r="BT37" s="22">
        <f t="shared" si="61"/>
        <v>0</v>
      </c>
      <c r="BU37" s="22">
        <f t="shared" si="61"/>
        <v>0</v>
      </c>
      <c r="BV37" s="22">
        <f t="shared" si="61"/>
        <v>0</v>
      </c>
      <c r="BW37" s="22">
        <f t="shared" si="61"/>
        <v>0</v>
      </c>
      <c r="BX37" s="22">
        <f t="shared" si="61"/>
        <v>0</v>
      </c>
      <c r="BY37" s="22">
        <f t="shared" si="61"/>
        <v>0</v>
      </c>
      <c r="BZ37" s="22">
        <f t="shared" si="61"/>
        <v>0</v>
      </c>
      <c r="CA37" s="22">
        <f t="shared" si="61"/>
        <v>0</v>
      </c>
      <c r="CB37" s="22">
        <f t="shared" si="61"/>
        <v>0</v>
      </c>
      <c r="CC37" s="22">
        <f t="shared" si="57"/>
        <v>1.550890152447306</v>
      </c>
    </row>
    <row r="38" spans="1:81" x14ac:dyDescent="0.25">
      <c r="B38" s="70">
        <f>resistance!J30</f>
        <v>6.9444444444444446</v>
      </c>
      <c r="C38" s="3">
        <f>resistance!I30</f>
        <v>25</v>
      </c>
      <c r="D38" s="1">
        <f>resistance!Z30</f>
        <v>325.50589137209806</v>
      </c>
      <c r="E38" s="1">
        <f>resistance!AA30</f>
        <v>59.708181257603783</v>
      </c>
      <c r="F38" s="1">
        <f>resistance!AB30</f>
        <v>0</v>
      </c>
      <c r="G38" s="1">
        <f>resistance!AC30</f>
        <v>385.21407262970183</v>
      </c>
      <c r="H38" s="4">
        <f t="shared" si="41"/>
        <v>2675.0977265951515</v>
      </c>
      <c r="I38" s="16">
        <f t="shared" si="36"/>
        <v>405.48849750494929</v>
      </c>
      <c r="J38" s="4">
        <f t="shared" si="4"/>
        <v>6.9444444444444446</v>
      </c>
      <c r="K38" s="28">
        <f t="shared" si="39"/>
        <v>3.6937211311179594E-2</v>
      </c>
      <c r="L38" s="27">
        <f t="shared" si="26"/>
        <v>1.5890777491058548</v>
      </c>
      <c r="M38" s="27">
        <f t="shared" si="17"/>
        <v>1.5890777491058548</v>
      </c>
      <c r="N38" s="16">
        <f t="shared" si="18"/>
        <v>546.26374074144246</v>
      </c>
      <c r="O38" s="16">
        <f t="shared" si="27"/>
        <v>9.1043956790240408</v>
      </c>
      <c r="P38" s="72">
        <f t="shared" si="19"/>
        <v>9.3272667436431228E-2</v>
      </c>
      <c r="Q38" s="72">
        <f t="shared" si="20"/>
        <v>9.3272667436431242E-2</v>
      </c>
      <c r="R38" s="22">
        <f t="shared" si="55"/>
        <v>0.2782343236268992</v>
      </c>
      <c r="S38" s="72">
        <f t="shared" si="5"/>
        <v>2.7823432362689925E-2</v>
      </c>
      <c r="T38" s="78">
        <f t="shared" si="21"/>
        <v>0.84783037263850758</v>
      </c>
      <c r="U38" s="22">
        <f t="shared" si="6"/>
        <v>6.9444444444444446</v>
      </c>
      <c r="V38" s="1">
        <f t="shared" si="7"/>
        <v>405.48849750494935</v>
      </c>
      <c r="W38" s="1">
        <f t="shared" si="8"/>
        <v>58.05987332887311</v>
      </c>
      <c r="X38" s="16">
        <f t="shared" si="9"/>
        <v>3321.2921294870762</v>
      </c>
      <c r="Y38" s="68">
        <f t="shared" si="22"/>
        <v>0.80543885400658211</v>
      </c>
      <c r="Z38" s="76">
        <f t="shared" si="33"/>
        <v>0.84783037263850769</v>
      </c>
      <c r="AA38" s="77">
        <f t="shared" si="29"/>
        <v>2815.8923437843705</v>
      </c>
      <c r="AB38" s="68">
        <v>0.97</v>
      </c>
      <c r="AC38" s="40">
        <f t="shared" si="10"/>
        <v>1638.7912222243274</v>
      </c>
      <c r="AD38" s="39">
        <f t="shared" si="11"/>
        <v>19.951846504767392</v>
      </c>
      <c r="AE38" s="41">
        <f t="shared" si="31"/>
        <v>3424.0125046258518</v>
      </c>
      <c r="AF38" s="12">
        <f t="shared" si="23"/>
        <v>1638.7912222243274</v>
      </c>
      <c r="AG38" s="78">
        <f t="shared" si="34"/>
        <v>0.88</v>
      </c>
      <c r="AH38" s="41">
        <f t="shared" si="24"/>
        <v>3890.9233007111952</v>
      </c>
      <c r="AI38" s="40"/>
      <c r="AJ38" s="40"/>
      <c r="AK38" s="40"/>
      <c r="AM38" s="1">
        <f t="shared" si="12"/>
        <v>0</v>
      </c>
      <c r="AN38" s="1">
        <f t="shared" si="13"/>
        <v>0</v>
      </c>
      <c r="AO38" s="6"/>
      <c r="AR38" s="22">
        <f t="shared" ref="AR38:CB38" si="62">IF(SIGN(AR$8-$K38*AR$7^2)*SIGN(AS$8-$K38*AS$7^2)=-1,INTERCEPT(AR$7:AS$7, AR$8:AS$8-$K38*(AR$7:AS$7)^2),0)</f>
        <v>0</v>
      </c>
      <c r="AS38" s="22">
        <f t="shared" si="62"/>
        <v>0</v>
      </c>
      <c r="AT38" s="22">
        <f t="shared" si="62"/>
        <v>0</v>
      </c>
      <c r="AU38" s="22">
        <f t="shared" si="62"/>
        <v>0</v>
      </c>
      <c r="AV38" s="22">
        <f t="shared" si="62"/>
        <v>0</v>
      </c>
      <c r="AW38" s="22">
        <f t="shared" si="62"/>
        <v>0</v>
      </c>
      <c r="AX38" s="22">
        <f t="shared" si="62"/>
        <v>0</v>
      </c>
      <c r="AY38" s="22">
        <f t="shared" si="62"/>
        <v>0</v>
      </c>
      <c r="AZ38" s="22">
        <f t="shared" si="62"/>
        <v>0</v>
      </c>
      <c r="BA38" s="22">
        <f t="shared" si="62"/>
        <v>0</v>
      </c>
      <c r="BB38" s="22">
        <f t="shared" si="62"/>
        <v>0</v>
      </c>
      <c r="BC38" s="22">
        <f t="shared" si="62"/>
        <v>0</v>
      </c>
      <c r="BD38" s="22">
        <f t="shared" si="62"/>
        <v>0</v>
      </c>
      <c r="BE38" s="22">
        <f t="shared" si="62"/>
        <v>1.5890777491058548</v>
      </c>
      <c r="BF38" s="22">
        <f t="shared" si="62"/>
        <v>0</v>
      </c>
      <c r="BG38" s="22">
        <f t="shared" si="62"/>
        <v>0</v>
      </c>
      <c r="BH38" s="22">
        <f t="shared" si="62"/>
        <v>0</v>
      </c>
      <c r="BI38" s="22">
        <f t="shared" si="62"/>
        <v>0</v>
      </c>
      <c r="BJ38" s="22">
        <f t="shared" si="62"/>
        <v>0</v>
      </c>
      <c r="BK38" s="22">
        <f t="shared" si="62"/>
        <v>0</v>
      </c>
      <c r="BL38" s="22">
        <f t="shared" si="62"/>
        <v>0</v>
      </c>
      <c r="BM38" s="22">
        <f t="shared" si="62"/>
        <v>0</v>
      </c>
      <c r="BN38" s="22">
        <f t="shared" si="62"/>
        <v>0</v>
      </c>
      <c r="BO38" s="22">
        <f t="shared" si="62"/>
        <v>0</v>
      </c>
      <c r="BP38" s="22">
        <f t="shared" si="62"/>
        <v>0</v>
      </c>
      <c r="BQ38" s="22">
        <f t="shared" si="62"/>
        <v>0</v>
      </c>
      <c r="BR38" s="22">
        <f t="shared" si="62"/>
        <v>0</v>
      </c>
      <c r="BS38" s="22">
        <f t="shared" si="62"/>
        <v>0</v>
      </c>
      <c r="BT38" s="22">
        <f t="shared" si="62"/>
        <v>0</v>
      </c>
      <c r="BU38" s="22">
        <f t="shared" si="62"/>
        <v>0</v>
      </c>
      <c r="BV38" s="22">
        <f t="shared" si="62"/>
        <v>0</v>
      </c>
      <c r="BW38" s="22">
        <f t="shared" si="62"/>
        <v>0</v>
      </c>
      <c r="BX38" s="22">
        <f t="shared" si="62"/>
        <v>0</v>
      </c>
      <c r="BY38" s="22">
        <f t="shared" si="62"/>
        <v>0</v>
      </c>
      <c r="BZ38" s="22">
        <f t="shared" si="62"/>
        <v>0</v>
      </c>
      <c r="CA38" s="22">
        <f t="shared" si="62"/>
        <v>0</v>
      </c>
      <c r="CB38" s="22">
        <f t="shared" si="62"/>
        <v>0</v>
      </c>
      <c r="CC38" s="22">
        <f t="shared" si="57"/>
        <v>1.5890777491058548</v>
      </c>
    </row>
    <row r="39" spans="1:81" x14ac:dyDescent="0.25">
      <c r="B39" s="70">
        <f>resistance!J31</f>
        <v>7.2222222222222223</v>
      </c>
      <c r="C39" s="3">
        <f>resistance!I31</f>
        <v>26</v>
      </c>
      <c r="D39" s="1">
        <f>resistance!Z31</f>
        <v>338.52612702698201</v>
      </c>
      <c r="E39" s="1">
        <f>resistance!AA31</f>
        <v>62.096508507907934</v>
      </c>
      <c r="F39" s="1">
        <f>resistance!AB31</f>
        <v>0</v>
      </c>
      <c r="G39" s="1">
        <f>resistance!AC31</f>
        <v>400.62263553488992</v>
      </c>
      <c r="H39" s="4">
        <f t="shared" si="41"/>
        <v>2893.3857010853162</v>
      </c>
      <c r="I39" s="16">
        <f t="shared" si="36"/>
        <v>421.70803740514731</v>
      </c>
      <c r="J39" s="4">
        <f t="shared" si="4"/>
        <v>7.2222222222222223</v>
      </c>
      <c r="K39" s="28">
        <f t="shared" si="39"/>
        <v>3.551654933767269E-2</v>
      </c>
      <c r="L39" s="27">
        <f t="shared" si="26"/>
        <v>1.6104502559573914</v>
      </c>
      <c r="M39" s="27">
        <f t="shared" si="17"/>
        <v>1.6104502559573914</v>
      </c>
      <c r="N39" s="16">
        <f t="shared" si="18"/>
        <v>560.57476748394708</v>
      </c>
      <c r="O39" s="16">
        <f t="shared" si="27"/>
        <v>9.3429127913991188</v>
      </c>
      <c r="P39" s="72">
        <f t="shared" si="19"/>
        <v>9.2113947490585976E-2</v>
      </c>
      <c r="Q39" s="72">
        <f t="shared" si="20"/>
        <v>9.2113947490585962E-2</v>
      </c>
      <c r="R39" s="22">
        <f t="shared" si="55"/>
        <v>0.27580773066860426</v>
      </c>
      <c r="S39" s="72">
        <f t="shared" si="5"/>
        <v>2.758077306686043E-2</v>
      </c>
      <c r="T39" s="78">
        <f t="shared" si="21"/>
        <v>0.85602491579100048</v>
      </c>
      <c r="U39" s="22">
        <f t="shared" si="6"/>
        <v>7.2222222222222223</v>
      </c>
      <c r="V39" s="1">
        <f t="shared" si="7"/>
        <v>421.70803740514742</v>
      </c>
      <c r="W39" s="1">
        <f t="shared" si="8"/>
        <v>60.608586631671066</v>
      </c>
      <c r="X39" s="16">
        <f t="shared" si="9"/>
        <v>3557.9211572631129</v>
      </c>
      <c r="Y39" s="68">
        <f t="shared" si="22"/>
        <v>0.81322367000145024</v>
      </c>
      <c r="Z39" s="76">
        <f t="shared" si="33"/>
        <v>0.8560249157910006</v>
      </c>
      <c r="AA39" s="77">
        <f t="shared" si="29"/>
        <v>3045.6691590371756</v>
      </c>
      <c r="AB39" s="68">
        <v>0.97</v>
      </c>
      <c r="AC39" s="40">
        <f t="shared" si="10"/>
        <v>1681.7243024518411</v>
      </c>
      <c r="AD39" s="39">
        <f t="shared" si="11"/>
        <v>20.82769300057425</v>
      </c>
      <c r="AE39" s="41">
        <f t="shared" si="31"/>
        <v>3667.9599559413532</v>
      </c>
      <c r="AF39" s="12">
        <f t="shared" si="23"/>
        <v>1681.7243024518411</v>
      </c>
      <c r="AG39" s="78">
        <f t="shared" si="34"/>
        <v>0.88</v>
      </c>
      <c r="AH39" s="41">
        <f t="shared" si="24"/>
        <v>4168.1363135697202</v>
      </c>
      <c r="AI39" s="40"/>
      <c r="AJ39" s="40"/>
      <c r="AK39" s="40"/>
      <c r="AM39" s="1">
        <f t="shared" si="12"/>
        <v>0</v>
      </c>
      <c r="AN39" s="1">
        <f t="shared" si="13"/>
        <v>0</v>
      </c>
      <c r="AO39" s="6"/>
      <c r="AR39" s="22">
        <f t="shared" ref="AR39:CB39" si="63">IF(SIGN(AR$8-$K39*AR$7^2)*SIGN(AS$8-$K39*AS$7^2)=-1,INTERCEPT(AR$7:AS$7, AR$8:AS$8-$K39*(AR$7:AS$7)^2),0)</f>
        <v>0</v>
      </c>
      <c r="AS39" s="22">
        <f t="shared" si="63"/>
        <v>0</v>
      </c>
      <c r="AT39" s="22">
        <f t="shared" si="63"/>
        <v>0</v>
      </c>
      <c r="AU39" s="22">
        <f t="shared" si="63"/>
        <v>0</v>
      </c>
      <c r="AV39" s="22">
        <f t="shared" si="63"/>
        <v>0</v>
      </c>
      <c r="AW39" s="22">
        <f t="shared" si="63"/>
        <v>0</v>
      </c>
      <c r="AX39" s="22">
        <f t="shared" si="63"/>
        <v>0</v>
      </c>
      <c r="AY39" s="22">
        <f t="shared" si="63"/>
        <v>0</v>
      </c>
      <c r="AZ39" s="22">
        <f t="shared" si="63"/>
        <v>0</v>
      </c>
      <c r="BA39" s="22">
        <f t="shared" si="63"/>
        <v>0</v>
      </c>
      <c r="BB39" s="22">
        <f t="shared" si="63"/>
        <v>0</v>
      </c>
      <c r="BC39" s="22">
        <f t="shared" si="63"/>
        <v>0</v>
      </c>
      <c r="BD39" s="22">
        <f t="shared" si="63"/>
        <v>0</v>
      </c>
      <c r="BE39" s="22">
        <f t="shared" si="63"/>
        <v>0</v>
      </c>
      <c r="BF39" s="22">
        <f t="shared" si="63"/>
        <v>1.6104502559573914</v>
      </c>
      <c r="BG39" s="22">
        <f t="shared" si="63"/>
        <v>0</v>
      </c>
      <c r="BH39" s="22">
        <f t="shared" si="63"/>
        <v>0</v>
      </c>
      <c r="BI39" s="22">
        <f t="shared" si="63"/>
        <v>0</v>
      </c>
      <c r="BJ39" s="22">
        <f t="shared" si="63"/>
        <v>0</v>
      </c>
      <c r="BK39" s="22">
        <f t="shared" si="63"/>
        <v>0</v>
      </c>
      <c r="BL39" s="22">
        <f t="shared" si="63"/>
        <v>0</v>
      </c>
      <c r="BM39" s="22">
        <f t="shared" si="63"/>
        <v>0</v>
      </c>
      <c r="BN39" s="22">
        <f t="shared" si="63"/>
        <v>0</v>
      </c>
      <c r="BO39" s="22">
        <f t="shared" si="63"/>
        <v>0</v>
      </c>
      <c r="BP39" s="22">
        <f t="shared" si="63"/>
        <v>0</v>
      </c>
      <c r="BQ39" s="22">
        <f t="shared" si="63"/>
        <v>0</v>
      </c>
      <c r="BR39" s="22">
        <f t="shared" si="63"/>
        <v>0</v>
      </c>
      <c r="BS39" s="22">
        <f t="shared" si="63"/>
        <v>0</v>
      </c>
      <c r="BT39" s="22">
        <f t="shared" si="63"/>
        <v>0</v>
      </c>
      <c r="BU39" s="22">
        <f t="shared" si="63"/>
        <v>0</v>
      </c>
      <c r="BV39" s="22">
        <f t="shared" si="63"/>
        <v>0</v>
      </c>
      <c r="BW39" s="22">
        <f t="shared" si="63"/>
        <v>0</v>
      </c>
      <c r="BX39" s="22">
        <f t="shared" si="63"/>
        <v>0</v>
      </c>
      <c r="BY39" s="22">
        <f t="shared" si="63"/>
        <v>0</v>
      </c>
      <c r="BZ39" s="22">
        <f t="shared" si="63"/>
        <v>0</v>
      </c>
      <c r="CA39" s="22">
        <f t="shared" si="63"/>
        <v>0</v>
      </c>
      <c r="CB39" s="22">
        <f t="shared" si="63"/>
        <v>0</v>
      </c>
      <c r="CC39" s="22">
        <f t="shared" si="57"/>
        <v>1.6104502559573914</v>
      </c>
    </row>
    <row r="40" spans="1:81" x14ac:dyDescent="0.25">
      <c r="B40" s="70">
        <f>resistance!J32</f>
        <v>7.5</v>
      </c>
      <c r="C40" s="3">
        <f>resistance!I32</f>
        <v>27</v>
      </c>
      <c r="D40" s="1">
        <f>resistance!Z32</f>
        <v>351.5463626818659</v>
      </c>
      <c r="E40" s="1">
        <f>resistance!AA32</f>
        <v>64.484835758212085</v>
      </c>
      <c r="F40" s="1">
        <f>resistance!AB32</f>
        <v>0</v>
      </c>
      <c r="G40" s="1">
        <f>resistance!AC32</f>
        <v>416.03119844007801</v>
      </c>
      <c r="H40" s="4">
        <f t="shared" si="41"/>
        <v>3120.2339883005852</v>
      </c>
      <c r="I40" s="16">
        <f t="shared" si="36"/>
        <v>437.92757730534532</v>
      </c>
      <c r="J40" s="4">
        <f t="shared" si="4"/>
        <v>7.5</v>
      </c>
      <c r="K40" s="28">
        <f t="shared" si="39"/>
        <v>3.4201121584425558E-2</v>
      </c>
      <c r="L40" s="27">
        <f t="shared" si="26"/>
        <v>1.6245369518317414</v>
      </c>
      <c r="M40" s="27">
        <f t="shared" si="17"/>
        <v>1.6245369518317414</v>
      </c>
      <c r="N40" s="16">
        <f t="shared" si="18"/>
        <v>577.08751958084122</v>
      </c>
      <c r="O40" s="16">
        <f t="shared" si="27"/>
        <v>9.6181253263473536</v>
      </c>
      <c r="P40" s="72">
        <f t="shared" si="19"/>
        <v>9.0260874525277854E-2</v>
      </c>
      <c r="Q40" s="72">
        <f t="shared" si="20"/>
        <v>9.0260874525277812E-2</v>
      </c>
      <c r="R40" s="22">
        <f t="shared" si="55"/>
        <v>0.27217861579928021</v>
      </c>
      <c r="S40" s="72">
        <f t="shared" si="5"/>
        <v>2.7217861579928018E-2</v>
      </c>
      <c r="T40" s="78">
        <f t="shared" si="21"/>
        <v>0.85742326214056053</v>
      </c>
      <c r="U40" s="22">
        <f t="shared" si="6"/>
        <v>7.5000000000000018</v>
      </c>
      <c r="V40" s="1">
        <f t="shared" si="7"/>
        <v>437.92757730534549</v>
      </c>
      <c r="W40" s="1">
        <f t="shared" si="8"/>
        <v>63.38667863604821</v>
      </c>
      <c r="X40" s="16">
        <f t="shared" si="9"/>
        <v>3830.6131578357604</v>
      </c>
      <c r="Y40" s="68">
        <f t="shared" si="22"/>
        <v>0.81455209903353198</v>
      </c>
      <c r="Z40" s="76">
        <f t="shared" si="33"/>
        <v>0.85742326214056053</v>
      </c>
      <c r="AA40" s="77">
        <f t="shared" si="29"/>
        <v>3284.4568297900914</v>
      </c>
      <c r="AB40" s="68">
        <v>0.97</v>
      </c>
      <c r="AC40" s="40">
        <f t="shared" si="10"/>
        <v>1731.2625587425237</v>
      </c>
      <c r="AD40" s="39">
        <f t="shared" si="11"/>
        <v>21.78236379245643</v>
      </c>
      <c r="AE40" s="41">
        <f t="shared" si="31"/>
        <v>3949.0857297275884</v>
      </c>
      <c r="AF40" s="12">
        <f t="shared" si="23"/>
        <v>1731.2625587425237</v>
      </c>
      <c r="AG40" s="78">
        <f t="shared" si="34"/>
        <v>0.88</v>
      </c>
      <c r="AH40" s="41">
        <f t="shared" si="24"/>
        <v>4487.5974201449862</v>
      </c>
      <c r="AI40" s="40"/>
      <c r="AJ40" s="40"/>
      <c r="AK40" s="40"/>
      <c r="AL40" s="6"/>
      <c r="AM40" s="1">
        <f t="shared" si="12"/>
        <v>0</v>
      </c>
      <c r="AN40" s="1">
        <f t="shared" si="13"/>
        <v>0</v>
      </c>
      <c r="AO40" s="6"/>
      <c r="AR40" s="22">
        <f t="shared" ref="AR40:CB40" si="64">IF(SIGN(AR$8-$K40*AR$7^2)*SIGN(AS$8-$K40*AS$7^2)=-1,INTERCEPT(AR$7:AS$7, AR$8:AS$8-$K40*(AR$7:AS$7)^2),0)</f>
        <v>0</v>
      </c>
      <c r="AS40" s="22">
        <f t="shared" si="64"/>
        <v>0</v>
      </c>
      <c r="AT40" s="22">
        <f t="shared" si="64"/>
        <v>0</v>
      </c>
      <c r="AU40" s="22">
        <f t="shared" si="64"/>
        <v>0</v>
      </c>
      <c r="AV40" s="22">
        <f t="shared" si="64"/>
        <v>0</v>
      </c>
      <c r="AW40" s="22">
        <f t="shared" si="64"/>
        <v>0</v>
      </c>
      <c r="AX40" s="22">
        <f t="shared" si="64"/>
        <v>0</v>
      </c>
      <c r="AY40" s="22">
        <f t="shared" si="64"/>
        <v>0</v>
      </c>
      <c r="AZ40" s="22">
        <f t="shared" si="64"/>
        <v>0</v>
      </c>
      <c r="BA40" s="22">
        <f t="shared" si="64"/>
        <v>0</v>
      </c>
      <c r="BB40" s="22">
        <f t="shared" si="64"/>
        <v>0</v>
      </c>
      <c r="BC40" s="22">
        <f t="shared" si="64"/>
        <v>0</v>
      </c>
      <c r="BD40" s="22">
        <f t="shared" si="64"/>
        <v>0</v>
      </c>
      <c r="BE40" s="22">
        <f t="shared" si="64"/>
        <v>0</v>
      </c>
      <c r="BF40" s="22">
        <f t="shared" si="64"/>
        <v>1.6245369518317414</v>
      </c>
      <c r="BG40" s="22">
        <f t="shared" si="64"/>
        <v>0</v>
      </c>
      <c r="BH40" s="22">
        <f t="shared" si="64"/>
        <v>0</v>
      </c>
      <c r="BI40" s="22">
        <f t="shared" si="64"/>
        <v>0</v>
      </c>
      <c r="BJ40" s="22">
        <f t="shared" si="64"/>
        <v>0</v>
      </c>
      <c r="BK40" s="22">
        <f t="shared" si="64"/>
        <v>0</v>
      </c>
      <c r="BL40" s="22">
        <f t="shared" si="64"/>
        <v>0</v>
      </c>
      <c r="BM40" s="22">
        <f t="shared" si="64"/>
        <v>0</v>
      </c>
      <c r="BN40" s="22">
        <f t="shared" si="64"/>
        <v>0</v>
      </c>
      <c r="BO40" s="22">
        <f t="shared" si="64"/>
        <v>0</v>
      </c>
      <c r="BP40" s="22">
        <f t="shared" si="64"/>
        <v>0</v>
      </c>
      <c r="BQ40" s="22">
        <f t="shared" si="64"/>
        <v>0</v>
      </c>
      <c r="BR40" s="22">
        <f t="shared" si="64"/>
        <v>0</v>
      </c>
      <c r="BS40" s="22">
        <f t="shared" si="64"/>
        <v>0</v>
      </c>
      <c r="BT40" s="22">
        <f t="shared" si="64"/>
        <v>0</v>
      </c>
      <c r="BU40" s="22">
        <f t="shared" si="64"/>
        <v>0</v>
      </c>
      <c r="BV40" s="22">
        <f t="shared" si="64"/>
        <v>0</v>
      </c>
      <c r="BW40" s="22">
        <f t="shared" si="64"/>
        <v>0</v>
      </c>
      <c r="BX40" s="22">
        <f t="shared" si="64"/>
        <v>0</v>
      </c>
      <c r="BY40" s="22">
        <f t="shared" si="64"/>
        <v>0</v>
      </c>
      <c r="BZ40" s="22">
        <f t="shared" si="64"/>
        <v>0</v>
      </c>
      <c r="CA40" s="22">
        <f t="shared" si="64"/>
        <v>0</v>
      </c>
      <c r="CB40" s="22">
        <f t="shared" si="64"/>
        <v>0</v>
      </c>
      <c r="CC40" s="22">
        <f t="shared" si="57"/>
        <v>1.6245369518317414</v>
      </c>
    </row>
    <row r="41" spans="1:81" x14ac:dyDescent="0.25">
      <c r="B41" s="70">
        <f>resistance!J33</f>
        <v>7.7777777777777777</v>
      </c>
      <c r="C41" s="3">
        <f>resistance!I33</f>
        <v>28</v>
      </c>
      <c r="D41" s="1">
        <f>resistance!Z33</f>
        <v>364.56659833674985</v>
      </c>
      <c r="E41" s="1">
        <f>resistance!AA33</f>
        <v>66.873163008516244</v>
      </c>
      <c r="F41" s="1">
        <f>resistance!AB33</f>
        <v>0</v>
      </c>
      <c r="G41" s="1">
        <f>resistance!AC33</f>
        <v>431.43976134526611</v>
      </c>
      <c r="H41" s="4">
        <f t="shared" si="41"/>
        <v>3355.6425882409585</v>
      </c>
      <c r="I41" s="16">
        <f t="shared" si="36"/>
        <v>454.14711720554328</v>
      </c>
      <c r="J41" s="4">
        <f t="shared" si="4"/>
        <v>7.7777777777777777</v>
      </c>
      <c r="K41" s="28">
        <f t="shared" si="39"/>
        <v>3.2979652956410359E-2</v>
      </c>
      <c r="L41" s="27">
        <f t="shared" si="26"/>
        <v>1.6380796113590843</v>
      </c>
      <c r="M41" s="27">
        <f t="shared" si="17"/>
        <v>1.6380796113590841</v>
      </c>
      <c r="N41" s="16">
        <f t="shared" si="18"/>
        <v>593.51341380507597</v>
      </c>
      <c r="O41" s="16">
        <f t="shared" si="27"/>
        <v>9.8918902300846003</v>
      </c>
      <c r="P41" s="72">
        <f t="shared" si="19"/>
        <v>8.8494461513963382E-2</v>
      </c>
      <c r="Q41" s="72">
        <f t="shared" si="20"/>
        <v>8.8494461513963368E-2</v>
      </c>
      <c r="R41" s="22">
        <f t="shared" si="55"/>
        <v>0.26868965944647322</v>
      </c>
      <c r="S41" s="72">
        <f t="shared" si="5"/>
        <v>2.6868965944647324E-2</v>
      </c>
      <c r="T41" s="78">
        <f t="shared" si="21"/>
        <v>0.8586581067414637</v>
      </c>
      <c r="U41" s="22">
        <f t="shared" si="6"/>
        <v>7.7777777777777786</v>
      </c>
      <c r="V41" s="1">
        <f t="shared" si="7"/>
        <v>454.1471172055434</v>
      </c>
      <c r="W41" s="1">
        <f t="shared" si="8"/>
        <v>66.18699457911778</v>
      </c>
      <c r="X41" s="16">
        <f t="shared" si="9"/>
        <v>4113.6924327748238</v>
      </c>
      <c r="Y41" s="68">
        <f t="shared" si="22"/>
        <v>0.81572520140439009</v>
      </c>
      <c r="Z41" s="76">
        <f t="shared" si="33"/>
        <v>0.85865810674146359</v>
      </c>
      <c r="AA41" s="77">
        <f t="shared" si="29"/>
        <v>3532.2553560431156</v>
      </c>
      <c r="AB41" s="68">
        <v>0.97</v>
      </c>
      <c r="AC41" s="40">
        <f t="shared" si="10"/>
        <v>1780.5402414152279</v>
      </c>
      <c r="AD41" s="39">
        <f t="shared" si="11"/>
        <v>22.744671676672777</v>
      </c>
      <c r="AE41" s="41">
        <f t="shared" si="31"/>
        <v>4240.9200337884777</v>
      </c>
      <c r="AF41" s="12">
        <f t="shared" si="23"/>
        <v>1780.5402414152279</v>
      </c>
      <c r="AG41" s="78">
        <f t="shared" si="34"/>
        <v>0.88</v>
      </c>
      <c r="AH41" s="41">
        <f t="shared" si="24"/>
        <v>4819.2273111232707</v>
      </c>
      <c r="AI41" s="40"/>
      <c r="AJ41" s="40"/>
      <c r="AK41" s="40"/>
      <c r="AL41" s="6"/>
      <c r="AM41" s="1">
        <f t="shared" si="12"/>
        <v>0</v>
      </c>
      <c r="AN41" s="1">
        <f t="shared" si="13"/>
        <v>0</v>
      </c>
      <c r="AO41" s="6"/>
      <c r="AR41" s="22">
        <f t="shared" ref="AR41:CB41" si="65">IF(SIGN(AR$8-$K41*AR$7^2)*SIGN(AS$8-$K41*AS$7^2)=-1,INTERCEPT(AR$7:AS$7, AR$8:AS$8-$K41*(AR$7:AS$7)^2),0)</f>
        <v>0</v>
      </c>
      <c r="AS41" s="22">
        <f t="shared" si="65"/>
        <v>0</v>
      </c>
      <c r="AT41" s="22">
        <f t="shared" si="65"/>
        <v>0</v>
      </c>
      <c r="AU41" s="22">
        <f t="shared" si="65"/>
        <v>0</v>
      </c>
      <c r="AV41" s="22">
        <f t="shared" si="65"/>
        <v>0</v>
      </c>
      <c r="AW41" s="22">
        <f t="shared" si="65"/>
        <v>0</v>
      </c>
      <c r="AX41" s="22">
        <f t="shared" si="65"/>
        <v>0</v>
      </c>
      <c r="AY41" s="22">
        <f t="shared" si="65"/>
        <v>0</v>
      </c>
      <c r="AZ41" s="22">
        <f t="shared" si="65"/>
        <v>0</v>
      </c>
      <c r="BA41" s="22">
        <f t="shared" si="65"/>
        <v>0</v>
      </c>
      <c r="BB41" s="22">
        <f t="shared" si="65"/>
        <v>0</v>
      </c>
      <c r="BC41" s="22">
        <f t="shared" si="65"/>
        <v>0</v>
      </c>
      <c r="BD41" s="22">
        <f t="shared" si="65"/>
        <v>0</v>
      </c>
      <c r="BE41" s="22">
        <f t="shared" si="65"/>
        <v>0</v>
      </c>
      <c r="BF41" s="22">
        <f t="shared" si="65"/>
        <v>1.6380796113590843</v>
      </c>
      <c r="BG41" s="22">
        <f t="shared" si="65"/>
        <v>0</v>
      </c>
      <c r="BH41" s="22">
        <f t="shared" si="65"/>
        <v>0</v>
      </c>
      <c r="BI41" s="22">
        <f t="shared" si="65"/>
        <v>0</v>
      </c>
      <c r="BJ41" s="22">
        <f t="shared" si="65"/>
        <v>0</v>
      </c>
      <c r="BK41" s="22">
        <f t="shared" si="65"/>
        <v>0</v>
      </c>
      <c r="BL41" s="22">
        <f t="shared" si="65"/>
        <v>0</v>
      </c>
      <c r="BM41" s="22">
        <f t="shared" si="65"/>
        <v>0</v>
      </c>
      <c r="BN41" s="22">
        <f t="shared" si="65"/>
        <v>0</v>
      </c>
      <c r="BO41" s="22">
        <f t="shared" si="65"/>
        <v>0</v>
      </c>
      <c r="BP41" s="22">
        <f t="shared" si="65"/>
        <v>0</v>
      </c>
      <c r="BQ41" s="22">
        <f t="shared" si="65"/>
        <v>0</v>
      </c>
      <c r="BR41" s="22">
        <f t="shared" si="65"/>
        <v>0</v>
      </c>
      <c r="BS41" s="22">
        <f t="shared" si="65"/>
        <v>0</v>
      </c>
      <c r="BT41" s="22">
        <f t="shared" si="65"/>
        <v>0</v>
      </c>
      <c r="BU41" s="22">
        <f t="shared" si="65"/>
        <v>0</v>
      </c>
      <c r="BV41" s="22">
        <f t="shared" si="65"/>
        <v>0</v>
      </c>
      <c r="BW41" s="22">
        <f t="shared" si="65"/>
        <v>0</v>
      </c>
      <c r="BX41" s="22">
        <f t="shared" si="65"/>
        <v>0</v>
      </c>
      <c r="BY41" s="22">
        <f t="shared" si="65"/>
        <v>0</v>
      </c>
      <c r="BZ41" s="22">
        <f t="shared" si="65"/>
        <v>0</v>
      </c>
      <c r="CA41" s="22">
        <f t="shared" si="65"/>
        <v>0</v>
      </c>
      <c r="CB41" s="22">
        <f t="shared" si="65"/>
        <v>0</v>
      </c>
      <c r="CC41" s="22">
        <f t="shared" si="57"/>
        <v>1.6380796113590843</v>
      </c>
    </row>
    <row r="42" spans="1:81" x14ac:dyDescent="0.25">
      <c r="B42" s="70">
        <f>resistance!J34</f>
        <v>8.0555555555555554</v>
      </c>
      <c r="C42" s="3">
        <f>resistance!I34</f>
        <v>29</v>
      </c>
      <c r="D42" s="1">
        <f>resistance!Z34</f>
        <v>377.58683399163374</v>
      </c>
      <c r="E42" s="1">
        <f>resistance!AA34</f>
        <v>69.261490258820388</v>
      </c>
      <c r="F42" s="1">
        <f>resistance!AB34</f>
        <v>0</v>
      </c>
      <c r="G42" s="1">
        <f>resistance!AC34</f>
        <v>446.84832425045414</v>
      </c>
      <c r="H42" s="4">
        <f t="shared" si="41"/>
        <v>3599.611500906436</v>
      </c>
      <c r="I42" s="16">
        <f t="shared" si="36"/>
        <v>470.36665710574124</v>
      </c>
      <c r="J42" s="4">
        <f t="shared" si="4"/>
        <v>8.0555555555555554</v>
      </c>
      <c r="K42" s="28">
        <f t="shared" si="39"/>
        <v>3.1842423544120341E-2</v>
      </c>
      <c r="L42" s="27">
        <f t="shared" si="26"/>
        <v>1.6511091539740448</v>
      </c>
      <c r="M42" s="27">
        <f t="shared" si="17"/>
        <v>1.6511091539740448</v>
      </c>
      <c r="N42" s="16">
        <f t="shared" si="18"/>
        <v>609.8594039169584</v>
      </c>
      <c r="O42" s="16">
        <f t="shared" si="27"/>
        <v>10.164323398615974</v>
      </c>
      <c r="P42" s="72">
        <f t="shared" si="19"/>
        <v>8.6807587169171418E-2</v>
      </c>
      <c r="Q42" s="72">
        <f t="shared" si="20"/>
        <v>8.6807587169171432E-2</v>
      </c>
      <c r="R42" s="22">
        <f t="shared" si="55"/>
        <v>0.26533289592533083</v>
      </c>
      <c r="S42" s="72">
        <f t="shared" si="5"/>
        <v>2.6533289592533087E-2</v>
      </c>
      <c r="T42" s="78">
        <f t="shared" si="21"/>
        <v>0.85973083796692618</v>
      </c>
      <c r="U42" s="22">
        <f t="shared" si="6"/>
        <v>8.0555555555555554</v>
      </c>
      <c r="V42" s="1">
        <f t="shared" si="7"/>
        <v>470.36665710574107</v>
      </c>
      <c r="W42" s="1">
        <f t="shared" si="8"/>
        <v>69.009864974146865</v>
      </c>
      <c r="X42" s="16">
        <f t="shared" si="9"/>
        <v>4407.2686129958429</v>
      </c>
      <c r="Y42" s="68">
        <f t="shared" si="22"/>
        <v>0.8167442960685799</v>
      </c>
      <c r="Z42" s="76">
        <f t="shared" si="33"/>
        <v>0.85973083796692595</v>
      </c>
      <c r="AA42" s="77">
        <f t="shared" si="29"/>
        <v>3789.0647377962473</v>
      </c>
      <c r="AB42" s="68">
        <v>0.97</v>
      </c>
      <c r="AC42" s="40">
        <f t="shared" si="10"/>
        <v>1829.5782117508752</v>
      </c>
      <c r="AD42" s="39">
        <f t="shared" si="11"/>
        <v>23.714730231665587</v>
      </c>
      <c r="AE42" s="41">
        <f t="shared" si="31"/>
        <v>4543.5758896864354</v>
      </c>
      <c r="AF42" s="12">
        <f t="shared" si="23"/>
        <v>1829.5782117508752</v>
      </c>
      <c r="AG42" s="78">
        <f t="shared" si="34"/>
        <v>0.88</v>
      </c>
      <c r="AH42" s="41">
        <f t="shared" si="24"/>
        <v>5163.1544200982225</v>
      </c>
      <c r="AI42" s="40"/>
      <c r="AJ42" s="40"/>
      <c r="AK42" s="40"/>
      <c r="AL42" s="6"/>
      <c r="AM42" s="1">
        <f t="shared" si="12"/>
        <v>0</v>
      </c>
      <c r="AN42" s="1">
        <f t="shared" si="13"/>
        <v>0</v>
      </c>
      <c r="AO42" s="6"/>
      <c r="AR42" s="22">
        <f t="shared" ref="AR42:CB42" si="66">IF(SIGN(AR$8-$K42*AR$7^2)*SIGN(AS$8-$K42*AS$7^2)=-1,INTERCEPT(AR$7:AS$7, AR$8:AS$8-$K42*(AR$7:AS$7)^2),0)</f>
        <v>0</v>
      </c>
      <c r="AS42" s="22">
        <f t="shared" si="66"/>
        <v>0</v>
      </c>
      <c r="AT42" s="22">
        <f t="shared" si="66"/>
        <v>0</v>
      </c>
      <c r="AU42" s="22">
        <f t="shared" si="66"/>
        <v>0</v>
      </c>
      <c r="AV42" s="22">
        <f t="shared" si="66"/>
        <v>0</v>
      </c>
      <c r="AW42" s="22">
        <f t="shared" si="66"/>
        <v>0</v>
      </c>
      <c r="AX42" s="22">
        <f t="shared" si="66"/>
        <v>0</v>
      </c>
      <c r="AY42" s="22">
        <f t="shared" si="66"/>
        <v>0</v>
      </c>
      <c r="AZ42" s="22">
        <f t="shared" si="66"/>
        <v>0</v>
      </c>
      <c r="BA42" s="22">
        <f t="shared" si="66"/>
        <v>0</v>
      </c>
      <c r="BB42" s="22">
        <f t="shared" si="66"/>
        <v>0</v>
      </c>
      <c r="BC42" s="22">
        <f t="shared" si="66"/>
        <v>0</v>
      </c>
      <c r="BD42" s="22">
        <f t="shared" si="66"/>
        <v>0</v>
      </c>
      <c r="BE42" s="22">
        <f t="shared" si="66"/>
        <v>0</v>
      </c>
      <c r="BF42" s="22">
        <f t="shared" si="66"/>
        <v>1.6511091539740448</v>
      </c>
      <c r="BG42" s="22">
        <f t="shared" si="66"/>
        <v>0</v>
      </c>
      <c r="BH42" s="22">
        <f t="shared" si="66"/>
        <v>0</v>
      </c>
      <c r="BI42" s="22">
        <f t="shared" si="66"/>
        <v>0</v>
      </c>
      <c r="BJ42" s="22">
        <f t="shared" si="66"/>
        <v>0</v>
      </c>
      <c r="BK42" s="22">
        <f t="shared" si="66"/>
        <v>0</v>
      </c>
      <c r="BL42" s="22">
        <f t="shared" si="66"/>
        <v>0</v>
      </c>
      <c r="BM42" s="22">
        <f t="shared" si="66"/>
        <v>0</v>
      </c>
      <c r="BN42" s="22">
        <f t="shared" si="66"/>
        <v>0</v>
      </c>
      <c r="BO42" s="22">
        <f t="shared" si="66"/>
        <v>0</v>
      </c>
      <c r="BP42" s="22">
        <f t="shared" si="66"/>
        <v>0</v>
      </c>
      <c r="BQ42" s="22">
        <f t="shared" si="66"/>
        <v>0</v>
      </c>
      <c r="BR42" s="22">
        <f t="shared" si="66"/>
        <v>0</v>
      </c>
      <c r="BS42" s="22">
        <f t="shared" si="66"/>
        <v>0</v>
      </c>
      <c r="BT42" s="22">
        <f t="shared" si="66"/>
        <v>0</v>
      </c>
      <c r="BU42" s="22">
        <f t="shared" si="66"/>
        <v>0</v>
      </c>
      <c r="BV42" s="22">
        <f t="shared" si="66"/>
        <v>0</v>
      </c>
      <c r="BW42" s="22">
        <f t="shared" si="66"/>
        <v>0</v>
      </c>
      <c r="BX42" s="22">
        <f t="shared" si="66"/>
        <v>0</v>
      </c>
      <c r="BY42" s="22">
        <f t="shared" si="66"/>
        <v>0</v>
      </c>
      <c r="BZ42" s="22">
        <f t="shared" si="66"/>
        <v>0</v>
      </c>
      <c r="CA42" s="22">
        <f t="shared" si="66"/>
        <v>0</v>
      </c>
      <c r="CB42" s="22">
        <f t="shared" si="66"/>
        <v>0</v>
      </c>
      <c r="CC42" s="22">
        <f t="shared" si="57"/>
        <v>1.6511091539740448</v>
      </c>
    </row>
    <row r="43" spans="1:81" x14ac:dyDescent="0.25">
      <c r="B43" s="81">
        <f>resistance!J35</f>
        <v>8.3333333333333339</v>
      </c>
      <c r="C43" s="9">
        <f>resistance!I35</f>
        <v>30</v>
      </c>
      <c r="D43" s="1">
        <f>resistance!Z35</f>
        <v>390.60706964651774</v>
      </c>
      <c r="E43" s="1">
        <f>resistance!AA35</f>
        <v>71.649817509124546</v>
      </c>
      <c r="F43" s="1">
        <f>resistance!AB35</f>
        <v>0</v>
      </c>
      <c r="G43" s="1">
        <f>resistance!AC35</f>
        <v>462.25688715564229</v>
      </c>
      <c r="H43" s="4">
        <f t="shared" si="41"/>
        <v>3852.1407262970192</v>
      </c>
      <c r="I43" s="16">
        <f t="shared" si="36"/>
        <v>486.58619700593925</v>
      </c>
      <c r="J43" s="4">
        <f t="shared" si="4"/>
        <v>8.3333333333333339</v>
      </c>
      <c r="K43" s="28">
        <f t="shared" si="39"/>
        <v>3.0781009425982997E-2</v>
      </c>
      <c r="L43" s="27">
        <f t="shared" si="26"/>
        <v>1.6636541996643011</v>
      </c>
      <c r="M43" s="27">
        <f t="shared" si="17"/>
        <v>1.6636541996643008</v>
      </c>
      <c r="N43" s="16">
        <f t="shared" si="18"/>
        <v>626.13172068862548</v>
      </c>
      <c r="O43" s="16">
        <f t="shared" si="27"/>
        <v>10.435528678143758</v>
      </c>
      <c r="P43" s="72">
        <f t="shared" si="19"/>
        <v>8.5193994046763463E-2</v>
      </c>
      <c r="Q43" s="72">
        <f t="shared" si="20"/>
        <v>8.5193994046763435E-2</v>
      </c>
      <c r="R43" s="22">
        <f t="shared" si="55"/>
        <v>0.26210095195089195</v>
      </c>
      <c r="S43" s="72">
        <f t="shared" si="5"/>
        <v>2.6210095195089197E-2</v>
      </c>
      <c r="T43" s="78">
        <f t="shared" si="21"/>
        <v>0.86064405512831854</v>
      </c>
      <c r="U43" s="22">
        <f t="shared" si="6"/>
        <v>8.3333333333333339</v>
      </c>
      <c r="V43" s="1">
        <f t="shared" si="7"/>
        <v>486.58619700593937</v>
      </c>
      <c r="W43" s="1">
        <f t="shared" si="8"/>
        <v>71.855603551442712</v>
      </c>
      <c r="X43" s="16">
        <f t="shared" si="9"/>
        <v>4711.4541149592078</v>
      </c>
      <c r="Y43" s="68">
        <f t="shared" si="22"/>
        <v>0.81761185237190226</v>
      </c>
      <c r="Z43" s="76">
        <f t="shared" si="33"/>
        <v>0.86064405512831843</v>
      </c>
      <c r="AA43" s="77">
        <f t="shared" si="29"/>
        <v>4054.8849750494951</v>
      </c>
      <c r="AB43" s="68">
        <v>0.97</v>
      </c>
      <c r="AC43" s="40">
        <f t="shared" si="10"/>
        <v>1878.3951620658763</v>
      </c>
      <c r="AD43" s="39">
        <f t="shared" si="11"/>
        <v>24.692647268537012</v>
      </c>
      <c r="AE43" s="41">
        <f t="shared" si="31"/>
        <v>4857.1691906795959</v>
      </c>
      <c r="AF43" s="12">
        <f t="shared" si="23"/>
        <v>1878.3951620658763</v>
      </c>
      <c r="AG43" s="78">
        <f t="shared" si="34"/>
        <v>0.88</v>
      </c>
      <c r="AH43" s="41">
        <f t="shared" si="24"/>
        <v>5519.5104439540855</v>
      </c>
      <c r="AI43" s="40"/>
      <c r="AJ43" s="40"/>
      <c r="AK43" s="40"/>
      <c r="AL43" s="6"/>
      <c r="AM43" s="1" t="e">
        <f t="shared" si="12"/>
        <v>#DIV/0!</v>
      </c>
      <c r="AN43" s="1" t="e">
        <f t="shared" si="13"/>
        <v>#DIV/0!</v>
      </c>
      <c r="AO43" s="6"/>
      <c r="AR43" s="22">
        <f t="shared" ref="AR43:CB43" si="67">IF(SIGN(AR$8-$K43*AR$7^2)*SIGN(AS$8-$K43*AS$7^2)=-1,INTERCEPT(AR$7:AS$7, AR$8:AS$8-$K43*(AR$7:AS$7)^2),0)</f>
        <v>0</v>
      </c>
      <c r="AS43" s="22">
        <f t="shared" si="67"/>
        <v>0</v>
      </c>
      <c r="AT43" s="22">
        <f t="shared" si="67"/>
        <v>0</v>
      </c>
      <c r="AU43" s="22">
        <f t="shared" si="67"/>
        <v>0</v>
      </c>
      <c r="AV43" s="22">
        <f t="shared" si="67"/>
        <v>0</v>
      </c>
      <c r="AW43" s="22">
        <f t="shared" si="67"/>
        <v>0</v>
      </c>
      <c r="AX43" s="22">
        <f t="shared" si="67"/>
        <v>0</v>
      </c>
      <c r="AY43" s="22">
        <f t="shared" si="67"/>
        <v>0</v>
      </c>
      <c r="AZ43" s="22">
        <f t="shared" si="67"/>
        <v>0</v>
      </c>
      <c r="BA43" s="22">
        <f t="shared" si="67"/>
        <v>0</v>
      </c>
      <c r="BB43" s="22">
        <f t="shared" si="67"/>
        <v>0</v>
      </c>
      <c r="BC43" s="22">
        <f t="shared" si="67"/>
        <v>0</v>
      </c>
      <c r="BD43" s="22">
        <f t="shared" si="67"/>
        <v>0</v>
      </c>
      <c r="BE43" s="22">
        <f t="shared" si="67"/>
        <v>0</v>
      </c>
      <c r="BF43" s="22">
        <f t="shared" si="67"/>
        <v>1.6636541996643011</v>
      </c>
      <c r="BG43" s="22">
        <f t="shared" si="67"/>
        <v>0</v>
      </c>
      <c r="BH43" s="22">
        <f t="shared" si="67"/>
        <v>0</v>
      </c>
      <c r="BI43" s="22">
        <f t="shared" si="67"/>
        <v>0</v>
      </c>
      <c r="BJ43" s="22">
        <f t="shared" si="67"/>
        <v>0</v>
      </c>
      <c r="BK43" s="22">
        <f t="shared" si="67"/>
        <v>0</v>
      </c>
      <c r="BL43" s="22">
        <f t="shared" si="67"/>
        <v>0</v>
      </c>
      <c r="BM43" s="22">
        <f t="shared" si="67"/>
        <v>0</v>
      </c>
      <c r="BN43" s="22">
        <f t="shared" si="67"/>
        <v>0</v>
      </c>
      <c r="BO43" s="22">
        <f t="shared" si="67"/>
        <v>0</v>
      </c>
      <c r="BP43" s="22">
        <f t="shared" si="67"/>
        <v>0</v>
      </c>
      <c r="BQ43" s="22">
        <f t="shared" si="67"/>
        <v>0</v>
      </c>
      <c r="BR43" s="22">
        <f t="shared" si="67"/>
        <v>0</v>
      </c>
      <c r="BS43" s="22">
        <f t="shared" si="67"/>
        <v>0</v>
      </c>
      <c r="BT43" s="22">
        <f t="shared" si="67"/>
        <v>0</v>
      </c>
      <c r="BU43" s="22">
        <f t="shared" si="67"/>
        <v>0</v>
      </c>
      <c r="BV43" s="22">
        <f t="shared" si="67"/>
        <v>0</v>
      </c>
      <c r="BW43" s="22">
        <f t="shared" si="67"/>
        <v>0</v>
      </c>
      <c r="BX43" s="22">
        <f t="shared" si="67"/>
        <v>0</v>
      </c>
      <c r="BY43" s="22">
        <f t="shared" si="67"/>
        <v>0</v>
      </c>
      <c r="BZ43" s="22">
        <f t="shared" si="67"/>
        <v>0</v>
      </c>
      <c r="CA43" s="22">
        <f t="shared" si="67"/>
        <v>0</v>
      </c>
      <c r="CB43" s="22">
        <f t="shared" si="67"/>
        <v>0</v>
      </c>
      <c r="CC43" s="22">
        <f t="shared" si="57"/>
        <v>1.6636541996643011</v>
      </c>
    </row>
    <row r="44" spans="1:81" ht="6" customHeight="1" x14ac:dyDescent="0.25">
      <c r="B44" s="16"/>
      <c r="C44" s="6"/>
      <c r="D44" s="1"/>
      <c r="E44" s="1"/>
      <c r="F44" s="16"/>
      <c r="G44" s="16"/>
      <c r="H44" s="16"/>
      <c r="I44" s="16"/>
      <c r="J44" s="4"/>
      <c r="K44" s="28"/>
      <c r="L44" s="27"/>
      <c r="M44" s="27"/>
      <c r="N44" s="16"/>
      <c r="O44" s="16"/>
      <c r="P44" s="72"/>
      <c r="Q44" s="72"/>
      <c r="R44" s="22"/>
      <c r="S44" s="72"/>
      <c r="T44" s="78"/>
      <c r="U44" s="22"/>
      <c r="V44" s="1"/>
      <c r="W44" s="1"/>
      <c r="X44" s="16"/>
      <c r="Y44" s="68"/>
      <c r="Z44" s="76"/>
      <c r="AA44" s="77"/>
      <c r="AB44" s="68"/>
      <c r="AC44" s="40"/>
      <c r="AD44" s="39"/>
      <c r="AE44" s="41"/>
      <c r="AG44" s="78"/>
      <c r="AH44" s="41"/>
      <c r="AI44" s="40"/>
      <c r="AJ44" s="40"/>
      <c r="AK44" s="40"/>
      <c r="AL44" s="6"/>
      <c r="AM44" s="6"/>
      <c r="AN44" s="6"/>
      <c r="AO44" s="6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</row>
    <row r="45" spans="1:81" x14ac:dyDescent="0.25">
      <c r="A45" s="31" t="s">
        <v>66</v>
      </c>
      <c r="B45" s="16">
        <f>resistance!J37</f>
        <v>4.4420246862924158</v>
      </c>
      <c r="C45" s="4">
        <f>AM10</f>
        <v>15.991288870652697</v>
      </c>
      <c r="D45" s="1">
        <f>resistance!Z37</f>
        <v>169.40845801925494</v>
      </c>
      <c r="E45" s="1">
        <f>resistance!AA37</f>
        <v>23.101233492467525</v>
      </c>
      <c r="F45" s="1">
        <f>resistance!AB37</f>
        <v>0</v>
      </c>
      <c r="G45" s="1">
        <f>resistance!AC37</f>
        <v>192.50969151172245</v>
      </c>
      <c r="H45" s="4">
        <f t="shared" si="41"/>
        <v>855.13280204560863</v>
      </c>
      <c r="I45" s="16">
        <f t="shared" si="36"/>
        <v>202.64178053865521</v>
      </c>
      <c r="J45" s="4">
        <f>B45*(1-$E$7/100)</f>
        <v>4.4420246862924158</v>
      </c>
      <c r="K45" s="28">
        <f>I45/($E$5*J45^2*$N$3^2)</f>
        <v>4.5115693533563581E-2</v>
      </c>
      <c r="L45" s="27">
        <f>SUM(AR45:CB45)</f>
        <v>1.4379820653630757</v>
      </c>
      <c r="M45" s="27">
        <f t="shared" si="17"/>
        <v>1.4379820653630757</v>
      </c>
      <c r="N45" s="16">
        <f>J45/(L45*$N$3)*60</f>
        <v>386.13352639162179</v>
      </c>
      <c r="O45" s="16">
        <f t="shared" si="27"/>
        <v>6.4355587731936961</v>
      </c>
      <c r="P45" s="72">
        <f>K45*L45^2</f>
        <v>9.3289889125544742E-2</v>
      </c>
      <c r="Q45" s="72">
        <f>I45/($E$5*O45^2*$N$3^4)</f>
        <v>9.3289889125544742E-2</v>
      </c>
      <c r="R45" s="22">
        <f>CC83</f>
        <v>0.27606851544545752</v>
      </c>
      <c r="S45" s="72">
        <f t="shared" si="5"/>
        <v>2.760685154454575E-2</v>
      </c>
      <c r="T45" s="78">
        <f>P45*L45/(R45/10*2*PI())</f>
        <v>0.77337708208933387</v>
      </c>
      <c r="U45" s="22">
        <f>L45*O45*$N$3</f>
        <v>4.4420246862924149</v>
      </c>
      <c r="V45" s="1">
        <f>P45*$E$5*(N45/60)^2*$N$3^4</f>
        <v>202.64178053865524</v>
      </c>
      <c r="W45" s="1">
        <f>R45/10*$E$5*(N45/60)^2*$N$3^5</f>
        <v>28.784091932747227</v>
      </c>
      <c r="X45" s="4">
        <f>W45*N45/60*2*PI()</f>
        <v>1163.9080242656842</v>
      </c>
      <c r="Y45" s="68">
        <f>(G45*B45)/(2*PI()*O45*W45)</f>
        <v>0.73470822798486723</v>
      </c>
      <c r="Z45" s="76">
        <f t="shared" si="33"/>
        <v>0.77337708208933398</v>
      </c>
      <c r="AA45" s="77">
        <f t="shared" si="29"/>
        <v>900.13979162695659</v>
      </c>
      <c r="AB45" s="68">
        <v>0.97</v>
      </c>
      <c r="AC45" s="40">
        <f>$N$8*N45</f>
        <v>1158.4005791748655</v>
      </c>
      <c r="AD45" s="39">
        <f>W45/($N$8*AB45)</f>
        <v>9.8914405267172594</v>
      </c>
      <c r="AE45" s="41">
        <f t="shared" si="31"/>
        <v>1199.9051796553445</v>
      </c>
      <c r="AF45" s="12">
        <f t="shared" si="23"/>
        <v>1158.4005791748655</v>
      </c>
      <c r="AG45" s="78">
        <f>AG43</f>
        <v>0.88</v>
      </c>
      <c r="AH45" s="41">
        <f>X45/(AB45*AG45)</f>
        <v>1363.5286132447095</v>
      </c>
      <c r="AI45" s="40"/>
      <c r="AJ45" s="40"/>
      <c r="AK45" s="40"/>
      <c r="AL45" s="6"/>
      <c r="AM45" s="6"/>
      <c r="AN45" s="6"/>
      <c r="AO45" s="6"/>
      <c r="AR45" s="22">
        <f t="shared" ref="AR45:CB45" si="68">IF(SIGN(AR$8-$K45*AR$7^2)*SIGN(AS$8-$K45*AS$7^2)=-1,INTERCEPT(AR$7:AS$7, AR$8:AS$8-$K45*(AR$7:AS$7)^2),0)</f>
        <v>0</v>
      </c>
      <c r="AS45" s="22">
        <f t="shared" si="68"/>
        <v>0</v>
      </c>
      <c r="AT45" s="22">
        <f t="shared" si="68"/>
        <v>0</v>
      </c>
      <c r="AU45" s="22">
        <f t="shared" si="68"/>
        <v>0</v>
      </c>
      <c r="AV45" s="22">
        <f t="shared" si="68"/>
        <v>0</v>
      </c>
      <c r="AW45" s="22">
        <f t="shared" si="68"/>
        <v>0</v>
      </c>
      <c r="AX45" s="22">
        <f t="shared" si="68"/>
        <v>0</v>
      </c>
      <c r="AY45" s="22">
        <f t="shared" si="68"/>
        <v>0</v>
      </c>
      <c r="AZ45" s="22">
        <f t="shared" si="68"/>
        <v>0</v>
      </c>
      <c r="BA45" s="22">
        <f t="shared" si="68"/>
        <v>0</v>
      </c>
      <c r="BB45" s="22">
        <f t="shared" si="68"/>
        <v>0</v>
      </c>
      <c r="BC45" s="22">
        <f t="shared" si="68"/>
        <v>0</v>
      </c>
      <c r="BD45" s="22">
        <f t="shared" si="68"/>
        <v>1.4379820653630757</v>
      </c>
      <c r="BE45" s="22">
        <f t="shared" si="68"/>
        <v>0</v>
      </c>
      <c r="BF45" s="22">
        <f t="shared" si="68"/>
        <v>0</v>
      </c>
      <c r="BG45" s="22">
        <f t="shared" si="68"/>
        <v>0</v>
      </c>
      <c r="BH45" s="22">
        <f t="shared" si="68"/>
        <v>0</v>
      </c>
      <c r="BI45" s="22">
        <f t="shared" si="68"/>
        <v>0</v>
      </c>
      <c r="BJ45" s="22">
        <f t="shared" si="68"/>
        <v>0</v>
      </c>
      <c r="BK45" s="22">
        <f t="shared" si="68"/>
        <v>0</v>
      </c>
      <c r="BL45" s="22">
        <f t="shared" si="68"/>
        <v>0</v>
      </c>
      <c r="BM45" s="22">
        <f t="shared" si="68"/>
        <v>0</v>
      </c>
      <c r="BN45" s="22">
        <f t="shared" si="68"/>
        <v>0</v>
      </c>
      <c r="BO45" s="22">
        <f t="shared" si="68"/>
        <v>0</v>
      </c>
      <c r="BP45" s="22">
        <f t="shared" si="68"/>
        <v>0</v>
      </c>
      <c r="BQ45" s="22">
        <f t="shared" si="68"/>
        <v>0</v>
      </c>
      <c r="BR45" s="22">
        <f t="shared" si="68"/>
        <v>0</v>
      </c>
      <c r="BS45" s="22">
        <f t="shared" si="68"/>
        <v>0</v>
      </c>
      <c r="BT45" s="22">
        <f t="shared" si="68"/>
        <v>0</v>
      </c>
      <c r="BU45" s="22">
        <f t="shared" si="68"/>
        <v>0</v>
      </c>
      <c r="BV45" s="22">
        <f t="shared" si="68"/>
        <v>0</v>
      </c>
      <c r="BW45" s="22">
        <f t="shared" si="68"/>
        <v>0</v>
      </c>
      <c r="BX45" s="22">
        <f t="shared" si="68"/>
        <v>0</v>
      </c>
      <c r="BY45" s="22">
        <f t="shared" si="68"/>
        <v>0</v>
      </c>
      <c r="BZ45" s="22">
        <f t="shared" si="68"/>
        <v>0</v>
      </c>
      <c r="CA45" s="22">
        <f t="shared" si="68"/>
        <v>0</v>
      </c>
      <c r="CB45" s="22">
        <f t="shared" si="68"/>
        <v>0</v>
      </c>
      <c r="CC45" s="22">
        <f>SUM(AR45:CB45)</f>
        <v>1.4379820653630757</v>
      </c>
    </row>
    <row r="46" spans="1:81" x14ac:dyDescent="0.25">
      <c r="A46" s="31" t="s">
        <v>67</v>
      </c>
      <c r="B46" s="16">
        <f>resistance!J38</f>
        <v>5.994384717458952</v>
      </c>
      <c r="C46" s="4">
        <f>AN10</f>
        <v>21.579784982852228</v>
      </c>
      <c r="D46" s="1">
        <f>resistance!Z38</f>
        <v>264.36777999024383</v>
      </c>
      <c r="E46" s="1">
        <f>resistance!AA38</f>
        <v>45.00752285042126</v>
      </c>
      <c r="F46" s="1">
        <f>resistance!AB38</f>
        <v>0</v>
      </c>
      <c r="G46" s="1">
        <f>resistance!AC38</f>
        <v>309.37530284066509</v>
      </c>
      <c r="H46" s="4">
        <f t="shared" si="41"/>
        <v>1854.5145873073179</v>
      </c>
      <c r="I46" s="16">
        <f t="shared" si="36"/>
        <v>325.65821351648958</v>
      </c>
      <c r="J46" s="4">
        <f>B46*(1-$E$7/100)</f>
        <v>5.994384717458952</v>
      </c>
      <c r="K46" s="28">
        <f>I46/($E$5*J46^2*$N$3^2)</f>
        <v>3.9813778139563792E-2</v>
      </c>
      <c r="L46" s="27">
        <f>SUM(AR46:CB46)</f>
        <v>1.5204358219909933</v>
      </c>
      <c r="M46" s="27">
        <f t="shared" si="17"/>
        <v>1.5204358219909933</v>
      </c>
      <c r="N46" s="16">
        <f>J46/(L46*$N$3)*60</f>
        <v>492.81796629940732</v>
      </c>
      <c r="O46" s="16">
        <f t="shared" si="27"/>
        <v>8.2136327716567887</v>
      </c>
      <c r="P46" s="72">
        <f>K46*L46^2</f>
        <v>9.2038509804884927E-2</v>
      </c>
      <c r="Q46" s="72">
        <f>I46/($E$5*O46^2*$N$3^4)</f>
        <v>9.2038509804884955E-2</v>
      </c>
      <c r="R46" s="22">
        <f>CC84</f>
        <v>0.27656465512951062</v>
      </c>
      <c r="S46" s="72">
        <f t="shared" si="5"/>
        <v>2.7656465512951058E-2</v>
      </c>
      <c r="T46" s="78">
        <f>P46*L46/(R46/10*2*PI())</f>
        <v>0.80530635552662677</v>
      </c>
      <c r="U46" s="22">
        <f>L46*O46*$N$3</f>
        <v>5.994384717458952</v>
      </c>
      <c r="V46" s="1">
        <f>P46*$E$5*(N46/60)^2*$N$3^4</f>
        <v>325.65821351648952</v>
      </c>
      <c r="W46" s="1">
        <f>R46/10*$E$5*(N46/60)^2*$N$3^5</f>
        <v>46.971061153708632</v>
      </c>
      <c r="X46" s="4">
        <f>W46*N46/60*2*PI()</f>
        <v>2424.0720377050143</v>
      </c>
      <c r="Y46" s="68">
        <f>(G46*B46)/(2*PI()*O46*W46)</f>
        <v>0.76504103775029553</v>
      </c>
      <c r="Z46" s="76">
        <f t="shared" si="33"/>
        <v>0.80530635552662677</v>
      </c>
      <c r="AA46" s="77">
        <f t="shared" si="29"/>
        <v>1952.1206182182289</v>
      </c>
      <c r="AB46" s="68">
        <v>0.97</v>
      </c>
      <c r="AC46" s="40">
        <f>$N$8*N46</f>
        <v>1478.453898898222</v>
      </c>
      <c r="AD46" s="39">
        <f>W46/($N$8*AB46)</f>
        <v>16.141258128422209</v>
      </c>
      <c r="AE46" s="41">
        <f t="shared" si="31"/>
        <v>2499.0433378402204</v>
      </c>
      <c r="AF46" s="12">
        <f t="shared" si="23"/>
        <v>1478.453898898222</v>
      </c>
      <c r="AG46" s="78">
        <f>AG45</f>
        <v>0.88</v>
      </c>
      <c r="AH46" s="41">
        <f>X46/(AB46*AG46)</f>
        <v>2839.8219748184329</v>
      </c>
      <c r="AI46" s="40"/>
      <c r="AJ46" s="40"/>
      <c r="AK46" s="40"/>
      <c r="AL46" s="6"/>
      <c r="AM46" s="6"/>
      <c r="AN46" s="6"/>
      <c r="AO46" s="6"/>
      <c r="AR46" s="22">
        <f t="shared" ref="AR46:CB46" si="69">IF(SIGN(AR$8-$K46*AR$7^2)*SIGN(AS$8-$K46*AS$7^2)=-1,INTERCEPT(AR$7:AS$7, AR$8:AS$8-$K46*(AR$7:AS$7)^2),0)</f>
        <v>0</v>
      </c>
      <c r="AS46" s="22">
        <f t="shared" si="69"/>
        <v>0</v>
      </c>
      <c r="AT46" s="22">
        <f t="shared" si="69"/>
        <v>0</v>
      </c>
      <c r="AU46" s="22">
        <f t="shared" si="69"/>
        <v>0</v>
      </c>
      <c r="AV46" s="22">
        <f t="shared" si="69"/>
        <v>0</v>
      </c>
      <c r="AW46" s="22">
        <f t="shared" si="69"/>
        <v>0</v>
      </c>
      <c r="AX46" s="22">
        <f t="shared" si="69"/>
        <v>0</v>
      </c>
      <c r="AY46" s="22">
        <f t="shared" si="69"/>
        <v>0</v>
      </c>
      <c r="AZ46" s="22">
        <f t="shared" si="69"/>
        <v>0</v>
      </c>
      <c r="BA46" s="22">
        <f t="shared" si="69"/>
        <v>0</v>
      </c>
      <c r="BB46" s="22">
        <f t="shared" si="69"/>
        <v>0</v>
      </c>
      <c r="BC46" s="22">
        <f t="shared" si="69"/>
        <v>0</v>
      </c>
      <c r="BD46" s="22">
        <f t="shared" si="69"/>
        <v>0</v>
      </c>
      <c r="BE46" s="22">
        <f t="shared" si="69"/>
        <v>1.5204358219909933</v>
      </c>
      <c r="BF46" s="22">
        <f t="shared" si="69"/>
        <v>0</v>
      </c>
      <c r="BG46" s="22">
        <f t="shared" si="69"/>
        <v>0</v>
      </c>
      <c r="BH46" s="22">
        <f t="shared" si="69"/>
        <v>0</v>
      </c>
      <c r="BI46" s="22">
        <f t="shared" si="69"/>
        <v>0</v>
      </c>
      <c r="BJ46" s="22">
        <f t="shared" si="69"/>
        <v>0</v>
      </c>
      <c r="BK46" s="22">
        <f t="shared" si="69"/>
        <v>0</v>
      </c>
      <c r="BL46" s="22">
        <f t="shared" si="69"/>
        <v>0</v>
      </c>
      <c r="BM46" s="22">
        <f t="shared" si="69"/>
        <v>0</v>
      </c>
      <c r="BN46" s="22">
        <f t="shared" si="69"/>
        <v>0</v>
      </c>
      <c r="BO46" s="22">
        <f t="shared" si="69"/>
        <v>0</v>
      </c>
      <c r="BP46" s="22">
        <f t="shared" si="69"/>
        <v>0</v>
      </c>
      <c r="BQ46" s="22">
        <f t="shared" si="69"/>
        <v>0</v>
      </c>
      <c r="BR46" s="22">
        <f t="shared" si="69"/>
        <v>0</v>
      </c>
      <c r="BS46" s="22">
        <f t="shared" si="69"/>
        <v>0</v>
      </c>
      <c r="BT46" s="22">
        <f t="shared" si="69"/>
        <v>0</v>
      </c>
      <c r="BU46" s="22">
        <f t="shared" si="69"/>
        <v>0</v>
      </c>
      <c r="BV46" s="22">
        <f t="shared" si="69"/>
        <v>0</v>
      </c>
      <c r="BW46" s="22">
        <f t="shared" si="69"/>
        <v>0</v>
      </c>
      <c r="BX46" s="22">
        <f t="shared" si="69"/>
        <v>0</v>
      </c>
      <c r="BY46" s="22">
        <f t="shared" si="69"/>
        <v>0</v>
      </c>
      <c r="BZ46" s="22">
        <f t="shared" si="69"/>
        <v>0</v>
      </c>
      <c r="CA46" s="22">
        <f t="shared" si="69"/>
        <v>0</v>
      </c>
      <c r="CB46" s="22">
        <f t="shared" si="69"/>
        <v>0</v>
      </c>
      <c r="CC46" s="22">
        <f>SUM(AR46:CB46)</f>
        <v>1.5204358219909933</v>
      </c>
    </row>
    <row r="47" spans="1:81" x14ac:dyDescent="0.25">
      <c r="X47" s="69"/>
      <c r="AE47" s="6"/>
      <c r="AF47" s="23"/>
      <c r="AG47" s="6"/>
      <c r="AH47" s="6"/>
      <c r="AI47" s="6"/>
      <c r="AJ47" s="6"/>
      <c r="AK47" s="6"/>
      <c r="AL47" s="6"/>
      <c r="AM47" s="6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</row>
    <row r="48" spans="1:81" x14ac:dyDescent="0.25">
      <c r="AE48" s="6"/>
      <c r="AF48" s="23"/>
      <c r="AG48" s="6"/>
      <c r="AH48" s="6"/>
      <c r="AI48" s="6"/>
      <c r="AJ48" s="6"/>
      <c r="AK48" s="6"/>
      <c r="AL48" s="6"/>
      <c r="AM48" s="6"/>
      <c r="AN48" s="6"/>
      <c r="AO48" s="6"/>
      <c r="AQ48" s="31" t="s">
        <v>49</v>
      </c>
      <c r="AR48" s="22">
        <f t="shared" ref="AR48:CB48" si="70">$K$45*AR7^2</f>
        <v>0</v>
      </c>
      <c r="AS48" s="22">
        <f>$K$45*AS7^2</f>
        <v>6.175887287809519E-4</v>
      </c>
      <c r="AT48" s="22">
        <f t="shared" si="70"/>
        <v>2.3452942126487692E-3</v>
      </c>
      <c r="AU48" s="22">
        <f t="shared" si="70"/>
        <v>5.4323355426828569E-3</v>
      </c>
      <c r="AV48" s="22">
        <f t="shared" si="70"/>
        <v>9.5050194293447091E-3</v>
      </c>
      <c r="AW48" s="22">
        <f t="shared" si="70"/>
        <v>1.4864538242664392E-2</v>
      </c>
      <c r="AX48" s="22">
        <f t="shared" si="70"/>
        <v>2.1479581691329616E-2</v>
      </c>
      <c r="AY48" s="22">
        <f t="shared" si="70"/>
        <v>2.9091005231683602E-2</v>
      </c>
      <c r="AZ48" s="22">
        <f t="shared" si="70"/>
        <v>3.7854593353497723E-2</v>
      </c>
      <c r="BA48" s="22">
        <f>$K$45*BA7^2</f>
        <v>4.8049296389890014E-2</v>
      </c>
      <c r="BB48" s="22">
        <f t="shared" si="70"/>
        <v>5.9147802114840199E-2</v>
      </c>
      <c r="BC48" s="22">
        <f t="shared" si="70"/>
        <v>7.196715573824107E-2</v>
      </c>
      <c r="BD48" s="22">
        <f t="shared" si="70"/>
        <v>8.5296858086893648E-2</v>
      </c>
      <c r="BE48" s="22">
        <f>$K$45*BE7^2</f>
        <v>0.10002695156282802</v>
      </c>
      <c r="BF48" s="22">
        <f t="shared" si="70"/>
        <v>0.11549617544592279</v>
      </c>
      <c r="BG48" s="22">
        <f t="shared" si="70"/>
        <v>0.13316005224095773</v>
      </c>
      <c r="BH48" s="22">
        <f t="shared" si="70"/>
        <v>0.15092286775191174</v>
      </c>
      <c r="BI48" s="22">
        <f t="shared" si="70"/>
        <v>0.17687156492898265</v>
      </c>
      <c r="BJ48" s="22">
        <f t="shared" si="70"/>
        <v>0.19744720858467382</v>
      </c>
      <c r="BK48" s="22">
        <f t="shared" si="70"/>
        <v>0.21935362985252446</v>
      </c>
      <c r="BL48" s="22">
        <f t="shared" si="70"/>
        <v>0.2426214171727504</v>
      </c>
      <c r="BM48" s="22">
        <f t="shared" si="70"/>
        <v>0.26662296613260628</v>
      </c>
      <c r="BN48" s="22">
        <f t="shared" si="70"/>
        <v>0</v>
      </c>
      <c r="BO48" s="22">
        <f t="shared" si="70"/>
        <v>0</v>
      </c>
      <c r="BP48" s="22">
        <f t="shared" si="70"/>
        <v>0</v>
      </c>
      <c r="BQ48" s="22">
        <f t="shared" si="70"/>
        <v>0</v>
      </c>
      <c r="BR48" s="22">
        <f t="shared" si="70"/>
        <v>0</v>
      </c>
      <c r="BS48" s="22">
        <f t="shared" si="70"/>
        <v>0</v>
      </c>
      <c r="BT48" s="22">
        <f t="shared" si="70"/>
        <v>0</v>
      </c>
      <c r="BU48" s="22">
        <f t="shared" si="70"/>
        <v>0</v>
      </c>
      <c r="BV48" s="22">
        <f t="shared" si="70"/>
        <v>0</v>
      </c>
      <c r="BW48" s="22">
        <f t="shared" si="70"/>
        <v>0</v>
      </c>
      <c r="BX48" s="22">
        <f t="shared" si="70"/>
        <v>0</v>
      </c>
      <c r="BY48" s="22">
        <f t="shared" si="70"/>
        <v>0</v>
      </c>
      <c r="BZ48" s="22">
        <f t="shared" si="70"/>
        <v>0</v>
      </c>
      <c r="CA48" s="22">
        <f t="shared" si="70"/>
        <v>0</v>
      </c>
      <c r="CB48" s="22">
        <f t="shared" si="70"/>
        <v>0</v>
      </c>
      <c r="CC48" s="22"/>
    </row>
    <row r="49" spans="7:81" x14ac:dyDescent="0.25">
      <c r="AE49" s="6"/>
      <c r="AF49" s="23"/>
      <c r="AG49" s="6"/>
      <c r="AH49" s="6"/>
      <c r="AI49" s="6"/>
      <c r="AJ49" s="6"/>
      <c r="AK49" s="6"/>
      <c r="AL49" s="6"/>
      <c r="AM49" s="6"/>
      <c r="AN49" s="6"/>
      <c r="AO49" s="6"/>
    </row>
    <row r="50" spans="7:81" x14ac:dyDescent="0.25">
      <c r="H50" s="85" t="s">
        <v>97</v>
      </c>
      <c r="AE50" s="6"/>
      <c r="AF50" s="23"/>
      <c r="AG50" s="6"/>
      <c r="AH50" s="6"/>
      <c r="AI50" s="6"/>
      <c r="AJ50" s="6"/>
      <c r="AK50" s="6"/>
      <c r="AL50" s="6"/>
      <c r="AM50" s="6"/>
      <c r="AN50" s="6"/>
      <c r="AO50" s="6"/>
      <c r="AR50" s="371" t="s">
        <v>43</v>
      </c>
      <c r="AS50" s="372"/>
      <c r="AT50" s="372"/>
      <c r="AU50" s="372"/>
      <c r="AV50" s="372"/>
      <c r="AW50" s="372"/>
      <c r="AX50" s="372"/>
      <c r="AY50" s="372"/>
      <c r="AZ50" s="372"/>
      <c r="BA50" s="372"/>
      <c r="BB50" s="372"/>
      <c r="BC50" s="372"/>
      <c r="BD50" s="372"/>
      <c r="BE50" s="372"/>
      <c r="BF50" s="372"/>
      <c r="BG50" s="372"/>
      <c r="BH50" s="372"/>
      <c r="BI50" s="372"/>
      <c r="BJ50" s="372"/>
      <c r="BK50" s="372"/>
      <c r="BL50" s="372"/>
      <c r="BM50" s="372"/>
      <c r="BN50" s="372"/>
      <c r="BO50" s="372"/>
      <c r="BP50" s="372"/>
      <c r="BQ50" s="372"/>
      <c r="BR50" s="372"/>
      <c r="BS50" s="372"/>
      <c r="BT50" s="372"/>
      <c r="BU50" s="372"/>
      <c r="BV50" s="372"/>
      <c r="BW50" s="372"/>
      <c r="BX50" s="372"/>
      <c r="BY50" s="372"/>
      <c r="BZ50" s="372"/>
      <c r="CA50" s="372"/>
      <c r="CB50" s="373"/>
    </row>
    <row r="51" spans="7:81" x14ac:dyDescent="0.25">
      <c r="H51" s="85" t="s">
        <v>98</v>
      </c>
      <c r="AE51" s="6"/>
      <c r="AF51" s="23"/>
      <c r="AG51" s="6"/>
      <c r="AH51" s="6"/>
      <c r="AI51" s="6"/>
      <c r="AJ51" s="6"/>
      <c r="AK51" s="6"/>
      <c r="AL51" s="6"/>
      <c r="AM51" s="6"/>
      <c r="AN51" s="6"/>
      <c r="AO51" s="6"/>
      <c r="AR51" s="22">
        <f t="shared" ref="AR51:CB51" si="71">IF(AR13&gt;0,FORECAST(AR13,AR$9:AS$9,AR$7:AS$7),0)</f>
        <v>0</v>
      </c>
      <c r="AS51" s="22">
        <f t="shared" si="71"/>
        <v>0</v>
      </c>
      <c r="AT51" s="22">
        <f t="shared" si="71"/>
        <v>0</v>
      </c>
      <c r="AU51" s="22">
        <f t="shared" si="71"/>
        <v>0</v>
      </c>
      <c r="AV51" s="22">
        <f t="shared" si="71"/>
        <v>0</v>
      </c>
      <c r="AW51" s="22">
        <f t="shared" si="71"/>
        <v>0</v>
      </c>
      <c r="AX51" s="22">
        <f t="shared" si="71"/>
        <v>0</v>
      </c>
      <c r="AY51" s="22">
        <f t="shared" si="71"/>
        <v>0</v>
      </c>
      <c r="AZ51" s="22">
        <f t="shared" si="71"/>
        <v>0</v>
      </c>
      <c r="BA51" s="22">
        <f t="shared" si="71"/>
        <v>0</v>
      </c>
      <c r="BB51" s="22">
        <f t="shared" si="71"/>
        <v>0</v>
      </c>
      <c r="BC51" s="22">
        <f t="shared" si="71"/>
        <v>0</v>
      </c>
      <c r="BD51" s="22">
        <f t="shared" si="71"/>
        <v>0</v>
      </c>
      <c r="BE51" s="22">
        <f t="shared" si="71"/>
        <v>0</v>
      </c>
      <c r="BF51" s="22">
        <f t="shared" si="71"/>
        <v>0</v>
      </c>
      <c r="BG51" s="22">
        <f t="shared" si="71"/>
        <v>0</v>
      </c>
      <c r="BH51" s="22">
        <f t="shared" si="71"/>
        <v>0</v>
      </c>
      <c r="BI51" s="22">
        <f t="shared" si="71"/>
        <v>0</v>
      </c>
      <c r="BJ51" s="22">
        <f t="shared" si="71"/>
        <v>0</v>
      </c>
      <c r="BK51" s="22">
        <f t="shared" si="71"/>
        <v>0</v>
      </c>
      <c r="BL51" s="22">
        <f t="shared" si="71"/>
        <v>8.0369736842105133E-2</v>
      </c>
      <c r="BM51" s="22">
        <f t="shared" si="71"/>
        <v>0</v>
      </c>
      <c r="BN51" s="22">
        <f t="shared" si="71"/>
        <v>0</v>
      </c>
      <c r="BO51" s="22">
        <f t="shared" si="71"/>
        <v>0</v>
      </c>
      <c r="BP51" s="22">
        <f t="shared" si="71"/>
        <v>0</v>
      </c>
      <c r="BQ51" s="22">
        <f t="shared" si="71"/>
        <v>0</v>
      </c>
      <c r="BR51" s="22">
        <f t="shared" si="71"/>
        <v>0</v>
      </c>
      <c r="BS51" s="22">
        <f t="shared" si="71"/>
        <v>0</v>
      </c>
      <c r="BT51" s="22">
        <f t="shared" si="71"/>
        <v>0</v>
      </c>
      <c r="BU51" s="22">
        <f t="shared" si="71"/>
        <v>0</v>
      </c>
      <c r="BV51" s="22">
        <f t="shared" si="71"/>
        <v>0</v>
      </c>
      <c r="BW51" s="22">
        <f t="shared" si="71"/>
        <v>0</v>
      </c>
      <c r="BX51" s="22">
        <f t="shared" si="71"/>
        <v>0</v>
      </c>
      <c r="BY51" s="22">
        <f t="shared" si="71"/>
        <v>0</v>
      </c>
      <c r="BZ51" s="22">
        <f t="shared" si="71"/>
        <v>0</v>
      </c>
      <c r="CA51" s="22">
        <f t="shared" si="71"/>
        <v>0</v>
      </c>
      <c r="CB51" s="22">
        <f t="shared" si="71"/>
        <v>0</v>
      </c>
      <c r="CC51" s="22">
        <f>SUM(AR51:CB51)</f>
        <v>8.0369736842105133E-2</v>
      </c>
    </row>
    <row r="52" spans="7:81" x14ac:dyDescent="0.25">
      <c r="G52">
        <v>2007</v>
      </c>
      <c r="H52" s="85" t="s">
        <v>99</v>
      </c>
      <c r="AE52" s="6"/>
      <c r="AF52" s="23"/>
      <c r="AG52" s="6"/>
      <c r="AH52" s="6"/>
      <c r="AI52" s="6"/>
      <c r="AJ52" s="6"/>
      <c r="AK52" s="6"/>
      <c r="AL52" s="6"/>
      <c r="AM52" s="6"/>
      <c r="AN52" s="6"/>
      <c r="AO52" s="6"/>
      <c r="AR52" s="22">
        <f t="shared" ref="AR52:CB52" si="72">IF(AR14&gt;0,FORECAST(AR14,AR$9:AS$9,AR$7:AS$7),0)</f>
        <v>0</v>
      </c>
      <c r="AS52" s="22">
        <f t="shared" si="72"/>
        <v>0</v>
      </c>
      <c r="AT52" s="22">
        <f t="shared" si="72"/>
        <v>0</v>
      </c>
      <c r="AU52" s="22">
        <f t="shared" si="72"/>
        <v>0</v>
      </c>
      <c r="AV52" s="22">
        <f t="shared" si="72"/>
        <v>0.25348708205744697</v>
      </c>
      <c r="AW52" s="22">
        <f t="shared" si="72"/>
        <v>0</v>
      </c>
      <c r="AX52" s="22">
        <f t="shared" si="72"/>
        <v>0</v>
      </c>
      <c r="AY52" s="22">
        <f t="shared" si="72"/>
        <v>0</v>
      </c>
      <c r="AZ52" s="22">
        <f t="shared" si="72"/>
        <v>0</v>
      </c>
      <c r="BA52" s="22">
        <f t="shared" si="72"/>
        <v>0</v>
      </c>
      <c r="BB52" s="22">
        <f t="shared" si="72"/>
        <v>0</v>
      </c>
      <c r="BC52" s="22">
        <f t="shared" si="72"/>
        <v>0</v>
      </c>
      <c r="BD52" s="22">
        <f t="shared" si="72"/>
        <v>0</v>
      </c>
      <c r="BE52" s="22">
        <f t="shared" si="72"/>
        <v>0</v>
      </c>
      <c r="BF52" s="22">
        <f t="shared" si="72"/>
        <v>0</v>
      </c>
      <c r="BG52" s="22">
        <f t="shared" si="72"/>
        <v>0</v>
      </c>
      <c r="BH52" s="22">
        <f t="shared" si="72"/>
        <v>0</v>
      </c>
      <c r="BI52" s="22">
        <f t="shared" si="72"/>
        <v>0</v>
      </c>
      <c r="BJ52" s="22">
        <f t="shared" si="72"/>
        <v>0</v>
      </c>
      <c r="BK52" s="22">
        <f t="shared" si="72"/>
        <v>0</v>
      </c>
      <c r="BL52" s="22">
        <f t="shared" si="72"/>
        <v>0</v>
      </c>
      <c r="BM52" s="22">
        <f t="shared" si="72"/>
        <v>0</v>
      </c>
      <c r="BN52" s="22">
        <f t="shared" si="72"/>
        <v>0</v>
      </c>
      <c r="BO52" s="22">
        <f t="shared" si="72"/>
        <v>0</v>
      </c>
      <c r="BP52" s="22">
        <f t="shared" si="72"/>
        <v>0</v>
      </c>
      <c r="BQ52" s="22">
        <f t="shared" si="72"/>
        <v>0</v>
      </c>
      <c r="BR52" s="22">
        <f t="shared" si="72"/>
        <v>0</v>
      </c>
      <c r="BS52" s="22">
        <f t="shared" si="72"/>
        <v>0</v>
      </c>
      <c r="BT52" s="22">
        <f t="shared" si="72"/>
        <v>0</v>
      </c>
      <c r="BU52" s="22">
        <f t="shared" si="72"/>
        <v>0</v>
      </c>
      <c r="BV52" s="22">
        <f t="shared" si="72"/>
        <v>0</v>
      </c>
      <c r="BW52" s="22">
        <f t="shared" si="72"/>
        <v>0</v>
      </c>
      <c r="BX52" s="22">
        <f t="shared" si="72"/>
        <v>0</v>
      </c>
      <c r="BY52" s="22">
        <f t="shared" si="72"/>
        <v>0</v>
      </c>
      <c r="BZ52" s="22">
        <f t="shared" si="72"/>
        <v>0</v>
      </c>
      <c r="CA52" s="22">
        <f t="shared" si="72"/>
        <v>0</v>
      </c>
      <c r="CB52" s="22">
        <f t="shared" si="72"/>
        <v>0</v>
      </c>
      <c r="CC52" s="22">
        <f t="shared" ref="CC52:CC70" si="73">SUM(AR52:CB52)</f>
        <v>0.25348708205744697</v>
      </c>
    </row>
    <row r="53" spans="7:81" x14ac:dyDescent="0.25">
      <c r="G53">
        <v>2017</v>
      </c>
      <c r="H53" s="85" t="s">
        <v>100</v>
      </c>
      <c r="AE53" s="6"/>
      <c r="AF53" s="23"/>
      <c r="AG53" s="6"/>
      <c r="AH53" s="6"/>
      <c r="AI53" s="6"/>
      <c r="AJ53" s="6"/>
      <c r="AK53" s="6"/>
      <c r="AL53" s="6"/>
      <c r="AM53" s="6"/>
      <c r="AN53" s="6"/>
      <c r="AO53" s="6"/>
      <c r="AR53" s="22">
        <f t="shared" ref="AR53:CB53" si="74">IF(AR15&gt;0,FORECAST(AR15,AR$9:AS$9,AR$7:AS$7),0)</f>
        <v>0</v>
      </c>
      <c r="AS53" s="22">
        <f t="shared" si="74"/>
        <v>0</v>
      </c>
      <c r="AT53" s="22">
        <f t="shared" si="74"/>
        <v>0</v>
      </c>
      <c r="AU53" s="22">
        <f t="shared" si="74"/>
        <v>0</v>
      </c>
      <c r="AV53" s="22">
        <f t="shared" si="74"/>
        <v>0</v>
      </c>
      <c r="AW53" s="22">
        <f t="shared" si="74"/>
        <v>0.25656778551863041</v>
      </c>
      <c r="AX53" s="22">
        <f t="shared" si="74"/>
        <v>0</v>
      </c>
      <c r="AY53" s="22">
        <f t="shared" si="74"/>
        <v>0</v>
      </c>
      <c r="AZ53" s="22">
        <f t="shared" si="74"/>
        <v>0</v>
      </c>
      <c r="BA53" s="22">
        <f t="shared" si="74"/>
        <v>0</v>
      </c>
      <c r="BB53" s="22">
        <f t="shared" si="74"/>
        <v>0</v>
      </c>
      <c r="BC53" s="22">
        <f t="shared" si="74"/>
        <v>0</v>
      </c>
      <c r="BD53" s="22">
        <f t="shared" si="74"/>
        <v>0</v>
      </c>
      <c r="BE53" s="22">
        <f t="shared" si="74"/>
        <v>0</v>
      </c>
      <c r="BF53" s="22">
        <f t="shared" si="74"/>
        <v>0</v>
      </c>
      <c r="BG53" s="22">
        <f t="shared" si="74"/>
        <v>0</v>
      </c>
      <c r="BH53" s="22">
        <f t="shared" si="74"/>
        <v>0</v>
      </c>
      <c r="BI53" s="22">
        <f t="shared" si="74"/>
        <v>0</v>
      </c>
      <c r="BJ53" s="22">
        <f t="shared" si="74"/>
        <v>0</v>
      </c>
      <c r="BK53" s="22">
        <f t="shared" si="74"/>
        <v>0</v>
      </c>
      <c r="BL53" s="22">
        <f t="shared" si="74"/>
        <v>0</v>
      </c>
      <c r="BM53" s="22">
        <f t="shared" si="74"/>
        <v>0</v>
      </c>
      <c r="BN53" s="22">
        <f t="shared" si="74"/>
        <v>0</v>
      </c>
      <c r="BO53" s="22">
        <f t="shared" si="74"/>
        <v>0</v>
      </c>
      <c r="BP53" s="22">
        <f t="shared" si="74"/>
        <v>0</v>
      </c>
      <c r="BQ53" s="22">
        <f t="shared" si="74"/>
        <v>0</v>
      </c>
      <c r="BR53" s="22">
        <f t="shared" si="74"/>
        <v>0</v>
      </c>
      <c r="BS53" s="22">
        <f t="shared" si="74"/>
        <v>0</v>
      </c>
      <c r="BT53" s="22">
        <f t="shared" si="74"/>
        <v>0</v>
      </c>
      <c r="BU53" s="22">
        <f t="shared" si="74"/>
        <v>0</v>
      </c>
      <c r="BV53" s="22">
        <f t="shared" si="74"/>
        <v>0</v>
      </c>
      <c r="BW53" s="22">
        <f t="shared" si="74"/>
        <v>0</v>
      </c>
      <c r="BX53" s="22">
        <f t="shared" si="74"/>
        <v>0</v>
      </c>
      <c r="BY53" s="22">
        <f t="shared" si="74"/>
        <v>0</v>
      </c>
      <c r="BZ53" s="22">
        <f t="shared" si="74"/>
        <v>0</v>
      </c>
      <c r="CA53" s="22">
        <f t="shared" si="74"/>
        <v>0</v>
      </c>
      <c r="CB53" s="22">
        <f t="shared" si="74"/>
        <v>0</v>
      </c>
      <c r="CC53" s="22">
        <f t="shared" si="73"/>
        <v>0.25656778551863041</v>
      </c>
    </row>
    <row r="54" spans="7:81" x14ac:dyDescent="0.25">
      <c r="AE54" s="6"/>
      <c r="AF54" s="23"/>
      <c r="AG54" s="6"/>
      <c r="AH54" s="6"/>
      <c r="AI54" s="6"/>
      <c r="AJ54" s="6"/>
      <c r="AK54" s="6"/>
      <c r="AL54" s="6"/>
      <c r="AM54" s="6"/>
      <c r="AN54" s="6"/>
      <c r="AO54" s="6"/>
      <c r="AR54" s="22">
        <f t="shared" ref="AR54:CB54" si="75">IF(AR16&gt;0,FORECAST(AR16,AR$9:AS$9,AR$7:AS$7),0)</f>
        <v>0</v>
      </c>
      <c r="AS54" s="22">
        <f t="shared" si="75"/>
        <v>0</v>
      </c>
      <c r="AT54" s="22">
        <f t="shared" si="75"/>
        <v>0</v>
      </c>
      <c r="AU54" s="22">
        <f t="shared" si="75"/>
        <v>0</v>
      </c>
      <c r="AV54" s="22">
        <f t="shared" si="75"/>
        <v>0</v>
      </c>
      <c r="AW54" s="22">
        <f t="shared" si="75"/>
        <v>0</v>
      </c>
      <c r="AX54" s="22">
        <f t="shared" si="75"/>
        <v>0.26174298890438596</v>
      </c>
      <c r="AY54" s="22">
        <f t="shared" si="75"/>
        <v>0</v>
      </c>
      <c r="AZ54" s="22">
        <f t="shared" si="75"/>
        <v>0</v>
      </c>
      <c r="BA54" s="22">
        <f t="shared" si="75"/>
        <v>0</v>
      </c>
      <c r="BB54" s="22">
        <f t="shared" si="75"/>
        <v>0</v>
      </c>
      <c r="BC54" s="22">
        <f t="shared" si="75"/>
        <v>0</v>
      </c>
      <c r="BD54" s="22">
        <f t="shared" si="75"/>
        <v>0</v>
      </c>
      <c r="BE54" s="22">
        <f t="shared" si="75"/>
        <v>0</v>
      </c>
      <c r="BF54" s="22">
        <f t="shared" si="75"/>
        <v>0</v>
      </c>
      <c r="BG54" s="22">
        <f t="shared" si="75"/>
        <v>0</v>
      </c>
      <c r="BH54" s="22">
        <f t="shared" si="75"/>
        <v>0</v>
      </c>
      <c r="BI54" s="22">
        <f t="shared" si="75"/>
        <v>0</v>
      </c>
      <c r="BJ54" s="22">
        <f t="shared" si="75"/>
        <v>0</v>
      </c>
      <c r="BK54" s="22">
        <f t="shared" si="75"/>
        <v>0</v>
      </c>
      <c r="BL54" s="22">
        <f t="shared" si="75"/>
        <v>0</v>
      </c>
      <c r="BM54" s="22">
        <f t="shared" si="75"/>
        <v>0</v>
      </c>
      <c r="BN54" s="22">
        <f t="shared" si="75"/>
        <v>0</v>
      </c>
      <c r="BO54" s="22">
        <f t="shared" si="75"/>
        <v>0</v>
      </c>
      <c r="BP54" s="22">
        <f t="shared" si="75"/>
        <v>0</v>
      </c>
      <c r="BQ54" s="22">
        <f t="shared" si="75"/>
        <v>0</v>
      </c>
      <c r="BR54" s="22">
        <f t="shared" si="75"/>
        <v>0</v>
      </c>
      <c r="BS54" s="22">
        <f t="shared" si="75"/>
        <v>0</v>
      </c>
      <c r="BT54" s="22">
        <f t="shared" si="75"/>
        <v>0</v>
      </c>
      <c r="BU54" s="22">
        <f t="shared" si="75"/>
        <v>0</v>
      </c>
      <c r="BV54" s="22">
        <f t="shared" si="75"/>
        <v>0</v>
      </c>
      <c r="BW54" s="22">
        <f t="shared" si="75"/>
        <v>0</v>
      </c>
      <c r="BX54" s="22">
        <f t="shared" si="75"/>
        <v>0</v>
      </c>
      <c r="BY54" s="22">
        <f t="shared" si="75"/>
        <v>0</v>
      </c>
      <c r="BZ54" s="22">
        <f t="shared" si="75"/>
        <v>0</v>
      </c>
      <c r="CA54" s="22">
        <f t="shared" si="75"/>
        <v>0</v>
      </c>
      <c r="CB54" s="22">
        <f t="shared" si="75"/>
        <v>0</v>
      </c>
      <c r="CC54" s="22">
        <f t="shared" si="73"/>
        <v>0.26174298890438596</v>
      </c>
    </row>
    <row r="55" spans="7:81" x14ac:dyDescent="0.25">
      <c r="AE55" s="6"/>
      <c r="AF55" s="23"/>
      <c r="AG55" s="6"/>
      <c r="AH55" s="6"/>
      <c r="AI55" s="6"/>
      <c r="AJ55" s="6"/>
      <c r="AK55" s="6"/>
      <c r="AL55" s="6"/>
      <c r="AM55" s="6"/>
      <c r="AN55" s="6"/>
      <c r="AO55" s="6"/>
      <c r="AR55" s="22">
        <f t="shared" ref="AR55:CB55" si="76">IF(AR17&gt;0,FORECAST(AR17,AR$9:AS$9,AR$7:AS$7),0)</f>
        <v>0</v>
      </c>
      <c r="AS55" s="22">
        <f t="shared" si="76"/>
        <v>0</v>
      </c>
      <c r="AT55" s="22">
        <f t="shared" si="76"/>
        <v>0</v>
      </c>
      <c r="AU55" s="22">
        <f t="shared" si="76"/>
        <v>0</v>
      </c>
      <c r="AV55" s="22">
        <f t="shared" si="76"/>
        <v>0</v>
      </c>
      <c r="AW55" s="22">
        <f t="shared" si="76"/>
        <v>0</v>
      </c>
      <c r="AX55" s="22">
        <f t="shared" si="76"/>
        <v>0</v>
      </c>
      <c r="AY55" s="22">
        <f t="shared" si="76"/>
        <v>0.26442860583748362</v>
      </c>
      <c r="AZ55" s="22">
        <f t="shared" si="76"/>
        <v>0</v>
      </c>
      <c r="BA55" s="22">
        <f t="shared" si="76"/>
        <v>0</v>
      </c>
      <c r="BB55" s="22">
        <f t="shared" si="76"/>
        <v>0</v>
      </c>
      <c r="BC55" s="22">
        <f t="shared" si="76"/>
        <v>0</v>
      </c>
      <c r="BD55" s="22">
        <f t="shared" si="76"/>
        <v>0</v>
      </c>
      <c r="BE55" s="22">
        <f t="shared" si="76"/>
        <v>0</v>
      </c>
      <c r="BF55" s="22">
        <f t="shared" si="76"/>
        <v>0</v>
      </c>
      <c r="BG55" s="22">
        <f t="shared" si="76"/>
        <v>0</v>
      </c>
      <c r="BH55" s="22">
        <f t="shared" si="76"/>
        <v>0</v>
      </c>
      <c r="BI55" s="22">
        <f t="shared" si="76"/>
        <v>0</v>
      </c>
      <c r="BJ55" s="22">
        <f t="shared" si="76"/>
        <v>0</v>
      </c>
      <c r="BK55" s="22">
        <f t="shared" si="76"/>
        <v>0</v>
      </c>
      <c r="BL55" s="22">
        <f t="shared" si="76"/>
        <v>0</v>
      </c>
      <c r="BM55" s="22">
        <f t="shared" si="76"/>
        <v>0</v>
      </c>
      <c r="BN55" s="22">
        <f t="shared" si="76"/>
        <v>0</v>
      </c>
      <c r="BO55" s="22">
        <f t="shared" si="76"/>
        <v>0</v>
      </c>
      <c r="BP55" s="22">
        <f t="shared" si="76"/>
        <v>0</v>
      </c>
      <c r="BQ55" s="22">
        <f t="shared" si="76"/>
        <v>0</v>
      </c>
      <c r="BR55" s="22">
        <f t="shared" si="76"/>
        <v>0</v>
      </c>
      <c r="BS55" s="22">
        <f t="shared" si="76"/>
        <v>0</v>
      </c>
      <c r="BT55" s="22">
        <f t="shared" si="76"/>
        <v>0</v>
      </c>
      <c r="BU55" s="22">
        <f t="shared" si="76"/>
        <v>0</v>
      </c>
      <c r="BV55" s="22">
        <f t="shared" si="76"/>
        <v>0</v>
      </c>
      <c r="BW55" s="22">
        <f t="shared" si="76"/>
        <v>0</v>
      </c>
      <c r="BX55" s="22">
        <f t="shared" si="76"/>
        <v>0</v>
      </c>
      <c r="BY55" s="22">
        <f t="shared" si="76"/>
        <v>0</v>
      </c>
      <c r="BZ55" s="22">
        <f t="shared" si="76"/>
        <v>0</v>
      </c>
      <c r="CA55" s="22">
        <f t="shared" si="76"/>
        <v>0</v>
      </c>
      <c r="CB55" s="22">
        <f t="shared" si="76"/>
        <v>0</v>
      </c>
      <c r="CC55" s="22">
        <f t="shared" si="73"/>
        <v>0.26442860583748362</v>
      </c>
    </row>
    <row r="56" spans="7:81" x14ac:dyDescent="0.25">
      <c r="AE56" s="6"/>
      <c r="AF56" s="23"/>
      <c r="AG56" s="6"/>
      <c r="AH56" s="6"/>
      <c r="AI56" s="6"/>
      <c r="AJ56" s="6"/>
      <c r="AK56" s="6"/>
      <c r="AL56" s="6"/>
      <c r="AM56" s="6"/>
      <c r="AN56" s="6"/>
      <c r="AO56" s="6"/>
      <c r="AR56" s="22">
        <f t="shared" ref="AR56:CB56" si="77">IF(AR18&gt;0,FORECAST(AR18,AR$9:AS$9,AR$7:AS$7),0)</f>
        <v>0</v>
      </c>
      <c r="AS56" s="22">
        <f t="shared" si="77"/>
        <v>0</v>
      </c>
      <c r="AT56" s="22">
        <f t="shared" si="77"/>
        <v>0</v>
      </c>
      <c r="AU56" s="22">
        <f t="shared" si="77"/>
        <v>0</v>
      </c>
      <c r="AV56" s="22">
        <f t="shared" si="77"/>
        <v>0</v>
      </c>
      <c r="AW56" s="22">
        <f t="shared" si="77"/>
        <v>0</v>
      </c>
      <c r="AX56" s="22">
        <f t="shared" si="77"/>
        <v>0</v>
      </c>
      <c r="AY56" s="22">
        <f t="shared" si="77"/>
        <v>0</v>
      </c>
      <c r="AZ56" s="22">
        <f t="shared" si="77"/>
        <v>0.2667264579858083</v>
      </c>
      <c r="BA56" s="22">
        <f t="shared" si="77"/>
        <v>0</v>
      </c>
      <c r="BB56" s="22">
        <f t="shared" si="77"/>
        <v>0</v>
      </c>
      <c r="BC56" s="22">
        <f t="shared" si="77"/>
        <v>0</v>
      </c>
      <c r="BD56" s="22">
        <f t="shared" si="77"/>
        <v>0</v>
      </c>
      <c r="BE56" s="22">
        <f t="shared" si="77"/>
        <v>0</v>
      </c>
      <c r="BF56" s="22">
        <f t="shared" si="77"/>
        <v>0</v>
      </c>
      <c r="BG56" s="22">
        <f t="shared" si="77"/>
        <v>0</v>
      </c>
      <c r="BH56" s="22">
        <f t="shared" si="77"/>
        <v>0</v>
      </c>
      <c r="BI56" s="22">
        <f t="shared" si="77"/>
        <v>0</v>
      </c>
      <c r="BJ56" s="22">
        <f t="shared" si="77"/>
        <v>0</v>
      </c>
      <c r="BK56" s="22">
        <f t="shared" si="77"/>
        <v>0</v>
      </c>
      <c r="BL56" s="22">
        <f t="shared" si="77"/>
        <v>0</v>
      </c>
      <c r="BM56" s="22">
        <f t="shared" si="77"/>
        <v>0</v>
      </c>
      <c r="BN56" s="22">
        <f t="shared" si="77"/>
        <v>0</v>
      </c>
      <c r="BO56" s="22">
        <f t="shared" si="77"/>
        <v>0</v>
      </c>
      <c r="BP56" s="22">
        <f t="shared" si="77"/>
        <v>0</v>
      </c>
      <c r="BQ56" s="22">
        <f t="shared" si="77"/>
        <v>0</v>
      </c>
      <c r="BR56" s="22">
        <f t="shared" si="77"/>
        <v>0</v>
      </c>
      <c r="BS56" s="22">
        <f t="shared" si="77"/>
        <v>0</v>
      </c>
      <c r="BT56" s="22">
        <f t="shared" si="77"/>
        <v>0</v>
      </c>
      <c r="BU56" s="22">
        <f t="shared" si="77"/>
        <v>0</v>
      </c>
      <c r="BV56" s="22">
        <f t="shared" si="77"/>
        <v>0</v>
      </c>
      <c r="BW56" s="22">
        <f t="shared" si="77"/>
        <v>0</v>
      </c>
      <c r="BX56" s="22">
        <f t="shared" si="77"/>
        <v>0</v>
      </c>
      <c r="BY56" s="22">
        <f t="shared" si="77"/>
        <v>0</v>
      </c>
      <c r="BZ56" s="22">
        <f t="shared" si="77"/>
        <v>0</v>
      </c>
      <c r="CA56" s="22">
        <f t="shared" si="77"/>
        <v>0</v>
      </c>
      <c r="CB56" s="22">
        <f t="shared" si="77"/>
        <v>0</v>
      </c>
      <c r="CC56" s="22">
        <f>SUM(AR56:CB56)</f>
        <v>0.2667264579858083</v>
      </c>
    </row>
    <row r="57" spans="7:81" x14ac:dyDescent="0.25">
      <c r="AE57" s="6"/>
      <c r="AF57" s="23"/>
      <c r="AG57" s="6"/>
      <c r="AH57" s="6"/>
      <c r="AI57" s="6"/>
      <c r="AJ57" s="6"/>
      <c r="AK57" s="6"/>
      <c r="AL57" s="6"/>
      <c r="AM57" s="6"/>
      <c r="AN57" s="6"/>
      <c r="AO57" s="6"/>
      <c r="AR57" s="22">
        <f t="shared" ref="AR57:CB57" si="78">IF(AR19&gt;0,FORECAST(AR19,AR$9:AS$9,AR$7:AS$7),0)</f>
        <v>0</v>
      </c>
      <c r="AS57" s="22">
        <f t="shared" si="78"/>
        <v>0</v>
      </c>
      <c r="AT57" s="22">
        <f t="shared" si="78"/>
        <v>0</v>
      </c>
      <c r="AU57" s="22">
        <f t="shared" si="78"/>
        <v>0</v>
      </c>
      <c r="AV57" s="22">
        <f t="shared" si="78"/>
        <v>0</v>
      </c>
      <c r="AW57" s="22">
        <f t="shared" si="78"/>
        <v>0</v>
      </c>
      <c r="AX57" s="22">
        <f t="shared" si="78"/>
        <v>0</v>
      </c>
      <c r="AY57" s="22">
        <f t="shared" si="78"/>
        <v>0</v>
      </c>
      <c r="AZ57" s="22">
        <f t="shared" si="78"/>
        <v>0</v>
      </c>
      <c r="BA57" s="22">
        <f t="shared" si="78"/>
        <v>0.2689818106665709</v>
      </c>
      <c r="BB57" s="22">
        <f t="shared" si="78"/>
        <v>0</v>
      </c>
      <c r="BC57" s="22">
        <f t="shared" si="78"/>
        <v>0</v>
      </c>
      <c r="BD57" s="22">
        <f t="shared" si="78"/>
        <v>0</v>
      </c>
      <c r="BE57" s="22">
        <f t="shared" si="78"/>
        <v>0</v>
      </c>
      <c r="BF57" s="22">
        <f t="shared" si="78"/>
        <v>0</v>
      </c>
      <c r="BG57" s="22">
        <f t="shared" si="78"/>
        <v>0</v>
      </c>
      <c r="BH57" s="22">
        <f t="shared" si="78"/>
        <v>0</v>
      </c>
      <c r="BI57" s="22">
        <f t="shared" si="78"/>
        <v>0</v>
      </c>
      <c r="BJ57" s="22">
        <f t="shared" si="78"/>
        <v>0</v>
      </c>
      <c r="BK57" s="22">
        <f t="shared" si="78"/>
        <v>0</v>
      </c>
      <c r="BL57" s="22">
        <f t="shared" si="78"/>
        <v>0</v>
      </c>
      <c r="BM57" s="22">
        <f t="shared" si="78"/>
        <v>0</v>
      </c>
      <c r="BN57" s="22">
        <f t="shared" si="78"/>
        <v>0</v>
      </c>
      <c r="BO57" s="22">
        <f t="shared" si="78"/>
        <v>0</v>
      </c>
      <c r="BP57" s="22">
        <f t="shared" si="78"/>
        <v>0</v>
      </c>
      <c r="BQ57" s="22">
        <f t="shared" si="78"/>
        <v>0</v>
      </c>
      <c r="BR57" s="22">
        <f t="shared" si="78"/>
        <v>0</v>
      </c>
      <c r="BS57" s="22">
        <f t="shared" si="78"/>
        <v>0</v>
      </c>
      <c r="BT57" s="22">
        <f t="shared" si="78"/>
        <v>0</v>
      </c>
      <c r="BU57" s="22">
        <f t="shared" si="78"/>
        <v>0</v>
      </c>
      <c r="BV57" s="22">
        <f t="shared" si="78"/>
        <v>0</v>
      </c>
      <c r="BW57" s="22">
        <f t="shared" si="78"/>
        <v>0</v>
      </c>
      <c r="BX57" s="22">
        <f t="shared" si="78"/>
        <v>0</v>
      </c>
      <c r="BY57" s="22">
        <f t="shared" si="78"/>
        <v>0</v>
      </c>
      <c r="BZ57" s="22">
        <f t="shared" si="78"/>
        <v>0</v>
      </c>
      <c r="CA57" s="22">
        <f t="shared" si="78"/>
        <v>0</v>
      </c>
      <c r="CB57" s="22">
        <f t="shared" si="78"/>
        <v>0</v>
      </c>
      <c r="CC57" s="22">
        <f t="shared" si="73"/>
        <v>0.2689818106665709</v>
      </c>
    </row>
    <row r="58" spans="7:81" x14ac:dyDescent="0.25">
      <c r="AE58" s="6"/>
      <c r="AF58" s="23"/>
      <c r="AG58" s="6"/>
      <c r="AH58" s="6"/>
      <c r="AI58" s="6"/>
      <c r="AJ58" s="6"/>
      <c r="AK58" s="6"/>
      <c r="AL58" s="6"/>
      <c r="AM58" s="6"/>
      <c r="AN58" s="6"/>
      <c r="AO58" s="6"/>
      <c r="AR58" s="22">
        <f t="shared" ref="AR58:CB58" si="79">IF(AR20&gt;0,FORECAST(AR20,AR$9:AS$9,AR$7:AS$7),0)</f>
        <v>0</v>
      </c>
      <c r="AS58" s="22">
        <f t="shared" si="79"/>
        <v>0</v>
      </c>
      <c r="AT58" s="22">
        <f t="shared" si="79"/>
        <v>0</v>
      </c>
      <c r="AU58" s="22">
        <f t="shared" si="79"/>
        <v>0</v>
      </c>
      <c r="AV58" s="22">
        <f t="shared" si="79"/>
        <v>0</v>
      </c>
      <c r="AW58" s="22">
        <f t="shared" si="79"/>
        <v>0</v>
      </c>
      <c r="AX58" s="22">
        <f t="shared" si="79"/>
        <v>0</v>
      </c>
      <c r="AY58" s="22">
        <f t="shared" si="79"/>
        <v>0</v>
      </c>
      <c r="AZ58" s="22">
        <f t="shared" si="79"/>
        <v>0</v>
      </c>
      <c r="BA58" s="22">
        <f t="shared" si="79"/>
        <v>0.27110050874042568</v>
      </c>
      <c r="BB58" s="22">
        <f t="shared" si="79"/>
        <v>0</v>
      </c>
      <c r="BC58" s="22">
        <f t="shared" si="79"/>
        <v>0</v>
      </c>
      <c r="BD58" s="22">
        <f t="shared" si="79"/>
        <v>0</v>
      </c>
      <c r="BE58" s="22">
        <f t="shared" si="79"/>
        <v>0</v>
      </c>
      <c r="BF58" s="22">
        <f t="shared" si="79"/>
        <v>0</v>
      </c>
      <c r="BG58" s="22">
        <f t="shared" si="79"/>
        <v>0</v>
      </c>
      <c r="BH58" s="22">
        <f t="shared" si="79"/>
        <v>0</v>
      </c>
      <c r="BI58" s="22">
        <f t="shared" si="79"/>
        <v>0</v>
      </c>
      <c r="BJ58" s="22">
        <f t="shared" si="79"/>
        <v>0</v>
      </c>
      <c r="BK58" s="22">
        <f t="shared" si="79"/>
        <v>0</v>
      </c>
      <c r="BL58" s="22">
        <f t="shared" si="79"/>
        <v>0</v>
      </c>
      <c r="BM58" s="22">
        <f t="shared" si="79"/>
        <v>0</v>
      </c>
      <c r="BN58" s="22">
        <f t="shared" si="79"/>
        <v>0</v>
      </c>
      <c r="BO58" s="22">
        <f t="shared" si="79"/>
        <v>0</v>
      </c>
      <c r="BP58" s="22">
        <f t="shared" si="79"/>
        <v>0</v>
      </c>
      <c r="BQ58" s="22">
        <f t="shared" si="79"/>
        <v>0</v>
      </c>
      <c r="BR58" s="22">
        <f t="shared" si="79"/>
        <v>0</v>
      </c>
      <c r="BS58" s="22">
        <f t="shared" si="79"/>
        <v>0</v>
      </c>
      <c r="BT58" s="22">
        <f t="shared" si="79"/>
        <v>0</v>
      </c>
      <c r="BU58" s="22">
        <f t="shared" si="79"/>
        <v>0</v>
      </c>
      <c r="BV58" s="22">
        <f t="shared" si="79"/>
        <v>0</v>
      </c>
      <c r="BW58" s="22">
        <f t="shared" si="79"/>
        <v>0</v>
      </c>
      <c r="BX58" s="22">
        <f t="shared" si="79"/>
        <v>0</v>
      </c>
      <c r="BY58" s="22">
        <f t="shared" si="79"/>
        <v>0</v>
      </c>
      <c r="BZ58" s="22">
        <f t="shared" si="79"/>
        <v>0</v>
      </c>
      <c r="CA58" s="22">
        <f t="shared" si="79"/>
        <v>0</v>
      </c>
      <c r="CB58" s="22">
        <f t="shared" si="79"/>
        <v>0</v>
      </c>
      <c r="CC58" s="22">
        <f t="shared" si="73"/>
        <v>0.27110050874042568</v>
      </c>
    </row>
    <row r="59" spans="7:81" ht="14.4" x14ac:dyDescent="0.3">
      <c r="AE59" s="6"/>
      <c r="AF59" s="24"/>
      <c r="AG59" s="25"/>
      <c r="AH59" s="6"/>
      <c r="AI59" s="6"/>
      <c r="AJ59" s="6"/>
      <c r="AK59" s="6"/>
      <c r="AL59" s="6"/>
      <c r="AM59" s="6"/>
      <c r="AN59" s="6"/>
      <c r="AO59" s="6"/>
      <c r="AR59" s="22">
        <f t="shared" ref="AR59:CB59" si="80">IF(AR21&gt;0,FORECAST(AR21,AR$9:AS$9,AR$7:AS$7),0)</f>
        <v>0</v>
      </c>
      <c r="AS59" s="22">
        <f t="shared" si="80"/>
        <v>0</v>
      </c>
      <c r="AT59" s="22">
        <f t="shared" si="80"/>
        <v>0</v>
      </c>
      <c r="AU59" s="22">
        <f>IF(AU21&gt;0,FORECAST(AU21,AU$9:AV$9,AU$7:AV$7),0)</f>
        <v>0</v>
      </c>
      <c r="AV59" s="22">
        <f t="shared" si="80"/>
        <v>0</v>
      </c>
      <c r="AW59" s="22">
        <f t="shared" si="80"/>
        <v>0</v>
      </c>
      <c r="AX59" s="22">
        <f t="shared" si="80"/>
        <v>0</v>
      </c>
      <c r="AY59" s="22">
        <f t="shared" si="80"/>
        <v>0</v>
      </c>
      <c r="AZ59" s="22">
        <f t="shared" si="80"/>
        <v>0</v>
      </c>
      <c r="BA59" s="22">
        <f t="shared" si="80"/>
        <v>0</v>
      </c>
      <c r="BB59" s="22">
        <f t="shared" si="80"/>
        <v>0.27302523765868286</v>
      </c>
      <c r="BC59" s="22">
        <f t="shared" si="80"/>
        <v>0</v>
      </c>
      <c r="BD59" s="22">
        <f t="shared" si="80"/>
        <v>0</v>
      </c>
      <c r="BE59" s="22">
        <f t="shared" si="80"/>
        <v>0</v>
      </c>
      <c r="BF59" s="22">
        <f t="shared" si="80"/>
        <v>0</v>
      </c>
      <c r="BG59" s="22">
        <f t="shared" si="80"/>
        <v>0</v>
      </c>
      <c r="BH59" s="22">
        <f t="shared" si="80"/>
        <v>0</v>
      </c>
      <c r="BI59" s="22">
        <f t="shared" si="80"/>
        <v>0</v>
      </c>
      <c r="BJ59" s="22">
        <f t="shared" si="80"/>
        <v>0</v>
      </c>
      <c r="BK59" s="22">
        <f t="shared" si="80"/>
        <v>0</v>
      </c>
      <c r="BL59" s="22">
        <f t="shared" si="80"/>
        <v>0</v>
      </c>
      <c r="BM59" s="22">
        <f t="shared" si="80"/>
        <v>0</v>
      </c>
      <c r="BN59" s="22">
        <f t="shared" si="80"/>
        <v>0</v>
      </c>
      <c r="BO59" s="22">
        <f t="shared" si="80"/>
        <v>0</v>
      </c>
      <c r="BP59" s="22">
        <f t="shared" si="80"/>
        <v>0</v>
      </c>
      <c r="BQ59" s="22">
        <f t="shared" si="80"/>
        <v>0</v>
      </c>
      <c r="BR59" s="22">
        <f t="shared" si="80"/>
        <v>0</v>
      </c>
      <c r="BS59" s="22">
        <f t="shared" si="80"/>
        <v>0</v>
      </c>
      <c r="BT59" s="22">
        <f t="shared" si="80"/>
        <v>0</v>
      </c>
      <c r="BU59" s="22">
        <f t="shared" si="80"/>
        <v>0</v>
      </c>
      <c r="BV59" s="22">
        <f t="shared" si="80"/>
        <v>0</v>
      </c>
      <c r="BW59" s="22">
        <f t="shared" si="80"/>
        <v>0</v>
      </c>
      <c r="BX59" s="22">
        <f t="shared" si="80"/>
        <v>0</v>
      </c>
      <c r="BY59" s="22">
        <f t="shared" si="80"/>
        <v>0</v>
      </c>
      <c r="BZ59" s="22">
        <f t="shared" si="80"/>
        <v>0</v>
      </c>
      <c r="CA59" s="22">
        <f t="shared" si="80"/>
        <v>0</v>
      </c>
      <c r="CB59" s="22">
        <f t="shared" si="80"/>
        <v>0</v>
      </c>
      <c r="CC59" s="22">
        <f t="shared" si="73"/>
        <v>0.27302523765868286</v>
      </c>
    </row>
    <row r="60" spans="7:81" x14ac:dyDescent="0.25">
      <c r="AE60" s="6"/>
      <c r="AF60" s="23"/>
      <c r="AG60" s="6"/>
      <c r="AH60" s="6"/>
      <c r="AI60" s="6"/>
      <c r="AJ60" s="6"/>
      <c r="AK60" s="6"/>
      <c r="AL60" s="6"/>
      <c r="AM60" s="6"/>
      <c r="AN60" s="6"/>
      <c r="AO60" s="6"/>
      <c r="AR60" s="22">
        <f t="shared" ref="AR60:CB60" si="81">IF(AR22&gt;0,FORECAST(AR22,AR$9:AS$9,AR$7:AS$7),0)</f>
        <v>0</v>
      </c>
      <c r="AS60" s="22">
        <f t="shared" si="81"/>
        <v>0</v>
      </c>
      <c r="AT60" s="22">
        <f t="shared" si="81"/>
        <v>0</v>
      </c>
      <c r="AU60" s="22">
        <f t="shared" si="81"/>
        <v>0</v>
      </c>
      <c r="AV60" s="22">
        <f t="shared" si="81"/>
        <v>0</v>
      </c>
      <c r="AW60" s="22">
        <f t="shared" si="81"/>
        <v>0</v>
      </c>
      <c r="AX60" s="22">
        <f t="shared" si="81"/>
        <v>0</v>
      </c>
      <c r="AY60" s="22">
        <f t="shared" si="81"/>
        <v>0</v>
      </c>
      <c r="AZ60" s="22">
        <f t="shared" si="81"/>
        <v>0</v>
      </c>
      <c r="BA60" s="22">
        <f t="shared" si="81"/>
        <v>0</v>
      </c>
      <c r="BB60" s="22">
        <f t="shared" si="81"/>
        <v>0.27484840610586181</v>
      </c>
      <c r="BC60" s="22">
        <f t="shared" si="81"/>
        <v>0</v>
      </c>
      <c r="BD60" s="22">
        <f t="shared" si="81"/>
        <v>0</v>
      </c>
      <c r="BE60" s="22">
        <f t="shared" si="81"/>
        <v>0</v>
      </c>
      <c r="BF60" s="22">
        <f t="shared" si="81"/>
        <v>0</v>
      </c>
      <c r="BG60" s="22">
        <f t="shared" si="81"/>
        <v>0</v>
      </c>
      <c r="BH60" s="22">
        <f t="shared" si="81"/>
        <v>0</v>
      </c>
      <c r="BI60" s="22">
        <f t="shared" si="81"/>
        <v>0</v>
      </c>
      <c r="BJ60" s="22">
        <f t="shared" si="81"/>
        <v>0</v>
      </c>
      <c r="BK60" s="22">
        <f t="shared" si="81"/>
        <v>0</v>
      </c>
      <c r="BL60" s="22">
        <f t="shared" si="81"/>
        <v>0</v>
      </c>
      <c r="BM60" s="22">
        <f t="shared" si="81"/>
        <v>0</v>
      </c>
      <c r="BN60" s="22">
        <f t="shared" si="81"/>
        <v>0</v>
      </c>
      <c r="BO60" s="22">
        <f t="shared" si="81"/>
        <v>0</v>
      </c>
      <c r="BP60" s="22">
        <f t="shared" si="81"/>
        <v>0</v>
      </c>
      <c r="BQ60" s="22">
        <f t="shared" si="81"/>
        <v>0</v>
      </c>
      <c r="BR60" s="22">
        <f t="shared" si="81"/>
        <v>0</v>
      </c>
      <c r="BS60" s="22">
        <f t="shared" si="81"/>
        <v>0</v>
      </c>
      <c r="BT60" s="22">
        <f t="shared" si="81"/>
        <v>0</v>
      </c>
      <c r="BU60" s="22">
        <f t="shared" si="81"/>
        <v>0</v>
      </c>
      <c r="BV60" s="22">
        <f t="shared" si="81"/>
        <v>0</v>
      </c>
      <c r="BW60" s="22">
        <f t="shared" si="81"/>
        <v>0</v>
      </c>
      <c r="BX60" s="22">
        <f t="shared" si="81"/>
        <v>0</v>
      </c>
      <c r="BY60" s="22">
        <f t="shared" si="81"/>
        <v>0</v>
      </c>
      <c r="BZ60" s="22">
        <f t="shared" si="81"/>
        <v>0</v>
      </c>
      <c r="CA60" s="22">
        <f t="shared" si="81"/>
        <v>0</v>
      </c>
      <c r="CB60" s="22">
        <f t="shared" si="81"/>
        <v>0</v>
      </c>
      <c r="CC60" s="22">
        <f t="shared" si="73"/>
        <v>0.27484840610586181</v>
      </c>
    </row>
    <row r="61" spans="7:81" x14ac:dyDescent="0.25">
      <c r="AE61" s="6"/>
      <c r="AF61" s="23"/>
      <c r="AG61" s="6"/>
      <c r="AH61" s="6"/>
      <c r="AI61" s="6"/>
      <c r="AJ61" s="6"/>
      <c r="AK61" s="6"/>
      <c r="AL61" s="6"/>
      <c r="AM61" s="6"/>
      <c r="AN61" s="6"/>
      <c r="AO61" s="6"/>
      <c r="AR61" s="22">
        <f t="shared" ref="AR61:CB61" si="82">IF(AR23&gt;0,FORECAST(AR23,AR$9:AS$9,AR$7:AS$7),0)</f>
        <v>0</v>
      </c>
      <c r="AS61" s="22">
        <f t="shared" si="82"/>
        <v>0</v>
      </c>
      <c r="AT61" s="22">
        <f t="shared" si="82"/>
        <v>0</v>
      </c>
      <c r="AU61" s="22">
        <f t="shared" si="82"/>
        <v>0</v>
      </c>
      <c r="AV61" s="22">
        <f t="shared" si="82"/>
        <v>0</v>
      </c>
      <c r="AW61" s="22">
        <f t="shared" si="82"/>
        <v>0</v>
      </c>
      <c r="AX61" s="22">
        <f t="shared" si="82"/>
        <v>0</v>
      </c>
      <c r="AY61" s="22">
        <f t="shared" si="82"/>
        <v>0</v>
      </c>
      <c r="AZ61" s="22">
        <f t="shared" si="82"/>
        <v>0</v>
      </c>
      <c r="BA61" s="22">
        <f t="shared" si="82"/>
        <v>0</v>
      </c>
      <c r="BB61" s="22">
        <f t="shared" si="82"/>
        <v>0</v>
      </c>
      <c r="BC61" s="22">
        <f t="shared" si="82"/>
        <v>0.27562070568988778</v>
      </c>
      <c r="BD61" s="22">
        <f t="shared" si="82"/>
        <v>0</v>
      </c>
      <c r="BE61" s="22">
        <f t="shared" si="82"/>
        <v>0</v>
      </c>
      <c r="BF61" s="22">
        <f t="shared" si="82"/>
        <v>0</v>
      </c>
      <c r="BG61" s="22">
        <f t="shared" si="82"/>
        <v>0</v>
      </c>
      <c r="BH61" s="22">
        <f t="shared" si="82"/>
        <v>0</v>
      </c>
      <c r="BI61" s="22">
        <f t="shared" si="82"/>
        <v>0</v>
      </c>
      <c r="BJ61" s="22">
        <f t="shared" si="82"/>
        <v>0</v>
      </c>
      <c r="BK61" s="22">
        <f t="shared" si="82"/>
        <v>0</v>
      </c>
      <c r="BL61" s="22">
        <f t="shared" si="82"/>
        <v>0</v>
      </c>
      <c r="BM61" s="22">
        <f t="shared" si="82"/>
        <v>0</v>
      </c>
      <c r="BN61" s="22">
        <f t="shared" si="82"/>
        <v>0</v>
      </c>
      <c r="BO61" s="22">
        <f t="shared" si="82"/>
        <v>0</v>
      </c>
      <c r="BP61" s="22">
        <f t="shared" si="82"/>
        <v>0</v>
      </c>
      <c r="BQ61" s="22">
        <f t="shared" si="82"/>
        <v>0</v>
      </c>
      <c r="BR61" s="22">
        <f t="shared" si="82"/>
        <v>0</v>
      </c>
      <c r="BS61" s="22">
        <f t="shared" si="82"/>
        <v>0</v>
      </c>
      <c r="BT61" s="22">
        <f t="shared" si="82"/>
        <v>0</v>
      </c>
      <c r="BU61" s="22">
        <f t="shared" si="82"/>
        <v>0</v>
      </c>
      <c r="BV61" s="22">
        <f t="shared" si="82"/>
        <v>0</v>
      </c>
      <c r="BW61" s="22">
        <f t="shared" si="82"/>
        <v>0</v>
      </c>
      <c r="BX61" s="22">
        <f t="shared" si="82"/>
        <v>0</v>
      </c>
      <c r="BY61" s="22">
        <f t="shared" si="82"/>
        <v>0</v>
      </c>
      <c r="BZ61" s="22">
        <f t="shared" si="82"/>
        <v>0</v>
      </c>
      <c r="CA61" s="22">
        <f t="shared" si="82"/>
        <v>0</v>
      </c>
      <c r="CB61" s="22">
        <f t="shared" si="82"/>
        <v>0</v>
      </c>
      <c r="CC61" s="22">
        <f t="shared" si="73"/>
        <v>0.27562070568988778</v>
      </c>
    </row>
    <row r="62" spans="7:81" x14ac:dyDescent="0.25">
      <c r="AE62" s="6"/>
      <c r="AF62" s="23"/>
      <c r="AG62" s="6"/>
      <c r="AH62" s="6"/>
      <c r="AI62" s="6"/>
      <c r="AJ62" s="6"/>
      <c r="AK62" s="6"/>
      <c r="AL62" s="6"/>
      <c r="AM62" s="6"/>
      <c r="AN62" s="6"/>
      <c r="AO62" s="6"/>
      <c r="AR62" s="22">
        <f t="shared" ref="AR62:CB62" si="83">IF(AR24&gt;0,FORECAST(AR24,AR$9:AS$9,AR$7:AS$7),0)</f>
        <v>0</v>
      </c>
      <c r="AS62" s="22">
        <f t="shared" si="83"/>
        <v>0</v>
      </c>
      <c r="AT62" s="22">
        <f t="shared" si="83"/>
        <v>0</v>
      </c>
      <c r="AU62" s="22">
        <f t="shared" si="83"/>
        <v>0</v>
      </c>
      <c r="AV62" s="22">
        <f t="shared" si="83"/>
        <v>0</v>
      </c>
      <c r="AW62" s="22">
        <f t="shared" si="83"/>
        <v>0</v>
      </c>
      <c r="AX62" s="22">
        <f t="shared" si="83"/>
        <v>0</v>
      </c>
      <c r="AY62" s="22">
        <f t="shared" si="83"/>
        <v>0</v>
      </c>
      <c r="AZ62" s="22">
        <f t="shared" si="83"/>
        <v>0</v>
      </c>
      <c r="BA62" s="22">
        <f t="shared" si="83"/>
        <v>0</v>
      </c>
      <c r="BB62" s="22">
        <f t="shared" si="83"/>
        <v>0</v>
      </c>
      <c r="BC62" s="22">
        <f t="shared" si="83"/>
        <v>0.27627522601374843</v>
      </c>
      <c r="BD62" s="22">
        <f t="shared" si="83"/>
        <v>0</v>
      </c>
      <c r="BE62" s="22">
        <f t="shared" si="83"/>
        <v>0</v>
      </c>
      <c r="BF62" s="22">
        <f t="shared" si="83"/>
        <v>0</v>
      </c>
      <c r="BG62" s="22">
        <f t="shared" si="83"/>
        <v>0</v>
      </c>
      <c r="BH62" s="22">
        <f t="shared" si="83"/>
        <v>0</v>
      </c>
      <c r="BI62" s="22">
        <f t="shared" si="83"/>
        <v>0</v>
      </c>
      <c r="BJ62" s="22">
        <f t="shared" si="83"/>
        <v>0</v>
      </c>
      <c r="BK62" s="22">
        <f t="shared" si="83"/>
        <v>0</v>
      </c>
      <c r="BL62" s="22">
        <f t="shared" si="83"/>
        <v>0</v>
      </c>
      <c r="BM62" s="22">
        <f t="shared" si="83"/>
        <v>0</v>
      </c>
      <c r="BN62" s="22">
        <f t="shared" si="83"/>
        <v>0</v>
      </c>
      <c r="BO62" s="22">
        <f t="shared" si="83"/>
        <v>0</v>
      </c>
      <c r="BP62" s="22">
        <f t="shared" si="83"/>
        <v>0</v>
      </c>
      <c r="BQ62" s="22">
        <f t="shared" si="83"/>
        <v>0</v>
      </c>
      <c r="BR62" s="22">
        <f t="shared" si="83"/>
        <v>0</v>
      </c>
      <c r="BS62" s="22">
        <f t="shared" si="83"/>
        <v>0</v>
      </c>
      <c r="BT62" s="22">
        <f t="shared" si="83"/>
        <v>0</v>
      </c>
      <c r="BU62" s="22">
        <f t="shared" si="83"/>
        <v>0</v>
      </c>
      <c r="BV62" s="22">
        <f t="shared" si="83"/>
        <v>0</v>
      </c>
      <c r="BW62" s="22">
        <f t="shared" si="83"/>
        <v>0</v>
      </c>
      <c r="BX62" s="22">
        <f t="shared" si="83"/>
        <v>0</v>
      </c>
      <c r="BY62" s="22">
        <f t="shared" si="83"/>
        <v>0</v>
      </c>
      <c r="BZ62" s="22">
        <f t="shared" si="83"/>
        <v>0</v>
      </c>
      <c r="CA62" s="22">
        <f t="shared" si="83"/>
        <v>0</v>
      </c>
      <c r="CB62" s="22">
        <f t="shared" si="83"/>
        <v>0</v>
      </c>
      <c r="CC62" s="22">
        <f t="shared" si="73"/>
        <v>0.27627522601374843</v>
      </c>
    </row>
    <row r="63" spans="7:81" x14ac:dyDescent="0.25">
      <c r="AE63" s="6"/>
      <c r="AF63" s="23"/>
      <c r="AG63" s="6"/>
      <c r="AH63" s="6"/>
      <c r="AI63" s="6"/>
      <c r="AJ63" s="6"/>
      <c r="AK63" s="6"/>
      <c r="AL63" s="6"/>
      <c r="AM63" s="6"/>
      <c r="AN63" s="6"/>
      <c r="AO63" s="6"/>
      <c r="AR63" s="22">
        <f t="shared" ref="AR63:CB63" si="84">IF(AR25&gt;0,FORECAST(AR25,AR$9:AS$9,AR$7:AS$7),0)</f>
        <v>0</v>
      </c>
      <c r="AS63" s="22">
        <f t="shared" si="84"/>
        <v>0</v>
      </c>
      <c r="AT63" s="22">
        <f t="shared" si="84"/>
        <v>0</v>
      </c>
      <c r="AU63" s="22">
        <f t="shared" si="84"/>
        <v>0</v>
      </c>
      <c r="AV63" s="22">
        <f t="shared" si="84"/>
        <v>0</v>
      </c>
      <c r="AW63" s="22">
        <f t="shared" si="84"/>
        <v>0</v>
      </c>
      <c r="AX63" s="22">
        <f t="shared" si="84"/>
        <v>0</v>
      </c>
      <c r="AY63" s="22">
        <f t="shared" si="84"/>
        <v>0</v>
      </c>
      <c r="AZ63" s="22">
        <f t="shared" si="84"/>
        <v>0</v>
      </c>
      <c r="BA63" s="22">
        <f t="shared" si="84"/>
        <v>0</v>
      </c>
      <c r="BB63" s="22">
        <f t="shared" si="84"/>
        <v>0</v>
      </c>
      <c r="BC63" s="22">
        <f t="shared" si="84"/>
        <v>0</v>
      </c>
      <c r="BD63" s="22">
        <f t="shared" si="84"/>
        <v>0.27620833677444889</v>
      </c>
      <c r="BE63" s="22">
        <f t="shared" si="84"/>
        <v>0</v>
      </c>
      <c r="BF63" s="22">
        <f t="shared" si="84"/>
        <v>0</v>
      </c>
      <c r="BG63" s="22">
        <f t="shared" si="84"/>
        <v>0</v>
      </c>
      <c r="BH63" s="22">
        <f t="shared" si="84"/>
        <v>0</v>
      </c>
      <c r="BI63" s="22">
        <f t="shared" si="84"/>
        <v>0</v>
      </c>
      <c r="BJ63" s="22">
        <f t="shared" si="84"/>
        <v>0</v>
      </c>
      <c r="BK63" s="22">
        <f t="shared" si="84"/>
        <v>0</v>
      </c>
      <c r="BL63" s="22">
        <f t="shared" si="84"/>
        <v>0</v>
      </c>
      <c r="BM63" s="22">
        <f t="shared" si="84"/>
        <v>0</v>
      </c>
      <c r="BN63" s="22">
        <f t="shared" si="84"/>
        <v>0</v>
      </c>
      <c r="BO63" s="22">
        <f t="shared" si="84"/>
        <v>0</v>
      </c>
      <c r="BP63" s="22">
        <f t="shared" si="84"/>
        <v>0</v>
      </c>
      <c r="BQ63" s="22">
        <f t="shared" si="84"/>
        <v>0</v>
      </c>
      <c r="BR63" s="22">
        <f t="shared" si="84"/>
        <v>0</v>
      </c>
      <c r="BS63" s="22">
        <f t="shared" si="84"/>
        <v>0</v>
      </c>
      <c r="BT63" s="22">
        <f t="shared" si="84"/>
        <v>0</v>
      </c>
      <c r="BU63" s="22">
        <f t="shared" si="84"/>
        <v>0</v>
      </c>
      <c r="BV63" s="22">
        <f t="shared" si="84"/>
        <v>0</v>
      </c>
      <c r="BW63" s="22">
        <f t="shared" si="84"/>
        <v>0</v>
      </c>
      <c r="BX63" s="22">
        <f t="shared" si="84"/>
        <v>0</v>
      </c>
      <c r="BY63" s="22">
        <f t="shared" si="84"/>
        <v>0</v>
      </c>
      <c r="BZ63" s="22">
        <f t="shared" si="84"/>
        <v>0</v>
      </c>
      <c r="CA63" s="22">
        <f t="shared" si="84"/>
        <v>0</v>
      </c>
      <c r="CB63" s="22">
        <f t="shared" si="84"/>
        <v>0</v>
      </c>
      <c r="CC63" s="22">
        <f t="shared" si="73"/>
        <v>0.27620833677444889</v>
      </c>
    </row>
    <row r="64" spans="7:81" x14ac:dyDescent="0.25">
      <c r="AE64" s="6"/>
      <c r="AF64" s="23"/>
      <c r="AG64" s="6"/>
      <c r="AH64" s="6"/>
      <c r="AI64" s="6"/>
      <c r="AJ64" s="6"/>
      <c r="AK64" s="6"/>
      <c r="AL64" s="6"/>
      <c r="AM64" s="6"/>
      <c r="AN64" s="6"/>
      <c r="AO64" s="6"/>
      <c r="AR64" s="22">
        <f t="shared" ref="AR64:CB64" si="85">IF(AR26&gt;0,FORECAST(AR26,AR$9:AS$9,AR$7:AS$7),0)</f>
        <v>0</v>
      </c>
      <c r="AS64" s="22">
        <f t="shared" si="85"/>
        <v>0</v>
      </c>
      <c r="AT64" s="22">
        <f t="shared" si="85"/>
        <v>0</v>
      </c>
      <c r="AU64" s="22">
        <f t="shared" si="85"/>
        <v>0</v>
      </c>
      <c r="AV64" s="22">
        <f t="shared" si="85"/>
        <v>0</v>
      </c>
      <c r="AW64" s="22">
        <f t="shared" si="85"/>
        <v>0</v>
      </c>
      <c r="AX64" s="22">
        <f t="shared" si="85"/>
        <v>0</v>
      </c>
      <c r="AY64" s="22">
        <f t="shared" si="85"/>
        <v>0</v>
      </c>
      <c r="AZ64" s="22">
        <f t="shared" si="85"/>
        <v>0</v>
      </c>
      <c r="BA64" s="22">
        <f t="shared" si="85"/>
        <v>0</v>
      </c>
      <c r="BB64" s="22">
        <f t="shared" si="85"/>
        <v>0</v>
      </c>
      <c r="BC64" s="22">
        <f t="shared" si="85"/>
        <v>0</v>
      </c>
      <c r="BD64" s="22">
        <f t="shared" si="85"/>
        <v>0.27623866638734995</v>
      </c>
      <c r="BE64" s="22">
        <f t="shared" si="85"/>
        <v>0</v>
      </c>
      <c r="BF64" s="22">
        <f t="shared" si="85"/>
        <v>0</v>
      </c>
      <c r="BG64" s="22">
        <f t="shared" si="85"/>
        <v>0</v>
      </c>
      <c r="BH64" s="22">
        <f t="shared" si="85"/>
        <v>0</v>
      </c>
      <c r="BI64" s="22">
        <f t="shared" si="85"/>
        <v>0</v>
      </c>
      <c r="BJ64" s="22">
        <f t="shared" si="85"/>
        <v>0</v>
      </c>
      <c r="BK64" s="22">
        <f t="shared" si="85"/>
        <v>0</v>
      </c>
      <c r="BL64" s="22">
        <f t="shared" si="85"/>
        <v>0</v>
      </c>
      <c r="BM64" s="22">
        <f t="shared" si="85"/>
        <v>0</v>
      </c>
      <c r="BN64" s="22">
        <f t="shared" si="85"/>
        <v>0</v>
      </c>
      <c r="BO64" s="22">
        <f t="shared" si="85"/>
        <v>0</v>
      </c>
      <c r="BP64" s="22">
        <f t="shared" si="85"/>
        <v>0</v>
      </c>
      <c r="BQ64" s="22">
        <f t="shared" si="85"/>
        <v>0</v>
      </c>
      <c r="BR64" s="22">
        <f t="shared" si="85"/>
        <v>0</v>
      </c>
      <c r="BS64" s="22">
        <f t="shared" si="85"/>
        <v>0</v>
      </c>
      <c r="BT64" s="22">
        <f t="shared" si="85"/>
        <v>0</v>
      </c>
      <c r="BU64" s="22">
        <f t="shared" si="85"/>
        <v>0</v>
      </c>
      <c r="BV64" s="22">
        <f t="shared" si="85"/>
        <v>0</v>
      </c>
      <c r="BW64" s="22">
        <f t="shared" si="85"/>
        <v>0</v>
      </c>
      <c r="BX64" s="22">
        <f t="shared" si="85"/>
        <v>0</v>
      </c>
      <c r="BY64" s="22">
        <f t="shared" si="85"/>
        <v>0</v>
      </c>
      <c r="BZ64" s="22">
        <f t="shared" si="85"/>
        <v>0</v>
      </c>
      <c r="CA64" s="22">
        <f t="shared" si="85"/>
        <v>0</v>
      </c>
      <c r="CB64" s="22">
        <f t="shared" si="85"/>
        <v>0</v>
      </c>
      <c r="CC64" s="22">
        <f t="shared" si="73"/>
        <v>0.27623866638734995</v>
      </c>
    </row>
    <row r="65" spans="31:81" x14ac:dyDescent="0.25">
      <c r="AE65" s="6"/>
      <c r="AF65" s="23"/>
      <c r="AG65" s="6"/>
      <c r="AH65" s="6"/>
      <c r="AI65" s="6"/>
      <c r="AJ65" s="6"/>
      <c r="AK65" s="6"/>
      <c r="AL65" s="6"/>
      <c r="AM65" s="6"/>
      <c r="AN65" s="6"/>
      <c r="AO65" s="6"/>
      <c r="AR65" s="22">
        <f t="shared" ref="AR65:CB65" si="86">IF(AR27&gt;0,FORECAST(AR27,AR$9:AS$9,AR$7:AS$7),0)</f>
        <v>0</v>
      </c>
      <c r="AS65" s="22">
        <f t="shared" si="86"/>
        <v>0</v>
      </c>
      <c r="AT65" s="22">
        <f t="shared" si="86"/>
        <v>0</v>
      </c>
      <c r="AU65" s="22">
        <f t="shared" si="86"/>
        <v>0</v>
      </c>
      <c r="AV65" s="22">
        <f t="shared" si="86"/>
        <v>0</v>
      </c>
      <c r="AW65" s="22">
        <f t="shared" si="86"/>
        <v>0</v>
      </c>
      <c r="AX65" s="22">
        <f t="shared" si="86"/>
        <v>0</v>
      </c>
      <c r="AY65" s="22">
        <f t="shared" si="86"/>
        <v>0</v>
      </c>
      <c r="AZ65" s="22">
        <f t="shared" si="86"/>
        <v>0</v>
      </c>
      <c r="BA65" s="22">
        <f t="shared" si="86"/>
        <v>0</v>
      </c>
      <c r="BB65" s="22">
        <f t="shared" si="86"/>
        <v>0</v>
      </c>
      <c r="BC65" s="22">
        <f t="shared" si="86"/>
        <v>0</v>
      </c>
      <c r="BD65" s="22">
        <f t="shared" si="86"/>
        <v>0.27623120231444154</v>
      </c>
      <c r="BE65" s="22">
        <f t="shared" si="86"/>
        <v>0</v>
      </c>
      <c r="BF65" s="22">
        <f t="shared" si="86"/>
        <v>0</v>
      </c>
      <c r="BG65" s="22">
        <f t="shared" si="86"/>
        <v>0</v>
      </c>
      <c r="BH65" s="22">
        <f t="shared" si="86"/>
        <v>0</v>
      </c>
      <c r="BI65" s="22">
        <f t="shared" si="86"/>
        <v>0</v>
      </c>
      <c r="BJ65" s="22">
        <f t="shared" si="86"/>
        <v>0</v>
      </c>
      <c r="BK65" s="22">
        <f t="shared" si="86"/>
        <v>0</v>
      </c>
      <c r="BL65" s="22">
        <f t="shared" si="86"/>
        <v>0</v>
      </c>
      <c r="BM65" s="22">
        <f t="shared" si="86"/>
        <v>0</v>
      </c>
      <c r="BN65" s="22">
        <f t="shared" si="86"/>
        <v>0</v>
      </c>
      <c r="BO65" s="22">
        <f t="shared" si="86"/>
        <v>0</v>
      </c>
      <c r="BP65" s="22">
        <f t="shared" si="86"/>
        <v>0</v>
      </c>
      <c r="BQ65" s="22">
        <f t="shared" si="86"/>
        <v>0</v>
      </c>
      <c r="BR65" s="22">
        <f t="shared" si="86"/>
        <v>0</v>
      </c>
      <c r="BS65" s="22">
        <f t="shared" si="86"/>
        <v>0</v>
      </c>
      <c r="BT65" s="22">
        <f t="shared" si="86"/>
        <v>0</v>
      </c>
      <c r="BU65" s="22">
        <f t="shared" si="86"/>
        <v>0</v>
      </c>
      <c r="BV65" s="22">
        <f t="shared" si="86"/>
        <v>0</v>
      </c>
      <c r="BW65" s="22">
        <f t="shared" si="86"/>
        <v>0</v>
      </c>
      <c r="BX65" s="22">
        <f t="shared" si="86"/>
        <v>0</v>
      </c>
      <c r="BY65" s="22">
        <f t="shared" si="86"/>
        <v>0</v>
      </c>
      <c r="BZ65" s="22">
        <f t="shared" si="86"/>
        <v>0</v>
      </c>
      <c r="CA65" s="22">
        <f t="shared" si="86"/>
        <v>0</v>
      </c>
      <c r="CB65" s="22">
        <f t="shared" si="86"/>
        <v>0</v>
      </c>
      <c r="CC65" s="22">
        <f t="shared" si="73"/>
        <v>0.27623120231444154</v>
      </c>
    </row>
    <row r="66" spans="31:81" x14ac:dyDescent="0.25">
      <c r="AE66" s="6"/>
      <c r="AF66" s="23"/>
      <c r="AG66" s="6"/>
      <c r="AH66" s="6"/>
      <c r="AI66" s="6"/>
      <c r="AJ66" s="6"/>
      <c r="AK66" s="6"/>
      <c r="AL66" s="6"/>
      <c r="AM66" s="6"/>
      <c r="AN66" s="6"/>
      <c r="AO66" s="6"/>
      <c r="AR66" s="22">
        <f t="shared" ref="AR66:CB66" si="87">IF(AR28&gt;0,FORECAST(AR28,AR$9:AS$9,AR$7:AS$7),0)</f>
        <v>0</v>
      </c>
      <c r="AS66" s="22">
        <f t="shared" si="87"/>
        <v>0</v>
      </c>
      <c r="AT66" s="22">
        <f t="shared" si="87"/>
        <v>0</v>
      </c>
      <c r="AU66" s="22">
        <f t="shared" si="87"/>
        <v>0</v>
      </c>
      <c r="AV66" s="22">
        <f t="shared" si="87"/>
        <v>0</v>
      </c>
      <c r="AW66" s="22">
        <f t="shared" si="87"/>
        <v>0</v>
      </c>
      <c r="AX66" s="22">
        <f t="shared" si="87"/>
        <v>0</v>
      </c>
      <c r="AY66" s="22">
        <f t="shared" si="87"/>
        <v>0</v>
      </c>
      <c r="AZ66" s="22">
        <f t="shared" si="87"/>
        <v>0</v>
      </c>
      <c r="BA66" s="22">
        <f t="shared" si="87"/>
        <v>0</v>
      </c>
      <c r="BB66" s="22">
        <f t="shared" si="87"/>
        <v>0</v>
      </c>
      <c r="BC66" s="22">
        <f t="shared" si="87"/>
        <v>0</v>
      </c>
      <c r="BD66" s="22">
        <f t="shared" si="87"/>
        <v>0.27615339501313735</v>
      </c>
      <c r="BE66" s="22">
        <f t="shared" si="87"/>
        <v>0</v>
      </c>
      <c r="BF66" s="22">
        <f t="shared" si="87"/>
        <v>0</v>
      </c>
      <c r="BG66" s="22">
        <f t="shared" si="87"/>
        <v>0</v>
      </c>
      <c r="BH66" s="22">
        <f t="shared" si="87"/>
        <v>0</v>
      </c>
      <c r="BI66" s="22">
        <f t="shared" si="87"/>
        <v>0</v>
      </c>
      <c r="BJ66" s="22">
        <f t="shared" si="87"/>
        <v>0</v>
      </c>
      <c r="BK66" s="22">
        <f t="shared" si="87"/>
        <v>0</v>
      </c>
      <c r="BL66" s="22">
        <f t="shared" si="87"/>
        <v>0</v>
      </c>
      <c r="BM66" s="22">
        <f t="shared" si="87"/>
        <v>0</v>
      </c>
      <c r="BN66" s="22">
        <f t="shared" si="87"/>
        <v>0</v>
      </c>
      <c r="BO66" s="22">
        <f t="shared" si="87"/>
        <v>0</v>
      </c>
      <c r="BP66" s="22">
        <f t="shared" si="87"/>
        <v>0</v>
      </c>
      <c r="BQ66" s="22">
        <f t="shared" si="87"/>
        <v>0</v>
      </c>
      <c r="BR66" s="22">
        <f t="shared" si="87"/>
        <v>0</v>
      </c>
      <c r="BS66" s="22">
        <f t="shared" si="87"/>
        <v>0</v>
      </c>
      <c r="BT66" s="22">
        <f t="shared" si="87"/>
        <v>0</v>
      </c>
      <c r="BU66" s="22">
        <f t="shared" si="87"/>
        <v>0</v>
      </c>
      <c r="BV66" s="22">
        <f t="shared" si="87"/>
        <v>0</v>
      </c>
      <c r="BW66" s="22">
        <f t="shared" si="87"/>
        <v>0</v>
      </c>
      <c r="BX66" s="22">
        <f t="shared" si="87"/>
        <v>0</v>
      </c>
      <c r="BY66" s="22">
        <f t="shared" si="87"/>
        <v>0</v>
      </c>
      <c r="BZ66" s="22">
        <f t="shared" si="87"/>
        <v>0</v>
      </c>
      <c r="CA66" s="22">
        <f t="shared" si="87"/>
        <v>0</v>
      </c>
      <c r="CB66" s="22">
        <f t="shared" si="87"/>
        <v>0</v>
      </c>
      <c r="CC66" s="22">
        <f t="shared" si="73"/>
        <v>0.27615339501313735</v>
      </c>
    </row>
    <row r="67" spans="31:81" x14ac:dyDescent="0.25">
      <c r="AE67" s="6"/>
      <c r="AF67" s="23"/>
      <c r="AG67" s="6"/>
      <c r="AH67" s="6"/>
      <c r="AI67" s="6"/>
      <c r="AJ67" s="6"/>
      <c r="AK67" s="6"/>
      <c r="AL67" s="6"/>
      <c r="AM67" s="6"/>
      <c r="AN67" s="6"/>
      <c r="AO67" s="6"/>
      <c r="AR67" s="22">
        <f t="shared" ref="AR67:CB67" si="88">IF(AR29&gt;0,FORECAST(AR29,AR$9:AS$9,AR$7:AS$7),0)</f>
        <v>0</v>
      </c>
      <c r="AS67" s="22">
        <f t="shared" si="88"/>
        <v>0</v>
      </c>
      <c r="AT67" s="22">
        <f t="shared" si="88"/>
        <v>0</v>
      </c>
      <c r="AU67" s="22">
        <f t="shared" si="88"/>
        <v>0</v>
      </c>
      <c r="AV67" s="22">
        <f t="shared" si="88"/>
        <v>0</v>
      </c>
      <c r="AW67" s="22">
        <f t="shared" si="88"/>
        <v>0</v>
      </c>
      <c r="AX67" s="22">
        <f t="shared" si="88"/>
        <v>0</v>
      </c>
      <c r="AY67" s="22">
        <f t="shared" si="88"/>
        <v>0</v>
      </c>
      <c r="AZ67" s="22">
        <f t="shared" si="88"/>
        <v>0</v>
      </c>
      <c r="BA67" s="22">
        <f t="shared" si="88"/>
        <v>0</v>
      </c>
      <c r="BB67" s="22">
        <f t="shared" si="88"/>
        <v>0</v>
      </c>
      <c r="BC67" s="22">
        <f t="shared" si="88"/>
        <v>0</v>
      </c>
      <c r="BD67" s="22">
        <f t="shared" si="88"/>
        <v>0.27606783573720206</v>
      </c>
      <c r="BE67" s="22">
        <f t="shared" si="88"/>
        <v>0</v>
      </c>
      <c r="BF67" s="22">
        <f t="shared" si="88"/>
        <v>0</v>
      </c>
      <c r="BG67" s="22">
        <f t="shared" si="88"/>
        <v>0</v>
      </c>
      <c r="BH67" s="22">
        <f t="shared" si="88"/>
        <v>0</v>
      </c>
      <c r="BI67" s="22">
        <f t="shared" si="88"/>
        <v>0</v>
      </c>
      <c r="BJ67" s="22">
        <f t="shared" si="88"/>
        <v>0</v>
      </c>
      <c r="BK67" s="22">
        <f t="shared" si="88"/>
        <v>0</v>
      </c>
      <c r="BL67" s="22">
        <f t="shared" si="88"/>
        <v>0</v>
      </c>
      <c r="BM67" s="22">
        <f t="shared" si="88"/>
        <v>0</v>
      </c>
      <c r="BN67" s="22">
        <f t="shared" si="88"/>
        <v>0</v>
      </c>
      <c r="BO67" s="22">
        <f t="shared" si="88"/>
        <v>0</v>
      </c>
      <c r="BP67" s="22">
        <f t="shared" si="88"/>
        <v>0</v>
      </c>
      <c r="BQ67" s="22">
        <f t="shared" si="88"/>
        <v>0</v>
      </c>
      <c r="BR67" s="22">
        <f t="shared" si="88"/>
        <v>0</v>
      </c>
      <c r="BS67" s="22">
        <f t="shared" si="88"/>
        <v>0</v>
      </c>
      <c r="BT67" s="22">
        <f t="shared" si="88"/>
        <v>0</v>
      </c>
      <c r="BU67" s="22">
        <f t="shared" si="88"/>
        <v>0</v>
      </c>
      <c r="BV67" s="22">
        <f t="shared" si="88"/>
        <v>0</v>
      </c>
      <c r="BW67" s="22">
        <f t="shared" si="88"/>
        <v>0</v>
      </c>
      <c r="BX67" s="22">
        <f t="shared" si="88"/>
        <v>0</v>
      </c>
      <c r="BY67" s="22">
        <f t="shared" si="88"/>
        <v>0</v>
      </c>
      <c r="BZ67" s="22">
        <f t="shared" si="88"/>
        <v>0</v>
      </c>
      <c r="CA67" s="22">
        <f t="shared" si="88"/>
        <v>0</v>
      </c>
      <c r="CB67" s="22">
        <f t="shared" si="88"/>
        <v>0</v>
      </c>
      <c r="CC67" s="22">
        <f t="shared" si="73"/>
        <v>0.27606783573720206</v>
      </c>
    </row>
    <row r="68" spans="31:81" x14ac:dyDescent="0.25">
      <c r="AE68" s="6"/>
      <c r="AF68" s="23"/>
      <c r="AG68" s="6"/>
      <c r="AH68" s="6"/>
      <c r="AI68" s="6"/>
      <c r="AJ68" s="6"/>
      <c r="AK68" s="6"/>
      <c r="AL68" s="6"/>
      <c r="AM68" s="6"/>
      <c r="AN68" s="6"/>
      <c r="AO68" s="6"/>
      <c r="AR68" s="22">
        <f t="shared" ref="AR68:CB68" si="89">IF(AR30&gt;0,FORECAST(AR30,AR$9:AS$9,AR$7:AS$7),0)</f>
        <v>0</v>
      </c>
      <c r="AS68" s="22">
        <f t="shared" si="89"/>
        <v>0</v>
      </c>
      <c r="AT68" s="22">
        <f t="shared" si="89"/>
        <v>0</v>
      </c>
      <c r="AU68" s="22">
        <f t="shared" si="89"/>
        <v>0</v>
      </c>
      <c r="AV68" s="22">
        <f t="shared" si="89"/>
        <v>0</v>
      </c>
      <c r="AW68" s="22">
        <f t="shared" si="89"/>
        <v>0</v>
      </c>
      <c r="AX68" s="22">
        <f t="shared" si="89"/>
        <v>0</v>
      </c>
      <c r="AY68" s="22">
        <f t="shared" si="89"/>
        <v>0</v>
      </c>
      <c r="AZ68" s="22">
        <f t="shared" si="89"/>
        <v>0</v>
      </c>
      <c r="BA68" s="22">
        <f t="shared" si="89"/>
        <v>0</v>
      </c>
      <c r="BB68" s="22">
        <f t="shared" si="89"/>
        <v>0</v>
      </c>
      <c r="BC68" s="22">
        <f t="shared" si="89"/>
        <v>0</v>
      </c>
      <c r="BD68" s="22">
        <f t="shared" si="89"/>
        <v>0.27598669447607471</v>
      </c>
      <c r="BE68" s="22">
        <f t="shared" si="89"/>
        <v>0</v>
      </c>
      <c r="BF68" s="22">
        <f t="shared" si="89"/>
        <v>0</v>
      </c>
      <c r="BG68" s="22">
        <f t="shared" si="89"/>
        <v>0</v>
      </c>
      <c r="BH68" s="22">
        <f t="shared" si="89"/>
        <v>0</v>
      </c>
      <c r="BI68" s="22">
        <f t="shared" si="89"/>
        <v>0</v>
      </c>
      <c r="BJ68" s="22">
        <f t="shared" si="89"/>
        <v>0</v>
      </c>
      <c r="BK68" s="22">
        <f t="shared" si="89"/>
        <v>0</v>
      </c>
      <c r="BL68" s="22">
        <f t="shared" si="89"/>
        <v>0</v>
      </c>
      <c r="BM68" s="22">
        <f t="shared" si="89"/>
        <v>0</v>
      </c>
      <c r="BN68" s="22">
        <f t="shared" si="89"/>
        <v>0</v>
      </c>
      <c r="BO68" s="22">
        <f t="shared" si="89"/>
        <v>0</v>
      </c>
      <c r="BP68" s="22">
        <f t="shared" si="89"/>
        <v>0</v>
      </c>
      <c r="BQ68" s="22">
        <f t="shared" si="89"/>
        <v>0</v>
      </c>
      <c r="BR68" s="22">
        <f t="shared" si="89"/>
        <v>0</v>
      </c>
      <c r="BS68" s="22">
        <f t="shared" si="89"/>
        <v>0</v>
      </c>
      <c r="BT68" s="22">
        <f t="shared" si="89"/>
        <v>0</v>
      </c>
      <c r="BU68" s="22">
        <f t="shared" si="89"/>
        <v>0</v>
      </c>
      <c r="BV68" s="22">
        <f t="shared" si="89"/>
        <v>0</v>
      </c>
      <c r="BW68" s="22">
        <f t="shared" si="89"/>
        <v>0</v>
      </c>
      <c r="BX68" s="22">
        <f t="shared" si="89"/>
        <v>0</v>
      </c>
      <c r="BY68" s="22">
        <f t="shared" si="89"/>
        <v>0</v>
      </c>
      <c r="BZ68" s="22">
        <f t="shared" si="89"/>
        <v>0</v>
      </c>
      <c r="CA68" s="22">
        <f t="shared" si="89"/>
        <v>0</v>
      </c>
      <c r="CB68" s="22">
        <f t="shared" si="89"/>
        <v>0</v>
      </c>
      <c r="CC68" s="22">
        <f t="shared" si="73"/>
        <v>0.27598669447607471</v>
      </c>
    </row>
    <row r="69" spans="31:81" x14ac:dyDescent="0.25">
      <c r="AE69" s="6"/>
      <c r="AF69" s="23"/>
      <c r="AG69" s="6"/>
      <c r="AH69" s="6"/>
      <c r="AI69" s="6"/>
      <c r="AJ69" s="6"/>
      <c r="AK69" s="6"/>
      <c r="AL69" s="6"/>
      <c r="AM69" s="6"/>
      <c r="AN69" s="6"/>
      <c r="AO69" s="6"/>
      <c r="AR69" s="22">
        <f t="shared" ref="AR69:CB69" si="90">IF(AR31&gt;0,FORECAST(AR31,AR$9:AS$9,AR$7:AS$7),0)</f>
        <v>0</v>
      </c>
      <c r="AS69" s="22">
        <f t="shared" si="90"/>
        <v>0</v>
      </c>
      <c r="AT69" s="22">
        <f t="shared" si="90"/>
        <v>0</v>
      </c>
      <c r="AU69" s="22">
        <f t="shared" si="90"/>
        <v>0</v>
      </c>
      <c r="AV69" s="22">
        <f t="shared" si="90"/>
        <v>0</v>
      </c>
      <c r="AW69" s="22">
        <f t="shared" si="90"/>
        <v>0</v>
      </c>
      <c r="AX69" s="22">
        <f t="shared" si="90"/>
        <v>0</v>
      </c>
      <c r="AY69" s="22">
        <f t="shared" si="90"/>
        <v>0</v>
      </c>
      <c r="AZ69" s="22">
        <f t="shared" si="90"/>
        <v>0</v>
      </c>
      <c r="BA69" s="22">
        <f t="shared" si="90"/>
        <v>0</v>
      </c>
      <c r="BB69" s="22">
        <f t="shared" si="90"/>
        <v>0</v>
      </c>
      <c r="BC69" s="22">
        <f t="shared" si="90"/>
        <v>0</v>
      </c>
      <c r="BD69" s="22">
        <f t="shared" si="90"/>
        <v>0.27590069448418736</v>
      </c>
      <c r="BE69" s="22">
        <f t="shared" si="90"/>
        <v>0</v>
      </c>
      <c r="BF69" s="22">
        <f t="shared" si="90"/>
        <v>0</v>
      </c>
      <c r="BG69" s="22">
        <f t="shared" si="90"/>
        <v>0</v>
      </c>
      <c r="BH69" s="22">
        <f t="shared" si="90"/>
        <v>0</v>
      </c>
      <c r="BI69" s="22">
        <f t="shared" si="90"/>
        <v>0</v>
      </c>
      <c r="BJ69" s="22">
        <f t="shared" si="90"/>
        <v>0</v>
      </c>
      <c r="BK69" s="22">
        <f t="shared" si="90"/>
        <v>0</v>
      </c>
      <c r="BL69" s="22">
        <f t="shared" si="90"/>
        <v>0</v>
      </c>
      <c r="BM69" s="22">
        <f t="shared" si="90"/>
        <v>0</v>
      </c>
      <c r="BN69" s="22">
        <f t="shared" si="90"/>
        <v>0</v>
      </c>
      <c r="BO69" s="22">
        <f t="shared" si="90"/>
        <v>0</v>
      </c>
      <c r="BP69" s="22">
        <f t="shared" si="90"/>
        <v>0</v>
      </c>
      <c r="BQ69" s="22">
        <f t="shared" si="90"/>
        <v>0</v>
      </c>
      <c r="BR69" s="22">
        <f t="shared" si="90"/>
        <v>0</v>
      </c>
      <c r="BS69" s="22">
        <f t="shared" si="90"/>
        <v>0</v>
      </c>
      <c r="BT69" s="22">
        <f t="shared" si="90"/>
        <v>0</v>
      </c>
      <c r="BU69" s="22">
        <f t="shared" si="90"/>
        <v>0</v>
      </c>
      <c r="BV69" s="22">
        <f t="shared" si="90"/>
        <v>0</v>
      </c>
      <c r="BW69" s="22">
        <f t="shared" si="90"/>
        <v>0</v>
      </c>
      <c r="BX69" s="22">
        <f t="shared" si="90"/>
        <v>0</v>
      </c>
      <c r="BY69" s="22">
        <f t="shared" si="90"/>
        <v>0</v>
      </c>
      <c r="BZ69" s="22">
        <f t="shared" si="90"/>
        <v>0</v>
      </c>
      <c r="CA69" s="22">
        <f t="shared" si="90"/>
        <v>0</v>
      </c>
      <c r="CB69" s="22">
        <f t="shared" si="90"/>
        <v>0</v>
      </c>
      <c r="CC69" s="22">
        <f t="shared" si="73"/>
        <v>0.27590069448418736</v>
      </c>
    </row>
    <row r="70" spans="31:81" x14ac:dyDescent="0.25">
      <c r="AE70" s="6"/>
      <c r="AF70" s="23"/>
      <c r="AG70" s="6"/>
      <c r="AH70" s="6"/>
      <c r="AI70" s="6"/>
      <c r="AJ70" s="6"/>
      <c r="AK70" s="6"/>
      <c r="AL70" s="6"/>
      <c r="AM70" s="6"/>
      <c r="AN70" s="6"/>
      <c r="AO70" s="6"/>
      <c r="AR70" s="22">
        <f t="shared" ref="AR70:CB70" si="91">IF(AR32&gt;0,FORECAST(AR32,AR$9:AS$9,AR$7:AS$7),0)</f>
        <v>0</v>
      </c>
      <c r="AS70" s="22">
        <f t="shared" si="91"/>
        <v>0</v>
      </c>
      <c r="AT70" s="22">
        <f t="shared" si="91"/>
        <v>0</v>
      </c>
      <c r="AU70" s="22">
        <f t="shared" si="91"/>
        <v>0</v>
      </c>
      <c r="AV70" s="22">
        <f t="shared" si="91"/>
        <v>0</v>
      </c>
      <c r="AW70" s="22">
        <f t="shared" si="91"/>
        <v>0</v>
      </c>
      <c r="AX70" s="22">
        <f t="shared" si="91"/>
        <v>0</v>
      </c>
      <c r="AY70" s="22">
        <f t="shared" si="91"/>
        <v>0</v>
      </c>
      <c r="AZ70" s="22">
        <f t="shared" si="91"/>
        <v>0</v>
      </c>
      <c r="BA70" s="22">
        <f t="shared" si="91"/>
        <v>0</v>
      </c>
      <c r="BB70" s="22">
        <f t="shared" si="91"/>
        <v>0</v>
      </c>
      <c r="BC70" s="22">
        <f t="shared" si="91"/>
        <v>0</v>
      </c>
      <c r="BD70" s="22">
        <f t="shared" si="91"/>
        <v>0.27583478399514488</v>
      </c>
      <c r="BE70" s="22">
        <f t="shared" si="91"/>
        <v>0</v>
      </c>
      <c r="BF70" s="22">
        <f t="shared" si="91"/>
        <v>0</v>
      </c>
      <c r="BG70" s="22">
        <f t="shared" si="91"/>
        <v>0</v>
      </c>
      <c r="BH70" s="22">
        <f t="shared" si="91"/>
        <v>0</v>
      </c>
      <c r="BI70" s="22">
        <f t="shared" si="91"/>
        <v>0</v>
      </c>
      <c r="BJ70" s="22">
        <f t="shared" si="91"/>
        <v>0</v>
      </c>
      <c r="BK70" s="22">
        <f t="shared" si="91"/>
        <v>0</v>
      </c>
      <c r="BL70" s="22">
        <f t="shared" si="91"/>
        <v>0</v>
      </c>
      <c r="BM70" s="22">
        <f t="shared" si="91"/>
        <v>0</v>
      </c>
      <c r="BN70" s="22">
        <f t="shared" si="91"/>
        <v>0</v>
      </c>
      <c r="BO70" s="22">
        <f t="shared" si="91"/>
        <v>0</v>
      </c>
      <c r="BP70" s="22">
        <f t="shared" si="91"/>
        <v>0</v>
      </c>
      <c r="BQ70" s="22">
        <f t="shared" si="91"/>
        <v>0</v>
      </c>
      <c r="BR70" s="22">
        <f t="shared" si="91"/>
        <v>0</v>
      </c>
      <c r="BS70" s="22">
        <f t="shared" si="91"/>
        <v>0</v>
      </c>
      <c r="BT70" s="22">
        <f t="shared" si="91"/>
        <v>0</v>
      </c>
      <c r="BU70" s="22">
        <f t="shared" si="91"/>
        <v>0</v>
      </c>
      <c r="BV70" s="22">
        <f t="shared" si="91"/>
        <v>0</v>
      </c>
      <c r="BW70" s="22">
        <f t="shared" si="91"/>
        <v>0</v>
      </c>
      <c r="BX70" s="22">
        <f t="shared" si="91"/>
        <v>0</v>
      </c>
      <c r="BY70" s="22">
        <f t="shared" si="91"/>
        <v>0</v>
      </c>
      <c r="BZ70" s="22">
        <f t="shared" si="91"/>
        <v>0</v>
      </c>
      <c r="CA70" s="22">
        <f t="shared" si="91"/>
        <v>0</v>
      </c>
      <c r="CB70" s="22">
        <f t="shared" si="91"/>
        <v>0</v>
      </c>
      <c r="CC70" s="22">
        <f t="shared" si="73"/>
        <v>0.27583478399514488</v>
      </c>
    </row>
    <row r="71" spans="31:81" x14ac:dyDescent="0.25">
      <c r="AE71" s="6"/>
      <c r="AF71" s="23"/>
      <c r="AG71" s="6"/>
      <c r="AH71" s="6"/>
      <c r="AI71" s="6"/>
      <c r="AJ71" s="6"/>
      <c r="AK71" s="6"/>
      <c r="AL71" s="6"/>
      <c r="AM71" s="6"/>
      <c r="AN71" s="6"/>
      <c r="AO71" s="6"/>
      <c r="AR71" s="22">
        <f t="shared" ref="AR71:CB71" si="92">IF(AR33&gt;0,FORECAST(AR33,AR$9:AS$9,AR$7:AS$7),0)</f>
        <v>0</v>
      </c>
      <c r="AS71" s="22">
        <f t="shared" si="92"/>
        <v>0</v>
      </c>
      <c r="AT71" s="22">
        <f t="shared" si="92"/>
        <v>0</v>
      </c>
      <c r="AU71" s="22">
        <f t="shared" si="92"/>
        <v>0</v>
      </c>
      <c r="AV71" s="22">
        <f t="shared" si="92"/>
        <v>0</v>
      </c>
      <c r="AW71" s="22">
        <f t="shared" si="92"/>
        <v>0</v>
      </c>
      <c r="AX71" s="22">
        <f t="shared" si="92"/>
        <v>0</v>
      </c>
      <c r="AY71" s="22">
        <f t="shared" si="92"/>
        <v>0</v>
      </c>
      <c r="AZ71" s="22">
        <f t="shared" si="92"/>
        <v>0</v>
      </c>
      <c r="BA71" s="22">
        <f t="shared" si="92"/>
        <v>0</v>
      </c>
      <c r="BB71" s="22">
        <f t="shared" si="92"/>
        <v>0</v>
      </c>
      <c r="BC71" s="22">
        <f t="shared" si="92"/>
        <v>0</v>
      </c>
      <c r="BD71" s="22">
        <f t="shared" si="92"/>
        <v>0</v>
      </c>
      <c r="BE71" s="22">
        <f t="shared" si="92"/>
        <v>0.27602865193530651</v>
      </c>
      <c r="BF71" s="22">
        <f t="shared" si="92"/>
        <v>0</v>
      </c>
      <c r="BG71" s="22">
        <f t="shared" si="92"/>
        <v>0</v>
      </c>
      <c r="BH71" s="22">
        <f t="shared" si="92"/>
        <v>0</v>
      </c>
      <c r="BI71" s="22">
        <f t="shared" si="92"/>
        <v>0</v>
      </c>
      <c r="BJ71" s="22">
        <f t="shared" si="92"/>
        <v>0</v>
      </c>
      <c r="BK71" s="22">
        <f t="shared" si="92"/>
        <v>0</v>
      </c>
      <c r="BL71" s="22">
        <f t="shared" si="92"/>
        <v>0</v>
      </c>
      <c r="BM71" s="22">
        <f t="shared" si="92"/>
        <v>0</v>
      </c>
      <c r="BN71" s="22">
        <f t="shared" si="92"/>
        <v>0</v>
      </c>
      <c r="BO71" s="22">
        <f t="shared" si="92"/>
        <v>0</v>
      </c>
      <c r="BP71" s="22">
        <f t="shared" si="92"/>
        <v>0</v>
      </c>
      <c r="BQ71" s="22">
        <f t="shared" si="92"/>
        <v>0</v>
      </c>
      <c r="BR71" s="22">
        <f t="shared" si="92"/>
        <v>0</v>
      </c>
      <c r="BS71" s="22">
        <f t="shared" si="92"/>
        <v>0</v>
      </c>
      <c r="BT71" s="22">
        <f t="shared" si="92"/>
        <v>0</v>
      </c>
      <c r="BU71" s="22">
        <f t="shared" si="92"/>
        <v>0</v>
      </c>
      <c r="BV71" s="22">
        <f t="shared" si="92"/>
        <v>0</v>
      </c>
      <c r="BW71" s="22">
        <f t="shared" si="92"/>
        <v>0</v>
      </c>
      <c r="BX71" s="22">
        <f t="shared" si="92"/>
        <v>0</v>
      </c>
      <c r="BY71" s="22">
        <f t="shared" si="92"/>
        <v>0</v>
      </c>
      <c r="BZ71" s="22">
        <f t="shared" si="92"/>
        <v>0</v>
      </c>
      <c r="CA71" s="22">
        <f t="shared" si="92"/>
        <v>0</v>
      </c>
      <c r="CB71" s="22">
        <f t="shared" si="92"/>
        <v>0</v>
      </c>
      <c r="CC71" s="22">
        <f t="shared" ref="CC71:CC81" si="93">SUM(AR71:CB71)</f>
        <v>0.27602865193530651</v>
      </c>
    </row>
    <row r="72" spans="31:81" x14ac:dyDescent="0.25">
      <c r="AE72" s="6"/>
      <c r="AF72" s="23"/>
      <c r="AG72" s="6"/>
      <c r="AH72" s="6"/>
      <c r="AI72" s="6"/>
      <c r="AJ72" s="6"/>
      <c r="AK72" s="6"/>
      <c r="AL72" s="6"/>
      <c r="AM72" s="6"/>
      <c r="AN72" s="6"/>
      <c r="AO72" s="6"/>
      <c r="AR72" s="22">
        <f t="shared" ref="AR72:CB72" si="94">IF(AR34&gt;0,FORECAST(AR34,AR$9:AS$9,AR$7:AS$7),0)</f>
        <v>0</v>
      </c>
      <c r="AS72" s="22">
        <f t="shared" si="94"/>
        <v>0</v>
      </c>
      <c r="AT72" s="22">
        <f t="shared" si="94"/>
        <v>0</v>
      </c>
      <c r="AU72" s="22">
        <f t="shared" si="94"/>
        <v>0</v>
      </c>
      <c r="AV72" s="22">
        <f t="shared" si="94"/>
        <v>0</v>
      </c>
      <c r="AW72" s="22">
        <f t="shared" si="94"/>
        <v>0</v>
      </c>
      <c r="AX72" s="22">
        <f t="shared" si="94"/>
        <v>0</v>
      </c>
      <c r="AY72" s="22">
        <f t="shared" si="94"/>
        <v>0</v>
      </c>
      <c r="AZ72" s="22">
        <f t="shared" si="94"/>
        <v>0</v>
      </c>
      <c r="BA72" s="22">
        <f t="shared" si="94"/>
        <v>0</v>
      </c>
      <c r="BB72" s="22">
        <f t="shared" si="94"/>
        <v>0</v>
      </c>
      <c r="BC72" s="22">
        <f t="shared" si="94"/>
        <v>0</v>
      </c>
      <c r="BD72" s="22">
        <f t="shared" si="94"/>
        <v>0</v>
      </c>
      <c r="BE72" s="22">
        <f t="shared" si="94"/>
        <v>0.27635542043724765</v>
      </c>
      <c r="BF72" s="22">
        <f t="shared" si="94"/>
        <v>0</v>
      </c>
      <c r="BG72" s="22">
        <f t="shared" si="94"/>
        <v>0</v>
      </c>
      <c r="BH72" s="22">
        <f t="shared" si="94"/>
        <v>0</v>
      </c>
      <c r="BI72" s="22">
        <f t="shared" si="94"/>
        <v>0</v>
      </c>
      <c r="BJ72" s="22">
        <f t="shared" si="94"/>
        <v>0</v>
      </c>
      <c r="BK72" s="22">
        <f t="shared" si="94"/>
        <v>0</v>
      </c>
      <c r="BL72" s="22">
        <f t="shared" si="94"/>
        <v>0</v>
      </c>
      <c r="BM72" s="22">
        <f t="shared" si="94"/>
        <v>0</v>
      </c>
      <c r="BN72" s="22">
        <f t="shared" si="94"/>
        <v>0</v>
      </c>
      <c r="BO72" s="22">
        <f t="shared" si="94"/>
        <v>0</v>
      </c>
      <c r="BP72" s="22">
        <f t="shared" si="94"/>
        <v>0</v>
      </c>
      <c r="BQ72" s="22">
        <f t="shared" si="94"/>
        <v>0</v>
      </c>
      <c r="BR72" s="22">
        <f t="shared" si="94"/>
        <v>0</v>
      </c>
      <c r="BS72" s="22">
        <f t="shared" si="94"/>
        <v>0</v>
      </c>
      <c r="BT72" s="22">
        <f t="shared" si="94"/>
        <v>0</v>
      </c>
      <c r="BU72" s="22">
        <f t="shared" si="94"/>
        <v>0</v>
      </c>
      <c r="BV72" s="22">
        <f t="shared" si="94"/>
        <v>0</v>
      </c>
      <c r="BW72" s="22">
        <f t="shared" si="94"/>
        <v>0</v>
      </c>
      <c r="BX72" s="22">
        <f t="shared" si="94"/>
        <v>0</v>
      </c>
      <c r="BY72" s="22">
        <f t="shared" si="94"/>
        <v>0</v>
      </c>
      <c r="BZ72" s="22">
        <f t="shared" si="94"/>
        <v>0</v>
      </c>
      <c r="CA72" s="22">
        <f t="shared" si="94"/>
        <v>0</v>
      </c>
      <c r="CB72" s="22">
        <f t="shared" si="94"/>
        <v>0</v>
      </c>
      <c r="CC72" s="22">
        <f t="shared" si="93"/>
        <v>0.27635542043724765</v>
      </c>
    </row>
    <row r="73" spans="31:81" x14ac:dyDescent="0.25">
      <c r="AE73" s="6"/>
      <c r="AF73" s="23"/>
      <c r="AG73" s="6"/>
      <c r="AH73" s="6"/>
      <c r="AI73" s="6"/>
      <c r="AJ73" s="6"/>
      <c r="AK73" s="6"/>
      <c r="AL73" s="6"/>
      <c r="AM73" s="6"/>
      <c r="AN73" s="6"/>
      <c r="AO73" s="6"/>
      <c r="AR73" s="22">
        <f t="shared" ref="AR73:CB73" si="95">IF(AR35&gt;0,FORECAST(AR35,AR$9:AS$9,AR$7:AS$7),0)</f>
        <v>0</v>
      </c>
      <c r="AS73" s="22">
        <f t="shared" si="95"/>
        <v>0</v>
      </c>
      <c r="AT73" s="22">
        <f t="shared" si="95"/>
        <v>0</v>
      </c>
      <c r="AU73" s="22">
        <f t="shared" si="95"/>
        <v>0</v>
      </c>
      <c r="AV73" s="22">
        <f t="shared" si="95"/>
        <v>0</v>
      </c>
      <c r="AW73" s="22">
        <f t="shared" si="95"/>
        <v>0</v>
      </c>
      <c r="AX73" s="22">
        <f t="shared" si="95"/>
        <v>0</v>
      </c>
      <c r="AY73" s="22">
        <f t="shared" si="95"/>
        <v>0</v>
      </c>
      <c r="AZ73" s="22">
        <f t="shared" si="95"/>
        <v>0</v>
      </c>
      <c r="BA73" s="22">
        <f t="shared" si="95"/>
        <v>0</v>
      </c>
      <c r="BB73" s="22">
        <f t="shared" si="95"/>
        <v>0</v>
      </c>
      <c r="BC73" s="22">
        <f t="shared" si="95"/>
        <v>0</v>
      </c>
      <c r="BD73" s="22">
        <f t="shared" si="95"/>
        <v>0</v>
      </c>
      <c r="BE73" s="22">
        <f t="shared" si="95"/>
        <v>0.27672420028044231</v>
      </c>
      <c r="BF73" s="22">
        <f t="shared" si="95"/>
        <v>0</v>
      </c>
      <c r="BG73" s="22">
        <f t="shared" si="95"/>
        <v>0</v>
      </c>
      <c r="BH73" s="22">
        <f t="shared" si="95"/>
        <v>0</v>
      </c>
      <c r="BI73" s="22">
        <f t="shared" si="95"/>
        <v>0</v>
      </c>
      <c r="BJ73" s="22">
        <f t="shared" si="95"/>
        <v>0</v>
      </c>
      <c r="BK73" s="22">
        <f t="shared" si="95"/>
        <v>0</v>
      </c>
      <c r="BL73" s="22">
        <f t="shared" si="95"/>
        <v>0</v>
      </c>
      <c r="BM73" s="22">
        <f t="shared" si="95"/>
        <v>0</v>
      </c>
      <c r="BN73" s="22">
        <f t="shared" si="95"/>
        <v>0</v>
      </c>
      <c r="BO73" s="22">
        <f t="shared" si="95"/>
        <v>0</v>
      </c>
      <c r="BP73" s="22">
        <f t="shared" si="95"/>
        <v>0</v>
      </c>
      <c r="BQ73" s="22">
        <f t="shared" si="95"/>
        <v>0</v>
      </c>
      <c r="BR73" s="22">
        <f t="shared" si="95"/>
        <v>0</v>
      </c>
      <c r="BS73" s="22">
        <f t="shared" si="95"/>
        <v>0</v>
      </c>
      <c r="BT73" s="22">
        <f t="shared" si="95"/>
        <v>0</v>
      </c>
      <c r="BU73" s="22">
        <f t="shared" si="95"/>
        <v>0</v>
      </c>
      <c r="BV73" s="22">
        <f t="shared" si="95"/>
        <v>0</v>
      </c>
      <c r="BW73" s="22">
        <f t="shared" si="95"/>
        <v>0</v>
      </c>
      <c r="BX73" s="22">
        <f t="shared" si="95"/>
        <v>0</v>
      </c>
      <c r="BY73" s="22">
        <f t="shared" si="95"/>
        <v>0</v>
      </c>
      <c r="BZ73" s="22">
        <f t="shared" si="95"/>
        <v>0</v>
      </c>
      <c r="CA73" s="22">
        <f t="shared" si="95"/>
        <v>0</v>
      </c>
      <c r="CB73" s="22">
        <f t="shared" si="95"/>
        <v>0</v>
      </c>
      <c r="CC73" s="22">
        <f t="shared" si="93"/>
        <v>0.27672420028044231</v>
      </c>
    </row>
    <row r="74" spans="31:81" x14ac:dyDescent="0.25">
      <c r="AE74" s="6"/>
      <c r="AF74" s="23"/>
      <c r="AG74" s="6"/>
      <c r="AH74" s="6"/>
      <c r="AI74" s="6"/>
      <c r="AJ74" s="6"/>
      <c r="AK74" s="6"/>
      <c r="AL74" s="6"/>
      <c r="AM74" s="6"/>
      <c r="AN74" s="6"/>
      <c r="AO74" s="6"/>
      <c r="AR74" s="22">
        <f t="shared" ref="AR74:CB74" si="96">IF(AR36&gt;0,FORECAST(AR36,AR$9:AS$9,AR$7:AS$7),0)</f>
        <v>0</v>
      </c>
      <c r="AS74" s="22">
        <f t="shared" si="96"/>
        <v>0</v>
      </c>
      <c r="AT74" s="22">
        <f t="shared" si="96"/>
        <v>0</v>
      </c>
      <c r="AU74" s="22">
        <f t="shared" si="96"/>
        <v>0</v>
      </c>
      <c r="AV74" s="22">
        <f t="shared" si="96"/>
        <v>0</v>
      </c>
      <c r="AW74" s="22">
        <f t="shared" si="96"/>
        <v>0</v>
      </c>
      <c r="AX74" s="22">
        <f t="shared" si="96"/>
        <v>0</v>
      </c>
      <c r="AY74" s="22">
        <f t="shared" si="96"/>
        <v>0</v>
      </c>
      <c r="AZ74" s="22">
        <f t="shared" si="96"/>
        <v>0</v>
      </c>
      <c r="BA74" s="22">
        <f t="shared" si="96"/>
        <v>0</v>
      </c>
      <c r="BB74" s="22">
        <f t="shared" si="96"/>
        <v>0</v>
      </c>
      <c r="BC74" s="22">
        <f t="shared" si="96"/>
        <v>0</v>
      </c>
      <c r="BD74" s="22">
        <f t="shared" si="96"/>
        <v>0</v>
      </c>
      <c r="BE74" s="22">
        <f t="shared" si="96"/>
        <v>0.27699560942639057</v>
      </c>
      <c r="BF74" s="22">
        <f t="shared" si="96"/>
        <v>0</v>
      </c>
      <c r="BG74" s="22">
        <f t="shared" si="96"/>
        <v>0</v>
      </c>
      <c r="BH74" s="22">
        <f t="shared" si="96"/>
        <v>0</v>
      </c>
      <c r="BI74" s="22">
        <f t="shared" si="96"/>
        <v>0</v>
      </c>
      <c r="BJ74" s="22">
        <f t="shared" si="96"/>
        <v>0</v>
      </c>
      <c r="BK74" s="22">
        <f t="shared" si="96"/>
        <v>0</v>
      </c>
      <c r="BL74" s="22">
        <f t="shared" si="96"/>
        <v>0</v>
      </c>
      <c r="BM74" s="22">
        <f t="shared" si="96"/>
        <v>0</v>
      </c>
      <c r="BN74" s="22">
        <f t="shared" si="96"/>
        <v>0</v>
      </c>
      <c r="BO74" s="22">
        <f t="shared" si="96"/>
        <v>0</v>
      </c>
      <c r="BP74" s="22">
        <f t="shared" si="96"/>
        <v>0</v>
      </c>
      <c r="BQ74" s="22">
        <f t="shared" si="96"/>
        <v>0</v>
      </c>
      <c r="BR74" s="22">
        <f t="shared" si="96"/>
        <v>0</v>
      </c>
      <c r="BS74" s="22">
        <f t="shared" si="96"/>
        <v>0</v>
      </c>
      <c r="BT74" s="22">
        <f t="shared" si="96"/>
        <v>0</v>
      </c>
      <c r="BU74" s="22">
        <f t="shared" si="96"/>
        <v>0</v>
      </c>
      <c r="BV74" s="22">
        <f t="shared" si="96"/>
        <v>0</v>
      </c>
      <c r="BW74" s="22">
        <f t="shared" si="96"/>
        <v>0</v>
      </c>
      <c r="BX74" s="22">
        <f t="shared" si="96"/>
        <v>0</v>
      </c>
      <c r="BY74" s="22">
        <f t="shared" si="96"/>
        <v>0</v>
      </c>
      <c r="BZ74" s="22">
        <f t="shared" si="96"/>
        <v>0</v>
      </c>
      <c r="CA74" s="22">
        <f t="shared" si="96"/>
        <v>0</v>
      </c>
      <c r="CB74" s="22">
        <f t="shared" si="96"/>
        <v>0</v>
      </c>
      <c r="CC74" s="22">
        <f t="shared" si="93"/>
        <v>0.27699560942639057</v>
      </c>
    </row>
    <row r="75" spans="31:81" x14ac:dyDescent="0.25">
      <c r="AE75" s="6"/>
      <c r="AF75" s="23"/>
      <c r="AG75" s="6"/>
      <c r="AH75" s="6"/>
      <c r="AI75" s="6"/>
      <c r="AJ75" s="6"/>
      <c r="AK75" s="6"/>
      <c r="AL75" s="6"/>
      <c r="AM75" s="6"/>
      <c r="AN75" s="6"/>
      <c r="AO75" s="6"/>
      <c r="AR75" s="22">
        <f t="shared" ref="AR75:CB75" si="97">IF(AR37&gt;0,FORECAST(AR37,AR$9:AS$9,AR$7:AS$7),0)</f>
        <v>0</v>
      </c>
      <c r="AS75" s="22">
        <f t="shared" si="97"/>
        <v>0</v>
      </c>
      <c r="AT75" s="22">
        <f t="shared" si="97"/>
        <v>0</v>
      </c>
      <c r="AU75" s="22">
        <f t="shared" si="97"/>
        <v>0</v>
      </c>
      <c r="AV75" s="22">
        <f t="shared" si="97"/>
        <v>0</v>
      </c>
      <c r="AW75" s="22">
        <f t="shared" si="97"/>
        <v>0</v>
      </c>
      <c r="AX75" s="22">
        <f t="shared" si="97"/>
        <v>0</v>
      </c>
      <c r="AY75" s="22">
        <f t="shared" si="97"/>
        <v>0</v>
      </c>
      <c r="AZ75" s="22">
        <f t="shared" si="97"/>
        <v>0</v>
      </c>
      <c r="BA75" s="22">
        <f t="shared" si="97"/>
        <v>0</v>
      </c>
      <c r="BB75" s="22">
        <f t="shared" si="97"/>
        <v>0</v>
      </c>
      <c r="BC75" s="22">
        <f t="shared" si="97"/>
        <v>0</v>
      </c>
      <c r="BD75" s="22">
        <f t="shared" si="97"/>
        <v>0</v>
      </c>
      <c r="BE75" s="22">
        <f t="shared" si="97"/>
        <v>0.27730543614061015</v>
      </c>
      <c r="BF75" s="22">
        <f t="shared" si="97"/>
        <v>0</v>
      </c>
      <c r="BG75" s="22">
        <f t="shared" si="97"/>
        <v>0</v>
      </c>
      <c r="BH75" s="22">
        <f t="shared" si="97"/>
        <v>0</v>
      </c>
      <c r="BI75" s="22">
        <f t="shared" si="97"/>
        <v>0</v>
      </c>
      <c r="BJ75" s="22">
        <f t="shared" si="97"/>
        <v>0</v>
      </c>
      <c r="BK75" s="22">
        <f t="shared" si="97"/>
        <v>0</v>
      </c>
      <c r="BL75" s="22">
        <f t="shared" si="97"/>
        <v>0</v>
      </c>
      <c r="BM75" s="22">
        <f t="shared" si="97"/>
        <v>0</v>
      </c>
      <c r="BN75" s="22">
        <f t="shared" si="97"/>
        <v>0</v>
      </c>
      <c r="BO75" s="22">
        <f t="shared" si="97"/>
        <v>0</v>
      </c>
      <c r="BP75" s="22">
        <f t="shared" si="97"/>
        <v>0</v>
      </c>
      <c r="BQ75" s="22">
        <f t="shared" si="97"/>
        <v>0</v>
      </c>
      <c r="BR75" s="22">
        <f t="shared" si="97"/>
        <v>0</v>
      </c>
      <c r="BS75" s="22">
        <f t="shared" si="97"/>
        <v>0</v>
      </c>
      <c r="BT75" s="22">
        <f t="shared" si="97"/>
        <v>0</v>
      </c>
      <c r="BU75" s="22">
        <f t="shared" si="97"/>
        <v>0</v>
      </c>
      <c r="BV75" s="22">
        <f t="shared" si="97"/>
        <v>0</v>
      </c>
      <c r="BW75" s="22">
        <f t="shared" si="97"/>
        <v>0</v>
      </c>
      <c r="BX75" s="22">
        <f t="shared" si="97"/>
        <v>0</v>
      </c>
      <c r="BY75" s="22">
        <f t="shared" si="97"/>
        <v>0</v>
      </c>
      <c r="BZ75" s="22">
        <f t="shared" si="97"/>
        <v>0</v>
      </c>
      <c r="CA75" s="22">
        <f t="shared" si="97"/>
        <v>0</v>
      </c>
      <c r="CB75" s="22">
        <f t="shared" si="97"/>
        <v>0</v>
      </c>
      <c r="CC75" s="22">
        <f t="shared" si="93"/>
        <v>0.27730543614061015</v>
      </c>
    </row>
    <row r="76" spans="31:81" x14ac:dyDescent="0.25">
      <c r="AE76" s="6"/>
      <c r="AF76" s="23"/>
      <c r="AG76" s="6"/>
      <c r="AH76" s="6"/>
      <c r="AI76" s="6"/>
      <c r="AJ76" s="6"/>
      <c r="AK76" s="6"/>
      <c r="AL76" s="6"/>
      <c r="AM76" s="6"/>
      <c r="AN76" s="6"/>
      <c r="AO76" s="6"/>
      <c r="AR76" s="22">
        <f t="shared" ref="AR76:CB76" si="98">IF(AR38&gt;0,FORECAST(AR38,AR$9:AS$9,AR$7:AS$7),0)</f>
        <v>0</v>
      </c>
      <c r="AS76" s="22">
        <f t="shared" si="98"/>
        <v>0</v>
      </c>
      <c r="AT76" s="22">
        <f t="shared" si="98"/>
        <v>0</v>
      </c>
      <c r="AU76" s="22">
        <f t="shared" si="98"/>
        <v>0</v>
      </c>
      <c r="AV76" s="22">
        <f t="shared" si="98"/>
        <v>0</v>
      </c>
      <c r="AW76" s="22">
        <f t="shared" si="98"/>
        <v>0</v>
      </c>
      <c r="AX76" s="22">
        <f t="shared" si="98"/>
        <v>0</v>
      </c>
      <c r="AY76" s="22">
        <f t="shared" si="98"/>
        <v>0</v>
      </c>
      <c r="AZ76" s="22">
        <f t="shared" si="98"/>
        <v>0</v>
      </c>
      <c r="BA76" s="22">
        <f t="shared" si="98"/>
        <v>0</v>
      </c>
      <c r="BB76" s="22">
        <f t="shared" si="98"/>
        <v>0</v>
      </c>
      <c r="BC76" s="22">
        <f t="shared" si="98"/>
        <v>0</v>
      </c>
      <c r="BD76" s="22">
        <f t="shared" si="98"/>
        <v>0</v>
      </c>
      <c r="BE76" s="22">
        <f t="shared" si="98"/>
        <v>0.2782343236268992</v>
      </c>
      <c r="BF76" s="22">
        <f t="shared" si="98"/>
        <v>0</v>
      </c>
      <c r="BG76" s="22">
        <f t="shared" si="98"/>
        <v>0</v>
      </c>
      <c r="BH76" s="22">
        <f t="shared" si="98"/>
        <v>0</v>
      </c>
      <c r="BI76" s="22">
        <f t="shared" si="98"/>
        <v>0</v>
      </c>
      <c r="BJ76" s="22">
        <f t="shared" si="98"/>
        <v>0</v>
      </c>
      <c r="BK76" s="22">
        <f t="shared" si="98"/>
        <v>0</v>
      </c>
      <c r="BL76" s="22">
        <f t="shared" si="98"/>
        <v>0</v>
      </c>
      <c r="BM76" s="22">
        <f t="shared" si="98"/>
        <v>0</v>
      </c>
      <c r="BN76" s="22">
        <f t="shared" si="98"/>
        <v>0</v>
      </c>
      <c r="BO76" s="22">
        <f t="shared" si="98"/>
        <v>0</v>
      </c>
      <c r="BP76" s="22">
        <f t="shared" si="98"/>
        <v>0</v>
      </c>
      <c r="BQ76" s="22">
        <f t="shared" si="98"/>
        <v>0</v>
      </c>
      <c r="BR76" s="22">
        <f t="shared" si="98"/>
        <v>0</v>
      </c>
      <c r="BS76" s="22">
        <f t="shared" si="98"/>
        <v>0</v>
      </c>
      <c r="BT76" s="22">
        <f t="shared" si="98"/>
        <v>0</v>
      </c>
      <c r="BU76" s="22">
        <f t="shared" si="98"/>
        <v>0</v>
      </c>
      <c r="BV76" s="22">
        <f t="shared" si="98"/>
        <v>0</v>
      </c>
      <c r="BW76" s="22">
        <f t="shared" si="98"/>
        <v>0</v>
      </c>
      <c r="BX76" s="22">
        <f t="shared" si="98"/>
        <v>0</v>
      </c>
      <c r="BY76" s="22">
        <f t="shared" si="98"/>
        <v>0</v>
      </c>
      <c r="BZ76" s="22">
        <f t="shared" si="98"/>
        <v>0</v>
      </c>
      <c r="CA76" s="22">
        <f t="shared" si="98"/>
        <v>0</v>
      </c>
      <c r="CB76" s="22">
        <f t="shared" si="98"/>
        <v>0</v>
      </c>
      <c r="CC76" s="22">
        <f t="shared" si="93"/>
        <v>0.2782343236268992</v>
      </c>
    </row>
    <row r="77" spans="31:81" x14ac:dyDescent="0.25">
      <c r="AE77" s="6"/>
      <c r="AF77" s="23"/>
      <c r="AG77" s="6"/>
      <c r="AH77" s="6"/>
      <c r="AI77" s="6"/>
      <c r="AJ77" s="6"/>
      <c r="AK77" s="6"/>
      <c r="AL77" s="6"/>
      <c r="AM77" s="6"/>
      <c r="AN77" s="6"/>
      <c r="AO77" s="6"/>
      <c r="AR77" s="22">
        <f t="shared" ref="AR77:CB77" si="99">IF(AR39&gt;0,FORECAST(AR39,AR$9:AS$9,AR$7:AS$7),0)</f>
        <v>0</v>
      </c>
      <c r="AS77" s="22">
        <f t="shared" si="99"/>
        <v>0</v>
      </c>
      <c r="AT77" s="22">
        <f t="shared" si="99"/>
        <v>0</v>
      </c>
      <c r="AU77" s="22">
        <f t="shared" si="99"/>
        <v>0</v>
      </c>
      <c r="AV77" s="22">
        <f t="shared" si="99"/>
        <v>0</v>
      </c>
      <c r="AW77" s="22">
        <f t="shared" si="99"/>
        <v>0</v>
      </c>
      <c r="AX77" s="22">
        <f t="shared" si="99"/>
        <v>0</v>
      </c>
      <c r="AY77" s="22">
        <f t="shared" si="99"/>
        <v>0</v>
      </c>
      <c r="AZ77" s="22">
        <f t="shared" si="99"/>
        <v>0</v>
      </c>
      <c r="BA77" s="22">
        <f t="shared" si="99"/>
        <v>0</v>
      </c>
      <c r="BB77" s="22">
        <f t="shared" si="99"/>
        <v>0</v>
      </c>
      <c r="BC77" s="22">
        <f t="shared" si="99"/>
        <v>0</v>
      </c>
      <c r="BD77" s="22">
        <f t="shared" si="99"/>
        <v>0</v>
      </c>
      <c r="BE77" s="22">
        <f t="shared" si="99"/>
        <v>0</v>
      </c>
      <c r="BF77" s="22">
        <f t="shared" si="99"/>
        <v>0.27580773066860426</v>
      </c>
      <c r="BG77" s="22">
        <f t="shared" si="99"/>
        <v>0</v>
      </c>
      <c r="BH77" s="22">
        <f t="shared" si="99"/>
        <v>0</v>
      </c>
      <c r="BI77" s="22">
        <f t="shared" si="99"/>
        <v>0</v>
      </c>
      <c r="BJ77" s="22">
        <f t="shared" si="99"/>
        <v>0</v>
      </c>
      <c r="BK77" s="22">
        <f t="shared" si="99"/>
        <v>0</v>
      </c>
      <c r="BL77" s="22">
        <f t="shared" si="99"/>
        <v>0</v>
      </c>
      <c r="BM77" s="22">
        <f t="shared" si="99"/>
        <v>0</v>
      </c>
      <c r="BN77" s="22">
        <f t="shared" si="99"/>
        <v>0</v>
      </c>
      <c r="BO77" s="22">
        <f t="shared" si="99"/>
        <v>0</v>
      </c>
      <c r="BP77" s="22">
        <f t="shared" si="99"/>
        <v>0</v>
      </c>
      <c r="BQ77" s="22">
        <f t="shared" si="99"/>
        <v>0</v>
      </c>
      <c r="BR77" s="22">
        <f t="shared" si="99"/>
        <v>0</v>
      </c>
      <c r="BS77" s="22">
        <f t="shared" si="99"/>
        <v>0</v>
      </c>
      <c r="BT77" s="22">
        <f t="shared" si="99"/>
        <v>0</v>
      </c>
      <c r="BU77" s="22">
        <f t="shared" si="99"/>
        <v>0</v>
      </c>
      <c r="BV77" s="22">
        <f t="shared" si="99"/>
        <v>0</v>
      </c>
      <c r="BW77" s="22">
        <f t="shared" si="99"/>
        <v>0</v>
      </c>
      <c r="BX77" s="22">
        <f t="shared" si="99"/>
        <v>0</v>
      </c>
      <c r="BY77" s="22">
        <f t="shared" si="99"/>
        <v>0</v>
      </c>
      <c r="BZ77" s="22">
        <f t="shared" si="99"/>
        <v>0</v>
      </c>
      <c r="CA77" s="22">
        <f t="shared" si="99"/>
        <v>0</v>
      </c>
      <c r="CB77" s="22">
        <f t="shared" si="99"/>
        <v>0</v>
      </c>
      <c r="CC77" s="22">
        <f t="shared" si="93"/>
        <v>0.27580773066860426</v>
      </c>
    </row>
    <row r="78" spans="31:81" x14ac:dyDescent="0.25">
      <c r="AE78" s="6"/>
      <c r="AF78" s="23"/>
      <c r="AG78" s="6"/>
      <c r="AH78" s="6"/>
      <c r="AI78" s="6"/>
      <c r="AJ78" s="6"/>
      <c r="AK78" s="6"/>
      <c r="AL78" s="6"/>
      <c r="AM78" s="6"/>
      <c r="AN78" s="6"/>
      <c r="AO78" s="6"/>
      <c r="AR78" s="22">
        <f t="shared" ref="AR78:CB78" si="100">IF(AR40&gt;0,FORECAST(AR40,AR$9:AS$9,AR$7:AS$7),0)</f>
        <v>0</v>
      </c>
      <c r="AS78" s="22">
        <f t="shared" si="100"/>
        <v>0</v>
      </c>
      <c r="AT78" s="22">
        <f t="shared" si="100"/>
        <v>0</v>
      </c>
      <c r="AU78" s="22">
        <f t="shared" si="100"/>
        <v>0</v>
      </c>
      <c r="AV78" s="22">
        <f t="shared" si="100"/>
        <v>0</v>
      </c>
      <c r="AW78" s="22">
        <f t="shared" si="100"/>
        <v>0</v>
      </c>
      <c r="AX78" s="22">
        <f t="shared" si="100"/>
        <v>0</v>
      </c>
      <c r="AY78" s="22">
        <f t="shared" si="100"/>
        <v>0</v>
      </c>
      <c r="AZ78" s="22">
        <f t="shared" si="100"/>
        <v>0</v>
      </c>
      <c r="BA78" s="22">
        <f t="shared" si="100"/>
        <v>0</v>
      </c>
      <c r="BB78" s="22">
        <f t="shared" si="100"/>
        <v>0</v>
      </c>
      <c r="BC78" s="22">
        <f t="shared" si="100"/>
        <v>0</v>
      </c>
      <c r="BD78" s="22">
        <f t="shared" si="100"/>
        <v>0</v>
      </c>
      <c r="BE78" s="22">
        <f t="shared" si="100"/>
        <v>0</v>
      </c>
      <c r="BF78" s="22">
        <f t="shared" si="100"/>
        <v>0.27217861579928021</v>
      </c>
      <c r="BG78" s="22">
        <f t="shared" si="100"/>
        <v>0</v>
      </c>
      <c r="BH78" s="22">
        <f t="shared" si="100"/>
        <v>0</v>
      </c>
      <c r="BI78" s="22">
        <f t="shared" si="100"/>
        <v>0</v>
      </c>
      <c r="BJ78" s="22">
        <f t="shared" si="100"/>
        <v>0</v>
      </c>
      <c r="BK78" s="22">
        <f t="shared" si="100"/>
        <v>0</v>
      </c>
      <c r="BL78" s="22">
        <f t="shared" si="100"/>
        <v>0</v>
      </c>
      <c r="BM78" s="22">
        <f t="shared" si="100"/>
        <v>0</v>
      </c>
      <c r="BN78" s="22">
        <f t="shared" si="100"/>
        <v>0</v>
      </c>
      <c r="BO78" s="22">
        <f t="shared" si="100"/>
        <v>0</v>
      </c>
      <c r="BP78" s="22">
        <f t="shared" si="100"/>
        <v>0</v>
      </c>
      <c r="BQ78" s="22">
        <f t="shared" si="100"/>
        <v>0</v>
      </c>
      <c r="BR78" s="22">
        <f t="shared" si="100"/>
        <v>0</v>
      </c>
      <c r="BS78" s="22">
        <f t="shared" si="100"/>
        <v>0</v>
      </c>
      <c r="BT78" s="22">
        <f t="shared" si="100"/>
        <v>0</v>
      </c>
      <c r="BU78" s="22">
        <f t="shared" si="100"/>
        <v>0</v>
      </c>
      <c r="BV78" s="22">
        <f t="shared" si="100"/>
        <v>0</v>
      </c>
      <c r="BW78" s="22">
        <f t="shared" si="100"/>
        <v>0</v>
      </c>
      <c r="BX78" s="22">
        <f t="shared" si="100"/>
        <v>0</v>
      </c>
      <c r="BY78" s="22">
        <f t="shared" si="100"/>
        <v>0</v>
      </c>
      <c r="BZ78" s="22">
        <f t="shared" si="100"/>
        <v>0</v>
      </c>
      <c r="CA78" s="22">
        <f t="shared" si="100"/>
        <v>0</v>
      </c>
      <c r="CB78" s="22">
        <f t="shared" si="100"/>
        <v>0</v>
      </c>
      <c r="CC78" s="22">
        <f t="shared" si="93"/>
        <v>0.27217861579928021</v>
      </c>
    </row>
    <row r="79" spans="31:81" x14ac:dyDescent="0.25">
      <c r="AE79" s="6"/>
      <c r="AF79" s="23"/>
      <c r="AG79" s="6"/>
      <c r="AH79" s="6"/>
      <c r="AI79" s="6"/>
      <c r="AJ79" s="6"/>
      <c r="AK79" s="6"/>
      <c r="AL79" s="6"/>
      <c r="AM79" s="6"/>
      <c r="AN79" s="6"/>
      <c r="AO79" s="6"/>
      <c r="AR79" s="22">
        <f t="shared" ref="AR79:CB79" si="101">IF(AR41&gt;0,FORECAST(AR41,AR$9:AS$9,AR$7:AS$7),0)</f>
        <v>0</v>
      </c>
      <c r="AS79" s="22">
        <f t="shared" si="101"/>
        <v>0</v>
      </c>
      <c r="AT79" s="22">
        <f t="shared" si="101"/>
        <v>0</v>
      </c>
      <c r="AU79" s="22">
        <f t="shared" si="101"/>
        <v>0</v>
      </c>
      <c r="AV79" s="22">
        <f t="shared" si="101"/>
        <v>0</v>
      </c>
      <c r="AW79" s="22">
        <f t="shared" si="101"/>
        <v>0</v>
      </c>
      <c r="AX79" s="22">
        <f t="shared" si="101"/>
        <v>0</v>
      </c>
      <c r="AY79" s="22">
        <f t="shared" si="101"/>
        <v>0</v>
      </c>
      <c r="AZ79" s="22">
        <f t="shared" si="101"/>
        <v>0</v>
      </c>
      <c r="BA79" s="22">
        <f t="shared" si="101"/>
        <v>0</v>
      </c>
      <c r="BB79" s="22">
        <f t="shared" si="101"/>
        <v>0</v>
      </c>
      <c r="BC79" s="22">
        <f t="shared" si="101"/>
        <v>0</v>
      </c>
      <c r="BD79" s="22">
        <f t="shared" si="101"/>
        <v>0</v>
      </c>
      <c r="BE79" s="22">
        <f t="shared" si="101"/>
        <v>0</v>
      </c>
      <c r="BF79" s="22">
        <f t="shared" si="101"/>
        <v>0.26868965944647322</v>
      </c>
      <c r="BG79" s="22">
        <f t="shared" si="101"/>
        <v>0</v>
      </c>
      <c r="BH79" s="22">
        <f t="shared" si="101"/>
        <v>0</v>
      </c>
      <c r="BI79" s="22">
        <f t="shared" si="101"/>
        <v>0</v>
      </c>
      <c r="BJ79" s="22">
        <f t="shared" si="101"/>
        <v>0</v>
      </c>
      <c r="BK79" s="22">
        <f t="shared" si="101"/>
        <v>0</v>
      </c>
      <c r="BL79" s="22">
        <f t="shared" si="101"/>
        <v>0</v>
      </c>
      <c r="BM79" s="22">
        <f t="shared" si="101"/>
        <v>0</v>
      </c>
      <c r="BN79" s="22">
        <f t="shared" si="101"/>
        <v>0</v>
      </c>
      <c r="BO79" s="22">
        <f t="shared" si="101"/>
        <v>0</v>
      </c>
      <c r="BP79" s="22">
        <f t="shared" si="101"/>
        <v>0</v>
      </c>
      <c r="BQ79" s="22">
        <f t="shared" si="101"/>
        <v>0</v>
      </c>
      <c r="BR79" s="22">
        <f t="shared" si="101"/>
        <v>0</v>
      </c>
      <c r="BS79" s="22">
        <f t="shared" si="101"/>
        <v>0</v>
      </c>
      <c r="BT79" s="22">
        <f t="shared" si="101"/>
        <v>0</v>
      </c>
      <c r="BU79" s="22">
        <f t="shared" si="101"/>
        <v>0</v>
      </c>
      <c r="BV79" s="22">
        <f t="shared" si="101"/>
        <v>0</v>
      </c>
      <c r="BW79" s="22">
        <f t="shared" si="101"/>
        <v>0</v>
      </c>
      <c r="BX79" s="22">
        <f t="shared" si="101"/>
        <v>0</v>
      </c>
      <c r="BY79" s="22">
        <f t="shared" si="101"/>
        <v>0</v>
      </c>
      <c r="BZ79" s="22">
        <f t="shared" si="101"/>
        <v>0</v>
      </c>
      <c r="CA79" s="22">
        <f t="shared" si="101"/>
        <v>0</v>
      </c>
      <c r="CB79" s="22">
        <f t="shared" si="101"/>
        <v>0</v>
      </c>
      <c r="CC79" s="22">
        <f t="shared" si="93"/>
        <v>0.26868965944647322</v>
      </c>
    </row>
    <row r="80" spans="31:81" x14ac:dyDescent="0.25"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R80" s="22">
        <f t="shared" ref="AR80:CB80" si="102">IF(AR42&gt;0,FORECAST(AR42,AR$9:AS$9,AR$7:AS$7),0)</f>
        <v>0</v>
      </c>
      <c r="AS80" s="22">
        <f t="shared" si="102"/>
        <v>0</v>
      </c>
      <c r="AT80" s="22">
        <f t="shared" si="102"/>
        <v>0</v>
      </c>
      <c r="AU80" s="22">
        <f t="shared" si="102"/>
        <v>0</v>
      </c>
      <c r="AV80" s="22">
        <f t="shared" si="102"/>
        <v>0</v>
      </c>
      <c r="AW80" s="22">
        <f t="shared" si="102"/>
        <v>0</v>
      </c>
      <c r="AX80" s="22">
        <f t="shared" si="102"/>
        <v>0</v>
      </c>
      <c r="AY80" s="22">
        <f t="shared" si="102"/>
        <v>0</v>
      </c>
      <c r="AZ80" s="22">
        <f t="shared" si="102"/>
        <v>0</v>
      </c>
      <c r="BA80" s="22">
        <f t="shared" si="102"/>
        <v>0</v>
      </c>
      <c r="BB80" s="22">
        <f t="shared" si="102"/>
        <v>0</v>
      </c>
      <c r="BC80" s="22">
        <f t="shared" si="102"/>
        <v>0</v>
      </c>
      <c r="BD80" s="22">
        <f t="shared" si="102"/>
        <v>0</v>
      </c>
      <c r="BE80" s="22">
        <f t="shared" si="102"/>
        <v>0</v>
      </c>
      <c r="BF80" s="22">
        <f t="shared" si="102"/>
        <v>0.26533289592533083</v>
      </c>
      <c r="BG80" s="22">
        <f t="shared" si="102"/>
        <v>0</v>
      </c>
      <c r="BH80" s="22">
        <f t="shared" si="102"/>
        <v>0</v>
      </c>
      <c r="BI80" s="22">
        <f t="shared" si="102"/>
        <v>0</v>
      </c>
      <c r="BJ80" s="22">
        <f t="shared" si="102"/>
        <v>0</v>
      </c>
      <c r="BK80" s="22">
        <f t="shared" si="102"/>
        <v>0</v>
      </c>
      <c r="BL80" s="22">
        <f t="shared" si="102"/>
        <v>0</v>
      </c>
      <c r="BM80" s="22">
        <f t="shared" si="102"/>
        <v>0</v>
      </c>
      <c r="BN80" s="22">
        <f t="shared" si="102"/>
        <v>0</v>
      </c>
      <c r="BO80" s="22">
        <f t="shared" si="102"/>
        <v>0</v>
      </c>
      <c r="BP80" s="22">
        <f t="shared" si="102"/>
        <v>0</v>
      </c>
      <c r="BQ80" s="22">
        <f t="shared" si="102"/>
        <v>0</v>
      </c>
      <c r="BR80" s="22">
        <f t="shared" si="102"/>
        <v>0</v>
      </c>
      <c r="BS80" s="22">
        <f t="shared" si="102"/>
        <v>0</v>
      </c>
      <c r="BT80" s="22">
        <f t="shared" si="102"/>
        <v>0</v>
      </c>
      <c r="BU80" s="22">
        <f t="shared" si="102"/>
        <v>0</v>
      </c>
      <c r="BV80" s="22">
        <f t="shared" si="102"/>
        <v>0</v>
      </c>
      <c r="BW80" s="22">
        <f t="shared" si="102"/>
        <v>0</v>
      </c>
      <c r="BX80" s="22">
        <f t="shared" si="102"/>
        <v>0</v>
      </c>
      <c r="BY80" s="22">
        <f t="shared" si="102"/>
        <v>0</v>
      </c>
      <c r="BZ80" s="22">
        <f t="shared" si="102"/>
        <v>0</v>
      </c>
      <c r="CA80" s="22">
        <f t="shared" si="102"/>
        <v>0</v>
      </c>
      <c r="CB80" s="22">
        <f t="shared" si="102"/>
        <v>0</v>
      </c>
      <c r="CC80" s="22">
        <f t="shared" si="93"/>
        <v>0.26533289592533083</v>
      </c>
    </row>
    <row r="81" spans="27:81" x14ac:dyDescent="0.25"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R81" s="22">
        <f t="shared" ref="AR81:CB81" si="103">IF(AR43&gt;0,FORECAST(AR43,AR$9:AS$9,AR$7:AS$7),0)</f>
        <v>0</v>
      </c>
      <c r="AS81" s="22">
        <f t="shared" si="103"/>
        <v>0</v>
      </c>
      <c r="AT81" s="22">
        <f t="shared" si="103"/>
        <v>0</v>
      </c>
      <c r="AU81" s="22">
        <f t="shared" si="103"/>
        <v>0</v>
      </c>
      <c r="AV81" s="22">
        <f t="shared" si="103"/>
        <v>0</v>
      </c>
      <c r="AW81" s="22">
        <f t="shared" si="103"/>
        <v>0</v>
      </c>
      <c r="AX81" s="22">
        <f t="shared" si="103"/>
        <v>0</v>
      </c>
      <c r="AY81" s="22">
        <f t="shared" si="103"/>
        <v>0</v>
      </c>
      <c r="AZ81" s="22">
        <f t="shared" si="103"/>
        <v>0</v>
      </c>
      <c r="BA81" s="22">
        <f t="shared" si="103"/>
        <v>0</v>
      </c>
      <c r="BB81" s="22">
        <f t="shared" si="103"/>
        <v>0</v>
      </c>
      <c r="BC81" s="22">
        <f t="shared" si="103"/>
        <v>0</v>
      </c>
      <c r="BD81" s="22">
        <f t="shared" si="103"/>
        <v>0</v>
      </c>
      <c r="BE81" s="22">
        <f t="shared" si="103"/>
        <v>0</v>
      </c>
      <c r="BF81" s="22">
        <f t="shared" si="103"/>
        <v>0.26210095195089195</v>
      </c>
      <c r="BG81" s="22">
        <f t="shared" si="103"/>
        <v>0</v>
      </c>
      <c r="BH81" s="22">
        <f t="shared" si="103"/>
        <v>0</v>
      </c>
      <c r="BI81" s="22">
        <f t="shared" si="103"/>
        <v>0</v>
      </c>
      <c r="BJ81" s="22">
        <f t="shared" si="103"/>
        <v>0</v>
      </c>
      <c r="BK81" s="22">
        <f t="shared" si="103"/>
        <v>0</v>
      </c>
      <c r="BL81" s="22">
        <f t="shared" si="103"/>
        <v>0</v>
      </c>
      <c r="BM81" s="22">
        <f t="shared" si="103"/>
        <v>0</v>
      </c>
      <c r="BN81" s="22">
        <f t="shared" si="103"/>
        <v>0</v>
      </c>
      <c r="BO81" s="22">
        <f t="shared" si="103"/>
        <v>0</v>
      </c>
      <c r="BP81" s="22">
        <f t="shared" si="103"/>
        <v>0</v>
      </c>
      <c r="BQ81" s="22">
        <f t="shared" si="103"/>
        <v>0</v>
      </c>
      <c r="BR81" s="22">
        <f t="shared" si="103"/>
        <v>0</v>
      </c>
      <c r="BS81" s="22">
        <f t="shared" si="103"/>
        <v>0</v>
      </c>
      <c r="BT81" s="22">
        <f t="shared" si="103"/>
        <v>0</v>
      </c>
      <c r="BU81" s="22">
        <f t="shared" si="103"/>
        <v>0</v>
      </c>
      <c r="BV81" s="22">
        <f t="shared" si="103"/>
        <v>0</v>
      </c>
      <c r="BW81" s="22">
        <f t="shared" si="103"/>
        <v>0</v>
      </c>
      <c r="BX81" s="22">
        <f t="shared" si="103"/>
        <v>0</v>
      </c>
      <c r="BY81" s="22">
        <f t="shared" si="103"/>
        <v>0</v>
      </c>
      <c r="BZ81" s="22">
        <f t="shared" si="103"/>
        <v>0</v>
      </c>
      <c r="CA81" s="22">
        <f t="shared" si="103"/>
        <v>0</v>
      </c>
      <c r="CB81" s="22">
        <f t="shared" si="103"/>
        <v>0</v>
      </c>
      <c r="CC81" s="22">
        <f t="shared" si="93"/>
        <v>0.26210095195089195</v>
      </c>
    </row>
    <row r="82" spans="27:81" x14ac:dyDescent="0.25"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</row>
    <row r="83" spans="27:81" x14ac:dyDescent="0.25"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R83" s="22">
        <f t="shared" ref="AR83:CB83" si="104">IF(AR45&gt;0,FORECAST(AR45,AR$9:AS$9,AR$7:AS$7),0)</f>
        <v>0</v>
      </c>
      <c r="AS83" s="22">
        <f t="shared" si="104"/>
        <v>0</v>
      </c>
      <c r="AT83" s="22">
        <f t="shared" si="104"/>
        <v>0</v>
      </c>
      <c r="AU83" s="22">
        <f t="shared" si="104"/>
        <v>0</v>
      </c>
      <c r="AV83" s="22">
        <f t="shared" si="104"/>
        <v>0</v>
      </c>
      <c r="AW83" s="22">
        <f t="shared" si="104"/>
        <v>0</v>
      </c>
      <c r="AX83" s="22">
        <f t="shared" si="104"/>
        <v>0</v>
      </c>
      <c r="AY83" s="22">
        <f t="shared" si="104"/>
        <v>0</v>
      </c>
      <c r="AZ83" s="22">
        <f t="shared" si="104"/>
        <v>0</v>
      </c>
      <c r="BA83" s="22">
        <f t="shared" si="104"/>
        <v>0</v>
      </c>
      <c r="BB83" s="22">
        <f t="shared" si="104"/>
        <v>0</v>
      </c>
      <c r="BC83" s="22">
        <f t="shared" si="104"/>
        <v>0</v>
      </c>
      <c r="BD83" s="22">
        <f t="shared" si="104"/>
        <v>0.27606851544545752</v>
      </c>
      <c r="BE83" s="22">
        <f t="shared" si="104"/>
        <v>0</v>
      </c>
      <c r="BF83" s="22">
        <f t="shared" si="104"/>
        <v>0</v>
      </c>
      <c r="BG83" s="22">
        <f t="shared" si="104"/>
        <v>0</v>
      </c>
      <c r="BH83" s="22">
        <f t="shared" si="104"/>
        <v>0</v>
      </c>
      <c r="BI83" s="22">
        <f t="shared" si="104"/>
        <v>0</v>
      </c>
      <c r="BJ83" s="22">
        <f t="shared" si="104"/>
        <v>0</v>
      </c>
      <c r="BK83" s="22">
        <f t="shared" si="104"/>
        <v>0</v>
      </c>
      <c r="BL83" s="22">
        <f t="shared" si="104"/>
        <v>0</v>
      </c>
      <c r="BM83" s="22">
        <f t="shared" si="104"/>
        <v>0</v>
      </c>
      <c r="BN83" s="22">
        <f t="shared" si="104"/>
        <v>0</v>
      </c>
      <c r="BO83" s="22">
        <f t="shared" si="104"/>
        <v>0</v>
      </c>
      <c r="BP83" s="22">
        <f t="shared" si="104"/>
        <v>0</v>
      </c>
      <c r="BQ83" s="22">
        <f t="shared" si="104"/>
        <v>0</v>
      </c>
      <c r="BR83" s="22">
        <f t="shared" si="104"/>
        <v>0</v>
      </c>
      <c r="BS83" s="22">
        <f t="shared" si="104"/>
        <v>0</v>
      </c>
      <c r="BT83" s="22">
        <f t="shared" si="104"/>
        <v>0</v>
      </c>
      <c r="BU83" s="22">
        <f t="shared" si="104"/>
        <v>0</v>
      </c>
      <c r="BV83" s="22">
        <f t="shared" si="104"/>
        <v>0</v>
      </c>
      <c r="BW83" s="22">
        <f t="shared" si="104"/>
        <v>0</v>
      </c>
      <c r="BX83" s="22">
        <f t="shared" si="104"/>
        <v>0</v>
      </c>
      <c r="BY83" s="22">
        <f t="shared" si="104"/>
        <v>0</v>
      </c>
      <c r="BZ83" s="22">
        <f t="shared" si="104"/>
        <v>0</v>
      </c>
      <c r="CA83" s="22">
        <f t="shared" si="104"/>
        <v>0</v>
      </c>
      <c r="CB83" s="22">
        <f t="shared" si="104"/>
        <v>0</v>
      </c>
      <c r="CC83" s="22">
        <f>SUM(AR83:CB83)</f>
        <v>0.27606851544545752</v>
      </c>
    </row>
    <row r="84" spans="27:81" x14ac:dyDescent="0.25"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R84" s="22">
        <f t="shared" ref="AR84:CB84" si="105">IF(AR46&gt;0,FORECAST(AR46,AR$9:AS$9,AR$7:AS$7),0)</f>
        <v>0</v>
      </c>
      <c r="AS84" s="22">
        <f t="shared" si="105"/>
        <v>0</v>
      </c>
      <c r="AT84" s="22">
        <f t="shared" si="105"/>
        <v>0</v>
      </c>
      <c r="AU84" s="22">
        <f t="shared" si="105"/>
        <v>0</v>
      </c>
      <c r="AV84" s="22">
        <f t="shared" si="105"/>
        <v>0</v>
      </c>
      <c r="AW84" s="22">
        <f t="shared" si="105"/>
        <v>0</v>
      </c>
      <c r="AX84" s="22">
        <f t="shared" si="105"/>
        <v>0</v>
      </c>
      <c r="AY84" s="22">
        <f t="shared" si="105"/>
        <v>0</v>
      </c>
      <c r="AZ84" s="22">
        <f t="shared" si="105"/>
        <v>0</v>
      </c>
      <c r="BA84" s="22">
        <f t="shared" si="105"/>
        <v>0</v>
      </c>
      <c r="BB84" s="22">
        <f t="shared" si="105"/>
        <v>0</v>
      </c>
      <c r="BC84" s="22">
        <f t="shared" si="105"/>
        <v>0</v>
      </c>
      <c r="BD84" s="22">
        <f t="shared" si="105"/>
        <v>0</v>
      </c>
      <c r="BE84" s="22">
        <f t="shared" si="105"/>
        <v>0.27656465512951062</v>
      </c>
      <c r="BF84" s="22">
        <f t="shared" si="105"/>
        <v>0</v>
      </c>
      <c r="BG84" s="22">
        <f t="shared" si="105"/>
        <v>0</v>
      </c>
      <c r="BH84" s="22">
        <f t="shared" si="105"/>
        <v>0</v>
      </c>
      <c r="BI84" s="22">
        <f t="shared" si="105"/>
        <v>0</v>
      </c>
      <c r="BJ84" s="22">
        <f t="shared" si="105"/>
        <v>0</v>
      </c>
      <c r="BK84" s="22">
        <f t="shared" si="105"/>
        <v>0</v>
      </c>
      <c r="BL84" s="22">
        <f t="shared" si="105"/>
        <v>0</v>
      </c>
      <c r="BM84" s="22">
        <f t="shared" si="105"/>
        <v>0</v>
      </c>
      <c r="BN84" s="22">
        <f t="shared" si="105"/>
        <v>0</v>
      </c>
      <c r="BO84" s="22">
        <f t="shared" si="105"/>
        <v>0</v>
      </c>
      <c r="BP84" s="22">
        <f t="shared" si="105"/>
        <v>0</v>
      </c>
      <c r="BQ84" s="22">
        <f t="shared" si="105"/>
        <v>0</v>
      </c>
      <c r="BR84" s="22">
        <f t="shared" si="105"/>
        <v>0</v>
      </c>
      <c r="BS84" s="22">
        <f t="shared" si="105"/>
        <v>0</v>
      </c>
      <c r="BT84" s="22">
        <f t="shared" si="105"/>
        <v>0</v>
      </c>
      <c r="BU84" s="22">
        <f t="shared" si="105"/>
        <v>0</v>
      </c>
      <c r="BV84" s="22">
        <f t="shared" si="105"/>
        <v>0</v>
      </c>
      <c r="BW84" s="22">
        <f t="shared" si="105"/>
        <v>0</v>
      </c>
      <c r="BX84" s="22">
        <f t="shared" si="105"/>
        <v>0</v>
      </c>
      <c r="BY84" s="22">
        <f t="shared" si="105"/>
        <v>0</v>
      </c>
      <c r="BZ84" s="22">
        <f t="shared" si="105"/>
        <v>0</v>
      </c>
      <c r="CA84" s="22">
        <f t="shared" si="105"/>
        <v>0</v>
      </c>
      <c r="CB84" s="22">
        <f t="shared" si="105"/>
        <v>0</v>
      </c>
      <c r="CC84" s="22">
        <f>SUM(AR84:CB84)</f>
        <v>0.27656465512951062</v>
      </c>
    </row>
    <row r="85" spans="27:81" x14ac:dyDescent="0.25"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T85" s="12"/>
    </row>
    <row r="86" spans="27:81" x14ac:dyDescent="0.25">
      <c r="AE86" s="6"/>
      <c r="AF86" s="6"/>
      <c r="AG86" s="6"/>
      <c r="AH86" s="6"/>
      <c r="AI86" s="6"/>
      <c r="AJ86" s="6"/>
      <c r="AK86" s="6"/>
      <c r="AL86" s="6"/>
      <c r="AM86" s="6"/>
      <c r="AR86" s="12"/>
    </row>
    <row r="87" spans="27:81" x14ac:dyDescent="0.25">
      <c r="AE87" s="6"/>
      <c r="AF87" s="6"/>
      <c r="AG87" s="6"/>
      <c r="AH87" s="6"/>
      <c r="AI87" s="6"/>
      <c r="AJ87" s="6"/>
      <c r="AK87" s="6"/>
      <c r="AL87" s="6"/>
      <c r="AM87" s="6"/>
      <c r="AR87" s="12"/>
    </row>
    <row r="88" spans="27:81" x14ac:dyDescent="0.25">
      <c r="AE88" s="6"/>
      <c r="AF88" s="6"/>
      <c r="AG88" s="6"/>
      <c r="AH88" s="6"/>
      <c r="AI88" s="6"/>
      <c r="AJ88" s="6"/>
      <c r="AK88" s="6"/>
      <c r="AL88" s="6"/>
      <c r="AM88" s="6"/>
      <c r="AR88" s="12"/>
    </row>
    <row r="89" spans="27:81" x14ac:dyDescent="0.25">
      <c r="AA89" s="6"/>
      <c r="AB89" s="6"/>
      <c r="AC89" s="6"/>
      <c r="AD89" s="6"/>
      <c r="AE89" s="6"/>
      <c r="AF89" s="6"/>
      <c r="AN89" s="12"/>
    </row>
    <row r="90" spans="27:81" x14ac:dyDescent="0.25">
      <c r="AA90" s="6"/>
      <c r="AB90" s="6"/>
      <c r="AC90" s="6"/>
      <c r="AD90" s="6"/>
      <c r="AE90" s="6"/>
      <c r="AF90" s="6"/>
      <c r="AN90" s="12"/>
    </row>
    <row r="91" spans="27:81" x14ac:dyDescent="0.25">
      <c r="AA91" s="6"/>
      <c r="AB91" s="6"/>
      <c r="AC91" s="6"/>
      <c r="AD91" s="6"/>
      <c r="AE91" s="6"/>
      <c r="AF91" s="6"/>
      <c r="AN91" s="12"/>
    </row>
    <row r="92" spans="27:81" x14ac:dyDescent="0.25">
      <c r="AA92" s="6"/>
      <c r="AB92" s="6"/>
      <c r="AC92" s="6"/>
      <c r="AD92" s="6"/>
      <c r="AE92" s="6"/>
      <c r="AF92" s="16"/>
      <c r="AG92" s="1"/>
      <c r="AH92" s="1"/>
      <c r="AI92" s="1"/>
      <c r="AJ92" s="1"/>
      <c r="AK92" s="1"/>
      <c r="AL92" s="1"/>
      <c r="AM92" s="1"/>
      <c r="AN92" s="12"/>
    </row>
    <row r="93" spans="27:81" x14ac:dyDescent="0.25">
      <c r="AA93" s="6"/>
      <c r="AB93" s="6"/>
      <c r="AC93" s="6"/>
      <c r="AD93" s="6"/>
      <c r="AE93" s="6"/>
      <c r="AF93" s="16"/>
      <c r="AG93" s="1"/>
      <c r="AH93" s="1"/>
      <c r="AI93" s="1"/>
      <c r="AJ93" s="1"/>
      <c r="AK93" s="1"/>
      <c r="AL93" s="1"/>
      <c r="AM93" s="1"/>
      <c r="AN93" s="12"/>
    </row>
    <row r="94" spans="27:81" x14ac:dyDescent="0.25">
      <c r="AA94" s="6"/>
      <c r="AB94" s="6"/>
      <c r="AC94" s="6"/>
      <c r="AD94" s="6"/>
      <c r="AE94" s="6"/>
      <c r="AF94" s="16"/>
      <c r="AG94" s="1"/>
      <c r="AH94" s="1"/>
      <c r="AI94" s="1"/>
      <c r="AJ94" s="1"/>
      <c r="AK94" s="1"/>
      <c r="AL94" s="1"/>
      <c r="AM94" s="1"/>
      <c r="AN94" s="12"/>
    </row>
    <row r="95" spans="27:81" x14ac:dyDescent="0.25">
      <c r="AA95" s="6"/>
      <c r="AB95" s="6"/>
      <c r="AC95" s="6"/>
      <c r="AD95" s="6"/>
      <c r="AE95" s="6"/>
      <c r="AF95" s="16"/>
      <c r="AG95" s="1"/>
      <c r="AH95" s="1"/>
      <c r="AI95" s="1"/>
      <c r="AJ95" s="1"/>
      <c r="AK95" s="1"/>
      <c r="AL95" s="1"/>
      <c r="AM95" s="1"/>
      <c r="AN95" s="12"/>
    </row>
    <row r="96" spans="27:81" x14ac:dyDescent="0.25">
      <c r="AA96" s="6"/>
      <c r="AB96" s="6"/>
      <c r="AC96" s="6"/>
      <c r="AD96" s="6"/>
      <c r="AE96" s="6"/>
      <c r="AF96" s="16"/>
      <c r="AG96" s="1"/>
      <c r="AH96" s="1"/>
      <c r="AI96" s="1"/>
      <c r="AJ96" s="1"/>
      <c r="AK96" s="12"/>
    </row>
    <row r="97" spans="27:37" x14ac:dyDescent="0.25">
      <c r="AA97" s="6"/>
      <c r="AB97" s="6"/>
      <c r="AC97" s="6"/>
      <c r="AD97" s="6"/>
      <c r="AE97" s="6"/>
      <c r="AF97" s="16"/>
      <c r="AG97" s="1"/>
      <c r="AH97" s="1"/>
      <c r="AI97" s="1"/>
      <c r="AJ97" s="1"/>
      <c r="AK97" s="12"/>
    </row>
    <row r="98" spans="27:37" x14ac:dyDescent="0.25">
      <c r="AA98" s="6"/>
      <c r="AB98" s="6"/>
      <c r="AC98" s="6"/>
      <c r="AD98" s="6"/>
      <c r="AE98" s="6"/>
      <c r="AF98" s="16"/>
      <c r="AG98" s="1"/>
      <c r="AH98" s="1"/>
      <c r="AI98" s="1"/>
      <c r="AJ98" s="1"/>
      <c r="AK98" s="12"/>
    </row>
    <row r="99" spans="27:37" x14ac:dyDescent="0.25">
      <c r="AA99" s="6"/>
      <c r="AB99" s="6"/>
      <c r="AC99" s="6"/>
      <c r="AD99" s="6"/>
      <c r="AE99" s="6"/>
      <c r="AF99" s="16"/>
      <c r="AG99" s="1"/>
      <c r="AH99" s="1"/>
      <c r="AI99" s="1"/>
      <c r="AJ99" s="1"/>
      <c r="AK99" s="12"/>
    </row>
    <row r="100" spans="27:37" x14ac:dyDescent="0.25">
      <c r="AA100" s="6"/>
      <c r="AB100" s="6"/>
      <c r="AC100" s="6"/>
      <c r="AD100" s="6"/>
      <c r="AE100" s="6"/>
      <c r="AF100" s="16"/>
      <c r="AG100" s="1"/>
      <c r="AH100" s="1"/>
      <c r="AI100" s="1"/>
      <c r="AJ100" s="1"/>
      <c r="AK100" s="12"/>
    </row>
    <row r="101" spans="27:37" x14ac:dyDescent="0.25">
      <c r="AA101" s="6"/>
      <c r="AB101" s="6"/>
      <c r="AC101" s="6"/>
      <c r="AD101" s="6"/>
      <c r="AE101" s="6"/>
      <c r="AF101" s="16"/>
      <c r="AG101" s="1"/>
      <c r="AH101" s="1"/>
      <c r="AI101" s="1"/>
      <c r="AJ101" s="1"/>
      <c r="AK101" s="12"/>
    </row>
    <row r="102" spans="27:37" x14ac:dyDescent="0.25">
      <c r="AA102" s="6"/>
      <c r="AB102" s="6"/>
      <c r="AC102" s="6"/>
      <c r="AD102" s="6"/>
      <c r="AE102" s="6"/>
      <c r="AF102" s="16"/>
      <c r="AG102" s="1"/>
      <c r="AH102" s="1"/>
      <c r="AI102" s="1"/>
      <c r="AJ102" s="1"/>
      <c r="AK102" s="12"/>
    </row>
    <row r="103" spans="27:37" x14ac:dyDescent="0.25">
      <c r="AA103" s="6"/>
      <c r="AB103" s="6"/>
      <c r="AC103" s="6"/>
      <c r="AD103" s="6"/>
      <c r="AE103" s="6"/>
      <c r="AF103" s="16"/>
      <c r="AG103" s="1"/>
      <c r="AH103" s="1"/>
      <c r="AI103" s="1"/>
      <c r="AJ103" s="1"/>
      <c r="AK103" s="12"/>
    </row>
    <row r="104" spans="27:37" x14ac:dyDescent="0.25">
      <c r="AA104" s="6"/>
      <c r="AB104" s="6"/>
      <c r="AC104" s="6"/>
      <c r="AD104" s="6"/>
      <c r="AE104" s="6"/>
      <c r="AF104" s="6"/>
      <c r="AK104" s="12"/>
    </row>
    <row r="105" spans="27:37" x14ac:dyDescent="0.25">
      <c r="AA105" s="6"/>
      <c r="AB105" s="6"/>
      <c r="AC105" s="6"/>
      <c r="AD105" s="6"/>
      <c r="AE105" s="6"/>
      <c r="AF105" s="6"/>
      <c r="AK105" s="12"/>
    </row>
    <row r="106" spans="27:37" x14ac:dyDescent="0.25">
      <c r="AA106" s="6"/>
      <c r="AB106" s="6"/>
      <c r="AC106" s="6"/>
      <c r="AD106" s="6"/>
      <c r="AE106" s="6"/>
      <c r="AF106" s="6"/>
      <c r="AK106" s="12"/>
    </row>
    <row r="107" spans="27:37" x14ac:dyDescent="0.25">
      <c r="AA107" s="6"/>
      <c r="AB107" s="6"/>
      <c r="AC107" s="6"/>
      <c r="AD107" s="6"/>
      <c r="AE107" s="6"/>
      <c r="AF107" s="6"/>
      <c r="AK107" s="12"/>
    </row>
    <row r="108" spans="27:37" x14ac:dyDescent="0.25">
      <c r="AA108" s="6"/>
      <c r="AB108" s="6"/>
      <c r="AC108" s="6"/>
      <c r="AD108" s="6"/>
      <c r="AE108" s="6"/>
      <c r="AF108" s="6"/>
      <c r="AK108" s="12"/>
    </row>
    <row r="109" spans="27:37" x14ac:dyDescent="0.25">
      <c r="AA109" s="6"/>
      <c r="AB109" s="6"/>
      <c r="AC109" s="6"/>
      <c r="AD109" s="6"/>
      <c r="AE109" s="6"/>
      <c r="AF109" s="6"/>
      <c r="AK109" s="12"/>
    </row>
    <row r="110" spans="27:37" x14ac:dyDescent="0.25">
      <c r="AA110" s="6"/>
      <c r="AB110" s="6"/>
      <c r="AC110" s="6"/>
      <c r="AD110" s="6"/>
      <c r="AE110" s="6"/>
      <c r="AF110" s="6"/>
      <c r="AK110" s="12"/>
    </row>
    <row r="111" spans="27:37" x14ac:dyDescent="0.25">
      <c r="AA111" s="6"/>
      <c r="AB111" s="6"/>
      <c r="AC111" s="6"/>
      <c r="AD111" s="6"/>
      <c r="AE111" s="6"/>
      <c r="AF111" s="6"/>
      <c r="AK111" s="12"/>
    </row>
    <row r="112" spans="27:37" x14ac:dyDescent="0.25">
      <c r="AA112" s="6"/>
      <c r="AB112" s="6"/>
      <c r="AC112" s="6"/>
      <c r="AD112" s="6"/>
      <c r="AE112" s="6"/>
      <c r="AF112" s="6"/>
      <c r="AK112" s="12"/>
    </row>
    <row r="113" spans="27:37" x14ac:dyDescent="0.25">
      <c r="AA113" s="6"/>
      <c r="AB113" s="6"/>
      <c r="AC113" s="6"/>
      <c r="AD113" s="6"/>
      <c r="AE113" s="6"/>
      <c r="AF113" s="6"/>
      <c r="AK113" s="12"/>
    </row>
    <row r="114" spans="27:37" x14ac:dyDescent="0.25">
      <c r="AA114" s="6"/>
      <c r="AB114" s="6"/>
      <c r="AC114" s="6"/>
      <c r="AD114" s="6"/>
      <c r="AE114" s="6"/>
      <c r="AF114" s="6"/>
      <c r="AK114" s="12"/>
    </row>
    <row r="115" spans="27:37" x14ac:dyDescent="0.25">
      <c r="AA115" s="6"/>
      <c r="AB115" s="6"/>
      <c r="AC115" s="26"/>
      <c r="AD115" s="6"/>
      <c r="AE115" s="6"/>
      <c r="AF115" s="6"/>
      <c r="AK115" s="12"/>
    </row>
    <row r="116" spans="27:37" x14ac:dyDescent="0.25">
      <c r="AA116" s="6"/>
      <c r="AB116" s="6"/>
      <c r="AC116" s="6"/>
      <c r="AD116" s="6"/>
      <c r="AE116" s="6"/>
      <c r="AF116" s="6"/>
      <c r="AK116" s="12"/>
    </row>
    <row r="117" spans="27:37" x14ac:dyDescent="0.25">
      <c r="AA117" s="6"/>
      <c r="AB117" s="6"/>
      <c r="AC117" s="6"/>
      <c r="AD117" s="6"/>
      <c r="AE117" s="6"/>
      <c r="AF117" s="6"/>
      <c r="AK117" s="12"/>
    </row>
    <row r="118" spans="27:37" x14ac:dyDescent="0.25">
      <c r="AA118" s="6"/>
      <c r="AB118" s="6"/>
      <c r="AC118" s="6"/>
      <c r="AD118" s="6"/>
      <c r="AE118" s="6"/>
      <c r="AF118" s="6"/>
      <c r="AK118" s="12"/>
    </row>
    <row r="119" spans="27:37" x14ac:dyDescent="0.25">
      <c r="AA119" s="6"/>
      <c r="AB119" s="6"/>
      <c r="AC119" s="6"/>
      <c r="AD119" s="6"/>
      <c r="AE119" s="6"/>
      <c r="AF119" s="6"/>
      <c r="AK119" s="12"/>
    </row>
    <row r="120" spans="27:37" x14ac:dyDescent="0.25">
      <c r="AA120" s="6"/>
      <c r="AB120" s="6"/>
      <c r="AC120" s="6"/>
      <c r="AD120" s="6"/>
      <c r="AE120" s="6"/>
      <c r="AF120" s="6"/>
      <c r="AK120" s="12"/>
    </row>
    <row r="121" spans="27:37" x14ac:dyDescent="0.25">
      <c r="AA121" s="6"/>
      <c r="AB121" s="6"/>
      <c r="AC121" s="6"/>
      <c r="AD121" s="6"/>
      <c r="AE121" s="6"/>
      <c r="AF121" s="6"/>
      <c r="AK121" s="12"/>
    </row>
    <row r="122" spans="27:37" x14ac:dyDescent="0.25">
      <c r="AA122" s="6"/>
      <c r="AB122" s="6"/>
      <c r="AC122" s="6"/>
      <c r="AD122" s="6"/>
      <c r="AE122" s="6"/>
      <c r="AF122" s="6"/>
      <c r="AK122" s="12"/>
    </row>
    <row r="123" spans="27:37" x14ac:dyDescent="0.25">
      <c r="AA123" s="6"/>
      <c r="AB123" s="6"/>
      <c r="AC123" s="6"/>
      <c r="AD123" s="6"/>
      <c r="AE123" s="6"/>
      <c r="AF123" s="16"/>
      <c r="AG123" s="1"/>
      <c r="AH123" s="1"/>
      <c r="AI123" s="1"/>
      <c r="AJ123" s="1"/>
      <c r="AK123" s="12"/>
    </row>
    <row r="124" spans="27:37" x14ac:dyDescent="0.25">
      <c r="AA124" s="6"/>
      <c r="AB124" s="6"/>
      <c r="AC124" s="6"/>
      <c r="AD124" s="6"/>
      <c r="AE124" s="6"/>
      <c r="AF124" s="16"/>
      <c r="AG124" s="1"/>
      <c r="AH124" s="1"/>
      <c r="AI124" s="1"/>
      <c r="AJ124" s="1"/>
      <c r="AK124" s="12"/>
    </row>
    <row r="125" spans="27:37" x14ac:dyDescent="0.25">
      <c r="AA125" s="6"/>
      <c r="AB125" s="6"/>
      <c r="AC125" s="6"/>
      <c r="AD125" s="6"/>
      <c r="AE125" s="6"/>
      <c r="AF125" s="16"/>
      <c r="AG125" s="1"/>
      <c r="AH125" s="1"/>
      <c r="AI125" s="1"/>
      <c r="AJ125" s="1"/>
      <c r="AK125" s="12"/>
    </row>
    <row r="126" spans="27:37" x14ac:dyDescent="0.25">
      <c r="AA126" s="6"/>
      <c r="AB126" s="6"/>
      <c r="AC126" s="6"/>
      <c r="AD126" s="6"/>
      <c r="AE126" s="6"/>
      <c r="AF126" s="16"/>
      <c r="AG126" s="1"/>
      <c r="AH126" s="1"/>
      <c r="AI126" s="1"/>
      <c r="AJ126" s="1"/>
      <c r="AK126" s="12"/>
    </row>
    <row r="127" spans="27:37" x14ac:dyDescent="0.25">
      <c r="AA127" s="6"/>
      <c r="AB127" s="6"/>
      <c r="AC127" s="6"/>
      <c r="AD127" s="6"/>
      <c r="AE127" s="6"/>
      <c r="AF127" s="16"/>
      <c r="AG127" s="1"/>
      <c r="AH127" s="1"/>
      <c r="AI127" s="1"/>
      <c r="AJ127" s="1"/>
      <c r="AK127" s="12"/>
    </row>
    <row r="128" spans="27:37" x14ac:dyDescent="0.25">
      <c r="AA128" s="6"/>
      <c r="AB128" s="6"/>
      <c r="AC128" s="6"/>
      <c r="AD128" s="6"/>
      <c r="AE128" s="6"/>
      <c r="AF128" s="16"/>
      <c r="AG128" s="1"/>
      <c r="AH128" s="1"/>
      <c r="AI128" s="1"/>
      <c r="AJ128" s="1"/>
      <c r="AK128" s="12"/>
    </row>
    <row r="129" spans="27:37" x14ac:dyDescent="0.25">
      <c r="AA129" s="6"/>
      <c r="AB129" s="6"/>
      <c r="AC129" s="6"/>
      <c r="AD129" s="6"/>
      <c r="AE129" s="6"/>
      <c r="AF129" s="16"/>
      <c r="AG129" s="1"/>
      <c r="AH129" s="1"/>
      <c r="AI129" s="1"/>
      <c r="AJ129" s="1"/>
      <c r="AK129" s="12"/>
    </row>
    <row r="130" spans="27:37" x14ac:dyDescent="0.25">
      <c r="AA130" s="6"/>
      <c r="AB130" s="6"/>
      <c r="AC130" s="6"/>
      <c r="AD130" s="6"/>
      <c r="AE130" s="6"/>
      <c r="AF130" s="16"/>
      <c r="AG130" s="1"/>
      <c r="AH130" s="1"/>
      <c r="AI130" s="1"/>
      <c r="AJ130" s="1"/>
      <c r="AK130" s="12"/>
    </row>
    <row r="131" spans="27:37" x14ac:dyDescent="0.25">
      <c r="AA131" s="6"/>
      <c r="AB131" s="6"/>
      <c r="AC131" s="6"/>
      <c r="AD131" s="6"/>
      <c r="AE131" s="6"/>
      <c r="AF131" s="16"/>
      <c r="AG131" s="1"/>
      <c r="AH131" s="1"/>
      <c r="AI131" s="1"/>
      <c r="AJ131" s="1"/>
      <c r="AK131" s="12"/>
    </row>
    <row r="132" spans="27:37" x14ac:dyDescent="0.25">
      <c r="AA132" s="6"/>
      <c r="AB132" s="6"/>
      <c r="AC132" s="6"/>
      <c r="AD132" s="6"/>
      <c r="AE132" s="6"/>
      <c r="AF132" s="16"/>
      <c r="AG132" s="1"/>
      <c r="AH132" s="1"/>
      <c r="AI132" s="1"/>
      <c r="AJ132" s="1"/>
      <c r="AK132" s="12"/>
    </row>
    <row r="133" spans="27:37" x14ac:dyDescent="0.25">
      <c r="AA133" s="6"/>
      <c r="AB133" s="6"/>
      <c r="AC133" s="6"/>
      <c r="AD133" s="6"/>
      <c r="AE133" s="6"/>
      <c r="AF133" s="16"/>
      <c r="AG133" s="1"/>
      <c r="AH133" s="1"/>
      <c r="AI133" s="1"/>
      <c r="AJ133" s="1"/>
      <c r="AK133" s="12"/>
    </row>
    <row r="134" spans="27:37" x14ac:dyDescent="0.25">
      <c r="AA134" s="6"/>
      <c r="AB134" s="6"/>
      <c r="AC134" s="6"/>
      <c r="AD134" s="6"/>
      <c r="AE134" s="6"/>
      <c r="AF134" s="16"/>
      <c r="AG134" s="1"/>
      <c r="AH134" s="1"/>
      <c r="AI134" s="1"/>
      <c r="AJ134" s="1"/>
      <c r="AK134" s="12"/>
    </row>
    <row r="135" spans="27:37" x14ac:dyDescent="0.25">
      <c r="AA135" s="6"/>
      <c r="AB135" s="6"/>
      <c r="AC135" s="6"/>
      <c r="AD135" s="6"/>
      <c r="AE135" s="6"/>
      <c r="AF135" s="6"/>
      <c r="AK135" s="1"/>
    </row>
    <row r="136" spans="27:37" x14ac:dyDescent="0.25">
      <c r="AA136" s="6"/>
      <c r="AB136" s="6"/>
      <c r="AC136" s="6"/>
      <c r="AD136" s="6"/>
      <c r="AE136" s="6"/>
      <c r="AF136" s="6"/>
      <c r="AK136" s="1"/>
    </row>
    <row r="137" spans="27:37" x14ac:dyDescent="0.25">
      <c r="AA137" s="6"/>
      <c r="AB137" s="6"/>
      <c r="AC137" s="6"/>
      <c r="AD137" s="6"/>
      <c r="AE137" s="6"/>
      <c r="AF137" s="6"/>
      <c r="AK137" s="1"/>
    </row>
    <row r="138" spans="27:37" x14ac:dyDescent="0.25">
      <c r="AA138" s="6"/>
      <c r="AB138" s="6"/>
      <c r="AC138" s="6"/>
      <c r="AD138" s="6"/>
      <c r="AE138" s="6"/>
      <c r="AF138" s="6"/>
      <c r="AK138" s="1"/>
    </row>
    <row r="139" spans="27:37" x14ac:dyDescent="0.25">
      <c r="AA139" s="6"/>
      <c r="AB139" s="6"/>
      <c r="AC139" s="6"/>
      <c r="AD139" s="6"/>
      <c r="AE139" s="6"/>
      <c r="AF139" s="6"/>
      <c r="AK139" s="1"/>
    </row>
    <row r="140" spans="27:37" x14ac:dyDescent="0.25">
      <c r="AA140" s="6"/>
      <c r="AB140" s="6"/>
      <c r="AC140" s="6"/>
      <c r="AD140" s="6"/>
      <c r="AE140" s="6"/>
      <c r="AF140" s="6"/>
      <c r="AK140" s="1"/>
    </row>
    <row r="141" spans="27:37" x14ac:dyDescent="0.25">
      <c r="AA141" s="6"/>
      <c r="AB141" s="6"/>
      <c r="AC141" s="6"/>
      <c r="AD141" s="6"/>
      <c r="AE141" s="6"/>
      <c r="AF141" s="6"/>
      <c r="AK141" s="1"/>
    </row>
    <row r="142" spans="27:37" x14ac:dyDescent="0.25">
      <c r="AA142" s="6"/>
      <c r="AB142" s="6"/>
      <c r="AC142" s="6"/>
      <c r="AD142" s="6"/>
      <c r="AE142" s="6"/>
      <c r="AF142" s="6"/>
    </row>
    <row r="143" spans="27:37" x14ac:dyDescent="0.25">
      <c r="AA143" s="6"/>
      <c r="AB143" s="6"/>
      <c r="AC143" s="6"/>
      <c r="AD143" s="6"/>
      <c r="AE143" s="6"/>
      <c r="AF143" s="6"/>
    </row>
    <row r="144" spans="27:37" x14ac:dyDescent="0.25">
      <c r="AE144" s="6"/>
      <c r="AF144" s="6"/>
      <c r="AG144" s="6"/>
      <c r="AH144" s="6"/>
      <c r="AI144" s="6"/>
      <c r="AJ144" s="6"/>
    </row>
    <row r="145" spans="31:36" x14ac:dyDescent="0.25">
      <c r="AE145" s="6"/>
      <c r="AF145" s="6"/>
      <c r="AG145" s="6"/>
      <c r="AH145" s="6"/>
      <c r="AI145" s="6"/>
      <c r="AJ145" s="6"/>
    </row>
    <row r="146" spans="31:36" x14ac:dyDescent="0.25">
      <c r="AE146" s="6"/>
      <c r="AF146" s="6"/>
      <c r="AG146" s="6"/>
      <c r="AH146" s="6"/>
      <c r="AI146" s="6"/>
      <c r="AJ146" s="6"/>
    </row>
    <row r="147" spans="31:36" x14ac:dyDescent="0.25">
      <c r="AE147" s="6"/>
      <c r="AF147" s="6"/>
      <c r="AG147" s="6"/>
      <c r="AH147" s="6"/>
      <c r="AI147" s="6"/>
      <c r="AJ147" s="6"/>
    </row>
    <row r="148" spans="31:36" x14ac:dyDescent="0.25">
      <c r="AE148" s="6"/>
      <c r="AF148" s="6"/>
      <c r="AG148" s="6"/>
      <c r="AH148" s="6"/>
      <c r="AI148" s="6"/>
      <c r="AJ148" s="6"/>
    </row>
    <row r="149" spans="31:36" x14ac:dyDescent="0.25">
      <c r="AE149" s="6"/>
      <c r="AF149" s="6"/>
      <c r="AG149" s="6"/>
      <c r="AH149" s="6"/>
      <c r="AI149" s="6"/>
      <c r="AJ149" s="6"/>
    </row>
    <row r="150" spans="31:36" x14ac:dyDescent="0.25">
      <c r="AE150" s="6"/>
      <c r="AF150" s="6"/>
      <c r="AG150" s="6"/>
      <c r="AH150" s="6"/>
      <c r="AI150" s="6"/>
      <c r="AJ150" s="6"/>
    </row>
    <row r="151" spans="31:36" x14ac:dyDescent="0.25">
      <c r="AE151" s="6"/>
      <c r="AF151" s="6"/>
      <c r="AG151" s="6"/>
      <c r="AH151" s="6"/>
      <c r="AI151" s="6"/>
      <c r="AJ151" s="6"/>
    </row>
    <row r="152" spans="31:36" x14ac:dyDescent="0.25">
      <c r="AE152" s="6"/>
      <c r="AF152" s="6"/>
      <c r="AG152" s="6"/>
      <c r="AH152" s="6"/>
      <c r="AI152" s="6"/>
      <c r="AJ152" s="6"/>
    </row>
    <row r="153" spans="31:36" x14ac:dyDescent="0.25">
      <c r="AE153" s="6"/>
      <c r="AF153" s="6"/>
      <c r="AG153" s="6"/>
      <c r="AH153" s="6"/>
      <c r="AI153" s="6"/>
      <c r="AJ153" s="6"/>
    </row>
    <row r="154" spans="31:36" x14ac:dyDescent="0.25">
      <c r="AE154" s="6"/>
      <c r="AF154" s="6"/>
      <c r="AG154" s="6"/>
      <c r="AH154" s="6"/>
      <c r="AI154" s="6"/>
      <c r="AJ154" s="6"/>
    </row>
    <row r="155" spans="31:36" x14ac:dyDescent="0.25">
      <c r="AE155" s="6"/>
      <c r="AF155" s="6"/>
      <c r="AG155" s="6"/>
      <c r="AH155" s="6"/>
      <c r="AI155" s="6"/>
      <c r="AJ155" s="6"/>
    </row>
    <row r="156" spans="31:36" x14ac:dyDescent="0.25">
      <c r="AE156" s="6"/>
      <c r="AF156" s="6"/>
      <c r="AG156" s="6"/>
      <c r="AH156" s="6"/>
      <c r="AI156" s="6"/>
      <c r="AJ156" s="6"/>
    </row>
    <row r="157" spans="31:36" x14ac:dyDescent="0.25">
      <c r="AE157" s="6"/>
      <c r="AF157" s="6"/>
      <c r="AG157" s="6"/>
      <c r="AH157" s="6"/>
      <c r="AI157" s="6"/>
      <c r="AJ157" s="6"/>
    </row>
    <row r="158" spans="31:36" x14ac:dyDescent="0.25">
      <c r="AE158" s="6"/>
      <c r="AF158" s="6"/>
      <c r="AG158" s="6"/>
      <c r="AH158" s="6"/>
      <c r="AI158" s="6"/>
      <c r="AJ158" s="6"/>
    </row>
    <row r="159" spans="31:36" x14ac:dyDescent="0.25">
      <c r="AE159" s="6"/>
      <c r="AF159" s="6"/>
      <c r="AG159" s="6"/>
      <c r="AH159" s="6"/>
      <c r="AI159" s="6"/>
      <c r="AJ159" s="6"/>
    </row>
    <row r="160" spans="31:36" x14ac:dyDescent="0.25">
      <c r="AE160" s="6"/>
    </row>
    <row r="161" spans="31:36" x14ac:dyDescent="0.25">
      <c r="AE161" s="6"/>
      <c r="AF161" s="6"/>
      <c r="AG161" s="6"/>
      <c r="AH161" s="6"/>
      <c r="AI161" s="6"/>
      <c r="AJ161" s="6"/>
    </row>
    <row r="162" spans="31:36" x14ac:dyDescent="0.25">
      <c r="AE162" s="6"/>
      <c r="AF162" s="6"/>
      <c r="AG162" s="6"/>
      <c r="AH162" s="6"/>
      <c r="AI162" s="6"/>
      <c r="AJ162" s="6"/>
    </row>
    <row r="163" spans="31:36" x14ac:dyDescent="0.25">
      <c r="AE163" s="6"/>
      <c r="AF163" s="6"/>
      <c r="AG163" s="6"/>
      <c r="AH163" s="6"/>
      <c r="AI163" s="6"/>
      <c r="AJ163" s="6"/>
    </row>
    <row r="164" spans="31:36" x14ac:dyDescent="0.25">
      <c r="AE164" s="6"/>
      <c r="AF164" s="6"/>
      <c r="AG164" s="6"/>
      <c r="AH164" s="6"/>
      <c r="AI164" s="6"/>
      <c r="AJ164" s="6"/>
    </row>
    <row r="165" spans="31:36" x14ac:dyDescent="0.25">
      <c r="AE165" s="6"/>
      <c r="AF165" s="6"/>
      <c r="AG165" s="6"/>
      <c r="AH165" s="6"/>
      <c r="AI165" s="6"/>
      <c r="AJ165" s="6"/>
    </row>
    <row r="166" spans="31:36" x14ac:dyDescent="0.25">
      <c r="AE166" s="6"/>
      <c r="AF166" s="6"/>
      <c r="AG166" s="6"/>
      <c r="AH166" s="6"/>
      <c r="AI166" s="6"/>
      <c r="AJ166" s="6"/>
    </row>
    <row r="167" spans="31:36" x14ac:dyDescent="0.25">
      <c r="AE167" s="6"/>
      <c r="AF167" s="6"/>
      <c r="AG167" s="6"/>
      <c r="AH167" s="6"/>
      <c r="AI167" s="6"/>
      <c r="AJ167" s="6"/>
    </row>
    <row r="168" spans="31:36" x14ac:dyDescent="0.25">
      <c r="AE168" s="6"/>
      <c r="AF168" s="6"/>
      <c r="AG168" s="6"/>
      <c r="AH168" s="6"/>
      <c r="AI168" s="6"/>
      <c r="AJ168" s="6"/>
    </row>
    <row r="169" spans="31:36" x14ac:dyDescent="0.25">
      <c r="AE169" s="6"/>
      <c r="AF169" s="6"/>
      <c r="AG169" s="6"/>
      <c r="AH169" s="6"/>
      <c r="AI169" s="6"/>
      <c r="AJ169" s="6"/>
    </row>
    <row r="170" spans="31:36" x14ac:dyDescent="0.25">
      <c r="AE170" s="6"/>
      <c r="AF170" s="6"/>
      <c r="AG170" s="6"/>
      <c r="AH170" s="6"/>
      <c r="AI170" s="6"/>
      <c r="AJ170" s="6"/>
    </row>
    <row r="171" spans="31:36" x14ac:dyDescent="0.25">
      <c r="AE171" s="6"/>
      <c r="AF171" s="6"/>
      <c r="AG171" s="6"/>
      <c r="AH171" s="6"/>
      <c r="AI171" s="6"/>
      <c r="AJ171" s="6"/>
    </row>
    <row r="172" spans="31:36" x14ac:dyDescent="0.25">
      <c r="AE172" s="6"/>
      <c r="AF172" s="6"/>
      <c r="AG172" s="6"/>
      <c r="AH172" s="6"/>
      <c r="AI172" s="6"/>
      <c r="AJ172" s="6"/>
    </row>
    <row r="173" spans="31:36" x14ac:dyDescent="0.25">
      <c r="AE173" s="6"/>
      <c r="AF173" s="6"/>
      <c r="AG173" s="6"/>
      <c r="AH173" s="6"/>
      <c r="AI173" s="6"/>
      <c r="AJ173" s="6"/>
    </row>
    <row r="174" spans="31:36" x14ac:dyDescent="0.25">
      <c r="AE174" s="6"/>
      <c r="AF174" s="6"/>
      <c r="AG174" s="6"/>
      <c r="AH174" s="6"/>
      <c r="AI174" s="6"/>
      <c r="AJ174" s="6"/>
    </row>
    <row r="175" spans="31:36" x14ac:dyDescent="0.25">
      <c r="AE175" s="6"/>
      <c r="AF175" s="6"/>
      <c r="AG175" s="6"/>
      <c r="AH175" s="6"/>
      <c r="AI175" s="6"/>
      <c r="AJ175" s="6"/>
    </row>
    <row r="176" spans="31:36" x14ac:dyDescent="0.25">
      <c r="AE176" s="6"/>
      <c r="AF176" s="6"/>
      <c r="AG176" s="6"/>
      <c r="AH176" s="6"/>
      <c r="AI176" s="6"/>
      <c r="AJ176" s="6"/>
    </row>
    <row r="177" spans="31:36" x14ac:dyDescent="0.25">
      <c r="AE177" s="6"/>
      <c r="AF177" s="6"/>
      <c r="AG177" s="6"/>
      <c r="AH177" s="6"/>
      <c r="AI177" s="6"/>
      <c r="AJ177" s="6"/>
    </row>
    <row r="178" spans="31:36" x14ac:dyDescent="0.25">
      <c r="AE178" s="6"/>
      <c r="AF178" s="6"/>
      <c r="AG178" s="6"/>
      <c r="AH178" s="6"/>
      <c r="AI178" s="6"/>
      <c r="AJ178" s="6"/>
    </row>
    <row r="179" spans="31:36" x14ac:dyDescent="0.25">
      <c r="AE179" s="6"/>
      <c r="AF179" s="6"/>
      <c r="AG179" s="6"/>
      <c r="AH179" s="6"/>
      <c r="AI179" s="6"/>
      <c r="AJ179" s="6"/>
    </row>
    <row r="180" spans="31:36" x14ac:dyDescent="0.25">
      <c r="AE180" s="6"/>
      <c r="AF180" s="6"/>
      <c r="AG180" s="6"/>
      <c r="AH180" s="6"/>
      <c r="AI180" s="6"/>
      <c r="AJ180" s="6"/>
    </row>
    <row r="181" spans="31:36" x14ac:dyDescent="0.25">
      <c r="AE181" s="6"/>
      <c r="AF181" s="6"/>
      <c r="AG181" s="6"/>
      <c r="AH181" s="6"/>
      <c r="AI181" s="6"/>
      <c r="AJ181" s="6"/>
    </row>
    <row r="182" spans="31:36" x14ac:dyDescent="0.25">
      <c r="AE182" s="6"/>
      <c r="AF182" s="6"/>
      <c r="AG182" s="6"/>
      <c r="AH182" s="6"/>
      <c r="AI182" s="6"/>
      <c r="AJ182" s="6"/>
    </row>
    <row r="183" spans="31:36" x14ac:dyDescent="0.25">
      <c r="AE183" s="6"/>
      <c r="AF183" s="6"/>
      <c r="AG183" s="6"/>
      <c r="AH183" s="6"/>
      <c r="AI183" s="6"/>
      <c r="AJ183" s="6"/>
    </row>
    <row r="184" spans="31:36" x14ac:dyDescent="0.25">
      <c r="AE184" s="6"/>
      <c r="AF184" s="6"/>
      <c r="AG184" s="6"/>
      <c r="AH184" s="6"/>
      <c r="AI184" s="6"/>
      <c r="AJ184" s="6"/>
    </row>
    <row r="185" spans="31:36" x14ac:dyDescent="0.25">
      <c r="AE185" s="6"/>
      <c r="AF185" s="6"/>
      <c r="AG185" s="6"/>
      <c r="AH185" s="6"/>
      <c r="AI185" s="6"/>
      <c r="AJ185" s="6"/>
    </row>
    <row r="186" spans="31:36" x14ac:dyDescent="0.25">
      <c r="AE186" s="6"/>
      <c r="AF186" s="6"/>
      <c r="AG186" s="6"/>
      <c r="AH186" s="6"/>
      <c r="AI186" s="6"/>
      <c r="AJ186" s="6"/>
    </row>
    <row r="187" spans="31:36" x14ac:dyDescent="0.25">
      <c r="AE187" s="6"/>
      <c r="AF187" s="6"/>
      <c r="AG187" s="6"/>
      <c r="AH187" s="6"/>
      <c r="AI187" s="6"/>
      <c r="AJ187" s="6"/>
    </row>
    <row r="188" spans="31:36" x14ac:dyDescent="0.25">
      <c r="AE188" s="6"/>
      <c r="AF188" s="6"/>
      <c r="AG188" s="6"/>
      <c r="AH188" s="6"/>
      <c r="AI188" s="6"/>
      <c r="AJ188" s="6"/>
    </row>
    <row r="189" spans="31:36" x14ac:dyDescent="0.25">
      <c r="AE189" s="6"/>
      <c r="AF189" s="6"/>
      <c r="AG189" s="6"/>
      <c r="AH189" s="6"/>
      <c r="AI189" s="6"/>
      <c r="AJ189" s="6"/>
    </row>
    <row r="190" spans="31:36" x14ac:dyDescent="0.25">
      <c r="AE190" s="6"/>
      <c r="AF190" s="6"/>
      <c r="AG190" s="6"/>
      <c r="AH190" s="6"/>
      <c r="AI190" s="6"/>
      <c r="AJ190" s="6"/>
    </row>
    <row r="191" spans="31:36" x14ac:dyDescent="0.25">
      <c r="AE191" s="6"/>
      <c r="AF191" s="6"/>
      <c r="AG191" s="6"/>
      <c r="AH191" s="6"/>
      <c r="AI191" s="6"/>
      <c r="AJ191" s="6"/>
    </row>
    <row r="192" spans="31:36" x14ac:dyDescent="0.25">
      <c r="AE192" s="6"/>
      <c r="AF192" s="6"/>
      <c r="AG192" s="6"/>
      <c r="AH192" s="6"/>
      <c r="AI192" s="6"/>
      <c r="AJ192" s="6"/>
    </row>
    <row r="193" spans="31:36" x14ac:dyDescent="0.25">
      <c r="AE193" s="6"/>
      <c r="AF193" s="6"/>
      <c r="AG193" s="6"/>
      <c r="AH193" s="6"/>
      <c r="AI193" s="6"/>
      <c r="AJ193" s="6"/>
    </row>
    <row r="194" spans="31:36" x14ac:dyDescent="0.25">
      <c r="AE194" s="6"/>
      <c r="AF194" s="6"/>
      <c r="AG194" s="6"/>
      <c r="AH194" s="6"/>
      <c r="AI194" s="6"/>
      <c r="AJ194" s="6"/>
    </row>
    <row r="195" spans="31:36" x14ac:dyDescent="0.25">
      <c r="AE195" s="6"/>
      <c r="AF195" s="6"/>
      <c r="AG195" s="6"/>
      <c r="AH195" s="6"/>
      <c r="AI195" s="6"/>
      <c r="AJ195" s="6"/>
    </row>
    <row r="196" spans="31:36" x14ac:dyDescent="0.25">
      <c r="AE196" s="6"/>
      <c r="AF196" s="6"/>
      <c r="AG196" s="6"/>
      <c r="AH196" s="6"/>
      <c r="AI196" s="6"/>
      <c r="AJ196" s="6"/>
    </row>
    <row r="197" spans="31:36" x14ac:dyDescent="0.25">
      <c r="AE197" s="6"/>
      <c r="AF197" s="6"/>
      <c r="AG197" s="6"/>
      <c r="AH197" s="6"/>
      <c r="AI197" s="6"/>
      <c r="AJ197" s="6"/>
    </row>
    <row r="198" spans="31:36" x14ac:dyDescent="0.25">
      <c r="AE198" s="6"/>
      <c r="AF198" s="6"/>
      <c r="AG198" s="6"/>
      <c r="AH198" s="6"/>
      <c r="AI198" s="6"/>
      <c r="AJ198" s="6"/>
    </row>
    <row r="199" spans="31:36" x14ac:dyDescent="0.25">
      <c r="AE199" s="6"/>
      <c r="AF199" s="6"/>
      <c r="AG199" s="6"/>
      <c r="AH199" s="6"/>
      <c r="AI199" s="6"/>
      <c r="AJ199" s="6"/>
    </row>
    <row r="200" spans="31:36" x14ac:dyDescent="0.25">
      <c r="AE200" s="6"/>
      <c r="AF200" s="6"/>
      <c r="AG200" s="6"/>
      <c r="AH200" s="6"/>
      <c r="AI200" s="6"/>
      <c r="AJ200" s="6"/>
    </row>
    <row r="201" spans="31:36" x14ac:dyDescent="0.25">
      <c r="AE201" s="6"/>
      <c r="AF201" s="6"/>
      <c r="AG201" s="6"/>
      <c r="AH201" s="6"/>
      <c r="AI201" s="6"/>
      <c r="AJ201" s="6"/>
    </row>
    <row r="202" spans="31:36" x14ac:dyDescent="0.25">
      <c r="AE202" s="6"/>
      <c r="AF202" s="6"/>
      <c r="AG202" s="6"/>
      <c r="AH202" s="6"/>
      <c r="AI202" s="6"/>
      <c r="AJ202" s="6"/>
    </row>
    <row r="203" spans="31:36" x14ac:dyDescent="0.25">
      <c r="AE203" s="6"/>
      <c r="AF203" s="6"/>
      <c r="AG203" s="6"/>
      <c r="AH203" s="6"/>
      <c r="AI203" s="6"/>
      <c r="AJ203" s="6"/>
    </row>
    <row r="204" spans="31:36" x14ac:dyDescent="0.25">
      <c r="AE204" s="6"/>
      <c r="AF204" s="6"/>
      <c r="AG204" s="6"/>
      <c r="AH204" s="6"/>
      <c r="AI204" s="6"/>
      <c r="AJ204" s="6"/>
    </row>
    <row r="205" spans="31:36" x14ac:dyDescent="0.25">
      <c r="AE205" s="6"/>
      <c r="AF205" s="6"/>
      <c r="AG205" s="6"/>
      <c r="AH205" s="6"/>
      <c r="AI205" s="6"/>
      <c r="AJ205" s="6"/>
    </row>
    <row r="206" spans="31:36" x14ac:dyDescent="0.25">
      <c r="AE206" s="6"/>
      <c r="AF206" s="6"/>
      <c r="AG206" s="6"/>
      <c r="AH206" s="6"/>
      <c r="AI206" s="6"/>
      <c r="AJ206" s="6"/>
    </row>
    <row r="207" spans="31:36" x14ac:dyDescent="0.25">
      <c r="AE207" s="6"/>
      <c r="AF207" s="6"/>
      <c r="AG207" s="6"/>
      <c r="AH207" s="6"/>
      <c r="AI207" s="6"/>
      <c r="AJ207" s="6"/>
    </row>
    <row r="208" spans="31:36" x14ac:dyDescent="0.25">
      <c r="AE208" s="6"/>
      <c r="AF208" s="6"/>
      <c r="AG208" s="6"/>
      <c r="AH208" s="6"/>
      <c r="AI208" s="6"/>
      <c r="AJ208" s="6"/>
    </row>
    <row r="209" spans="31:36" x14ac:dyDescent="0.25">
      <c r="AE209" s="6"/>
      <c r="AF209" s="6"/>
      <c r="AG209" s="6"/>
      <c r="AH209" s="6"/>
      <c r="AI209" s="6"/>
      <c r="AJ209" s="6"/>
    </row>
    <row r="210" spans="31:36" x14ac:dyDescent="0.25">
      <c r="AE210" s="6"/>
      <c r="AF210" s="6"/>
      <c r="AG210" s="6"/>
      <c r="AH210" s="6"/>
      <c r="AI210" s="6"/>
      <c r="AJ210" s="6"/>
    </row>
    <row r="211" spans="31:36" x14ac:dyDescent="0.25">
      <c r="AE211" s="6"/>
      <c r="AF211" s="6"/>
      <c r="AG211" s="6"/>
      <c r="AH211" s="6"/>
      <c r="AI211" s="6"/>
      <c r="AJ211" s="6"/>
    </row>
    <row r="212" spans="31:36" x14ac:dyDescent="0.25">
      <c r="AE212" s="6"/>
      <c r="AF212" s="6"/>
      <c r="AG212" s="6"/>
      <c r="AH212" s="6"/>
      <c r="AI212" s="6"/>
      <c r="AJ212" s="6"/>
    </row>
    <row r="213" spans="31:36" x14ac:dyDescent="0.25">
      <c r="AE213" s="6"/>
      <c r="AF213" s="6"/>
      <c r="AG213" s="6"/>
      <c r="AH213" s="6"/>
      <c r="AI213" s="6"/>
      <c r="AJ213" s="6"/>
    </row>
    <row r="214" spans="31:36" x14ac:dyDescent="0.25">
      <c r="AE214" s="6"/>
      <c r="AF214" s="6"/>
      <c r="AG214" s="6"/>
      <c r="AH214" s="6"/>
      <c r="AI214" s="6"/>
      <c r="AJ214" s="6"/>
    </row>
    <row r="215" spans="31:36" x14ac:dyDescent="0.25">
      <c r="AE215" s="6"/>
      <c r="AF215" s="6"/>
      <c r="AG215" s="6"/>
      <c r="AH215" s="6"/>
      <c r="AI215" s="6"/>
      <c r="AJ215" s="6"/>
    </row>
    <row r="216" spans="31:36" x14ac:dyDescent="0.25">
      <c r="AE216" s="6"/>
      <c r="AF216" s="6"/>
      <c r="AG216" s="6"/>
      <c r="AH216" s="6"/>
      <c r="AI216" s="6"/>
      <c r="AJ216" s="6"/>
    </row>
    <row r="217" spans="31:36" x14ac:dyDescent="0.25">
      <c r="AE217" s="6"/>
      <c r="AF217" s="6"/>
      <c r="AG217" s="6"/>
      <c r="AH217" s="6"/>
      <c r="AI217" s="6"/>
      <c r="AJ217" s="6"/>
    </row>
    <row r="218" spans="31:36" x14ac:dyDescent="0.25">
      <c r="AE218" s="6"/>
      <c r="AF218" s="6"/>
      <c r="AG218" s="6"/>
      <c r="AH218" s="6"/>
      <c r="AI218" s="6"/>
      <c r="AJ218" s="6"/>
    </row>
    <row r="219" spans="31:36" x14ac:dyDescent="0.25">
      <c r="AE219" s="6"/>
      <c r="AF219" s="6"/>
      <c r="AG219" s="6"/>
      <c r="AH219" s="6"/>
      <c r="AI219" s="6"/>
      <c r="AJ219" s="6"/>
    </row>
    <row r="220" spans="31:36" x14ac:dyDescent="0.25">
      <c r="AE220" s="6"/>
      <c r="AF220" s="6"/>
      <c r="AG220" s="6"/>
      <c r="AH220" s="6"/>
      <c r="AI220" s="6"/>
      <c r="AJ220" s="6"/>
    </row>
    <row r="221" spans="31:36" x14ac:dyDescent="0.25">
      <c r="AE221" s="6"/>
      <c r="AF221" s="6"/>
      <c r="AG221" s="6"/>
      <c r="AH221" s="6"/>
      <c r="AI221" s="6"/>
      <c r="AJ221" s="6"/>
    </row>
    <row r="222" spans="31:36" x14ac:dyDescent="0.25">
      <c r="AE222" s="6"/>
      <c r="AF222" s="6"/>
      <c r="AG222" s="6"/>
      <c r="AH222" s="6"/>
      <c r="AI222" s="6"/>
      <c r="AJ222" s="6"/>
    </row>
    <row r="223" spans="31:36" x14ac:dyDescent="0.25">
      <c r="AE223" s="6"/>
      <c r="AF223" s="6"/>
      <c r="AG223" s="6"/>
      <c r="AH223" s="6"/>
      <c r="AI223" s="6"/>
      <c r="AJ223" s="6"/>
    </row>
    <row r="224" spans="31:36" x14ac:dyDescent="0.25">
      <c r="AE224" s="6"/>
      <c r="AF224" s="6"/>
      <c r="AG224" s="6"/>
      <c r="AH224" s="6"/>
      <c r="AI224" s="6"/>
      <c r="AJ224" s="6"/>
    </row>
    <row r="225" spans="31:36" x14ac:dyDescent="0.25">
      <c r="AE225" s="6"/>
      <c r="AF225" s="6"/>
      <c r="AG225" s="6"/>
      <c r="AH225" s="6"/>
      <c r="AI225" s="6"/>
      <c r="AJ225" s="6"/>
    </row>
    <row r="226" spans="31:36" x14ac:dyDescent="0.25">
      <c r="AE226" s="6"/>
      <c r="AF226" s="6"/>
      <c r="AG226" s="6"/>
      <c r="AH226" s="6"/>
      <c r="AI226" s="6"/>
      <c r="AJ226" s="6"/>
    </row>
    <row r="227" spans="31:36" x14ac:dyDescent="0.25">
      <c r="AE227" s="6"/>
      <c r="AF227" s="6"/>
      <c r="AG227" s="6"/>
      <c r="AH227" s="6"/>
      <c r="AI227" s="6"/>
      <c r="AJ227" s="6"/>
    </row>
    <row r="228" spans="31:36" x14ac:dyDescent="0.25">
      <c r="AE228" s="6"/>
      <c r="AF228" s="6"/>
      <c r="AG228" s="6"/>
      <c r="AH228" s="6"/>
      <c r="AI228" s="6"/>
      <c r="AJ228" s="6"/>
    </row>
    <row r="229" spans="31:36" x14ac:dyDescent="0.25">
      <c r="AE229" s="6"/>
      <c r="AF229" s="6"/>
      <c r="AG229" s="6"/>
      <c r="AH229" s="6"/>
      <c r="AI229" s="6"/>
      <c r="AJ229" s="6"/>
    </row>
    <row r="230" spans="31:36" x14ac:dyDescent="0.25">
      <c r="AE230" s="6"/>
      <c r="AF230" s="6"/>
      <c r="AG230" s="6"/>
      <c r="AH230" s="6"/>
      <c r="AI230" s="6"/>
      <c r="AJ230" s="6"/>
    </row>
    <row r="231" spans="31:36" x14ac:dyDescent="0.25">
      <c r="AE231" s="6"/>
      <c r="AF231" s="6"/>
      <c r="AG231" s="6"/>
      <c r="AH231" s="6"/>
      <c r="AI231" s="6"/>
      <c r="AJ231" s="6"/>
    </row>
    <row r="232" spans="31:36" x14ac:dyDescent="0.25">
      <c r="AE232" s="6"/>
      <c r="AF232" s="6"/>
      <c r="AG232" s="6"/>
      <c r="AH232" s="6"/>
      <c r="AI232" s="6"/>
      <c r="AJ232" s="6"/>
    </row>
    <row r="233" spans="31:36" x14ac:dyDescent="0.25">
      <c r="AE233" s="6"/>
      <c r="AF233" s="6"/>
      <c r="AG233" s="6"/>
      <c r="AH233" s="6"/>
      <c r="AI233" s="6"/>
      <c r="AJ233" s="6"/>
    </row>
    <row r="234" spans="31:36" x14ac:dyDescent="0.25">
      <c r="AE234" s="6"/>
      <c r="AF234" s="6"/>
      <c r="AG234" s="6"/>
      <c r="AH234" s="6"/>
      <c r="AI234" s="6"/>
      <c r="AJ234" s="6"/>
    </row>
    <row r="235" spans="31:36" x14ac:dyDescent="0.25">
      <c r="AE235" s="6"/>
      <c r="AF235" s="6"/>
      <c r="AG235" s="6"/>
      <c r="AH235" s="6"/>
      <c r="AI235" s="6"/>
      <c r="AJ235" s="6"/>
    </row>
    <row r="236" spans="31:36" x14ac:dyDescent="0.25">
      <c r="AE236" s="6"/>
      <c r="AF236" s="6"/>
      <c r="AG236" s="6"/>
      <c r="AH236" s="6"/>
      <c r="AI236" s="6"/>
      <c r="AJ236" s="6"/>
    </row>
    <row r="237" spans="31:36" x14ac:dyDescent="0.25">
      <c r="AE237" s="6"/>
      <c r="AF237" s="6"/>
      <c r="AG237" s="6"/>
      <c r="AH237" s="6"/>
      <c r="AI237" s="6"/>
      <c r="AJ237" s="6"/>
    </row>
    <row r="238" spans="31:36" x14ac:dyDescent="0.25">
      <c r="AE238" s="6"/>
      <c r="AF238" s="6"/>
      <c r="AG238" s="6"/>
      <c r="AH238" s="6"/>
      <c r="AI238" s="6"/>
      <c r="AJ238" s="6"/>
    </row>
    <row r="239" spans="31:36" x14ac:dyDescent="0.25">
      <c r="AE239" s="6"/>
      <c r="AF239" s="6"/>
      <c r="AG239" s="6"/>
      <c r="AH239" s="6"/>
      <c r="AI239" s="6"/>
      <c r="AJ239" s="6"/>
    </row>
    <row r="240" spans="31:36" x14ac:dyDescent="0.25">
      <c r="AE240" s="6"/>
      <c r="AF240" s="6"/>
      <c r="AG240" s="6"/>
      <c r="AH240" s="6"/>
      <c r="AI240" s="6"/>
      <c r="AJ240" s="6"/>
    </row>
    <row r="241" spans="31:36" x14ac:dyDescent="0.25">
      <c r="AE241" s="6"/>
      <c r="AF241" s="6"/>
      <c r="AG241" s="6"/>
      <c r="AH241" s="6"/>
      <c r="AI241" s="6"/>
      <c r="AJ241" s="6"/>
    </row>
    <row r="242" spans="31:36" x14ac:dyDescent="0.25">
      <c r="AE242" s="6"/>
      <c r="AF242" s="6"/>
      <c r="AG242" s="6"/>
      <c r="AH242" s="6"/>
      <c r="AI242" s="6"/>
      <c r="AJ242" s="6"/>
    </row>
    <row r="243" spans="31:36" x14ac:dyDescent="0.25">
      <c r="AE243" s="6"/>
      <c r="AF243" s="6"/>
      <c r="AG243" s="6"/>
      <c r="AH243" s="6"/>
      <c r="AI243" s="6"/>
      <c r="AJ243" s="6"/>
    </row>
    <row r="244" spans="31:36" x14ac:dyDescent="0.25">
      <c r="AE244" s="6"/>
      <c r="AF244" s="6"/>
      <c r="AG244" s="6"/>
      <c r="AH244" s="6"/>
      <c r="AI244" s="6"/>
      <c r="AJ244" s="6"/>
    </row>
    <row r="245" spans="31:36" x14ac:dyDescent="0.25">
      <c r="AE245" s="6"/>
      <c r="AF245" s="6"/>
      <c r="AG245" s="6"/>
      <c r="AH245" s="6"/>
      <c r="AI245" s="6"/>
      <c r="AJ245" s="6"/>
    </row>
    <row r="246" spans="31:36" x14ac:dyDescent="0.25">
      <c r="AE246" s="6"/>
      <c r="AF246" s="6"/>
      <c r="AG246" s="6"/>
      <c r="AH246" s="6"/>
      <c r="AI246" s="6"/>
      <c r="AJ246" s="6"/>
    </row>
    <row r="247" spans="31:36" x14ac:dyDescent="0.25">
      <c r="AE247" s="6"/>
      <c r="AF247" s="6"/>
      <c r="AG247" s="6"/>
      <c r="AH247" s="6"/>
      <c r="AI247" s="6"/>
      <c r="AJ247" s="6"/>
    </row>
    <row r="248" spans="31:36" x14ac:dyDescent="0.25">
      <c r="AE248" s="6"/>
      <c r="AF248" s="6"/>
      <c r="AG248" s="6"/>
      <c r="AH248" s="6"/>
      <c r="AI248" s="6"/>
      <c r="AJ248" s="6"/>
    </row>
    <row r="249" spans="31:36" x14ac:dyDescent="0.25">
      <c r="AE249" s="6"/>
      <c r="AF249" s="6"/>
      <c r="AG249" s="6"/>
      <c r="AH249" s="6"/>
      <c r="AI249" s="6"/>
      <c r="AJ249" s="6"/>
    </row>
    <row r="250" spans="31:36" x14ac:dyDescent="0.25">
      <c r="AE250" s="6"/>
      <c r="AF250" s="6"/>
      <c r="AG250" s="6"/>
      <c r="AH250" s="6"/>
      <c r="AI250" s="6"/>
      <c r="AJ250" s="6"/>
    </row>
    <row r="251" spans="31:36" x14ac:dyDescent="0.25">
      <c r="AE251" s="6"/>
      <c r="AF251" s="6"/>
      <c r="AG251" s="6"/>
      <c r="AH251" s="6"/>
      <c r="AI251" s="6"/>
      <c r="AJ251" s="6"/>
    </row>
    <row r="252" spans="31:36" x14ac:dyDescent="0.25">
      <c r="AE252" s="6"/>
      <c r="AF252" s="6"/>
      <c r="AG252" s="6"/>
      <c r="AH252" s="6"/>
      <c r="AI252" s="6"/>
      <c r="AJ252" s="6"/>
    </row>
    <row r="253" spans="31:36" x14ac:dyDescent="0.25">
      <c r="AE253" s="6"/>
      <c r="AF253" s="6"/>
      <c r="AG253" s="6"/>
      <c r="AH253" s="6"/>
      <c r="AI253" s="6"/>
      <c r="AJ253" s="6"/>
    </row>
    <row r="254" spans="31:36" x14ac:dyDescent="0.25">
      <c r="AE254" s="6"/>
      <c r="AF254" s="6"/>
      <c r="AG254" s="6"/>
      <c r="AH254" s="6"/>
      <c r="AI254" s="6"/>
      <c r="AJ254" s="6"/>
    </row>
    <row r="255" spans="31:36" x14ac:dyDescent="0.25">
      <c r="AE255" s="6"/>
      <c r="AF255" s="6"/>
      <c r="AG255" s="6"/>
      <c r="AH255" s="6"/>
      <c r="AI255" s="6"/>
      <c r="AJ255" s="6"/>
    </row>
    <row r="256" spans="31:36" x14ac:dyDescent="0.25">
      <c r="AE256" s="6"/>
      <c r="AF256" s="6"/>
      <c r="AG256" s="6"/>
      <c r="AH256" s="6"/>
      <c r="AI256" s="6"/>
      <c r="AJ256" s="6"/>
    </row>
    <row r="257" spans="31:36" x14ac:dyDescent="0.25">
      <c r="AE257" s="6"/>
      <c r="AF257" s="6"/>
      <c r="AG257" s="6"/>
      <c r="AH257" s="6"/>
      <c r="AI257" s="6"/>
      <c r="AJ257" s="6"/>
    </row>
    <row r="258" spans="31:36" x14ac:dyDescent="0.25">
      <c r="AE258" s="6"/>
      <c r="AF258" s="6"/>
      <c r="AG258" s="6"/>
      <c r="AH258" s="6"/>
      <c r="AI258" s="6"/>
      <c r="AJ258" s="6"/>
    </row>
    <row r="259" spans="31:36" x14ac:dyDescent="0.25">
      <c r="AE259" s="6"/>
      <c r="AF259" s="6"/>
      <c r="AG259" s="6"/>
      <c r="AH259" s="6"/>
      <c r="AI259" s="6"/>
      <c r="AJ259" s="6"/>
    </row>
    <row r="260" spans="31:36" x14ac:dyDescent="0.25">
      <c r="AE260" s="6"/>
      <c r="AF260" s="6"/>
      <c r="AG260" s="6"/>
      <c r="AH260" s="6"/>
      <c r="AI260" s="6"/>
      <c r="AJ260" s="6"/>
    </row>
    <row r="261" spans="31:36" x14ac:dyDescent="0.25">
      <c r="AE261" s="6"/>
      <c r="AF261" s="6"/>
      <c r="AG261" s="6"/>
      <c r="AH261" s="6"/>
      <c r="AI261" s="6"/>
      <c r="AJ261" s="6"/>
    </row>
    <row r="262" spans="31:36" x14ac:dyDescent="0.25">
      <c r="AE262" s="6"/>
      <c r="AF262" s="6"/>
      <c r="AG262" s="6"/>
      <c r="AH262" s="6"/>
      <c r="AI262" s="6"/>
      <c r="AJ262" s="6"/>
    </row>
    <row r="263" spans="31:36" x14ac:dyDescent="0.25">
      <c r="AE263" s="6"/>
      <c r="AF263" s="6"/>
      <c r="AG263" s="6"/>
      <c r="AH263" s="6"/>
      <c r="AI263" s="6"/>
      <c r="AJ263" s="6"/>
    </row>
    <row r="264" spans="31:36" x14ac:dyDescent="0.25">
      <c r="AE264" s="6"/>
      <c r="AF264" s="6"/>
      <c r="AG264" s="6"/>
      <c r="AH264" s="6"/>
      <c r="AI264" s="6"/>
      <c r="AJ264" s="6"/>
    </row>
    <row r="265" spans="31:36" x14ac:dyDescent="0.25">
      <c r="AE265" s="6"/>
      <c r="AF265" s="6"/>
      <c r="AG265" s="6"/>
      <c r="AH265" s="6"/>
      <c r="AI265" s="6"/>
      <c r="AJ265" s="6"/>
    </row>
    <row r="266" spans="31:36" x14ac:dyDescent="0.25">
      <c r="AE266" s="6"/>
      <c r="AF266" s="6"/>
      <c r="AG266" s="6"/>
      <c r="AH266" s="6"/>
      <c r="AI266" s="6"/>
      <c r="AJ266" s="6"/>
    </row>
    <row r="267" spans="31:36" x14ac:dyDescent="0.25">
      <c r="AE267" s="6"/>
      <c r="AF267" s="6"/>
      <c r="AG267" s="6"/>
      <c r="AH267" s="6"/>
      <c r="AI267" s="6"/>
      <c r="AJ267" s="6"/>
    </row>
    <row r="268" spans="31:36" x14ac:dyDescent="0.25">
      <c r="AE268" s="6"/>
      <c r="AF268" s="6"/>
      <c r="AG268" s="6"/>
      <c r="AH268" s="6"/>
      <c r="AI268" s="6"/>
      <c r="AJ268" s="6"/>
    </row>
    <row r="269" spans="31:36" x14ac:dyDescent="0.25">
      <c r="AE269" s="6"/>
      <c r="AF269" s="6"/>
      <c r="AG269" s="6"/>
      <c r="AH269" s="6"/>
      <c r="AI269" s="6"/>
      <c r="AJ269" s="6"/>
    </row>
    <row r="270" spans="31:36" x14ac:dyDescent="0.25">
      <c r="AE270" s="6"/>
      <c r="AF270" s="6"/>
      <c r="AG270" s="6"/>
      <c r="AH270" s="6"/>
      <c r="AI270" s="6"/>
      <c r="AJ270" s="6"/>
    </row>
    <row r="271" spans="31:36" x14ac:dyDescent="0.25">
      <c r="AE271" s="6"/>
      <c r="AF271" s="6"/>
      <c r="AG271" s="6"/>
      <c r="AH271" s="6"/>
      <c r="AI271" s="6"/>
      <c r="AJ271" s="6"/>
    </row>
    <row r="272" spans="31:36" x14ac:dyDescent="0.25">
      <c r="AE272" s="6"/>
      <c r="AF272" s="6"/>
      <c r="AG272" s="6"/>
      <c r="AH272" s="6"/>
      <c r="AI272" s="6"/>
      <c r="AJ272" s="6"/>
    </row>
    <row r="273" spans="31:36" x14ac:dyDescent="0.25">
      <c r="AE273" s="6"/>
      <c r="AF273" s="6"/>
      <c r="AG273" s="6"/>
      <c r="AH273" s="6"/>
      <c r="AI273" s="6"/>
      <c r="AJ273" s="6"/>
    </row>
    <row r="274" spans="31:36" x14ac:dyDescent="0.25">
      <c r="AE274" s="6"/>
      <c r="AF274" s="6"/>
      <c r="AG274" s="6"/>
      <c r="AH274" s="6"/>
      <c r="AI274" s="6"/>
      <c r="AJ274" s="6"/>
    </row>
    <row r="275" spans="31:36" x14ac:dyDescent="0.25">
      <c r="AE275" s="6"/>
      <c r="AF275" s="6"/>
      <c r="AG275" s="6"/>
      <c r="AH275" s="6"/>
      <c r="AI275" s="6"/>
      <c r="AJ275" s="6"/>
    </row>
    <row r="276" spans="31:36" x14ac:dyDescent="0.25">
      <c r="AE276" s="6"/>
      <c r="AF276" s="6"/>
      <c r="AG276" s="6"/>
      <c r="AH276" s="6"/>
      <c r="AI276" s="6"/>
      <c r="AJ276" s="6"/>
    </row>
    <row r="277" spans="31:36" x14ac:dyDescent="0.25">
      <c r="AE277" s="6"/>
      <c r="AF277" s="6"/>
      <c r="AG277" s="6"/>
      <c r="AH277" s="6"/>
      <c r="AI277" s="6"/>
      <c r="AJ277" s="6"/>
    </row>
    <row r="278" spans="31:36" x14ac:dyDescent="0.25">
      <c r="AE278" s="6"/>
      <c r="AF278" s="6"/>
      <c r="AG278" s="6"/>
      <c r="AH278" s="6"/>
      <c r="AI278" s="6"/>
      <c r="AJ278" s="6"/>
    </row>
    <row r="279" spans="31:36" x14ac:dyDescent="0.25">
      <c r="AE279" s="6"/>
      <c r="AF279" s="6"/>
      <c r="AG279" s="6"/>
      <c r="AH279" s="6"/>
      <c r="AI279" s="6"/>
      <c r="AJ279" s="6"/>
    </row>
    <row r="280" spans="31:36" x14ac:dyDescent="0.25">
      <c r="AE280" s="6"/>
      <c r="AF280" s="6"/>
      <c r="AG280" s="6"/>
      <c r="AH280" s="6"/>
      <c r="AI280" s="6"/>
      <c r="AJ280" s="6"/>
    </row>
    <row r="281" spans="31:36" x14ac:dyDescent="0.25">
      <c r="AE281" s="6"/>
      <c r="AF281" s="6"/>
      <c r="AG281" s="6"/>
      <c r="AH281" s="6"/>
      <c r="AI281" s="6"/>
      <c r="AJ281" s="6"/>
    </row>
    <row r="282" spans="31:36" x14ac:dyDescent="0.25">
      <c r="AE282" s="6"/>
      <c r="AF282" s="6"/>
      <c r="AG282" s="6"/>
      <c r="AH282" s="6"/>
      <c r="AI282" s="6"/>
      <c r="AJ282" s="6"/>
    </row>
    <row r="283" spans="31:36" x14ac:dyDescent="0.25">
      <c r="AE283" s="6"/>
      <c r="AF283" s="6"/>
      <c r="AG283" s="6"/>
      <c r="AH283" s="6"/>
      <c r="AI283" s="6"/>
      <c r="AJ283" s="6"/>
    </row>
    <row r="284" spans="31:36" x14ac:dyDescent="0.25">
      <c r="AE284" s="6"/>
      <c r="AF284" s="6"/>
      <c r="AG284" s="6"/>
      <c r="AH284" s="6"/>
      <c r="AI284" s="6"/>
      <c r="AJ284" s="6"/>
    </row>
    <row r="285" spans="31:36" x14ac:dyDescent="0.25">
      <c r="AE285" s="6"/>
      <c r="AF285" s="6"/>
      <c r="AG285" s="6"/>
      <c r="AH285" s="6"/>
      <c r="AI285" s="6"/>
      <c r="AJ285" s="6"/>
    </row>
    <row r="286" spans="31:36" x14ac:dyDescent="0.25">
      <c r="AE286" s="6"/>
      <c r="AF286" s="6"/>
      <c r="AG286" s="6"/>
      <c r="AH286" s="6"/>
      <c r="AI286" s="6"/>
      <c r="AJ286" s="6"/>
    </row>
    <row r="287" spans="31:36" x14ac:dyDescent="0.25">
      <c r="AE287" s="6"/>
      <c r="AF287" s="6"/>
      <c r="AG287" s="6"/>
      <c r="AH287" s="6"/>
      <c r="AI287" s="6"/>
      <c r="AJ287" s="6"/>
    </row>
    <row r="288" spans="31:36" x14ac:dyDescent="0.25">
      <c r="AE288" s="6"/>
      <c r="AF288" s="6"/>
      <c r="AG288" s="6"/>
      <c r="AH288" s="6"/>
      <c r="AI288" s="6"/>
      <c r="AJ288" s="6"/>
    </row>
    <row r="289" spans="31:36" x14ac:dyDescent="0.25">
      <c r="AE289" s="6"/>
      <c r="AF289" s="6"/>
      <c r="AG289" s="6"/>
      <c r="AH289" s="6"/>
      <c r="AI289" s="6"/>
      <c r="AJ289" s="6"/>
    </row>
    <row r="290" spans="31:36" x14ac:dyDescent="0.25">
      <c r="AE290" s="6"/>
      <c r="AF290" s="6"/>
      <c r="AG290" s="6"/>
      <c r="AH290" s="6"/>
      <c r="AI290" s="6"/>
      <c r="AJ290" s="6"/>
    </row>
    <row r="291" spans="31:36" x14ac:dyDescent="0.25">
      <c r="AE291" s="6"/>
      <c r="AF291" s="6"/>
      <c r="AG291" s="6"/>
      <c r="AH291" s="6"/>
      <c r="AI291" s="6"/>
      <c r="AJ291" s="6"/>
    </row>
    <row r="292" spans="31:36" x14ac:dyDescent="0.25">
      <c r="AE292" s="6"/>
      <c r="AF292" s="6"/>
      <c r="AG292" s="6"/>
      <c r="AH292" s="6"/>
      <c r="AI292" s="6"/>
      <c r="AJ292" s="6"/>
    </row>
    <row r="293" spans="31:36" x14ac:dyDescent="0.25">
      <c r="AE293" s="6"/>
      <c r="AF293" s="6"/>
      <c r="AG293" s="6"/>
      <c r="AH293" s="6"/>
      <c r="AI293" s="6"/>
      <c r="AJ293" s="6"/>
    </row>
    <row r="294" spans="31:36" x14ac:dyDescent="0.25">
      <c r="AE294" s="6"/>
      <c r="AF294" s="6"/>
      <c r="AG294" s="6"/>
      <c r="AH294" s="6"/>
      <c r="AI294" s="6"/>
      <c r="AJ294" s="6"/>
    </row>
    <row r="295" spans="31:36" x14ac:dyDescent="0.25">
      <c r="AE295" s="6"/>
      <c r="AF295" s="6"/>
      <c r="AG295" s="6"/>
      <c r="AH295" s="6"/>
      <c r="AI295" s="6"/>
      <c r="AJ295" s="6"/>
    </row>
    <row r="296" spans="31:36" x14ac:dyDescent="0.25">
      <c r="AE296" s="6"/>
      <c r="AF296" s="6"/>
      <c r="AG296" s="6"/>
      <c r="AH296" s="6"/>
      <c r="AI296" s="6"/>
      <c r="AJ296" s="6"/>
    </row>
    <row r="297" spans="31:36" x14ac:dyDescent="0.25">
      <c r="AE297" s="6"/>
      <c r="AF297" s="6"/>
      <c r="AG297" s="6"/>
      <c r="AH297" s="6"/>
      <c r="AI297" s="6"/>
      <c r="AJ297" s="6"/>
    </row>
    <row r="298" spans="31:36" x14ac:dyDescent="0.25">
      <c r="AE298" s="6"/>
      <c r="AF298" s="6"/>
      <c r="AG298" s="6"/>
      <c r="AH298" s="6"/>
      <c r="AI298" s="6"/>
      <c r="AJ298" s="6"/>
    </row>
    <row r="299" spans="31:36" x14ac:dyDescent="0.25">
      <c r="AE299" s="6"/>
      <c r="AF299" s="6"/>
      <c r="AG299" s="6"/>
      <c r="AH299" s="6"/>
      <c r="AI299" s="6"/>
      <c r="AJ299" s="6"/>
    </row>
    <row r="300" spans="31:36" x14ac:dyDescent="0.25">
      <c r="AE300" s="6"/>
      <c r="AF300" s="6"/>
      <c r="AG300" s="6"/>
      <c r="AH300" s="6"/>
      <c r="AI300" s="6"/>
      <c r="AJ300" s="6"/>
    </row>
    <row r="301" spans="31:36" x14ac:dyDescent="0.25">
      <c r="AE301" s="6"/>
      <c r="AF301" s="6"/>
      <c r="AG301" s="6"/>
      <c r="AH301" s="6"/>
      <c r="AI301" s="6"/>
      <c r="AJ301" s="6"/>
    </row>
    <row r="302" spans="31:36" x14ac:dyDescent="0.25">
      <c r="AE302" s="6"/>
      <c r="AF302" s="6"/>
      <c r="AG302" s="6"/>
      <c r="AH302" s="6"/>
      <c r="AI302" s="6"/>
      <c r="AJ302" s="6"/>
    </row>
    <row r="303" spans="31:36" x14ac:dyDescent="0.25">
      <c r="AE303" s="6"/>
      <c r="AF303" s="6"/>
      <c r="AG303" s="6"/>
      <c r="AH303" s="6"/>
      <c r="AI303" s="6"/>
      <c r="AJ303" s="6"/>
    </row>
    <row r="304" spans="31:36" x14ac:dyDescent="0.25">
      <c r="AE304" s="6"/>
      <c r="AF304" s="6"/>
      <c r="AG304" s="6"/>
      <c r="AH304" s="6"/>
      <c r="AI304" s="6"/>
      <c r="AJ304" s="6"/>
    </row>
    <row r="305" spans="31:36" x14ac:dyDescent="0.25">
      <c r="AE305" s="6"/>
      <c r="AF305" s="6"/>
      <c r="AG305" s="6"/>
      <c r="AH305" s="6"/>
      <c r="AI305" s="6"/>
      <c r="AJ305" s="6"/>
    </row>
    <row r="306" spans="31:36" x14ac:dyDescent="0.25">
      <c r="AE306" s="6"/>
      <c r="AF306" s="6"/>
      <c r="AG306" s="6"/>
      <c r="AH306" s="6"/>
      <c r="AI306" s="6"/>
      <c r="AJ306" s="6"/>
    </row>
    <row r="307" spans="31:36" x14ac:dyDescent="0.25">
      <c r="AE307" s="6"/>
      <c r="AF307" s="6"/>
      <c r="AG307" s="6"/>
      <c r="AH307" s="6"/>
      <c r="AI307" s="6"/>
      <c r="AJ307" s="6"/>
    </row>
  </sheetData>
  <mergeCells count="7">
    <mergeCell ref="D10:H10"/>
    <mergeCell ref="AR50:CB50"/>
    <mergeCell ref="B11:C11"/>
    <mergeCell ref="K10:AA10"/>
    <mergeCell ref="B10:C10"/>
    <mergeCell ref="AF10:AH10"/>
    <mergeCell ref="AB10:AE10"/>
  </mergeCells>
  <phoneticPr fontId="1" type="noConversion"/>
  <conditionalFormatting sqref="N13:O46">
    <cfRule type="cellIs" dxfId="11" priority="4" stopIfTrue="1" operator="greaterThan">
      <formula>1800</formula>
    </cfRule>
  </conditionalFormatting>
  <conditionalFormatting sqref="AR13:CB46">
    <cfRule type="cellIs" dxfId="10" priority="2" operator="greaterThan">
      <formula>0</formula>
    </cfRule>
  </conditionalFormatting>
  <conditionalFormatting sqref="AR51:CB84">
    <cfRule type="cellIs" dxfId="9" priority="1" operator="greaterThan">
      <formula>0</formula>
    </cfRule>
  </conditionalFormatting>
  <hyperlinks>
    <hyperlink ref="H50" r:id="rId1" xr:uid="{45DAB537-92EE-44AA-8B37-80357E31A88B}"/>
    <hyperlink ref="H51" r:id="rId2" xr:uid="{3784BFC4-626C-4A1E-A320-CD6AB48FA378}"/>
    <hyperlink ref="H52" r:id="rId3" xr:uid="{26AFA8C1-3503-4E08-9208-8A37DA2DC79C}"/>
    <hyperlink ref="H53" r:id="rId4" xr:uid="{60FEC6B5-F2BF-4C19-A550-90FDB8BBD8EA}"/>
  </hyperlinks>
  <pageMargins left="0.75" right="0.75" top="1" bottom="1" header="0.5" footer="0.5"/>
  <pageSetup paperSize="9" orientation="portrait" r:id="rId5"/>
  <headerFooter alignWithMargins="0"/>
  <drawing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D96D-CBEC-4262-8811-E1BD0349D78B}">
  <dimension ref="A1:M33"/>
  <sheetViews>
    <sheetView tabSelected="1" workbookViewId="0">
      <selection activeCell="O24" sqref="O24"/>
    </sheetView>
  </sheetViews>
  <sheetFormatPr defaultRowHeight="13.2" x14ac:dyDescent="0.25"/>
  <cols>
    <col min="1" max="1" width="9" bestFit="1" customWidth="1"/>
    <col min="2" max="2" width="9.77734375" bestFit="1" customWidth="1"/>
    <col min="4" max="4" width="9.6640625" style="359" bestFit="1" customWidth="1"/>
    <col min="6" max="6" width="8.88671875" style="78"/>
    <col min="7" max="7" width="11.5546875" style="357" customWidth="1"/>
    <col min="9" max="9" width="8.88671875" style="78"/>
  </cols>
  <sheetData>
    <row r="1" spans="1:13" x14ac:dyDescent="0.25">
      <c r="A1" s="378" t="s">
        <v>323</v>
      </c>
      <c r="B1" s="366"/>
      <c r="D1" s="358" t="s">
        <v>326</v>
      </c>
      <c r="F1" s="360" t="s">
        <v>329</v>
      </c>
      <c r="G1" s="412" t="s">
        <v>328</v>
      </c>
      <c r="H1" s="412"/>
      <c r="I1" s="360" t="s">
        <v>329</v>
      </c>
    </row>
    <row r="2" spans="1:13" x14ac:dyDescent="0.25">
      <c r="A2" s="31" t="s">
        <v>324</v>
      </c>
      <c r="B2" s="31" t="s">
        <v>325</v>
      </c>
      <c r="D2" s="410" t="s">
        <v>327</v>
      </c>
      <c r="E2" s="415"/>
      <c r="F2" s="418"/>
      <c r="G2" s="413" t="s">
        <v>327</v>
      </c>
      <c r="H2" s="415"/>
      <c r="I2" s="418"/>
    </row>
    <row r="3" spans="1:13" x14ac:dyDescent="0.25">
      <c r="A3" s="356">
        <v>0</v>
      </c>
      <c r="B3" s="356">
        <v>0</v>
      </c>
      <c r="D3" s="411" cm="1">
        <f t="array" ref="D3:D33">'propulsion ENG'!AH13:AH43</f>
        <v>0</v>
      </c>
      <c r="E3" s="415"/>
      <c r="F3" s="418"/>
      <c r="G3" s="414" cm="1">
        <f t="array" ref="G3:G33">'propulsion ENG'!H13:H43</f>
        <v>0</v>
      </c>
      <c r="H3" s="415"/>
      <c r="I3" s="418"/>
    </row>
    <row r="4" spans="1:13" x14ac:dyDescent="0.25">
      <c r="A4" s="356">
        <v>0.27777777777777779</v>
      </c>
      <c r="B4" s="356">
        <v>1</v>
      </c>
      <c r="D4" s="411">
        <v>9.5498771812225005</v>
      </c>
      <c r="E4" s="415">
        <v>9.5399999999999991</v>
      </c>
      <c r="F4" s="418">
        <f>ABS((D4-E4)/D4)</f>
        <v>1.0342731152524585E-3</v>
      </c>
      <c r="G4" s="414">
        <v>2.6265172424026595</v>
      </c>
      <c r="H4" s="415">
        <v>2.81</v>
      </c>
      <c r="I4" s="418">
        <f>ABS((G4-H4)/G4)</f>
        <v>6.9857815755093242E-2</v>
      </c>
    </row>
    <row r="5" spans="1:13" x14ac:dyDescent="0.25">
      <c r="A5" s="356">
        <v>0.55555555555555558</v>
      </c>
      <c r="B5" s="356">
        <v>2</v>
      </c>
      <c r="D5" s="411">
        <v>29.581826050496836</v>
      </c>
      <c r="E5" s="415"/>
      <c r="F5" s="418">
        <f t="shared" ref="F5:F33" si="0">ABS((D5-E5)/D5)</f>
        <v>1</v>
      </c>
      <c r="G5" s="414">
        <v>10.506068969610638</v>
      </c>
      <c r="H5" s="415"/>
      <c r="I5" s="418">
        <f t="shared" ref="I5:I33" si="1">ABS((G5-H5)/G5)</f>
        <v>1</v>
      </c>
    </row>
    <row r="6" spans="1:13" x14ac:dyDescent="0.25">
      <c r="A6" s="356">
        <v>0.83333333333333326</v>
      </c>
      <c r="B6" s="356">
        <v>3</v>
      </c>
      <c r="D6" s="411">
        <v>56.072648638646974</v>
      </c>
      <c r="E6" s="415"/>
      <c r="F6" s="418">
        <f t="shared" si="0"/>
        <v>1</v>
      </c>
      <c r="G6" s="414">
        <v>23.638655181623932</v>
      </c>
      <c r="H6" s="415"/>
      <c r="I6" s="418">
        <f t="shared" si="1"/>
        <v>1</v>
      </c>
    </row>
    <row r="7" spans="1:13" x14ac:dyDescent="0.25">
      <c r="A7" s="356">
        <v>1.1111111111111112</v>
      </c>
      <c r="B7" s="356">
        <v>4</v>
      </c>
      <c r="D7" s="411">
        <v>93.621104461546878</v>
      </c>
      <c r="E7" s="415"/>
      <c r="F7" s="418">
        <f t="shared" si="0"/>
        <v>1</v>
      </c>
      <c r="G7" s="414">
        <v>42.024275878442552</v>
      </c>
      <c r="H7" s="415"/>
      <c r="I7" s="418">
        <f t="shared" si="1"/>
        <v>1</v>
      </c>
    </row>
    <row r="8" spans="1:13" x14ac:dyDescent="0.25">
      <c r="A8" s="356">
        <v>1.3888888888888888</v>
      </c>
      <c r="B8" s="356">
        <v>5</v>
      </c>
      <c r="D8" s="411">
        <v>138.60125863482489</v>
      </c>
      <c r="E8" s="415"/>
      <c r="F8" s="418">
        <f t="shared" si="0"/>
        <v>1</v>
      </c>
      <c r="G8" s="414">
        <v>65.66293106006647</v>
      </c>
      <c r="H8" s="415"/>
      <c r="I8" s="418">
        <f t="shared" si="1"/>
        <v>1</v>
      </c>
    </row>
    <row r="9" spans="1:13" x14ac:dyDescent="0.25">
      <c r="A9" s="356">
        <v>1.6666666666666665</v>
      </c>
      <c r="B9" s="356">
        <v>6</v>
      </c>
      <c r="D9" s="411">
        <v>187.46283356017054</v>
      </c>
      <c r="E9" s="415"/>
      <c r="F9" s="418">
        <f t="shared" si="0"/>
        <v>1</v>
      </c>
      <c r="G9" s="414">
        <v>94.554620726495727</v>
      </c>
      <c r="H9" s="415"/>
      <c r="I9" s="418">
        <f t="shared" si="1"/>
        <v>1</v>
      </c>
      <c r="L9" s="416"/>
      <c r="M9" s="31" t="s">
        <v>330</v>
      </c>
    </row>
    <row r="10" spans="1:13" x14ac:dyDescent="0.25">
      <c r="A10" s="356">
        <v>1.9444444444444444</v>
      </c>
      <c r="B10" s="356">
        <v>7</v>
      </c>
      <c r="D10" s="411">
        <v>238.49331273985476</v>
      </c>
      <c r="E10" s="415"/>
      <c r="F10" s="418">
        <f t="shared" si="0"/>
        <v>1</v>
      </c>
      <c r="G10" s="414">
        <v>128.69934487773031</v>
      </c>
      <c r="H10" s="415"/>
      <c r="I10" s="418">
        <f t="shared" si="1"/>
        <v>1</v>
      </c>
      <c r="L10" s="415"/>
      <c r="M10" s="31" t="s">
        <v>331</v>
      </c>
    </row>
    <row r="11" spans="1:13" x14ac:dyDescent="0.25">
      <c r="A11" s="356">
        <v>2.2222222222222223</v>
      </c>
      <c r="B11" s="356">
        <v>8</v>
      </c>
      <c r="D11" s="411">
        <v>301.43592988933881</v>
      </c>
      <c r="E11" s="415">
        <v>289.06801194148414</v>
      </c>
      <c r="F11" s="418">
        <f t="shared" si="0"/>
        <v>4.1030005787283198E-2</v>
      </c>
      <c r="G11" s="414">
        <v>168.09710351377021</v>
      </c>
      <c r="H11" s="415">
        <v>176.59060779352231</v>
      </c>
      <c r="I11" s="418">
        <f t="shared" si="1"/>
        <v>5.0527368421052717E-2</v>
      </c>
      <c r="L11" s="417"/>
      <c r="M11" s="31" t="s">
        <v>332</v>
      </c>
    </row>
    <row r="12" spans="1:13" x14ac:dyDescent="0.25">
      <c r="A12" s="356">
        <v>2.5</v>
      </c>
      <c r="B12" s="356">
        <v>9</v>
      </c>
      <c r="D12" s="411">
        <v>370.07604553287445</v>
      </c>
      <c r="E12" s="415"/>
      <c r="F12" s="418">
        <f t="shared" si="0"/>
        <v>1</v>
      </c>
      <c r="G12" s="414">
        <v>212.74789663461542</v>
      </c>
      <c r="H12" s="415"/>
      <c r="I12" s="418">
        <f t="shared" si="1"/>
        <v>1</v>
      </c>
    </row>
    <row r="13" spans="1:13" x14ac:dyDescent="0.25">
      <c r="A13" s="356">
        <v>2.7777777777777777</v>
      </c>
      <c r="B13" s="356">
        <v>10</v>
      </c>
      <c r="D13" s="411">
        <v>447.81661659185272</v>
      </c>
      <c r="E13" s="415"/>
      <c r="F13" s="418">
        <f t="shared" si="0"/>
        <v>1</v>
      </c>
      <c r="G13" s="414">
        <v>262.65172424026588</v>
      </c>
      <c r="H13" s="415"/>
      <c r="I13" s="418">
        <f t="shared" si="1"/>
        <v>1</v>
      </c>
    </row>
    <row r="14" spans="1:13" x14ac:dyDescent="0.25">
      <c r="A14" s="356">
        <v>3.0555555555555554</v>
      </c>
      <c r="B14" s="356">
        <v>11</v>
      </c>
      <c r="D14" s="411">
        <v>531.3080375741639</v>
      </c>
      <c r="E14" s="415"/>
      <c r="F14" s="418">
        <f t="shared" si="0"/>
        <v>1</v>
      </c>
      <c r="G14" s="414">
        <v>317.80858633072177</v>
      </c>
      <c r="H14" s="415"/>
      <c r="I14" s="418">
        <f t="shared" si="1"/>
        <v>1</v>
      </c>
    </row>
    <row r="15" spans="1:13" x14ac:dyDescent="0.25">
      <c r="A15" s="356">
        <v>3.333333333333333</v>
      </c>
      <c r="B15" s="356">
        <v>12</v>
      </c>
      <c r="D15" s="411">
        <v>623.81670416928898</v>
      </c>
      <c r="E15" s="415"/>
      <c r="F15" s="418">
        <f t="shared" si="0"/>
        <v>1</v>
      </c>
      <c r="G15" s="414">
        <v>378.96669841269835</v>
      </c>
      <c r="H15" s="415"/>
      <c r="I15" s="418">
        <f t="shared" si="1"/>
        <v>1</v>
      </c>
    </row>
    <row r="16" spans="1:13" x14ac:dyDescent="0.25">
      <c r="A16" s="356">
        <v>3.6111111111111112</v>
      </c>
      <c r="B16" s="356">
        <v>13</v>
      </c>
      <c r="D16" s="411">
        <v>803.01081765516767</v>
      </c>
      <c r="E16" s="415"/>
      <c r="F16" s="418">
        <f t="shared" si="0"/>
        <v>1</v>
      </c>
      <c r="G16" s="414">
        <v>486.90900154320997</v>
      </c>
      <c r="H16" s="415"/>
      <c r="I16" s="418">
        <f t="shared" si="1"/>
        <v>1</v>
      </c>
    </row>
    <row r="17" spans="1:9" x14ac:dyDescent="0.25">
      <c r="A17" s="356">
        <v>3.8888888888888888</v>
      </c>
      <c r="B17" s="356">
        <v>14</v>
      </c>
      <c r="D17" s="411">
        <v>999.88461295094839</v>
      </c>
      <c r="E17" s="415"/>
      <c r="F17" s="418">
        <f t="shared" si="0"/>
        <v>1</v>
      </c>
      <c r="G17" s="414">
        <v>606.5644402103668</v>
      </c>
      <c r="H17" s="415"/>
      <c r="I17" s="418">
        <f t="shared" si="1"/>
        <v>1</v>
      </c>
    </row>
    <row r="18" spans="1:9" x14ac:dyDescent="0.25">
      <c r="A18" s="356">
        <v>4.166666666666667</v>
      </c>
      <c r="B18" s="356">
        <v>15</v>
      </c>
      <c r="D18" s="411">
        <v>1164.4361037324225</v>
      </c>
      <c r="E18" s="415"/>
      <c r="F18" s="418">
        <f t="shared" si="0"/>
        <v>1</v>
      </c>
      <c r="G18" s="414">
        <v>726.3399468511833</v>
      </c>
      <c r="H18" s="415"/>
      <c r="I18" s="418">
        <f t="shared" si="1"/>
        <v>1</v>
      </c>
    </row>
    <row r="19" spans="1:9" x14ac:dyDescent="0.25">
      <c r="A19" s="356">
        <v>4.4444444444444446</v>
      </c>
      <c r="B19" s="356">
        <v>16</v>
      </c>
      <c r="D19" s="411">
        <v>1365.3868717691714</v>
      </c>
      <c r="E19" s="415"/>
      <c r="F19" s="418">
        <f t="shared" si="0"/>
        <v>1</v>
      </c>
      <c r="G19" s="414">
        <v>856.33552899166079</v>
      </c>
      <c r="H19" s="415"/>
      <c r="I19" s="418">
        <f t="shared" si="1"/>
        <v>1</v>
      </c>
    </row>
    <row r="20" spans="1:9" x14ac:dyDescent="0.25">
      <c r="A20" s="356">
        <v>4.7222222222222223</v>
      </c>
      <c r="B20" s="356">
        <v>17</v>
      </c>
      <c r="D20" s="411">
        <v>1585.7036906355249</v>
      </c>
      <c r="E20" s="415"/>
      <c r="F20" s="418">
        <f t="shared" si="0"/>
        <v>1</v>
      </c>
      <c r="G20" s="414">
        <v>999.73649933590264</v>
      </c>
      <c r="H20" s="415"/>
      <c r="I20" s="418">
        <f t="shared" si="1"/>
        <v>1</v>
      </c>
    </row>
    <row r="21" spans="1:9" x14ac:dyDescent="0.25">
      <c r="A21" s="356">
        <v>5</v>
      </c>
      <c r="B21" s="356">
        <v>18</v>
      </c>
      <c r="D21" s="411">
        <v>1819.6700204699284</v>
      </c>
      <c r="E21" s="415"/>
      <c r="F21" s="418">
        <f t="shared" si="0"/>
        <v>1</v>
      </c>
      <c r="G21" s="414">
        <v>1153.7115873015871</v>
      </c>
      <c r="H21" s="415"/>
      <c r="I21" s="418">
        <f t="shared" si="1"/>
        <v>1</v>
      </c>
    </row>
    <row r="22" spans="1:9" x14ac:dyDescent="0.25">
      <c r="A22" s="356">
        <v>5.2777777777777777</v>
      </c>
      <c r="B22" s="356">
        <v>19</v>
      </c>
      <c r="D22" s="411">
        <v>2085.8298045971242</v>
      </c>
      <c r="E22" s="415"/>
      <c r="F22" s="418">
        <f t="shared" si="0"/>
        <v>1</v>
      </c>
      <c r="G22" s="414">
        <v>1328.2244503449526</v>
      </c>
      <c r="H22" s="415"/>
      <c r="I22" s="418">
        <f t="shared" si="1"/>
        <v>1</v>
      </c>
    </row>
    <row r="23" spans="1:9" x14ac:dyDescent="0.25">
      <c r="A23" s="356">
        <v>5.5555555555555554</v>
      </c>
      <c r="B23" s="356">
        <v>20</v>
      </c>
      <c r="D23" s="411">
        <v>2357.3177145488889</v>
      </c>
      <c r="E23" s="415"/>
      <c r="F23" s="418">
        <f t="shared" si="0"/>
        <v>1</v>
      </c>
      <c r="G23" s="414">
        <v>1514.8264631712825</v>
      </c>
      <c r="H23" s="415"/>
      <c r="I23" s="418">
        <f t="shared" si="1"/>
        <v>1</v>
      </c>
    </row>
    <row r="24" spans="1:9" x14ac:dyDescent="0.25">
      <c r="A24" s="356">
        <v>5.833333333333333</v>
      </c>
      <c r="B24" s="356">
        <v>21</v>
      </c>
      <c r="D24" s="411">
        <v>2659.9346579318881</v>
      </c>
      <c r="E24" s="415"/>
      <c r="F24" s="418">
        <f t="shared" si="0"/>
        <v>1</v>
      </c>
      <c r="G24" s="414">
        <v>1726.1061555160843</v>
      </c>
      <c r="H24" s="415"/>
      <c r="I24" s="418">
        <f t="shared" si="1"/>
        <v>1</v>
      </c>
    </row>
    <row r="25" spans="1:9" x14ac:dyDescent="0.25">
      <c r="A25" s="356">
        <v>6.1111111111111107</v>
      </c>
      <c r="B25" s="356">
        <v>22</v>
      </c>
      <c r="D25" s="411">
        <v>2972.075258895552</v>
      </c>
      <c r="E25" s="415"/>
      <c r="F25" s="418">
        <f t="shared" si="0"/>
        <v>1</v>
      </c>
      <c r="G25" s="414">
        <v>1950.2942639738612</v>
      </c>
      <c r="H25" s="415"/>
      <c r="I25" s="418">
        <f t="shared" si="1"/>
        <v>1</v>
      </c>
    </row>
    <row r="26" spans="1:9" x14ac:dyDescent="0.25">
      <c r="A26" s="356">
        <v>6.3888888888888884</v>
      </c>
      <c r="B26" s="356">
        <v>23</v>
      </c>
      <c r="D26" s="411">
        <v>3325.9468444823697</v>
      </c>
      <c r="E26" s="415"/>
      <c r="F26" s="418">
        <f t="shared" si="0"/>
        <v>1</v>
      </c>
      <c r="G26" s="414">
        <v>2200.638397302323</v>
      </c>
      <c r="H26" s="415"/>
      <c r="I26" s="418">
        <f t="shared" si="1"/>
        <v>1</v>
      </c>
    </row>
    <row r="27" spans="1:9" x14ac:dyDescent="0.25">
      <c r="A27" s="356">
        <v>6.6666666666666661</v>
      </c>
      <c r="B27" s="356">
        <v>24</v>
      </c>
      <c r="D27" s="411">
        <v>3690.6798378210819</v>
      </c>
      <c r="E27" s="415"/>
      <c r="F27" s="418">
        <f t="shared" si="0"/>
        <v>1</v>
      </c>
      <c r="G27" s="414">
        <v>2465.2905666465008</v>
      </c>
      <c r="H27" s="415"/>
      <c r="I27" s="418">
        <f t="shared" si="1"/>
        <v>1</v>
      </c>
    </row>
    <row r="28" spans="1:9" x14ac:dyDescent="0.25">
      <c r="A28" s="356">
        <v>6.9444444444444446</v>
      </c>
      <c r="B28" s="356">
        <v>25</v>
      </c>
      <c r="D28" s="411">
        <v>3890.9233007111952</v>
      </c>
      <c r="E28" s="415"/>
      <c r="F28" s="418">
        <f t="shared" si="0"/>
        <v>1</v>
      </c>
      <c r="G28" s="414">
        <v>2675.0977265951515</v>
      </c>
      <c r="H28" s="415"/>
      <c r="I28" s="418">
        <f t="shared" si="1"/>
        <v>1</v>
      </c>
    </row>
    <row r="29" spans="1:9" x14ac:dyDescent="0.25">
      <c r="A29" s="356">
        <v>7.2222222222222223</v>
      </c>
      <c r="B29" s="356">
        <v>26</v>
      </c>
      <c r="D29" s="411">
        <v>4168.1363135697202</v>
      </c>
      <c r="E29" s="415"/>
      <c r="F29" s="418">
        <f t="shared" si="0"/>
        <v>1</v>
      </c>
      <c r="G29" s="414">
        <v>2893.3857010853162</v>
      </c>
      <c r="H29" s="415"/>
      <c r="I29" s="418">
        <f t="shared" si="1"/>
        <v>1</v>
      </c>
    </row>
    <row r="30" spans="1:9" x14ac:dyDescent="0.25">
      <c r="A30" s="356">
        <v>7.5</v>
      </c>
      <c r="B30" s="356">
        <v>27</v>
      </c>
      <c r="D30" s="411">
        <v>4487.5974201449862</v>
      </c>
      <c r="E30" s="415"/>
      <c r="F30" s="418">
        <f t="shared" si="0"/>
        <v>1</v>
      </c>
      <c r="G30" s="414">
        <v>3120.2339883005852</v>
      </c>
      <c r="H30" s="415"/>
      <c r="I30" s="418">
        <f t="shared" si="1"/>
        <v>1</v>
      </c>
    </row>
    <row r="31" spans="1:9" x14ac:dyDescent="0.25">
      <c r="A31" s="356">
        <v>7.7777777777777777</v>
      </c>
      <c r="B31" s="356">
        <v>28</v>
      </c>
      <c r="D31" s="411">
        <v>4819.2273111232707</v>
      </c>
      <c r="E31" s="415"/>
      <c r="F31" s="418">
        <f t="shared" si="0"/>
        <v>1</v>
      </c>
      <c r="G31" s="414">
        <v>3355.6425882409585</v>
      </c>
      <c r="H31" s="415"/>
      <c r="I31" s="418">
        <f t="shared" si="1"/>
        <v>1</v>
      </c>
    </row>
    <row r="32" spans="1:9" x14ac:dyDescent="0.25">
      <c r="A32" s="356">
        <v>8.0555555555555554</v>
      </c>
      <c r="B32" s="356">
        <v>29</v>
      </c>
      <c r="D32" s="411">
        <v>5163.1544200982225</v>
      </c>
      <c r="E32" s="415"/>
      <c r="F32" s="418">
        <f t="shared" si="0"/>
        <v>1</v>
      </c>
      <c r="G32" s="414">
        <v>3599.611500906436</v>
      </c>
      <c r="H32" s="415"/>
      <c r="I32" s="418">
        <f t="shared" si="1"/>
        <v>1</v>
      </c>
    </row>
    <row r="33" spans="1:9" x14ac:dyDescent="0.25">
      <c r="A33" s="356">
        <v>8.3333333333333339</v>
      </c>
      <c r="B33" s="356">
        <v>30</v>
      </c>
      <c r="D33" s="411">
        <v>5519.5104439540855</v>
      </c>
      <c r="E33" s="415">
        <v>5605.3551636817574</v>
      </c>
      <c r="F33" s="418">
        <f t="shared" si="0"/>
        <v>1.5552959016809857E-2</v>
      </c>
      <c r="G33" s="414">
        <v>3852.1407262970192</v>
      </c>
      <c r="H33" s="415">
        <v>4051.6417158510499</v>
      </c>
      <c r="I33" s="418">
        <f t="shared" si="1"/>
        <v>5.1789642105263038E-2</v>
      </c>
    </row>
  </sheetData>
  <mergeCells count="2">
    <mergeCell ref="A1:B1"/>
    <mergeCell ref="G1:H1"/>
  </mergeCells>
  <phoneticPr fontId="3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14FA-7DCC-4CD7-85D4-D4B265BCA860}">
  <dimension ref="A1:DO307"/>
  <sheetViews>
    <sheetView zoomScale="85" zoomScaleNormal="85" workbookViewId="0">
      <pane xSplit="3" topLeftCell="D1" activePane="topRight" state="frozen"/>
      <selection activeCell="A7" sqref="A7"/>
      <selection pane="topRight" activeCell="D16" sqref="D16"/>
    </sheetView>
  </sheetViews>
  <sheetFormatPr defaultRowHeight="13.2" x14ac:dyDescent="0.25"/>
  <cols>
    <col min="2" max="3" width="6.44140625" bestFit="1" customWidth="1"/>
    <col min="4" max="4" width="7.109375" bestFit="1" customWidth="1"/>
    <col min="5" max="5" width="6.109375" bestFit="1" customWidth="1"/>
    <col min="6" max="6" width="8.33203125" bestFit="1" customWidth="1"/>
    <col min="7" max="7" width="8.33203125" customWidth="1"/>
    <col min="8" max="8" width="8.33203125" bestFit="1" customWidth="1"/>
    <col min="9" max="9" width="11.44140625" customWidth="1"/>
    <col min="10" max="10" width="13" customWidth="1"/>
    <col min="16" max="16" width="10" customWidth="1"/>
    <col min="18" max="19" width="11.5546875" customWidth="1"/>
    <col min="20" max="20" width="13" customWidth="1"/>
    <col min="21" max="21" width="11.5546875" customWidth="1"/>
    <col min="24" max="24" width="17" bestFit="1" customWidth="1"/>
    <col min="25" max="25" width="11.5546875" customWidth="1"/>
    <col min="26" max="26" width="15.33203125" bestFit="1" customWidth="1"/>
    <col min="27" max="27" width="16.44140625" bestFit="1" customWidth="1"/>
    <col min="28" max="28" width="16.88671875" bestFit="1" customWidth="1"/>
    <col min="29" max="29" width="11.33203125" bestFit="1" customWidth="1"/>
    <col min="30" max="30" width="13.109375" customWidth="1"/>
    <col min="32" max="32" width="12.109375" bestFit="1" customWidth="1"/>
    <col min="34" max="34" width="11.88671875" customWidth="1"/>
    <col min="35" max="35" width="11" customWidth="1"/>
    <col min="36" max="36" width="9" customWidth="1"/>
    <col min="37" max="37" width="10.6640625" bestFit="1" customWidth="1"/>
    <col min="38" max="38" width="9" customWidth="1"/>
    <col min="39" max="40" width="9.88671875" customWidth="1"/>
    <col min="41" max="41" width="13.6640625" style="176" bestFit="1" customWidth="1"/>
    <col min="42" max="42" width="9.88671875" style="193" customWidth="1"/>
    <col min="43" max="44" width="10.109375" customWidth="1"/>
    <col min="45" max="45" width="11.5546875" customWidth="1"/>
    <col min="46" max="46" width="14.33203125" bestFit="1" customWidth="1"/>
    <col min="47" max="47" width="14.33203125" customWidth="1"/>
    <col min="48" max="49" width="9" customWidth="1"/>
    <col min="50" max="50" width="10.33203125" customWidth="1"/>
    <col min="51" max="51" width="13.6640625" bestFit="1" customWidth="1"/>
    <col min="52" max="52" width="9.33203125" bestFit="1" customWidth="1"/>
    <col min="53" max="57" width="8.88671875" customWidth="1"/>
    <col min="58" max="58" width="13.6640625" customWidth="1"/>
    <col min="59" max="60" width="9.6640625" customWidth="1"/>
    <col min="62" max="62" width="9" customWidth="1"/>
    <col min="63" max="63" width="13.109375" bestFit="1" customWidth="1"/>
    <col min="64" max="65" width="9" customWidth="1"/>
    <col min="66" max="67" width="6.5546875" customWidth="1"/>
    <col min="68" max="68" width="8" customWidth="1"/>
    <col min="69" max="72" width="5.88671875" customWidth="1"/>
    <col min="73" max="87" width="7.33203125" customWidth="1"/>
    <col min="88" max="89" width="7.6640625" bestFit="1" customWidth="1"/>
    <col min="90" max="110" width="7.33203125" customWidth="1"/>
  </cols>
  <sheetData>
    <row r="1" spans="2:119" x14ac:dyDescent="0.25">
      <c r="BJ1" s="31"/>
      <c r="BM1" s="31"/>
      <c r="BO1" s="31"/>
    </row>
    <row r="2" spans="2:119" x14ac:dyDescent="0.25">
      <c r="N2">
        <v>0.24</v>
      </c>
      <c r="BJ2" s="36"/>
    </row>
    <row r="3" spans="2:119" x14ac:dyDescent="0.25">
      <c r="M3" s="31" t="s">
        <v>59</v>
      </c>
      <c r="N3" s="58">
        <v>0.36</v>
      </c>
      <c r="O3" t="s">
        <v>8</v>
      </c>
      <c r="R3" s="31" t="s">
        <v>63</v>
      </c>
      <c r="S3" s="31"/>
      <c r="T3" s="57">
        <f>PI()*(N3/2)^2</f>
        <v>0.10178760197630929</v>
      </c>
      <c r="U3" s="57"/>
      <c r="V3" s="31" t="s">
        <v>64</v>
      </c>
      <c r="W3" s="31"/>
      <c r="X3" s="31"/>
      <c r="Y3" s="31"/>
      <c r="Z3" s="31"/>
      <c r="AA3" s="31"/>
      <c r="AD3" s="31"/>
      <c r="AE3" s="31"/>
      <c r="AN3" s="35"/>
      <c r="BJ3" s="37"/>
    </row>
    <row r="4" spans="2:119" x14ac:dyDescent="0.25">
      <c r="E4">
        <v>282</v>
      </c>
      <c r="F4" t="s">
        <v>256</v>
      </c>
      <c r="M4" s="31" t="s">
        <v>60</v>
      </c>
      <c r="N4" s="58">
        <v>0.08</v>
      </c>
      <c r="O4" t="s">
        <v>8</v>
      </c>
      <c r="R4" s="31" t="s">
        <v>62</v>
      </c>
      <c r="S4" s="31"/>
      <c r="T4" s="57">
        <f>(N3-N4)/2*N5</f>
        <v>4.1999999999999997E-3</v>
      </c>
      <c r="U4" s="57"/>
      <c r="V4" s="31" t="s">
        <v>64</v>
      </c>
      <c r="W4" s="31"/>
      <c r="X4" s="31"/>
      <c r="Y4" s="31"/>
      <c r="Z4" s="31"/>
      <c r="AA4" s="31"/>
      <c r="AB4">
        <f>V29/'hull data'!C7</f>
        <v>0.71920677126959165</v>
      </c>
      <c r="AD4" s="31"/>
      <c r="AE4" s="31"/>
      <c r="AL4" s="31"/>
      <c r="AM4" s="31"/>
      <c r="BT4" s="31" t="s">
        <v>110</v>
      </c>
      <c r="BU4">
        <v>1</v>
      </c>
      <c r="BV4">
        <v>2</v>
      </c>
      <c r="BW4">
        <v>3</v>
      </c>
      <c r="BX4">
        <v>4</v>
      </c>
      <c r="BY4">
        <v>5</v>
      </c>
      <c r="BZ4">
        <v>6</v>
      </c>
      <c r="CA4">
        <v>7</v>
      </c>
      <c r="CB4">
        <v>8</v>
      </c>
      <c r="CC4">
        <v>9</v>
      </c>
      <c r="CD4">
        <v>10</v>
      </c>
      <c r="CE4">
        <v>11</v>
      </c>
      <c r="CF4">
        <v>12</v>
      </c>
      <c r="CG4">
        <v>13</v>
      </c>
      <c r="CH4">
        <v>14</v>
      </c>
      <c r="CI4">
        <v>15</v>
      </c>
      <c r="CJ4">
        <v>16</v>
      </c>
      <c r="CK4">
        <v>17</v>
      </c>
      <c r="CL4">
        <v>18</v>
      </c>
      <c r="CM4">
        <v>19</v>
      </c>
      <c r="CN4">
        <v>20</v>
      </c>
      <c r="CO4">
        <v>21</v>
      </c>
      <c r="CP4">
        <v>22</v>
      </c>
      <c r="CQ4">
        <v>23</v>
      </c>
      <c r="CR4">
        <v>24</v>
      </c>
      <c r="CS4">
        <v>25</v>
      </c>
      <c r="CT4">
        <v>26</v>
      </c>
      <c r="CU4">
        <v>27</v>
      </c>
      <c r="CV4">
        <v>28</v>
      </c>
      <c r="CW4">
        <v>29</v>
      </c>
      <c r="CX4">
        <v>30</v>
      </c>
      <c r="CY4">
        <v>31</v>
      </c>
      <c r="CZ4">
        <v>32</v>
      </c>
      <c r="DA4">
        <v>33</v>
      </c>
      <c r="DB4">
        <v>34</v>
      </c>
      <c r="DC4">
        <v>35</v>
      </c>
      <c r="DD4">
        <v>36</v>
      </c>
      <c r="DE4">
        <v>37</v>
      </c>
    </row>
    <row r="5" spans="2:119" ht="14.4" x14ac:dyDescent="0.25">
      <c r="D5" t="s">
        <v>41</v>
      </c>
      <c r="E5">
        <v>999.24400000000003</v>
      </c>
      <c r="F5" t="s">
        <v>42</v>
      </c>
      <c r="M5" s="31" t="s">
        <v>61</v>
      </c>
      <c r="N5" s="58">
        <v>0.03</v>
      </c>
      <c r="O5" t="s">
        <v>8</v>
      </c>
      <c r="AL5" s="35"/>
      <c r="AM5" s="35"/>
      <c r="AN5" s="35"/>
      <c r="BT5" s="33" t="s">
        <v>56</v>
      </c>
      <c r="BU5" s="22">
        <f>$N$6</f>
        <v>0</v>
      </c>
      <c r="BV5" s="22">
        <f t="shared" ref="BV5:DE5" si="0">$N$6</f>
        <v>0</v>
      </c>
      <c r="BW5" s="22">
        <f t="shared" si="0"/>
        <v>0</v>
      </c>
      <c r="BX5" s="22">
        <f t="shared" si="0"/>
        <v>0</v>
      </c>
      <c r="BY5" s="22">
        <f t="shared" si="0"/>
        <v>0</v>
      </c>
      <c r="BZ5" s="22">
        <f t="shared" si="0"/>
        <v>0</v>
      </c>
      <c r="CA5" s="22">
        <f t="shared" si="0"/>
        <v>0</v>
      </c>
      <c r="CB5" s="22">
        <f t="shared" si="0"/>
        <v>0</v>
      </c>
      <c r="CC5" s="22">
        <f t="shared" si="0"/>
        <v>0</v>
      </c>
      <c r="CD5" s="22">
        <f t="shared" si="0"/>
        <v>0</v>
      </c>
      <c r="CE5" s="22">
        <f t="shared" si="0"/>
        <v>0</v>
      </c>
      <c r="CF5" s="22">
        <f t="shared" si="0"/>
        <v>0</v>
      </c>
      <c r="CG5" s="22">
        <f t="shared" si="0"/>
        <v>0</v>
      </c>
      <c r="CH5" s="22">
        <f t="shared" si="0"/>
        <v>0</v>
      </c>
      <c r="CI5" s="22">
        <f t="shared" si="0"/>
        <v>0</v>
      </c>
      <c r="CJ5" s="22">
        <f t="shared" si="0"/>
        <v>0</v>
      </c>
      <c r="CK5" s="22">
        <f t="shared" si="0"/>
        <v>0</v>
      </c>
      <c r="CL5" s="22">
        <f t="shared" si="0"/>
        <v>0</v>
      </c>
      <c r="CM5" s="22">
        <f t="shared" si="0"/>
        <v>0</v>
      </c>
      <c r="CN5" s="22">
        <f t="shared" si="0"/>
        <v>0</v>
      </c>
      <c r="CO5" s="22">
        <f t="shared" si="0"/>
        <v>0</v>
      </c>
      <c r="CP5" s="22">
        <f t="shared" si="0"/>
        <v>0</v>
      </c>
      <c r="CQ5" s="22">
        <f t="shared" si="0"/>
        <v>0</v>
      </c>
      <c r="CR5" s="22">
        <f t="shared" si="0"/>
        <v>0</v>
      </c>
      <c r="CS5" s="22">
        <f t="shared" si="0"/>
        <v>0</v>
      </c>
      <c r="CT5" s="22">
        <f t="shared" si="0"/>
        <v>0</v>
      </c>
      <c r="CU5" s="22">
        <f t="shared" si="0"/>
        <v>0</v>
      </c>
      <c r="CV5" s="22">
        <f t="shared" si="0"/>
        <v>0</v>
      </c>
      <c r="CW5" s="22">
        <f t="shared" si="0"/>
        <v>0</v>
      </c>
      <c r="CX5" s="22">
        <f t="shared" si="0"/>
        <v>0</v>
      </c>
      <c r="CY5" s="22">
        <f t="shared" si="0"/>
        <v>0</v>
      </c>
      <c r="CZ5" s="22">
        <f t="shared" si="0"/>
        <v>0</v>
      </c>
      <c r="DA5" s="22">
        <f t="shared" si="0"/>
        <v>0</v>
      </c>
      <c r="DB5" s="22">
        <f t="shared" si="0"/>
        <v>0</v>
      </c>
      <c r="DC5" s="22">
        <f>$N$6</f>
        <v>0</v>
      </c>
      <c r="DD5" s="22">
        <f t="shared" si="0"/>
        <v>0</v>
      </c>
      <c r="DE5" s="22">
        <f t="shared" si="0"/>
        <v>0</v>
      </c>
      <c r="DH5" s="22">
        <f>L45</f>
        <v>1.0395617001796822</v>
      </c>
      <c r="DI5">
        <v>0</v>
      </c>
    </row>
    <row r="6" spans="2:119" ht="14.4" x14ac:dyDescent="0.25">
      <c r="D6" t="s">
        <v>69</v>
      </c>
      <c r="E6" s="58">
        <v>5</v>
      </c>
      <c r="F6" t="s">
        <v>71</v>
      </c>
      <c r="M6" s="31" t="s">
        <v>56</v>
      </c>
      <c r="N6" s="58"/>
      <c r="O6" s="32" t="s">
        <v>58</v>
      </c>
      <c r="P6" s="32"/>
      <c r="AB6" s="6"/>
      <c r="AC6" s="6"/>
      <c r="AG6" s="6"/>
      <c r="AJ6" s="378" t="s">
        <v>116</v>
      </c>
      <c r="AK6" s="366"/>
      <c r="AL6" s="35"/>
      <c r="AM6" s="35"/>
      <c r="AO6" s="257"/>
      <c r="AP6" s="194"/>
      <c r="AQ6" s="31"/>
      <c r="AS6" s="31"/>
      <c r="AX6" s="34" t="s">
        <v>174</v>
      </c>
      <c r="AY6" s="240">
        <v>100</v>
      </c>
      <c r="BL6" s="37" t="s">
        <v>66</v>
      </c>
      <c r="BM6" s="31" t="s">
        <v>67</v>
      </c>
      <c r="BT6" s="33" t="s">
        <v>57</v>
      </c>
      <c r="BU6" s="22">
        <f>$N$7</f>
        <v>8.2524785306908696E-2</v>
      </c>
      <c r="BV6" s="22">
        <f t="shared" ref="BV6:DE6" si="1">$N$7</f>
        <v>8.2524785306908696E-2</v>
      </c>
      <c r="BW6" s="22">
        <f t="shared" si="1"/>
        <v>8.2524785306908696E-2</v>
      </c>
      <c r="BX6" s="22">
        <f t="shared" si="1"/>
        <v>8.2524785306908696E-2</v>
      </c>
      <c r="BY6" s="22">
        <f t="shared" si="1"/>
        <v>8.2524785306908696E-2</v>
      </c>
      <c r="BZ6" s="22">
        <f t="shared" si="1"/>
        <v>8.2524785306908696E-2</v>
      </c>
      <c r="CA6" s="22">
        <f t="shared" si="1"/>
        <v>8.2524785306908696E-2</v>
      </c>
      <c r="CB6" s="22">
        <f t="shared" si="1"/>
        <v>8.2524785306908696E-2</v>
      </c>
      <c r="CC6" s="22">
        <f t="shared" si="1"/>
        <v>8.2524785306908696E-2</v>
      </c>
      <c r="CD6" s="22">
        <f t="shared" si="1"/>
        <v>8.2524785306908696E-2</v>
      </c>
      <c r="CE6" s="22">
        <f t="shared" si="1"/>
        <v>8.2524785306908696E-2</v>
      </c>
      <c r="CF6" s="22">
        <f t="shared" si="1"/>
        <v>8.2524785306908696E-2</v>
      </c>
      <c r="CG6" s="22">
        <f t="shared" si="1"/>
        <v>8.2524785306908696E-2</v>
      </c>
      <c r="CH6" s="22">
        <f t="shared" si="1"/>
        <v>8.2524785306908696E-2</v>
      </c>
      <c r="CI6" s="22">
        <f t="shared" si="1"/>
        <v>8.2524785306908696E-2</v>
      </c>
      <c r="CJ6" s="22">
        <f t="shared" si="1"/>
        <v>8.2524785306908696E-2</v>
      </c>
      <c r="CK6" s="22">
        <f t="shared" si="1"/>
        <v>8.2524785306908696E-2</v>
      </c>
      <c r="CL6" s="22">
        <f t="shared" si="1"/>
        <v>8.2524785306908696E-2</v>
      </c>
      <c r="CM6" s="22">
        <f t="shared" si="1"/>
        <v>8.2524785306908696E-2</v>
      </c>
      <c r="CN6" s="22">
        <f t="shared" si="1"/>
        <v>8.2524785306908696E-2</v>
      </c>
      <c r="CO6" s="22">
        <f t="shared" si="1"/>
        <v>8.2524785306908696E-2</v>
      </c>
      <c r="CP6" s="22">
        <f t="shared" si="1"/>
        <v>8.2524785306908696E-2</v>
      </c>
      <c r="CQ6" s="22">
        <f t="shared" si="1"/>
        <v>8.2524785306908696E-2</v>
      </c>
      <c r="CR6" s="22">
        <f t="shared" si="1"/>
        <v>8.2524785306908696E-2</v>
      </c>
      <c r="CS6" s="22">
        <f t="shared" si="1"/>
        <v>8.2524785306908696E-2</v>
      </c>
      <c r="CT6" s="22">
        <f t="shared" si="1"/>
        <v>8.2524785306908696E-2</v>
      </c>
      <c r="CU6" s="22">
        <f t="shared" si="1"/>
        <v>8.2524785306908696E-2</v>
      </c>
      <c r="CV6" s="22">
        <f t="shared" si="1"/>
        <v>8.2524785306908696E-2</v>
      </c>
      <c r="CW6" s="22">
        <f t="shared" si="1"/>
        <v>8.2524785306908696E-2</v>
      </c>
      <c r="CX6" s="22">
        <f t="shared" si="1"/>
        <v>8.2524785306908696E-2</v>
      </c>
      <c r="CY6" s="22">
        <f t="shared" si="1"/>
        <v>8.2524785306908696E-2</v>
      </c>
      <c r="CZ6" s="22">
        <f t="shared" si="1"/>
        <v>8.2524785306908696E-2</v>
      </c>
      <c r="DA6" s="22">
        <f t="shared" si="1"/>
        <v>8.2524785306908696E-2</v>
      </c>
      <c r="DB6" s="22">
        <f t="shared" si="1"/>
        <v>8.2524785306908696E-2</v>
      </c>
      <c r="DC6" s="22">
        <f>$N$7</f>
        <v>8.2524785306908696E-2</v>
      </c>
      <c r="DD6" s="22">
        <f t="shared" si="1"/>
        <v>8.2524785306908696E-2</v>
      </c>
      <c r="DE6" s="22">
        <f t="shared" si="1"/>
        <v>8.2524785306908696E-2</v>
      </c>
      <c r="DH6" s="22">
        <f>L45</f>
        <v>1.0395617001796822</v>
      </c>
      <c r="DI6" s="22">
        <f>T45</f>
        <v>0.82072430481600689</v>
      </c>
    </row>
    <row r="7" spans="2:119" ht="15" customHeight="1" x14ac:dyDescent="0.25">
      <c r="D7" t="s">
        <v>70</v>
      </c>
      <c r="E7" s="58">
        <v>0</v>
      </c>
      <c r="F7" t="s">
        <v>71</v>
      </c>
      <c r="M7" s="29" t="s">
        <v>57</v>
      </c>
      <c r="N7" s="38">
        <f>2*T4/T3</f>
        <v>8.2524785306908696E-2</v>
      </c>
      <c r="O7" s="32" t="s">
        <v>58</v>
      </c>
      <c r="P7" s="32"/>
      <c r="AJ7" s="36" t="s">
        <v>112</v>
      </c>
      <c r="AK7" s="27">
        <f>Motor!C10</f>
        <v>0.18181818181818182</v>
      </c>
      <c r="AL7" s="35"/>
      <c r="AM7" s="35"/>
      <c r="AO7" s="257"/>
      <c r="AP7" s="194"/>
      <c r="AQ7" s="31"/>
      <c r="AR7" s="49"/>
      <c r="AS7" s="31"/>
      <c r="AU7" s="34"/>
      <c r="AV7" s="387" t="s">
        <v>194</v>
      </c>
      <c r="AW7" s="387"/>
      <c r="AX7" s="201">
        <v>0.7</v>
      </c>
      <c r="AY7" s="192"/>
      <c r="BK7" s="31" t="s">
        <v>131</v>
      </c>
      <c r="BL7" s="172">
        <v>0.88</v>
      </c>
      <c r="BM7" s="172">
        <v>0.88</v>
      </c>
      <c r="BT7" s="33" t="s">
        <v>30</v>
      </c>
      <c r="BU7" s="62">
        <v>0</v>
      </c>
      <c r="BV7" s="62">
        <v>0.19350000000000001</v>
      </c>
      <c r="BW7" s="62">
        <v>0.36449999999999999</v>
      </c>
      <c r="BX7" s="62">
        <v>0.54120000000000001</v>
      </c>
      <c r="BY7" s="62">
        <v>0.71860000000000002</v>
      </c>
      <c r="BZ7" s="62">
        <v>0.8931</v>
      </c>
      <c r="CA7" s="62">
        <v>1.0732999999999999</v>
      </c>
      <c r="CB7" s="62">
        <v>1.1642999999999999</v>
      </c>
      <c r="CC7" s="62">
        <v>1.2</v>
      </c>
      <c r="CD7" s="62">
        <v>1.2771999999999999</v>
      </c>
      <c r="CE7" s="62">
        <v>1.32</v>
      </c>
      <c r="CF7" s="62">
        <v>1.35</v>
      </c>
      <c r="CG7" s="62">
        <v>1.3976</v>
      </c>
      <c r="CH7" s="62">
        <v>1.43</v>
      </c>
      <c r="CI7" s="62">
        <v>1.46</v>
      </c>
      <c r="CJ7" s="62">
        <v>1.49</v>
      </c>
      <c r="CK7" s="62">
        <v>1.5124</v>
      </c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</row>
    <row r="8" spans="2:119" x14ac:dyDescent="0.25">
      <c r="M8" t="s">
        <v>51</v>
      </c>
      <c r="N8" s="58">
        <v>3</v>
      </c>
      <c r="O8" s="32" t="s">
        <v>58</v>
      </c>
      <c r="P8" s="32"/>
      <c r="AJ8" s="37" t="s">
        <v>113</v>
      </c>
      <c r="AK8" s="22">
        <f>Motor!D7</f>
        <v>0.19928966787159069</v>
      </c>
      <c r="AN8" s="200" t="s">
        <v>195</v>
      </c>
      <c r="AO8" s="1">
        <f>'Safety Electronics'!$J$8</f>
        <v>149.88888888888889</v>
      </c>
      <c r="AP8" s="35" t="s">
        <v>44</v>
      </c>
      <c r="AR8" s="31" t="s">
        <v>126</v>
      </c>
      <c r="AS8">
        <v>60</v>
      </c>
      <c r="AT8" s="31" t="s">
        <v>127</v>
      </c>
      <c r="BK8" s="31" t="s">
        <v>79</v>
      </c>
      <c r="BL8" s="55">
        <f>BL9/BL7</f>
        <v>1363.6363636363637</v>
      </c>
      <c r="BM8" s="55">
        <f>BM9/BM7</f>
        <v>2840.909090909091</v>
      </c>
      <c r="BN8" s="36" t="s">
        <v>65</v>
      </c>
      <c r="BT8" s="34" t="s">
        <v>32</v>
      </c>
      <c r="BU8" s="62">
        <v>0.16750000000000001</v>
      </c>
      <c r="BV8" s="62">
        <v>0.17249999999999999</v>
      </c>
      <c r="BW8" s="62">
        <v>0.1608</v>
      </c>
      <c r="BX8" s="62">
        <v>0.1472</v>
      </c>
      <c r="BY8" s="62">
        <v>0.1265</v>
      </c>
      <c r="BZ8" s="62">
        <v>0.1043</v>
      </c>
      <c r="CA8" s="62">
        <v>8.1900000000000001E-2</v>
      </c>
      <c r="CB8" s="62">
        <v>6.5699999999999995E-2</v>
      </c>
      <c r="CC8" s="62">
        <v>5.8500000000000003E-2</v>
      </c>
      <c r="CD8" s="62">
        <v>4.0099999999999997E-2</v>
      </c>
      <c r="CE8" s="62">
        <v>0.03</v>
      </c>
      <c r="CF8" s="62">
        <v>2.3E-2</v>
      </c>
      <c r="CG8" s="62">
        <v>1.34E-2</v>
      </c>
      <c r="CH8" s="62">
        <v>7.0000000000000001E-3</v>
      </c>
      <c r="CI8" s="62">
        <v>0</v>
      </c>
      <c r="CJ8" s="62">
        <v>-5.0000000000000001E-3</v>
      </c>
      <c r="CK8" s="62">
        <v>-1.32E-2</v>
      </c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H8" s="22">
        <f>L46</f>
        <v>1.0771276370628118</v>
      </c>
      <c r="DI8">
        <v>0</v>
      </c>
    </row>
    <row r="9" spans="2:119" ht="52.8" x14ac:dyDescent="0.25">
      <c r="E9">
        <f>I31/E4</f>
        <v>0.86130017715683993</v>
      </c>
      <c r="AD9" s="83" t="s">
        <v>31</v>
      </c>
      <c r="AG9" s="31" t="s">
        <v>102</v>
      </c>
      <c r="AH9" s="84"/>
      <c r="AJ9" s="36"/>
      <c r="AK9" s="6"/>
      <c r="AL9" s="6"/>
      <c r="AM9" s="6"/>
      <c r="AN9" s="6"/>
      <c r="AO9" s="249"/>
      <c r="AP9" s="195"/>
      <c r="BJ9" s="84" t="s">
        <v>78</v>
      </c>
      <c r="BK9" s="31" t="s">
        <v>68</v>
      </c>
      <c r="BL9" s="58">
        <v>1200</v>
      </c>
      <c r="BM9" s="58">
        <v>2500</v>
      </c>
      <c r="BN9" s="37" t="s">
        <v>65</v>
      </c>
      <c r="BT9" s="34" t="s">
        <v>50</v>
      </c>
      <c r="BU9" s="62">
        <v>0.32740000000000002</v>
      </c>
      <c r="BV9" s="62">
        <v>0.3342</v>
      </c>
      <c r="BW9" s="62">
        <v>0.30299999999999999</v>
      </c>
      <c r="BX9" s="62">
        <v>0.26550000000000001</v>
      </c>
      <c r="BY9" s="62">
        <v>0.22189999999999999</v>
      </c>
      <c r="BZ9" s="62">
        <v>0.19259999999999999</v>
      </c>
      <c r="CA9" s="62">
        <v>0.16819999999999999</v>
      </c>
      <c r="CB9" s="62">
        <v>0.14330000000000001</v>
      </c>
      <c r="CC9" s="62">
        <v>0.13100000000000001</v>
      </c>
      <c r="CD9" s="62">
        <v>9.7299999999999998E-2</v>
      </c>
      <c r="CE9" s="62">
        <v>7.9000000000000001E-2</v>
      </c>
      <c r="CF9" s="62">
        <v>6.5000000000000002E-2</v>
      </c>
      <c r="CG9" s="62">
        <v>4.4999999999999998E-2</v>
      </c>
      <c r="CH9" s="62">
        <v>0.03</v>
      </c>
      <c r="CI9" s="62">
        <v>1.7999999999999999E-2</v>
      </c>
      <c r="CJ9" s="62">
        <v>5.0000000000000001E-3</v>
      </c>
      <c r="CK9" s="62">
        <v>-1.3100000000000001E-2</v>
      </c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H9" s="22">
        <f>L46</f>
        <v>1.0771276370628118</v>
      </c>
      <c r="DI9" s="22">
        <f>T46</f>
        <v>0.83273077317455968</v>
      </c>
    </row>
    <row r="10" spans="2:119" x14ac:dyDescent="0.25">
      <c r="B10" s="376"/>
      <c r="C10" s="376"/>
      <c r="D10" s="370" t="s">
        <v>47</v>
      </c>
      <c r="E10" s="370"/>
      <c r="F10" s="370"/>
      <c r="G10" s="370"/>
      <c r="H10" s="370"/>
      <c r="I10" s="173"/>
      <c r="J10" s="174"/>
      <c r="K10" s="370" t="s">
        <v>33</v>
      </c>
      <c r="L10" s="370"/>
      <c r="M10" s="370"/>
      <c r="N10" s="370"/>
      <c r="O10" s="370"/>
      <c r="P10" s="370"/>
      <c r="Q10" s="370"/>
      <c r="R10" s="370"/>
      <c r="S10" s="370"/>
      <c r="T10" s="370"/>
      <c r="U10" s="370"/>
      <c r="V10" s="370"/>
      <c r="W10" s="370"/>
      <c r="X10" s="370"/>
      <c r="Y10" s="370"/>
      <c r="Z10" s="370"/>
      <c r="AA10" s="370"/>
      <c r="AB10" s="379" t="s">
        <v>133</v>
      </c>
      <c r="AC10" s="380"/>
      <c r="AD10" s="380"/>
      <c r="AE10" s="380"/>
      <c r="AF10" s="380"/>
      <c r="AG10" s="380"/>
      <c r="AH10" s="381" t="s">
        <v>134</v>
      </c>
      <c r="AI10" s="382"/>
      <c r="AJ10" s="382"/>
      <c r="AK10" s="382"/>
      <c r="AL10" s="381" t="s">
        <v>111</v>
      </c>
      <c r="AM10" s="383"/>
      <c r="AN10" s="381" t="s">
        <v>108</v>
      </c>
      <c r="AO10" s="382"/>
      <c r="AP10" s="382"/>
      <c r="AQ10" s="382"/>
      <c r="AR10" s="382"/>
      <c r="AS10" s="382"/>
      <c r="AT10" s="382"/>
      <c r="AU10" s="383"/>
      <c r="AV10" s="381" t="s">
        <v>115</v>
      </c>
      <c r="AW10" s="382"/>
      <c r="AX10" s="377" t="s">
        <v>132</v>
      </c>
      <c r="AY10" s="377"/>
      <c r="AZ10" s="384" t="s">
        <v>177</v>
      </c>
      <c r="BA10" s="385"/>
      <c r="BB10" s="385"/>
      <c r="BC10" s="385"/>
      <c r="BD10" s="385"/>
      <c r="BE10" s="385"/>
      <c r="BF10" s="385"/>
      <c r="BG10" s="385"/>
      <c r="BH10" s="386"/>
      <c r="BJ10" s="6"/>
      <c r="BK10" s="6"/>
      <c r="BL10" s="6"/>
      <c r="BM10" s="6"/>
      <c r="BT10" s="34" t="s">
        <v>34</v>
      </c>
      <c r="BU10" s="1">
        <f t="shared" ref="BU10:DE10" si="2">IF(BU8&lt;0,0,BU7*BU8/(BU9/10*2*PI()))</f>
        <v>0</v>
      </c>
      <c r="BV10" s="1">
        <f t="shared" si="2"/>
        <v>0.15895849960289055</v>
      </c>
      <c r="BW10" s="1">
        <f t="shared" si="2"/>
        <v>0.30786554001732447</v>
      </c>
      <c r="BX10" s="1">
        <f t="shared" si="2"/>
        <v>0.47755258928950389</v>
      </c>
      <c r="BY10" s="1">
        <f t="shared" si="2"/>
        <v>0.6519894491387227</v>
      </c>
      <c r="BZ10" s="1">
        <f t="shared" si="2"/>
        <v>0.76974742835624466</v>
      </c>
      <c r="CA10" s="1">
        <f t="shared" si="2"/>
        <v>0.83176218397393054</v>
      </c>
      <c r="CB10" s="1">
        <f t="shared" si="2"/>
        <v>0.84957985944817982</v>
      </c>
      <c r="CC10" s="1">
        <f t="shared" si="2"/>
        <v>0.85287610725580554</v>
      </c>
      <c r="CD10" s="1">
        <f t="shared" si="2"/>
        <v>0.83774254902471179</v>
      </c>
      <c r="CE10" s="1">
        <f t="shared" si="2"/>
        <v>0.79778933499228555</v>
      </c>
      <c r="CF10" s="1">
        <f t="shared" si="2"/>
        <v>0.7602709204620538</v>
      </c>
      <c r="CG10" s="1">
        <f t="shared" si="2"/>
        <v>0.6623618465409159</v>
      </c>
      <c r="CH10" s="1">
        <f t="shared" si="2"/>
        <v>0.53104699344995743</v>
      </c>
      <c r="CI10" s="1">
        <f t="shared" si="2"/>
        <v>0</v>
      </c>
      <c r="CJ10" s="1">
        <f t="shared" si="2"/>
        <v>0</v>
      </c>
      <c r="CK10" s="1">
        <f t="shared" si="2"/>
        <v>0</v>
      </c>
      <c r="CL10" s="1" t="e">
        <f t="shared" si="2"/>
        <v>#DIV/0!</v>
      </c>
      <c r="CM10" s="1" t="e">
        <f t="shared" si="2"/>
        <v>#DIV/0!</v>
      </c>
      <c r="CN10" s="1" t="e">
        <f t="shared" si="2"/>
        <v>#DIV/0!</v>
      </c>
      <c r="CO10" s="1" t="e">
        <f t="shared" si="2"/>
        <v>#DIV/0!</v>
      </c>
      <c r="CP10" s="1" t="e">
        <f t="shared" si="2"/>
        <v>#DIV/0!</v>
      </c>
      <c r="CQ10" s="1" t="e">
        <f t="shared" si="2"/>
        <v>#DIV/0!</v>
      </c>
      <c r="CR10" s="1" t="e">
        <f t="shared" si="2"/>
        <v>#DIV/0!</v>
      </c>
      <c r="CS10" s="1" t="e">
        <f t="shared" si="2"/>
        <v>#DIV/0!</v>
      </c>
      <c r="CT10" s="1" t="e">
        <f t="shared" si="2"/>
        <v>#DIV/0!</v>
      </c>
      <c r="CU10" s="1" t="e">
        <f t="shared" si="2"/>
        <v>#DIV/0!</v>
      </c>
      <c r="CV10" s="1" t="e">
        <f t="shared" si="2"/>
        <v>#DIV/0!</v>
      </c>
      <c r="CW10" s="1" t="e">
        <f t="shared" si="2"/>
        <v>#DIV/0!</v>
      </c>
      <c r="CX10" s="1" t="e">
        <f t="shared" si="2"/>
        <v>#DIV/0!</v>
      </c>
      <c r="CY10" s="1" t="e">
        <f t="shared" si="2"/>
        <v>#DIV/0!</v>
      </c>
      <c r="CZ10" s="1" t="e">
        <f t="shared" si="2"/>
        <v>#DIV/0!</v>
      </c>
      <c r="DA10" s="1" t="e">
        <f t="shared" si="2"/>
        <v>#DIV/0!</v>
      </c>
      <c r="DB10" s="1" t="e">
        <f t="shared" si="2"/>
        <v>#DIV/0!</v>
      </c>
      <c r="DC10" s="1" t="e">
        <f t="shared" si="2"/>
        <v>#DIV/0!</v>
      </c>
      <c r="DD10" s="1" t="e">
        <f t="shared" si="2"/>
        <v>#DIV/0!</v>
      </c>
      <c r="DE10" s="1" t="e">
        <f t="shared" si="2"/>
        <v>#DIV/0!</v>
      </c>
    </row>
    <row r="11" spans="2:119" ht="29.25" customHeight="1" x14ac:dyDescent="0.25">
      <c r="B11" s="374" t="str">
        <f>resistance!I3</f>
        <v>Speed</v>
      </c>
      <c r="C11" s="375"/>
      <c r="D11" s="49" t="str">
        <f>resistance!Z3</f>
        <v>Rhull</v>
      </c>
      <c r="E11" s="49" t="str">
        <f>resistance!AA3</f>
        <v>Rpod</v>
      </c>
      <c r="F11" s="49" t="str">
        <f>resistance!AB3</f>
        <v>Radd</v>
      </c>
      <c r="G11" s="49" t="str">
        <f>resistance!AC3</f>
        <v>Rtotal</v>
      </c>
      <c r="H11" s="125" t="s">
        <v>39</v>
      </c>
      <c r="I11" s="49" t="s">
        <v>72</v>
      </c>
      <c r="J11" s="48" t="s">
        <v>73</v>
      </c>
      <c r="K11" s="49" t="s">
        <v>40</v>
      </c>
      <c r="L11" s="50" t="s">
        <v>30</v>
      </c>
      <c r="M11" s="65" t="s">
        <v>94</v>
      </c>
      <c r="N11" s="49" t="s">
        <v>35</v>
      </c>
      <c r="O11" s="64" t="s">
        <v>35</v>
      </c>
      <c r="P11" s="65" t="s">
        <v>29</v>
      </c>
      <c r="Q11" s="65" t="s">
        <v>29</v>
      </c>
      <c r="R11" s="50" t="s">
        <v>48</v>
      </c>
      <c r="S11" s="65" t="s">
        <v>101</v>
      </c>
      <c r="T11" s="50" t="s">
        <v>36</v>
      </c>
      <c r="U11" s="66" t="s">
        <v>93</v>
      </c>
      <c r="V11" s="50" t="s">
        <v>45</v>
      </c>
      <c r="W11" s="50" t="s">
        <v>46</v>
      </c>
      <c r="X11" s="119" t="s">
        <v>95</v>
      </c>
      <c r="Y11" s="66" t="s">
        <v>91</v>
      </c>
      <c r="Z11" s="74" t="s">
        <v>92</v>
      </c>
      <c r="AA11" s="267" t="s">
        <v>216</v>
      </c>
      <c r="AB11" s="51" t="s">
        <v>103</v>
      </c>
      <c r="AC11" s="52" t="s">
        <v>104</v>
      </c>
      <c r="AD11" s="51" t="s">
        <v>36</v>
      </c>
      <c r="AE11" s="51" t="s">
        <v>105</v>
      </c>
      <c r="AF11" s="52" t="s">
        <v>106</v>
      </c>
      <c r="AG11" s="268" t="s">
        <v>217</v>
      </c>
      <c r="AH11" s="145" t="s">
        <v>36</v>
      </c>
      <c r="AI11" s="131" t="s">
        <v>77</v>
      </c>
      <c r="AJ11" s="65" t="s">
        <v>123</v>
      </c>
      <c r="AK11" s="66" t="s">
        <v>114</v>
      </c>
      <c r="AL11" s="164" t="s">
        <v>131</v>
      </c>
      <c r="AM11" s="170" t="s">
        <v>152</v>
      </c>
      <c r="AN11" s="186" t="s">
        <v>155</v>
      </c>
      <c r="AO11" s="258" t="s">
        <v>156</v>
      </c>
      <c r="AP11" s="196" t="s">
        <v>157</v>
      </c>
      <c r="AQ11" s="202" t="s">
        <v>182</v>
      </c>
      <c r="AR11" s="84" t="s">
        <v>196</v>
      </c>
      <c r="AS11" s="66" t="s">
        <v>197</v>
      </c>
      <c r="AT11" s="66" t="s">
        <v>158</v>
      </c>
      <c r="AU11" s="170" t="s">
        <v>211</v>
      </c>
      <c r="AV11" s="156" t="s">
        <v>130</v>
      </c>
      <c r="AW11" s="187" t="s">
        <v>159</v>
      </c>
      <c r="AX11" s="202" t="s">
        <v>160</v>
      </c>
      <c r="AY11" s="242" t="s">
        <v>175</v>
      </c>
      <c r="AZ11" s="215" t="s">
        <v>155</v>
      </c>
      <c r="BA11" s="219" t="s">
        <v>176</v>
      </c>
      <c r="BB11" s="219" t="s">
        <v>178</v>
      </c>
      <c r="BC11" s="220"/>
      <c r="BD11" s="220" t="s">
        <v>180</v>
      </c>
      <c r="BE11" s="219" t="s">
        <v>181</v>
      </c>
      <c r="BF11" s="219" t="s">
        <v>183</v>
      </c>
      <c r="BG11" s="221" t="str">
        <f t="shared" ref="BG11:BG43" si="3">AQ11</f>
        <v>Benodigde Vaartijd</v>
      </c>
      <c r="BH11" s="221" t="s">
        <v>184</v>
      </c>
      <c r="BJ11" s="52"/>
      <c r="BK11" s="163" t="s">
        <v>54</v>
      </c>
      <c r="BL11" s="56">
        <f>SUM(BL14:BL43)</f>
        <v>16.171580132253467</v>
      </c>
      <c r="BM11" s="56">
        <f>SUM(BM14:BM43)</f>
        <v>21.601657075491211</v>
      </c>
      <c r="BS11" s="10"/>
    </row>
    <row r="12" spans="2:119" x14ac:dyDescent="0.25">
      <c r="B12" s="80" t="str">
        <f>resistance!J4</f>
        <v>[m/s]</v>
      </c>
      <c r="C12" s="43" t="str">
        <f>resistance!I4</f>
        <v>[km/h]</v>
      </c>
      <c r="D12" s="42" t="str">
        <f>resistance!Z4</f>
        <v>[N]</v>
      </c>
      <c r="E12" s="42" t="str">
        <f>resistance!AA4</f>
        <v>[N]</v>
      </c>
      <c r="F12" s="42" t="str">
        <f>resistance!AB4</f>
        <v>[N]</v>
      </c>
      <c r="G12" s="42" t="str">
        <f>resistance!AC4</f>
        <v>[N]</v>
      </c>
      <c r="H12" s="114" t="s">
        <v>44</v>
      </c>
      <c r="I12" s="42" t="s">
        <v>17</v>
      </c>
      <c r="J12" s="43" t="s">
        <v>2</v>
      </c>
      <c r="K12" s="44" t="s">
        <v>49</v>
      </c>
      <c r="L12" s="45" t="s">
        <v>16</v>
      </c>
      <c r="M12" s="45"/>
      <c r="N12" s="42" t="s">
        <v>28</v>
      </c>
      <c r="O12" s="59" t="s">
        <v>90</v>
      </c>
      <c r="P12" s="59"/>
      <c r="Q12" s="59"/>
      <c r="R12" s="42"/>
      <c r="S12" s="42"/>
      <c r="T12" s="42"/>
      <c r="U12" s="42"/>
      <c r="V12" s="42" t="s">
        <v>17</v>
      </c>
      <c r="W12" s="42" t="s">
        <v>37</v>
      </c>
      <c r="X12" s="120" t="s">
        <v>44</v>
      </c>
      <c r="Y12" s="63" t="s">
        <v>89</v>
      </c>
      <c r="Z12" s="59" t="s">
        <v>89</v>
      </c>
      <c r="AA12" s="115" t="s">
        <v>44</v>
      </c>
      <c r="AB12" s="42" t="s">
        <v>52</v>
      </c>
      <c r="AC12" s="42" t="s">
        <v>37</v>
      </c>
      <c r="AD12" s="42" t="s">
        <v>16</v>
      </c>
      <c r="AE12" s="42" t="s">
        <v>52</v>
      </c>
      <c r="AF12" s="42" t="s">
        <v>37</v>
      </c>
      <c r="AG12" s="144" t="s">
        <v>44</v>
      </c>
      <c r="AH12" s="146" t="s">
        <v>16</v>
      </c>
      <c r="AI12" s="135" t="s">
        <v>44</v>
      </c>
      <c r="AJ12" s="134" t="s">
        <v>109</v>
      </c>
      <c r="AK12" s="134" t="s">
        <v>107</v>
      </c>
      <c r="AL12" s="165" t="s">
        <v>89</v>
      </c>
      <c r="AM12" s="136" t="s">
        <v>44</v>
      </c>
      <c r="AN12" s="135" t="s">
        <v>44</v>
      </c>
      <c r="AO12" s="259" t="s">
        <v>89</v>
      </c>
      <c r="AP12" s="197" t="s">
        <v>129</v>
      </c>
      <c r="AQ12" s="134" t="s">
        <v>128</v>
      </c>
      <c r="AR12" s="134" t="s">
        <v>129</v>
      </c>
      <c r="AS12" s="134" t="s">
        <v>44</v>
      </c>
      <c r="AT12" s="59" t="s">
        <v>16</v>
      </c>
      <c r="AU12" s="175" t="s">
        <v>44</v>
      </c>
      <c r="AV12" s="158" t="s">
        <v>89</v>
      </c>
      <c r="AW12" s="188" t="s">
        <v>44</v>
      </c>
      <c r="AX12" s="256" t="s">
        <v>44</v>
      </c>
      <c r="AY12" s="241" t="s">
        <v>16</v>
      </c>
      <c r="AZ12" s="213" t="s">
        <v>44</v>
      </c>
      <c r="BA12" s="216" t="s">
        <v>44</v>
      </c>
      <c r="BB12" s="216" t="s">
        <v>44</v>
      </c>
      <c r="BC12" s="216"/>
      <c r="BD12" s="216" t="s">
        <v>129</v>
      </c>
      <c r="BE12" s="216" t="s">
        <v>129</v>
      </c>
      <c r="BF12" s="216" t="s">
        <v>179</v>
      </c>
      <c r="BG12" s="228" t="str">
        <f t="shared" si="3"/>
        <v>[hour]</v>
      </c>
      <c r="BH12" s="217" t="s">
        <v>179</v>
      </c>
      <c r="BJ12" s="49"/>
      <c r="BK12" s="6"/>
      <c r="BL12" s="171" t="s">
        <v>1</v>
      </c>
      <c r="BM12" s="171" t="s">
        <v>1</v>
      </c>
      <c r="BS12" s="6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t="s">
        <v>38</v>
      </c>
    </row>
    <row r="13" spans="2:119" x14ac:dyDescent="0.25">
      <c r="B13" s="70">
        <f>resistance!J5</f>
        <v>0</v>
      </c>
      <c r="C13" s="3">
        <f>resistance!I5</f>
        <v>0</v>
      </c>
      <c r="D13" s="16">
        <f>resistance!Z5</f>
        <v>0</v>
      </c>
      <c r="E13" s="16">
        <f>resistance!AA5</f>
        <v>0</v>
      </c>
      <c r="F13" s="16">
        <f>resistance!AB5</f>
        <v>0</v>
      </c>
      <c r="G13" s="16">
        <f>resistance!AC5</f>
        <v>0</v>
      </c>
      <c r="H13" s="126">
        <f t="shared" ref="H13:H46" si="4">B13*G13</f>
        <v>0</v>
      </c>
      <c r="I13" s="16">
        <f>G13/(1-$E$6/100)</f>
        <v>0</v>
      </c>
      <c r="J13" s="4">
        <f t="shared" ref="J13:J43" si="5">B13*(1-$E$7/100)</f>
        <v>0</v>
      </c>
      <c r="K13" s="28"/>
      <c r="L13" s="27">
        <v>0</v>
      </c>
      <c r="M13" s="27">
        <v>0</v>
      </c>
      <c r="N13" s="16">
        <v>0</v>
      </c>
      <c r="O13" s="16">
        <f>N13/60</f>
        <v>0</v>
      </c>
      <c r="P13" s="96">
        <v>0</v>
      </c>
      <c r="Q13" s="96">
        <v>0</v>
      </c>
      <c r="R13" s="27">
        <v>0</v>
      </c>
      <c r="S13" s="96" t="e">
        <f t="shared" ref="S13:S46" si="6">W13/($E$5*O13^2*$N$3^5)</f>
        <v>#DIV/0!</v>
      </c>
      <c r="T13" s="68">
        <v>0</v>
      </c>
      <c r="U13" s="27">
        <f t="shared" ref="U13:U43" si="7">L13*O13*$N$3</f>
        <v>0</v>
      </c>
      <c r="V13" s="16">
        <f t="shared" ref="V13:V43" si="8">P13*$E$5*(N13/60)^2*$N$3^4</f>
        <v>0</v>
      </c>
      <c r="W13" s="16">
        <f t="shared" ref="W13:W43" si="9">R13/10*$E$5*(N13/60)^2*$N$3^5</f>
        <v>0</v>
      </c>
      <c r="X13" s="121">
        <v>0</v>
      </c>
      <c r="Y13" s="68" t="e">
        <f t="shared" ref="Y13:Y46" si="10">(G13*J13)/(2*PI()*O13*W13)</f>
        <v>#DIV/0!</v>
      </c>
      <c r="Z13" s="76">
        <v>0</v>
      </c>
      <c r="AA13" s="116">
        <f t="shared" ref="AA13:AA43" si="11">W13*N13/60*2*PI()</f>
        <v>0</v>
      </c>
      <c r="AB13" s="40">
        <f t="shared" ref="AB13:AB43" si="12">N13</f>
        <v>0</v>
      </c>
      <c r="AC13" s="39">
        <f t="shared" ref="AC13:AC43" si="13">W13</f>
        <v>0</v>
      </c>
      <c r="AD13" s="107">
        <v>0.97</v>
      </c>
      <c r="AE13" s="40">
        <f t="shared" ref="AE13:AE43" si="14">$N$8*AB13</f>
        <v>0</v>
      </c>
      <c r="AF13" s="39">
        <f t="shared" ref="AF13:AF42" si="15">W13/($N$8*AD13)</f>
        <v>0</v>
      </c>
      <c r="AG13" s="132">
        <f t="shared" ref="AG13:AG43" si="16">(AF13*2*PI()*AE13/60)/AD13</f>
        <v>0</v>
      </c>
      <c r="AH13" s="147">
        <v>0.84</v>
      </c>
      <c r="AI13" s="132">
        <f>AG13/AH13</f>
        <v>0</v>
      </c>
      <c r="AJ13" s="152">
        <f>AF13/$AK$7</f>
        <v>0</v>
      </c>
      <c r="AK13" s="153">
        <v>0</v>
      </c>
      <c r="AL13" s="166">
        <v>0.99</v>
      </c>
      <c r="AM13" s="139">
        <f t="shared" ref="AM13:AM43" si="17">AI13/AL13</f>
        <v>0</v>
      </c>
      <c r="AN13" s="132">
        <f t="shared" ref="AN13:AN43" si="18">AM13+$AO$8</f>
        <v>149.88888888888889</v>
      </c>
      <c r="AO13" s="260">
        <f>IF(AN13&lt;Battery!$D$4,Battery!$F$4,FORECAST(AN13,Battery!$F$3:$F$7,Battery!$D$3:$D$7))</f>
        <v>1</v>
      </c>
      <c r="AP13" s="263">
        <f>AO13*Battery!$E$3</f>
        <v>1591.92</v>
      </c>
      <c r="AQ13" s="40">
        <v>0</v>
      </c>
      <c r="AR13" s="152">
        <f>AN13*AQ13</f>
        <v>0</v>
      </c>
      <c r="AS13" s="152">
        <v>0</v>
      </c>
      <c r="AT13" s="152" t="b">
        <f>IF(AN13 &lt; AS13,TRUE,FALSE)</f>
        <v>0</v>
      </c>
      <c r="AU13" s="132">
        <f t="shared" ref="AU13:AU22" si="19">AN13-AS13</f>
        <v>149.88888888888889</v>
      </c>
      <c r="AV13" s="159">
        <v>0.99</v>
      </c>
      <c r="AW13" s="138">
        <f>AU13/AV13</f>
        <v>151.40291806958473</v>
      </c>
      <c r="AX13" s="253">
        <f>VLOOKUP($AX$7,'Solar Panels'!$G$6:$K$17,5,FALSE)</f>
        <v>1774.5</v>
      </c>
      <c r="AY13" s="243" t="b">
        <f t="shared" ref="AY13:AY43" si="20">IF(AX13&gt;AW13,TRUE,FALSE)</f>
        <v>1</v>
      </c>
      <c r="AZ13" s="236">
        <f t="shared" ref="AZ13:AZ43" si="21">AW13</f>
        <v>151.40291806958473</v>
      </c>
      <c r="BA13" s="237">
        <f t="shared" ref="BA13:BA43" si="22">AX13+AS13</f>
        <v>1774.5</v>
      </c>
      <c r="BB13" s="237">
        <f>BA13-AZ13</f>
        <v>1623.0970819304152</v>
      </c>
      <c r="BC13" s="237" t="b">
        <f>IF(BB13&gt;0,TRUE,BB13)</f>
        <v>1</v>
      </c>
      <c r="BD13" s="237">
        <f t="shared" ref="BD13:BD43" si="23">AQ13*AZ13</f>
        <v>0</v>
      </c>
      <c r="BE13" s="237">
        <f t="shared" ref="BE13:BE43" si="24">AQ13*BA13</f>
        <v>0</v>
      </c>
      <c r="BF13" s="238">
        <f t="shared" ref="BF13:BF43" si="25">BE13/AZ13</f>
        <v>0</v>
      </c>
      <c r="BG13" s="239">
        <f t="shared" si="3"/>
        <v>0</v>
      </c>
      <c r="BH13" s="218">
        <f>BF13-BG13</f>
        <v>0</v>
      </c>
      <c r="BJ13" s="40"/>
      <c r="BK13" s="6"/>
      <c r="BL13" s="1"/>
      <c r="BM13" s="1"/>
      <c r="BS13" s="6"/>
      <c r="BU13" s="22">
        <f t="shared" ref="BU13:DE13" si="26">IF(SIGN(BU$8-$K13*BU$7^2)*SIGN(BV$8-$K13*BV$7^2)=-1,INTERCEPT(BU$7:BV$7, BU$8:BV$8-$K13*(BU$7:BV$7)^2),0)</f>
        <v>0</v>
      </c>
      <c r="BV13" s="22">
        <f t="shared" si="26"/>
        <v>0</v>
      </c>
      <c r="BW13" s="22">
        <f t="shared" si="26"/>
        <v>0</v>
      </c>
      <c r="BX13" s="22">
        <f t="shared" si="26"/>
        <v>0</v>
      </c>
      <c r="BY13" s="22">
        <f t="shared" si="26"/>
        <v>0</v>
      </c>
      <c r="BZ13" s="22">
        <f t="shared" si="26"/>
        <v>0</v>
      </c>
      <c r="CA13" s="22">
        <f t="shared" si="26"/>
        <v>0</v>
      </c>
      <c r="CB13" s="22">
        <f t="shared" si="26"/>
        <v>0</v>
      </c>
      <c r="CC13" s="22">
        <f t="shared" si="26"/>
        <v>0</v>
      </c>
      <c r="CD13" s="22">
        <f t="shared" si="26"/>
        <v>0</v>
      </c>
      <c r="CE13" s="22">
        <f t="shared" si="26"/>
        <v>0</v>
      </c>
      <c r="CF13" s="22">
        <f t="shared" si="26"/>
        <v>0</v>
      </c>
      <c r="CG13" s="22">
        <f t="shared" si="26"/>
        <v>0</v>
      </c>
      <c r="CH13" s="22">
        <f t="shared" si="26"/>
        <v>0</v>
      </c>
      <c r="CI13" s="22">
        <f t="shared" si="26"/>
        <v>0</v>
      </c>
      <c r="CJ13" s="22">
        <f t="shared" si="26"/>
        <v>0</v>
      </c>
      <c r="CK13" s="22">
        <f t="shared" si="26"/>
        <v>0</v>
      </c>
      <c r="CL13" s="22">
        <f t="shared" si="26"/>
        <v>0</v>
      </c>
      <c r="CM13" s="22">
        <f t="shared" si="26"/>
        <v>0</v>
      </c>
      <c r="CN13" s="22">
        <f t="shared" si="26"/>
        <v>0</v>
      </c>
      <c r="CO13" s="22">
        <f t="shared" si="26"/>
        <v>0</v>
      </c>
      <c r="CP13" s="22">
        <f t="shared" si="26"/>
        <v>0</v>
      </c>
      <c r="CQ13" s="22">
        <f t="shared" si="26"/>
        <v>0</v>
      </c>
      <c r="CR13" s="22">
        <f t="shared" si="26"/>
        <v>0</v>
      </c>
      <c r="CS13" s="22">
        <f t="shared" si="26"/>
        <v>0</v>
      </c>
      <c r="CT13" s="22">
        <f t="shared" si="26"/>
        <v>0</v>
      </c>
      <c r="CU13" s="22">
        <f t="shared" si="26"/>
        <v>0</v>
      </c>
      <c r="CV13" s="22">
        <f t="shared" si="26"/>
        <v>0</v>
      </c>
      <c r="CW13" s="22">
        <f t="shared" si="26"/>
        <v>0</v>
      </c>
      <c r="CX13" s="22">
        <f t="shared" si="26"/>
        <v>0</v>
      </c>
      <c r="CY13" s="22">
        <f t="shared" si="26"/>
        <v>0</v>
      </c>
      <c r="CZ13" s="22">
        <f t="shared" si="26"/>
        <v>0</v>
      </c>
      <c r="DA13" s="22">
        <f t="shared" si="26"/>
        <v>0</v>
      </c>
      <c r="DB13" s="22">
        <f t="shared" si="26"/>
        <v>0</v>
      </c>
      <c r="DC13" s="22">
        <f t="shared" si="26"/>
        <v>0</v>
      </c>
      <c r="DD13" s="22">
        <f t="shared" si="26"/>
        <v>0</v>
      </c>
      <c r="DE13" s="22">
        <f t="shared" si="26"/>
        <v>0</v>
      </c>
      <c r="DF13" s="22">
        <f t="shared" ref="DF13:DF23" si="27">SUM(BU13:DE13)</f>
        <v>0</v>
      </c>
    </row>
    <row r="14" spans="2:119" x14ac:dyDescent="0.25">
      <c r="B14" s="70">
        <f>resistance!J6</f>
        <v>0.27777777777777779</v>
      </c>
      <c r="C14" s="3">
        <f>resistance!I6</f>
        <v>1</v>
      </c>
      <c r="D14" s="16">
        <f>resistance!Z6</f>
        <v>8.5099158653846168</v>
      </c>
      <c r="E14" s="16">
        <f>resistance!AA6</f>
        <v>0.94554620726495753</v>
      </c>
      <c r="F14" s="16">
        <f>resistance!AB6</f>
        <v>0</v>
      </c>
      <c r="G14" s="16">
        <f>resistance!AC6</f>
        <v>9.4554620726495742</v>
      </c>
      <c r="H14" s="126">
        <f t="shared" si="4"/>
        <v>2.6265172424026595</v>
      </c>
      <c r="I14" s="16">
        <f>G14/(1-$E$6/100)</f>
        <v>9.9531179712100784</v>
      </c>
      <c r="J14" s="4">
        <f t="shared" si="5"/>
        <v>0.27777777777777779</v>
      </c>
      <c r="K14" s="28">
        <f t="shared" ref="K14:K19" si="28">I14/($E$5*J14^2*$N$3^2)</f>
        <v>0.99606482212653547</v>
      </c>
      <c r="L14" s="27">
        <f>SUM(BU14:DE14)</f>
        <v>0.39357006993646199</v>
      </c>
      <c r="M14" s="27">
        <f>J14/(O14*$N$3)</f>
        <v>0.39357006993646199</v>
      </c>
      <c r="N14" s="16">
        <f>J14/(L14*$N$3)*60</f>
        <v>117.63164893044427</v>
      </c>
      <c r="O14" s="16">
        <f>N14/60</f>
        <v>1.9605274821740712</v>
      </c>
      <c r="P14" s="96">
        <f t="shared" ref="P14:P43" si="29">K14*L14^2</f>
        <v>0.15428785112885196</v>
      </c>
      <c r="Q14" s="96">
        <f t="shared" ref="Q14:Q43" si="30">I14/($E$5*O14^2*$N$3^4)</f>
        <v>0.15428785112885199</v>
      </c>
      <c r="R14" s="27">
        <f>DF52</f>
        <v>0.29683063031908702</v>
      </c>
      <c r="S14" s="96">
        <f t="shared" si="6"/>
        <v>2.96830630319087E-2</v>
      </c>
      <c r="T14" s="68">
        <f t="shared" ref="T14:T43" si="31">P14*L14/(R14/10*2*PI())</f>
        <v>0.32558561724350021</v>
      </c>
      <c r="U14" s="27">
        <f t="shared" si="7"/>
        <v>0.27777777777777773</v>
      </c>
      <c r="V14" s="16">
        <f t="shared" si="8"/>
        <v>9.9531179712100766</v>
      </c>
      <c r="W14" s="16">
        <f t="shared" si="9"/>
        <v>0.68934818483160309</v>
      </c>
      <c r="X14" s="122">
        <f t="shared" ref="X14:X43" si="32">AA14*Z14</f>
        <v>2.7647549920027985</v>
      </c>
      <c r="Y14" s="68">
        <f t="shared" si="10"/>
        <v>0.30930633638132515</v>
      </c>
      <c r="Z14" s="76">
        <f t="shared" ref="Z14:Z43" si="33">(V14*U14)/(2*PI()*O14*W14)</f>
        <v>0.32558561724350005</v>
      </c>
      <c r="AA14" s="116">
        <f t="shared" si="11"/>
        <v>8.4916373622704722</v>
      </c>
      <c r="AB14" s="40">
        <f t="shared" si="12"/>
        <v>117.63164893044427</v>
      </c>
      <c r="AC14" s="39">
        <f t="shared" si="13"/>
        <v>0.68934818483160309</v>
      </c>
      <c r="AD14" s="108">
        <v>0.97</v>
      </c>
      <c r="AE14" s="40">
        <f t="shared" si="14"/>
        <v>352.89494679133281</v>
      </c>
      <c r="AF14" s="39">
        <f t="shared" si="15"/>
        <v>0.23688941059505259</v>
      </c>
      <c r="AG14" s="132">
        <f t="shared" si="16"/>
        <v>9.0250157958023927</v>
      </c>
      <c r="AH14" s="148">
        <f>AH13</f>
        <v>0.84</v>
      </c>
      <c r="AI14" s="132">
        <f t="shared" ref="AI14:AI22" si="34">AG14/AH14</f>
        <v>10.744066423574278</v>
      </c>
      <c r="AJ14" s="152">
        <f>AF14/$AK$7</f>
        <v>1.3028917582727892</v>
      </c>
      <c r="AK14" s="152">
        <f t="shared" ref="AK14:AK43" si="35">AI14/AJ14</f>
        <v>8.2463231157570718</v>
      </c>
      <c r="AL14" s="167">
        <v>0.99</v>
      </c>
      <c r="AM14" s="140">
        <f t="shared" si="17"/>
        <v>10.852592347044725</v>
      </c>
      <c r="AN14" s="132">
        <f t="shared" si="18"/>
        <v>160.74148123593361</v>
      </c>
      <c r="AO14" s="260">
        <f>IF(AN14&lt;Battery!$D$4,Battery!$F$4,FORECAST(AN14,Battery!$F$3:$F$7,Battery!$D$3:$D$7))</f>
        <v>1</v>
      </c>
      <c r="AP14" s="263">
        <f>AO14*Battery!$E$3</f>
        <v>1591.92</v>
      </c>
      <c r="AQ14" s="40">
        <f t="shared" ref="AQ14:AQ43" si="36">$AS$8/C14</f>
        <v>60</v>
      </c>
      <c r="AR14" s="152">
        <f t="shared" ref="AR14:AR46" si="37">AN14*AQ14</f>
        <v>9644.4888741560171</v>
      </c>
      <c r="AS14" s="152">
        <f>AP14/AQ14</f>
        <v>26.532</v>
      </c>
      <c r="AT14" s="152" t="b">
        <f t="shared" ref="AT14:AT46" si="38">IF(AN14 &lt; AS14,TRUE,FALSE)</f>
        <v>0</v>
      </c>
      <c r="AU14" s="132">
        <f t="shared" si="19"/>
        <v>134.20948123593359</v>
      </c>
      <c r="AV14" s="160">
        <v>0.99</v>
      </c>
      <c r="AW14" s="132">
        <f>AU14/AV14</f>
        <v>135.56513256154909</v>
      </c>
      <c r="AX14" s="253">
        <f>VLOOKUP($AX$7,'Solar Panels'!$G$6:$K$17,5,FALSE)</f>
        <v>1774.5</v>
      </c>
      <c r="AY14" s="40" t="b">
        <f t="shared" si="20"/>
        <v>1</v>
      </c>
      <c r="AZ14" s="229">
        <f t="shared" si="21"/>
        <v>135.56513256154909</v>
      </c>
      <c r="BA14" s="224">
        <f t="shared" si="22"/>
        <v>1801.0319999999999</v>
      </c>
      <c r="BB14" s="224">
        <f t="shared" ref="BB14:BB46" si="39">BA14-AZ14</f>
        <v>1665.4668674384509</v>
      </c>
      <c r="BC14" s="224" t="b">
        <f t="shared" ref="BC14:BC46" si="40">IF(BB14&gt;0,TRUE,BB14)</f>
        <v>1</v>
      </c>
      <c r="BD14" s="224">
        <f t="shared" si="23"/>
        <v>8133.9079536929457</v>
      </c>
      <c r="BE14" s="224">
        <f t="shared" si="24"/>
        <v>108061.92</v>
      </c>
      <c r="BF14" s="225">
        <f>BE14/AZ14</f>
        <v>797.12178167153616</v>
      </c>
      <c r="BG14" s="214">
        <f t="shared" si="3"/>
        <v>60</v>
      </c>
      <c r="BH14" s="222">
        <f t="shared" ref="BH14:BH46" si="41">BF14-BG14</f>
        <v>737.12178167153616</v>
      </c>
      <c r="BJ14" s="40"/>
      <c r="BL14" s="1">
        <f t="shared" ref="BL14:BL43" si="42">IF(SIGN(AG13-$BL$9)*SIGN(AG14-$BL$9)=-1,INTERCEPT(C13:C14,AG13:AG14-$BL$9),0)</f>
        <v>0</v>
      </c>
      <c r="BM14" s="1">
        <f t="shared" ref="BM14:BM43" si="43">IF(SIGN(AG13-$BM$9)*SIGN(AG14-$BM$9)=-1,INTERCEPT(C13:C14,AG13:AG14-$BM$9),0)</f>
        <v>0</v>
      </c>
      <c r="BS14" s="16"/>
      <c r="BU14" s="22">
        <f t="shared" ref="BU14:DE14" si="44">IF(SIGN(BU$8-$K14*BU$7^2)*SIGN(BV$8-$K14*BV$7^2)=-1,INTERCEPT(BU$7:BV$7, BU$8:BV$8-$K14*(BU$7:BV$7)^2),0)</f>
        <v>0</v>
      </c>
      <c r="BV14" s="22">
        <f t="shared" si="44"/>
        <v>0</v>
      </c>
      <c r="BW14" s="22">
        <f t="shared" si="44"/>
        <v>0.39357006993646199</v>
      </c>
      <c r="BX14" s="22">
        <f t="shared" si="44"/>
        <v>0</v>
      </c>
      <c r="BY14" s="22">
        <f t="shared" si="44"/>
        <v>0</v>
      </c>
      <c r="BZ14" s="22">
        <f t="shared" si="44"/>
        <v>0</v>
      </c>
      <c r="CA14" s="22">
        <f t="shared" si="44"/>
        <v>0</v>
      </c>
      <c r="CB14" s="22">
        <f t="shared" si="44"/>
        <v>0</v>
      </c>
      <c r="CC14" s="22">
        <f t="shared" si="44"/>
        <v>0</v>
      </c>
      <c r="CD14" s="22">
        <f t="shared" si="44"/>
        <v>0</v>
      </c>
      <c r="CE14" s="22">
        <f t="shared" si="44"/>
        <v>0</v>
      </c>
      <c r="CF14" s="22">
        <f t="shared" si="44"/>
        <v>0</v>
      </c>
      <c r="CG14" s="22">
        <f t="shared" si="44"/>
        <v>0</v>
      </c>
      <c r="CH14" s="22">
        <f t="shared" si="44"/>
        <v>0</v>
      </c>
      <c r="CI14" s="22">
        <f t="shared" si="44"/>
        <v>0</v>
      </c>
      <c r="CJ14" s="22">
        <f t="shared" si="44"/>
        <v>0</v>
      </c>
      <c r="CK14" s="22">
        <f t="shared" si="44"/>
        <v>0</v>
      </c>
      <c r="CL14" s="22">
        <f t="shared" si="44"/>
        <v>0</v>
      </c>
      <c r="CM14" s="22">
        <f t="shared" si="44"/>
        <v>0</v>
      </c>
      <c r="CN14" s="22">
        <f t="shared" si="44"/>
        <v>0</v>
      </c>
      <c r="CO14" s="22">
        <f t="shared" si="44"/>
        <v>0</v>
      </c>
      <c r="CP14" s="22">
        <f t="shared" si="44"/>
        <v>0</v>
      </c>
      <c r="CQ14" s="22">
        <f t="shared" si="44"/>
        <v>0</v>
      </c>
      <c r="CR14" s="22">
        <f t="shared" si="44"/>
        <v>0</v>
      </c>
      <c r="CS14" s="22">
        <f t="shared" si="44"/>
        <v>0</v>
      </c>
      <c r="CT14" s="22">
        <f t="shared" si="44"/>
        <v>0</v>
      </c>
      <c r="CU14" s="22">
        <f t="shared" si="44"/>
        <v>0</v>
      </c>
      <c r="CV14" s="22">
        <f t="shared" si="44"/>
        <v>0</v>
      </c>
      <c r="CW14" s="22">
        <f t="shared" si="44"/>
        <v>0</v>
      </c>
      <c r="CX14" s="22">
        <f t="shared" si="44"/>
        <v>0</v>
      </c>
      <c r="CY14" s="22">
        <f t="shared" si="44"/>
        <v>0</v>
      </c>
      <c r="CZ14" s="22">
        <f t="shared" si="44"/>
        <v>0</v>
      </c>
      <c r="DA14" s="22">
        <f t="shared" si="44"/>
        <v>0</v>
      </c>
      <c r="DB14" s="22">
        <f t="shared" si="44"/>
        <v>0</v>
      </c>
      <c r="DC14" s="22">
        <f t="shared" si="44"/>
        <v>0</v>
      </c>
      <c r="DD14" s="22">
        <f t="shared" si="44"/>
        <v>0</v>
      </c>
      <c r="DE14" s="22">
        <f t="shared" si="44"/>
        <v>0</v>
      </c>
      <c r="DF14" s="22">
        <f t="shared" si="27"/>
        <v>0.39357006993646199</v>
      </c>
      <c r="DJ14" s="1"/>
      <c r="DK14" s="1"/>
      <c r="DL14" s="1"/>
      <c r="DM14" s="1"/>
      <c r="DN14" s="1"/>
      <c r="DO14" s="1"/>
    </row>
    <row r="15" spans="2:119" x14ac:dyDescent="0.25">
      <c r="B15" s="70">
        <f>resistance!J7</f>
        <v>0.55555555555555558</v>
      </c>
      <c r="C15" s="3">
        <f>resistance!I7</f>
        <v>2</v>
      </c>
      <c r="D15" s="16">
        <f>resistance!Z7</f>
        <v>17.019831730769234</v>
      </c>
      <c r="E15" s="16">
        <f>resistance!AA7</f>
        <v>1.8910924145299151</v>
      </c>
      <c r="F15" s="16">
        <f>resistance!AB7</f>
        <v>0</v>
      </c>
      <c r="G15" s="16">
        <f>resistance!AC7</f>
        <v>18.910924145299148</v>
      </c>
      <c r="H15" s="126">
        <f t="shared" si="4"/>
        <v>10.506068969610638</v>
      </c>
      <c r="I15" s="16">
        <f>G15/(1-$E$6/100)</f>
        <v>19.906235942420157</v>
      </c>
      <c r="J15" s="4">
        <f t="shared" si="5"/>
        <v>0.55555555555555558</v>
      </c>
      <c r="K15" s="28">
        <f t="shared" si="28"/>
        <v>0.49803241106326773</v>
      </c>
      <c r="L15" s="27">
        <f t="shared" ref="L15:L43" si="45">SUM(BU15:DE15)</f>
        <v>0.54298412824915643</v>
      </c>
      <c r="M15" s="27">
        <f>J15/(O15*$N$3)</f>
        <v>0.54298412824915643</v>
      </c>
      <c r="N15" s="16">
        <f t="shared" ref="N15:N43" si="46">J15/(L15*$N$3)*60</f>
        <v>170.52541276142992</v>
      </c>
      <c r="O15" s="16">
        <f t="shared" ref="O15:O46" si="47">N15/60</f>
        <v>2.8420902126904988</v>
      </c>
      <c r="P15" s="96">
        <f>K15*L15^2</f>
        <v>0.14683577404912829</v>
      </c>
      <c r="Q15" s="96">
        <f t="shared" si="30"/>
        <v>0.14683577404912829</v>
      </c>
      <c r="R15" s="27">
        <f t="shared" ref="R15:R43" si="48">DF53</f>
        <v>0.26506151075725359</v>
      </c>
      <c r="S15" s="96">
        <f>W15/($E$5*O15^2*$N$3^5)</f>
        <v>2.6506151075725362E-2</v>
      </c>
      <c r="T15" s="68">
        <f t="shared" si="31"/>
        <v>0.47873201832554041</v>
      </c>
      <c r="U15" s="27">
        <f t="shared" si="7"/>
        <v>0.55555555555555558</v>
      </c>
      <c r="V15" s="16">
        <f t="shared" si="8"/>
        <v>19.906235942420157</v>
      </c>
      <c r="W15" s="16">
        <f t="shared" si="9"/>
        <v>1.2936191621969653</v>
      </c>
      <c r="X15" s="122">
        <f>AA15*Z15</f>
        <v>11.059019968011199</v>
      </c>
      <c r="Y15" s="68">
        <f>(G15*J15)/(2*PI()*O15*W15)</f>
        <v>0.45479541740926327</v>
      </c>
      <c r="Z15" s="76">
        <f t="shared" si="33"/>
        <v>0.47873201832554035</v>
      </c>
      <c r="AA15" s="116">
        <f t="shared" si="11"/>
        <v>23.100648263912454</v>
      </c>
      <c r="AB15" s="40">
        <f>N15</f>
        <v>170.52541276142992</v>
      </c>
      <c r="AC15" s="39">
        <f t="shared" si="13"/>
        <v>1.2936191621969653</v>
      </c>
      <c r="AD15" s="109">
        <v>0.97</v>
      </c>
      <c r="AE15" s="40">
        <f t="shared" si="14"/>
        <v>511.57623828428973</v>
      </c>
      <c r="AF15" s="39">
        <f t="shared" si="15"/>
        <v>0.44454266742163751</v>
      </c>
      <c r="AG15" s="132">
        <f t="shared" si="16"/>
        <v>24.551650827837658</v>
      </c>
      <c r="AH15" s="148">
        <f>AH14</f>
        <v>0.84</v>
      </c>
      <c r="AI15" s="132">
        <f t="shared" si="34"/>
        <v>29.228155747425784</v>
      </c>
      <c r="AJ15" s="152">
        <f>AF15/$AK$7</f>
        <v>2.4449846708190064</v>
      </c>
      <c r="AK15" s="152">
        <f>AI15/AJ15</f>
        <v>11.954330878334346</v>
      </c>
      <c r="AL15" s="167">
        <v>0.99</v>
      </c>
      <c r="AM15" s="140">
        <f t="shared" si="17"/>
        <v>29.52338964386443</v>
      </c>
      <c r="AN15" s="132">
        <f t="shared" si="18"/>
        <v>179.41227853275331</v>
      </c>
      <c r="AO15" s="260">
        <f>IF(AN15&lt;Battery!$D$4,Battery!$F$4,FORECAST(AN15,Battery!$F$3:$F$7,Battery!$D$3:$D$7))</f>
        <v>1</v>
      </c>
      <c r="AP15" s="263">
        <f>AO15*Battery!$E$3</f>
        <v>1591.92</v>
      </c>
      <c r="AQ15" s="40">
        <f t="shared" si="36"/>
        <v>30</v>
      </c>
      <c r="AR15" s="152">
        <f>AN15*AQ15</f>
        <v>5382.3683559825995</v>
      </c>
      <c r="AS15" s="152">
        <f t="shared" ref="AS15:AS46" si="49">AP15/AQ15</f>
        <v>53.064</v>
      </c>
      <c r="AT15" s="152" t="b">
        <f t="shared" si="38"/>
        <v>0</v>
      </c>
      <c r="AU15" s="132">
        <f t="shared" si="19"/>
        <v>126.34827853275331</v>
      </c>
      <c r="AV15" s="160">
        <v>0.99</v>
      </c>
      <c r="AW15" s="132">
        <f t="shared" ref="AW15:AW45" si="50">AU15/AV15</f>
        <v>127.6245237704579</v>
      </c>
      <c r="AX15" s="253">
        <f>VLOOKUP($AX$7,'Solar Panels'!$G$6:$K$17,5,FALSE)</f>
        <v>1774.5</v>
      </c>
      <c r="AY15" s="40" t="b">
        <f t="shared" si="20"/>
        <v>1</v>
      </c>
      <c r="AZ15" s="229">
        <f t="shared" si="21"/>
        <v>127.6245237704579</v>
      </c>
      <c r="BA15" s="224">
        <f t="shared" si="22"/>
        <v>1827.5640000000001</v>
      </c>
      <c r="BB15" s="224">
        <f t="shared" si="39"/>
        <v>1699.9394762295422</v>
      </c>
      <c r="BC15" s="224" t="b">
        <f t="shared" si="40"/>
        <v>1</v>
      </c>
      <c r="BD15" s="224">
        <f t="shared" si="23"/>
        <v>3828.7357131137369</v>
      </c>
      <c r="BE15" s="224">
        <f t="shared" si="24"/>
        <v>54826.920000000006</v>
      </c>
      <c r="BF15" s="225">
        <f t="shared" si="25"/>
        <v>429.59549136974846</v>
      </c>
      <c r="BG15" s="214">
        <f t="shared" si="3"/>
        <v>30</v>
      </c>
      <c r="BH15" s="222">
        <f t="shared" si="41"/>
        <v>399.59549136974846</v>
      </c>
      <c r="BJ15" s="40"/>
      <c r="BL15" s="1">
        <f t="shared" si="42"/>
        <v>0</v>
      </c>
      <c r="BM15" s="1">
        <f t="shared" si="43"/>
        <v>0</v>
      </c>
      <c r="BS15" s="16"/>
      <c r="BU15" s="22">
        <f t="shared" ref="BU15:DE15" si="51">IF(SIGN(BU$8-$K15*BU$7^2)*SIGN(BV$8-$K15*BV$7^2)=-1,INTERCEPT(BU$7:BV$7, BU$8:BV$8-$K15*(BU$7:BV$7)^2),0)</f>
        <v>0</v>
      </c>
      <c r="BV15" s="22">
        <f t="shared" si="51"/>
        <v>0</v>
      </c>
      <c r="BW15" s="22">
        <f t="shared" si="51"/>
        <v>0</v>
      </c>
      <c r="BX15" s="22">
        <f t="shared" si="51"/>
        <v>0.54298412824915643</v>
      </c>
      <c r="BY15" s="22">
        <f t="shared" si="51"/>
        <v>0</v>
      </c>
      <c r="BZ15" s="22">
        <f t="shared" si="51"/>
        <v>0</v>
      </c>
      <c r="CA15" s="22">
        <f t="shared" si="51"/>
        <v>0</v>
      </c>
      <c r="CB15" s="22">
        <f t="shared" si="51"/>
        <v>0</v>
      </c>
      <c r="CC15" s="22">
        <f t="shared" si="51"/>
        <v>0</v>
      </c>
      <c r="CD15" s="22">
        <f t="shared" si="51"/>
        <v>0</v>
      </c>
      <c r="CE15" s="22">
        <f t="shared" si="51"/>
        <v>0</v>
      </c>
      <c r="CF15" s="22">
        <f t="shared" si="51"/>
        <v>0</v>
      </c>
      <c r="CG15" s="22">
        <f t="shared" si="51"/>
        <v>0</v>
      </c>
      <c r="CH15" s="22">
        <f t="shared" si="51"/>
        <v>0</v>
      </c>
      <c r="CI15" s="22">
        <f t="shared" si="51"/>
        <v>0</v>
      </c>
      <c r="CJ15" s="22">
        <f t="shared" si="51"/>
        <v>0</v>
      </c>
      <c r="CK15" s="22">
        <f t="shared" si="51"/>
        <v>0</v>
      </c>
      <c r="CL15" s="22">
        <f t="shared" si="51"/>
        <v>0</v>
      </c>
      <c r="CM15" s="22">
        <f t="shared" si="51"/>
        <v>0</v>
      </c>
      <c r="CN15" s="22">
        <f t="shared" si="51"/>
        <v>0</v>
      </c>
      <c r="CO15" s="22">
        <f t="shared" si="51"/>
        <v>0</v>
      </c>
      <c r="CP15" s="22">
        <f t="shared" si="51"/>
        <v>0</v>
      </c>
      <c r="CQ15" s="22">
        <f t="shared" si="51"/>
        <v>0</v>
      </c>
      <c r="CR15" s="22">
        <f t="shared" si="51"/>
        <v>0</v>
      </c>
      <c r="CS15" s="22">
        <f t="shared" si="51"/>
        <v>0</v>
      </c>
      <c r="CT15" s="22">
        <f t="shared" si="51"/>
        <v>0</v>
      </c>
      <c r="CU15" s="22">
        <f t="shared" si="51"/>
        <v>0</v>
      </c>
      <c r="CV15" s="22">
        <f t="shared" si="51"/>
        <v>0</v>
      </c>
      <c r="CW15" s="22">
        <f t="shared" si="51"/>
        <v>0</v>
      </c>
      <c r="CX15" s="22">
        <f t="shared" si="51"/>
        <v>0</v>
      </c>
      <c r="CY15" s="22">
        <f t="shared" si="51"/>
        <v>0</v>
      </c>
      <c r="CZ15" s="22">
        <f t="shared" si="51"/>
        <v>0</v>
      </c>
      <c r="DA15" s="22">
        <f t="shared" si="51"/>
        <v>0</v>
      </c>
      <c r="DB15" s="22">
        <f t="shared" si="51"/>
        <v>0</v>
      </c>
      <c r="DC15" s="22">
        <f t="shared" si="51"/>
        <v>0</v>
      </c>
      <c r="DD15" s="22">
        <f t="shared" si="51"/>
        <v>0</v>
      </c>
      <c r="DE15" s="22">
        <f t="shared" si="51"/>
        <v>0</v>
      </c>
      <c r="DF15" s="22">
        <f t="shared" si="27"/>
        <v>0.54298412824915643</v>
      </c>
      <c r="DJ15" s="1"/>
      <c r="DK15" s="1"/>
      <c r="DL15" s="1"/>
      <c r="DM15" s="1"/>
      <c r="DN15" s="1"/>
      <c r="DO15" s="1"/>
    </row>
    <row r="16" spans="2:119" x14ac:dyDescent="0.25">
      <c r="B16" s="70">
        <f>resistance!J8</f>
        <v>0.83333333333333326</v>
      </c>
      <c r="C16" s="3">
        <f>resistance!I8</f>
        <v>3</v>
      </c>
      <c r="D16" s="16">
        <f>resistance!Z8</f>
        <v>25.529747596153847</v>
      </c>
      <c r="E16" s="16">
        <f>resistance!AA8</f>
        <v>2.8366386217948723</v>
      </c>
      <c r="F16" s="16">
        <f>resistance!AB8</f>
        <v>0</v>
      </c>
      <c r="G16" s="16">
        <f>resistance!AC8</f>
        <v>28.366386217948719</v>
      </c>
      <c r="H16" s="126">
        <f t="shared" si="4"/>
        <v>23.638655181623932</v>
      </c>
      <c r="I16" s="16">
        <f>G16/(1-$E$6/100)</f>
        <v>29.859353913630233</v>
      </c>
      <c r="J16" s="4">
        <f>B16*(1-$E$7/100)</f>
        <v>0.83333333333333326</v>
      </c>
      <c r="K16" s="28">
        <f t="shared" si="28"/>
        <v>0.33202160737551184</v>
      </c>
      <c r="L16" s="27">
        <f>SUM(BU16:DE16)</f>
        <v>0.63457358870957525</v>
      </c>
      <c r="M16" s="27">
        <f t="shared" ref="M16:M46" si="52">J16/(O16*$N$3)</f>
        <v>0.63457358870957525</v>
      </c>
      <c r="N16" s="16">
        <f t="shared" si="46"/>
        <v>218.86963365639542</v>
      </c>
      <c r="O16" s="16">
        <f t="shared" si="47"/>
        <v>3.6478272276065904</v>
      </c>
      <c r="P16" s="96">
        <f t="shared" si="29"/>
        <v>0.13369966924654361</v>
      </c>
      <c r="Q16" s="96">
        <f t="shared" si="30"/>
        <v>0.13369966924654364</v>
      </c>
      <c r="R16" s="27">
        <f t="shared" si="48"/>
        <v>0.24255136151219012</v>
      </c>
      <c r="S16" s="96">
        <f t="shared" si="6"/>
        <v>2.4255136151219013E-2</v>
      </c>
      <c r="T16" s="68">
        <f t="shared" si="31"/>
        <v>0.55670963830512543</v>
      </c>
      <c r="U16" s="27">
        <f t="shared" si="7"/>
        <v>0.83333333333333315</v>
      </c>
      <c r="V16" s="16">
        <f t="shared" si="8"/>
        <v>29.85935391363023</v>
      </c>
      <c r="W16" s="16">
        <f t="shared" si="9"/>
        <v>1.9500973451305157</v>
      </c>
      <c r="X16" s="122">
        <f>AA16*Z16</f>
        <v>24.882794928025181</v>
      </c>
      <c r="Y16" s="68">
        <f>(G16*J16)/(2*PI()*O16*W16)</f>
        <v>0.52887415638986923</v>
      </c>
      <c r="Z16" s="76">
        <f t="shared" si="33"/>
        <v>0.55670963830512532</v>
      </c>
      <c r="AA16" s="116">
        <f t="shared" si="11"/>
        <v>44.696181305176623</v>
      </c>
      <c r="AB16" s="40">
        <f t="shared" si="12"/>
        <v>218.86963365639542</v>
      </c>
      <c r="AC16" s="39">
        <f t="shared" si="13"/>
        <v>1.9500973451305157</v>
      </c>
      <c r="AD16" s="109">
        <v>0.97</v>
      </c>
      <c r="AE16" s="40">
        <f t="shared" si="14"/>
        <v>656.60890096918627</v>
      </c>
      <c r="AF16" s="39">
        <f t="shared" si="15"/>
        <v>0.67013654471839024</v>
      </c>
      <c r="AG16" s="132">
        <f t="shared" si="16"/>
        <v>47.503646833007359</v>
      </c>
      <c r="AH16" s="148">
        <f>AH15</f>
        <v>0.84</v>
      </c>
      <c r="AI16" s="132">
        <f t="shared" si="34"/>
        <v>56.55196051548495</v>
      </c>
      <c r="AJ16" s="152">
        <f>AF16/$AK$7</f>
        <v>3.6857509959511461</v>
      </c>
      <c r="AK16" s="152">
        <f t="shared" si="35"/>
        <v>15.343402356157034</v>
      </c>
      <c r="AL16" s="167">
        <v>0.99</v>
      </c>
      <c r="AM16" s="140">
        <f t="shared" si="17"/>
        <v>57.123192439883788</v>
      </c>
      <c r="AN16" s="132">
        <f t="shared" si="18"/>
        <v>207.01208132877267</v>
      </c>
      <c r="AO16" s="260">
        <f>IF(AN16&lt;Battery!$D$4,Battery!$F$4,FORECAST(AN16,Battery!$F$3:$F$7,Battery!$D$3:$D$7))</f>
        <v>1</v>
      </c>
      <c r="AP16" s="263">
        <f>AO16*Battery!$E$3</f>
        <v>1591.92</v>
      </c>
      <c r="AQ16" s="40">
        <f t="shared" si="36"/>
        <v>20</v>
      </c>
      <c r="AR16" s="152">
        <f>AN16*AQ16</f>
        <v>4140.2416265754537</v>
      </c>
      <c r="AS16" s="152">
        <f t="shared" si="49"/>
        <v>79.596000000000004</v>
      </c>
      <c r="AT16" s="152" t="b">
        <f t="shared" si="38"/>
        <v>0</v>
      </c>
      <c r="AU16" s="132">
        <f t="shared" si="19"/>
        <v>127.41608132877266</v>
      </c>
      <c r="AV16" s="160">
        <v>0.99</v>
      </c>
      <c r="AW16" s="132">
        <f>AU16/AV16</f>
        <v>128.70311245330572</v>
      </c>
      <c r="AX16" s="253">
        <f>VLOOKUP($AX$7,'Solar Panels'!$G$6:$K$17,5,FALSE)</f>
        <v>1774.5</v>
      </c>
      <c r="AY16" s="40" t="b">
        <f t="shared" si="20"/>
        <v>1</v>
      </c>
      <c r="AZ16" s="229">
        <f t="shared" si="21"/>
        <v>128.70311245330572</v>
      </c>
      <c r="BA16" s="224">
        <f>AX16+AS16</f>
        <v>1854.096</v>
      </c>
      <c r="BB16" s="224">
        <f t="shared" si="39"/>
        <v>1725.3928875466943</v>
      </c>
      <c r="BC16" s="224" t="b">
        <f t="shared" si="40"/>
        <v>1</v>
      </c>
      <c r="BD16" s="224">
        <f t="shared" si="23"/>
        <v>2574.0622490661144</v>
      </c>
      <c r="BE16" s="224">
        <f t="shared" si="24"/>
        <v>37081.919999999998</v>
      </c>
      <c r="BF16" s="225">
        <f t="shared" si="25"/>
        <v>288.11983869817868</v>
      </c>
      <c r="BG16" s="214">
        <f t="shared" si="3"/>
        <v>20</v>
      </c>
      <c r="BH16" s="222">
        <f t="shared" si="41"/>
        <v>268.11983869817868</v>
      </c>
      <c r="BJ16" s="40"/>
      <c r="BL16" s="1">
        <f t="shared" si="42"/>
        <v>0</v>
      </c>
      <c r="BM16" s="1">
        <f t="shared" si="43"/>
        <v>0</v>
      </c>
      <c r="BS16" s="16"/>
      <c r="BU16" s="22">
        <f t="shared" ref="BU16:DE16" si="53">IF(SIGN(BU$8-$K16*BU$7^2)*SIGN(BV$8-$K16*BV$7^2)=-1,INTERCEPT(BU$7:BV$7, BU$8:BV$8-$K16*(BU$7:BV$7)^2),0)</f>
        <v>0</v>
      </c>
      <c r="BV16" s="22">
        <f t="shared" si="53"/>
        <v>0</v>
      </c>
      <c r="BW16" s="22">
        <f t="shared" si="53"/>
        <v>0</v>
      </c>
      <c r="BX16" s="22">
        <f t="shared" si="53"/>
        <v>0.63457358870957525</v>
      </c>
      <c r="BY16" s="22">
        <f t="shared" si="53"/>
        <v>0</v>
      </c>
      <c r="BZ16" s="22">
        <f t="shared" si="53"/>
        <v>0</v>
      </c>
      <c r="CA16" s="22">
        <f t="shared" si="53"/>
        <v>0</v>
      </c>
      <c r="CB16" s="22">
        <f t="shared" si="53"/>
        <v>0</v>
      </c>
      <c r="CC16" s="22">
        <f t="shared" si="53"/>
        <v>0</v>
      </c>
      <c r="CD16" s="22">
        <f t="shared" si="53"/>
        <v>0</v>
      </c>
      <c r="CE16" s="22">
        <f t="shared" si="53"/>
        <v>0</v>
      </c>
      <c r="CF16" s="22">
        <f t="shared" si="53"/>
        <v>0</v>
      </c>
      <c r="CG16" s="22">
        <f t="shared" si="53"/>
        <v>0</v>
      </c>
      <c r="CH16" s="22">
        <f t="shared" si="53"/>
        <v>0</v>
      </c>
      <c r="CI16" s="22">
        <f t="shared" si="53"/>
        <v>0</v>
      </c>
      <c r="CJ16" s="22">
        <f t="shared" si="53"/>
        <v>0</v>
      </c>
      <c r="CK16" s="22">
        <f t="shared" si="53"/>
        <v>0</v>
      </c>
      <c r="CL16" s="22">
        <f t="shared" si="53"/>
        <v>0</v>
      </c>
      <c r="CM16" s="22">
        <f t="shared" si="53"/>
        <v>0</v>
      </c>
      <c r="CN16" s="22">
        <f t="shared" si="53"/>
        <v>0</v>
      </c>
      <c r="CO16" s="22">
        <f t="shared" si="53"/>
        <v>0</v>
      </c>
      <c r="CP16" s="22">
        <f t="shared" si="53"/>
        <v>0</v>
      </c>
      <c r="CQ16" s="22">
        <f t="shared" si="53"/>
        <v>0</v>
      </c>
      <c r="CR16" s="22">
        <f t="shared" si="53"/>
        <v>0</v>
      </c>
      <c r="CS16" s="22">
        <f t="shared" si="53"/>
        <v>0</v>
      </c>
      <c r="CT16" s="22">
        <f t="shared" si="53"/>
        <v>0</v>
      </c>
      <c r="CU16" s="22">
        <f t="shared" si="53"/>
        <v>0</v>
      </c>
      <c r="CV16" s="22">
        <f t="shared" si="53"/>
        <v>0</v>
      </c>
      <c r="CW16" s="22">
        <f t="shared" si="53"/>
        <v>0</v>
      </c>
      <c r="CX16" s="22">
        <f t="shared" si="53"/>
        <v>0</v>
      </c>
      <c r="CY16" s="22">
        <f t="shared" si="53"/>
        <v>0</v>
      </c>
      <c r="CZ16" s="22">
        <f t="shared" si="53"/>
        <v>0</v>
      </c>
      <c r="DA16" s="22">
        <f t="shared" si="53"/>
        <v>0</v>
      </c>
      <c r="DB16" s="22">
        <f t="shared" si="53"/>
        <v>0</v>
      </c>
      <c r="DC16" s="22">
        <f t="shared" si="53"/>
        <v>0</v>
      </c>
      <c r="DD16" s="22">
        <f t="shared" si="53"/>
        <v>0</v>
      </c>
      <c r="DE16" s="22">
        <f t="shared" si="53"/>
        <v>0</v>
      </c>
      <c r="DF16" s="22">
        <f t="shared" si="27"/>
        <v>0.63457358870957525</v>
      </c>
      <c r="DG16" s="1"/>
      <c r="DJ16" s="1"/>
      <c r="DK16" s="1"/>
      <c r="DL16" s="1"/>
      <c r="DM16" s="1"/>
      <c r="DN16" s="1"/>
      <c r="DO16" s="1"/>
    </row>
    <row r="17" spans="2:119" x14ac:dyDescent="0.25">
      <c r="B17" s="70">
        <f>resistance!J9</f>
        <v>1.1111111111111112</v>
      </c>
      <c r="C17" s="3">
        <f>resistance!I9</f>
        <v>4</v>
      </c>
      <c r="D17" s="16">
        <f>resistance!Z9</f>
        <v>34.039663461538467</v>
      </c>
      <c r="E17" s="16">
        <f>resistance!AA9</f>
        <v>3.7821848290598301</v>
      </c>
      <c r="F17" s="16">
        <f>resistance!AB9</f>
        <v>0</v>
      </c>
      <c r="G17" s="16">
        <f>resistance!AC9</f>
        <v>37.821848290598297</v>
      </c>
      <c r="H17" s="126">
        <f t="shared" si="4"/>
        <v>42.024275878442552</v>
      </c>
      <c r="I17" s="16">
        <f>G17/(1-$E$6/100)</f>
        <v>39.812471884840313</v>
      </c>
      <c r="J17" s="4">
        <f t="shared" si="5"/>
        <v>1.1111111111111112</v>
      </c>
      <c r="K17" s="28">
        <f>I17/($E$5*J17^2*$N$3^2)</f>
        <v>0.24901620553163387</v>
      </c>
      <c r="L17" s="27">
        <f t="shared" si="45"/>
        <v>0.7137475571379337</v>
      </c>
      <c r="M17" s="27">
        <f t="shared" si="52"/>
        <v>0.7137475571379337</v>
      </c>
      <c r="N17" s="16">
        <f>J17/(L17*$N$3)*60</f>
        <v>259.45473764948753</v>
      </c>
      <c r="O17" s="16">
        <f t="shared" si="47"/>
        <v>4.3242456274914591</v>
      </c>
      <c r="P17" s="96">
        <f t="shared" si="29"/>
        <v>0.12685771392910286</v>
      </c>
      <c r="Q17" s="96">
        <f t="shared" si="30"/>
        <v>0.12685771392910289</v>
      </c>
      <c r="R17" s="27">
        <f t="shared" si="48"/>
        <v>0.22309259587816288</v>
      </c>
      <c r="S17" s="96">
        <f t="shared" si="6"/>
        <v>2.2309259587816287E-2</v>
      </c>
      <c r="T17" s="68">
        <f t="shared" si="31"/>
        <v>0.64594641224803495</v>
      </c>
      <c r="U17" s="27">
        <f t="shared" si="7"/>
        <v>1.1111111111111112</v>
      </c>
      <c r="V17" s="16">
        <f t="shared" si="8"/>
        <v>39.812471884840306</v>
      </c>
      <c r="W17" s="16">
        <f t="shared" si="9"/>
        <v>2.5205186766872685</v>
      </c>
      <c r="X17" s="122">
        <f t="shared" si="32"/>
        <v>44.236079872044783</v>
      </c>
      <c r="Y17" s="68">
        <f t="shared" si="10"/>
        <v>0.61364909163563319</v>
      </c>
      <c r="Z17" s="76">
        <f t="shared" si="33"/>
        <v>0.64594641224803473</v>
      </c>
      <c r="AA17" s="116">
        <f t="shared" si="11"/>
        <v>68.4825846746227</v>
      </c>
      <c r="AB17" s="40">
        <f t="shared" si="12"/>
        <v>259.45473764948753</v>
      </c>
      <c r="AC17" s="39">
        <f t="shared" si="13"/>
        <v>2.5205186766872685</v>
      </c>
      <c r="AD17" s="109">
        <v>0.97</v>
      </c>
      <c r="AE17" s="40">
        <f t="shared" si="14"/>
        <v>778.36421294846264</v>
      </c>
      <c r="AF17" s="39">
        <f t="shared" si="15"/>
        <v>0.86615762085473136</v>
      </c>
      <c r="AG17" s="132">
        <f t="shared" si="16"/>
        <v>72.784126553961841</v>
      </c>
      <c r="AH17" s="148">
        <f t="shared" ref="AH17:AH43" si="54">AH16</f>
        <v>0.84</v>
      </c>
      <c r="AI17" s="132">
        <f t="shared" si="34"/>
        <v>86.647769707097439</v>
      </c>
      <c r="AJ17" s="152">
        <f>AF17/$AK$7</f>
        <v>4.7638669147010226</v>
      </c>
      <c r="AK17" s="152">
        <f>AI17/AJ17</f>
        <v>18.188537013850521</v>
      </c>
      <c r="AL17" s="167">
        <v>0.99</v>
      </c>
      <c r="AM17" s="140">
        <f t="shared" si="17"/>
        <v>87.522999704138826</v>
      </c>
      <c r="AN17" s="132">
        <f t="shared" si="18"/>
        <v>237.4118885930277</v>
      </c>
      <c r="AO17" s="260">
        <f>IF(AN17&lt;Battery!$D$4,Battery!$F$4,FORECAST(AN17,Battery!$F$3:$F$7,Battery!$D$3:$D$7))</f>
        <v>1</v>
      </c>
      <c r="AP17" s="263">
        <f>AO17*Battery!$E$3</f>
        <v>1591.92</v>
      </c>
      <c r="AQ17" s="40">
        <f t="shared" si="36"/>
        <v>15</v>
      </c>
      <c r="AR17" s="152">
        <f>AN17*AQ17</f>
        <v>3561.1783288954157</v>
      </c>
      <c r="AS17" s="152">
        <f>AP17/AQ17</f>
        <v>106.128</v>
      </c>
      <c r="AT17" s="152" t="b">
        <f t="shared" si="38"/>
        <v>0</v>
      </c>
      <c r="AU17" s="132">
        <f t="shared" si="19"/>
        <v>131.28388859302771</v>
      </c>
      <c r="AV17" s="160">
        <v>0.99</v>
      </c>
      <c r="AW17" s="132">
        <f t="shared" si="50"/>
        <v>132.60998847780576</v>
      </c>
      <c r="AX17" s="253">
        <f>VLOOKUP($AX$7,'Solar Panels'!$G$6:$K$17,5,FALSE)</f>
        <v>1774.5</v>
      </c>
      <c r="AY17" s="40" t="b">
        <f t="shared" si="20"/>
        <v>1</v>
      </c>
      <c r="AZ17" s="229">
        <f>AW17</f>
        <v>132.60998847780576</v>
      </c>
      <c r="BA17" s="224">
        <f>AX17+AS17</f>
        <v>1880.6279999999999</v>
      </c>
      <c r="BB17" s="224">
        <f t="shared" si="39"/>
        <v>1748.0180115221942</v>
      </c>
      <c r="BC17" s="224" t="b">
        <f t="shared" si="40"/>
        <v>1</v>
      </c>
      <c r="BD17" s="224">
        <f t="shared" si="23"/>
        <v>1989.1498271670864</v>
      </c>
      <c r="BE17" s="224">
        <f t="shared" si="24"/>
        <v>28209.42</v>
      </c>
      <c r="BF17" s="225">
        <f t="shared" si="25"/>
        <v>212.72469987976254</v>
      </c>
      <c r="BG17" s="214">
        <f t="shared" si="3"/>
        <v>15</v>
      </c>
      <c r="BH17" s="222">
        <f t="shared" si="41"/>
        <v>197.72469987976254</v>
      </c>
      <c r="BJ17" s="40"/>
      <c r="BL17" s="1">
        <f t="shared" si="42"/>
        <v>0</v>
      </c>
      <c r="BM17" s="1">
        <f t="shared" si="43"/>
        <v>0</v>
      </c>
      <c r="BS17" s="16"/>
      <c r="BU17" s="22">
        <f t="shared" ref="BU17:DE17" si="55">IF(SIGN(BU$8-$K17*BU$7^2)*SIGN(BV$8-$K17*BV$7^2)=-1,INTERCEPT(BU$7:BV$7, BU$8:BV$8-$K17*(BU$7:BV$7)^2),0)</f>
        <v>0</v>
      </c>
      <c r="BV17" s="22">
        <f t="shared" si="55"/>
        <v>0</v>
      </c>
      <c r="BW17" s="22">
        <f t="shared" si="55"/>
        <v>0</v>
      </c>
      <c r="BX17" s="22">
        <f t="shared" si="55"/>
        <v>0.7137475571379337</v>
      </c>
      <c r="BY17" s="22">
        <f t="shared" si="55"/>
        <v>0</v>
      </c>
      <c r="BZ17" s="22">
        <f t="shared" si="55"/>
        <v>0</v>
      </c>
      <c r="CA17" s="22">
        <f t="shared" si="55"/>
        <v>0</v>
      </c>
      <c r="CB17" s="22">
        <f t="shared" si="55"/>
        <v>0</v>
      </c>
      <c r="CC17" s="22">
        <f t="shared" si="55"/>
        <v>0</v>
      </c>
      <c r="CD17" s="22">
        <f t="shared" si="55"/>
        <v>0</v>
      </c>
      <c r="CE17" s="22">
        <f t="shared" si="55"/>
        <v>0</v>
      </c>
      <c r="CF17" s="22">
        <f t="shared" si="55"/>
        <v>0</v>
      </c>
      <c r="CG17" s="22">
        <f t="shared" si="55"/>
        <v>0</v>
      </c>
      <c r="CH17" s="22">
        <f t="shared" si="55"/>
        <v>0</v>
      </c>
      <c r="CI17" s="22">
        <f t="shared" si="55"/>
        <v>0</v>
      </c>
      <c r="CJ17" s="22">
        <f t="shared" si="55"/>
        <v>0</v>
      </c>
      <c r="CK17" s="22">
        <f t="shared" si="55"/>
        <v>0</v>
      </c>
      <c r="CL17" s="22">
        <f t="shared" si="55"/>
        <v>0</v>
      </c>
      <c r="CM17" s="22">
        <f t="shared" si="55"/>
        <v>0</v>
      </c>
      <c r="CN17" s="22">
        <f t="shared" si="55"/>
        <v>0</v>
      </c>
      <c r="CO17" s="22">
        <f t="shared" si="55"/>
        <v>0</v>
      </c>
      <c r="CP17" s="22">
        <f t="shared" si="55"/>
        <v>0</v>
      </c>
      <c r="CQ17" s="22">
        <f t="shared" si="55"/>
        <v>0</v>
      </c>
      <c r="CR17" s="22">
        <f t="shared" si="55"/>
        <v>0</v>
      </c>
      <c r="CS17" s="22">
        <f t="shared" si="55"/>
        <v>0</v>
      </c>
      <c r="CT17" s="22">
        <f t="shared" si="55"/>
        <v>0</v>
      </c>
      <c r="CU17" s="22">
        <f t="shared" si="55"/>
        <v>0</v>
      </c>
      <c r="CV17" s="22">
        <f t="shared" si="55"/>
        <v>0</v>
      </c>
      <c r="CW17" s="22">
        <f t="shared" si="55"/>
        <v>0</v>
      </c>
      <c r="CX17" s="22">
        <f t="shared" si="55"/>
        <v>0</v>
      </c>
      <c r="CY17" s="22">
        <f t="shared" si="55"/>
        <v>0</v>
      </c>
      <c r="CZ17" s="22">
        <f t="shared" si="55"/>
        <v>0</v>
      </c>
      <c r="DA17" s="22">
        <f t="shared" si="55"/>
        <v>0</v>
      </c>
      <c r="DB17" s="22">
        <f t="shared" si="55"/>
        <v>0</v>
      </c>
      <c r="DC17" s="22">
        <f t="shared" si="55"/>
        <v>0</v>
      </c>
      <c r="DD17" s="22">
        <f t="shared" si="55"/>
        <v>0</v>
      </c>
      <c r="DE17" s="22">
        <f t="shared" si="55"/>
        <v>0</v>
      </c>
      <c r="DF17" s="22">
        <f t="shared" si="27"/>
        <v>0.7137475571379337</v>
      </c>
      <c r="DJ17" s="1"/>
      <c r="DK17" s="1"/>
      <c r="DL17" s="1"/>
      <c r="DM17" s="1"/>
      <c r="DN17" s="1"/>
      <c r="DO17" s="1"/>
    </row>
    <row r="18" spans="2:119" x14ac:dyDescent="0.25">
      <c r="B18" s="70">
        <f>resistance!J10</f>
        <v>1.3888888888888888</v>
      </c>
      <c r="C18" s="3">
        <f>resistance!I10</f>
        <v>5</v>
      </c>
      <c r="D18" s="16">
        <f>resistance!Z10</f>
        <v>42.54957932692308</v>
      </c>
      <c r="E18" s="16">
        <f>resistance!AA10</f>
        <v>4.7277310363247871</v>
      </c>
      <c r="F18" s="16">
        <f>resistance!AB10</f>
        <v>0</v>
      </c>
      <c r="G18" s="16">
        <f>resistance!AC10</f>
        <v>47.277310363247864</v>
      </c>
      <c r="H18" s="126">
        <f t="shared" si="4"/>
        <v>65.66293106006647</v>
      </c>
      <c r="I18" s="16">
        <f t="shared" ref="I18:I46" si="56">G18/(1-$E$6/100)</f>
        <v>49.765589856050383</v>
      </c>
      <c r="J18" s="4">
        <f t="shared" si="5"/>
        <v>1.3888888888888888</v>
      </c>
      <c r="K18" s="28">
        <f t="shared" si="28"/>
        <v>0.19921296442530709</v>
      </c>
      <c r="L18" s="27">
        <f t="shared" si="45"/>
        <v>0.77130942469758168</v>
      </c>
      <c r="M18" s="27">
        <f t="shared" si="52"/>
        <v>0.77130942469758168</v>
      </c>
      <c r="N18" s="16">
        <f t="shared" si="46"/>
        <v>300.11493969782845</v>
      </c>
      <c r="O18" s="16">
        <f t="shared" si="47"/>
        <v>5.0019156616304743</v>
      </c>
      <c r="P18" s="96">
        <f t="shared" si="29"/>
        <v>0.11851542391549991</v>
      </c>
      <c r="Q18" s="96">
        <f t="shared" si="30"/>
        <v>0.11851542391549989</v>
      </c>
      <c r="R18" s="27">
        <f>DF56</f>
        <v>0.21304964960665246</v>
      </c>
      <c r="S18" s="96">
        <f t="shared" si="6"/>
        <v>2.1304964960665244E-2</v>
      </c>
      <c r="T18" s="68">
        <f t="shared" si="31"/>
        <v>0.68287752555599457</v>
      </c>
      <c r="U18" s="27">
        <f t="shared" si="7"/>
        <v>1.3888888888888888</v>
      </c>
      <c r="V18" s="16">
        <f t="shared" si="8"/>
        <v>49.765589856050383</v>
      </c>
      <c r="W18" s="16">
        <f t="shared" si="9"/>
        <v>3.2206060672654591</v>
      </c>
      <c r="X18" s="122">
        <f t="shared" si="32"/>
        <v>69.118874800069975</v>
      </c>
      <c r="Y18" s="68">
        <f t="shared" si="10"/>
        <v>0.64873364927819466</v>
      </c>
      <c r="Z18" s="76">
        <f t="shared" si="33"/>
        <v>0.68287752555599446</v>
      </c>
      <c r="AA18" s="116">
        <f t="shared" si="11"/>
        <v>101.217088296754</v>
      </c>
      <c r="AB18" s="40">
        <f t="shared" si="12"/>
        <v>300.11493969782845</v>
      </c>
      <c r="AC18" s="39">
        <f t="shared" si="13"/>
        <v>3.2206060672654591</v>
      </c>
      <c r="AD18" s="109">
        <v>0.97</v>
      </c>
      <c r="AE18" s="40">
        <f t="shared" si="14"/>
        <v>900.34481909348528</v>
      </c>
      <c r="AF18" s="39">
        <f t="shared" si="15"/>
        <v>1.1067374801599514</v>
      </c>
      <c r="AG18" s="132">
        <f t="shared" si="16"/>
        <v>107.57475639999359</v>
      </c>
      <c r="AH18" s="148">
        <f>AH17</f>
        <v>0.84</v>
      </c>
      <c r="AI18" s="132">
        <f>AG18/AH18</f>
        <v>128.06518619046855</v>
      </c>
      <c r="AJ18" s="152">
        <f t="shared" ref="AJ18:AJ46" si="57">AF18/$AK$7</f>
        <v>6.0870561408797323</v>
      </c>
      <c r="AK18" s="152">
        <f t="shared" si="35"/>
        <v>21.038936265168061</v>
      </c>
      <c r="AL18" s="167">
        <v>0.99</v>
      </c>
      <c r="AM18" s="140">
        <f t="shared" si="17"/>
        <v>129.35877392976622</v>
      </c>
      <c r="AN18" s="132">
        <f t="shared" si="18"/>
        <v>279.2476628186551</v>
      </c>
      <c r="AO18" s="260">
        <f>IF(AN18&lt;Battery!$D$4,Battery!$F$4,FORECAST(AN18,Battery!$F$3:$F$7,Battery!$D$3:$D$7))</f>
        <v>1</v>
      </c>
      <c r="AP18" s="263">
        <f>AO18*Battery!$E$3</f>
        <v>1591.92</v>
      </c>
      <c r="AQ18" s="40">
        <f t="shared" si="36"/>
        <v>12</v>
      </c>
      <c r="AR18" s="152">
        <f t="shared" si="37"/>
        <v>3350.9719538238614</v>
      </c>
      <c r="AS18" s="152">
        <f t="shared" si="49"/>
        <v>132.66</v>
      </c>
      <c r="AT18" s="152" t="b">
        <f t="shared" si="38"/>
        <v>0</v>
      </c>
      <c r="AU18" s="132">
        <f t="shared" si="19"/>
        <v>146.5876628186551</v>
      </c>
      <c r="AV18" s="160">
        <v>0.99</v>
      </c>
      <c r="AW18" s="132">
        <f>AU18/AV18</f>
        <v>148.06834628146981</v>
      </c>
      <c r="AX18" s="253">
        <f>VLOOKUP($AX$7,'Solar Panels'!$G$6:$K$17,5,FALSE)</f>
        <v>1774.5</v>
      </c>
      <c r="AY18" s="40" t="b">
        <f t="shared" si="20"/>
        <v>1</v>
      </c>
      <c r="AZ18" s="229">
        <f t="shared" si="21"/>
        <v>148.06834628146981</v>
      </c>
      <c r="BA18" s="224">
        <f>AX18+AS18</f>
        <v>1907.16</v>
      </c>
      <c r="BB18" s="224">
        <f t="shared" si="39"/>
        <v>1759.0916537185303</v>
      </c>
      <c r="BC18" s="224" t="b">
        <f t="shared" si="40"/>
        <v>1</v>
      </c>
      <c r="BD18" s="224">
        <f t="shared" si="23"/>
        <v>1776.8201553776378</v>
      </c>
      <c r="BE18" s="224">
        <f t="shared" si="24"/>
        <v>22885.920000000002</v>
      </c>
      <c r="BF18" s="225">
        <f t="shared" si="25"/>
        <v>154.56321742457447</v>
      </c>
      <c r="BG18" s="214">
        <f t="shared" si="3"/>
        <v>12</v>
      </c>
      <c r="BH18" s="222">
        <f t="shared" si="41"/>
        <v>142.56321742457447</v>
      </c>
      <c r="BJ18" s="40"/>
      <c r="BL18" s="1">
        <f t="shared" si="42"/>
        <v>0</v>
      </c>
      <c r="BM18" s="1">
        <f t="shared" si="43"/>
        <v>0</v>
      </c>
      <c r="BS18" s="16"/>
      <c r="BU18" s="22">
        <f t="shared" ref="BU18:DE18" si="58">IF(SIGN(BU$8-$K18*BU$7^2)*SIGN(BV$8-$K18*BV$7^2)=-1,INTERCEPT(BU$7:BV$7, BU$8:BV$8-$K18*(BU$7:BV$7)^2),0)</f>
        <v>0</v>
      </c>
      <c r="BV18" s="22">
        <f t="shared" si="58"/>
        <v>0</v>
      </c>
      <c r="BW18" s="22">
        <f t="shared" si="58"/>
        <v>0</v>
      </c>
      <c r="BX18" s="22">
        <f t="shared" si="58"/>
        <v>0</v>
      </c>
      <c r="BY18" s="22">
        <f t="shared" si="58"/>
        <v>0.77130942469758168</v>
      </c>
      <c r="BZ18" s="22">
        <f t="shared" si="58"/>
        <v>0</v>
      </c>
      <c r="CA18" s="22">
        <f t="shared" si="58"/>
        <v>0</v>
      </c>
      <c r="CB18" s="22">
        <f t="shared" si="58"/>
        <v>0</v>
      </c>
      <c r="CC18" s="22">
        <f t="shared" si="58"/>
        <v>0</v>
      </c>
      <c r="CD18" s="22">
        <f t="shared" si="58"/>
        <v>0</v>
      </c>
      <c r="CE18" s="22">
        <f t="shared" si="58"/>
        <v>0</v>
      </c>
      <c r="CF18" s="22">
        <f t="shared" si="58"/>
        <v>0</v>
      </c>
      <c r="CG18" s="22">
        <f t="shared" si="58"/>
        <v>0</v>
      </c>
      <c r="CH18" s="22">
        <f t="shared" si="58"/>
        <v>0</v>
      </c>
      <c r="CI18" s="22">
        <f t="shared" si="58"/>
        <v>0</v>
      </c>
      <c r="CJ18" s="22">
        <f t="shared" si="58"/>
        <v>0</v>
      </c>
      <c r="CK18" s="22">
        <f t="shared" si="58"/>
        <v>0</v>
      </c>
      <c r="CL18" s="22">
        <f t="shared" si="58"/>
        <v>0</v>
      </c>
      <c r="CM18" s="22">
        <f t="shared" si="58"/>
        <v>0</v>
      </c>
      <c r="CN18" s="22">
        <f t="shared" si="58"/>
        <v>0</v>
      </c>
      <c r="CO18" s="22">
        <f t="shared" si="58"/>
        <v>0</v>
      </c>
      <c r="CP18" s="22">
        <f t="shared" si="58"/>
        <v>0</v>
      </c>
      <c r="CQ18" s="22">
        <f t="shared" si="58"/>
        <v>0</v>
      </c>
      <c r="CR18" s="22">
        <f t="shared" si="58"/>
        <v>0</v>
      </c>
      <c r="CS18" s="22">
        <f t="shared" si="58"/>
        <v>0</v>
      </c>
      <c r="CT18" s="22">
        <f t="shared" si="58"/>
        <v>0</v>
      </c>
      <c r="CU18" s="22">
        <f t="shared" si="58"/>
        <v>0</v>
      </c>
      <c r="CV18" s="22">
        <f t="shared" si="58"/>
        <v>0</v>
      </c>
      <c r="CW18" s="22">
        <f t="shared" si="58"/>
        <v>0</v>
      </c>
      <c r="CX18" s="22">
        <f t="shared" si="58"/>
        <v>0</v>
      </c>
      <c r="CY18" s="22">
        <f t="shared" si="58"/>
        <v>0</v>
      </c>
      <c r="CZ18" s="22">
        <f t="shared" si="58"/>
        <v>0</v>
      </c>
      <c r="DA18" s="22">
        <f t="shared" si="58"/>
        <v>0</v>
      </c>
      <c r="DB18" s="22">
        <f t="shared" si="58"/>
        <v>0</v>
      </c>
      <c r="DC18" s="22">
        <f t="shared" si="58"/>
        <v>0</v>
      </c>
      <c r="DD18" s="22">
        <f t="shared" si="58"/>
        <v>0</v>
      </c>
      <c r="DE18" s="22">
        <f t="shared" si="58"/>
        <v>0</v>
      </c>
      <c r="DF18" s="22">
        <f t="shared" si="27"/>
        <v>0.77130942469758168</v>
      </c>
      <c r="DJ18" s="1"/>
      <c r="DK18" s="1"/>
      <c r="DL18" s="1"/>
      <c r="DM18" s="1"/>
      <c r="DN18" s="1"/>
      <c r="DO18" s="1"/>
    </row>
    <row r="19" spans="2:119" x14ac:dyDescent="0.25">
      <c r="B19" s="70">
        <f>resistance!J11</f>
        <v>1.6666666666666665</v>
      </c>
      <c r="C19" s="3">
        <f>resistance!I11</f>
        <v>6</v>
      </c>
      <c r="D19" s="16">
        <f>resistance!Z11</f>
        <v>51.059495192307693</v>
      </c>
      <c r="E19" s="16">
        <f>resistance!AA11</f>
        <v>5.6732772435897445</v>
      </c>
      <c r="F19" s="16">
        <f>resistance!AB11</f>
        <v>0</v>
      </c>
      <c r="G19" s="16">
        <f>resistance!AC11</f>
        <v>56.732772435897438</v>
      </c>
      <c r="H19" s="126">
        <f t="shared" si="4"/>
        <v>94.554620726495727</v>
      </c>
      <c r="I19" s="16">
        <f t="shared" si="56"/>
        <v>59.718707827260467</v>
      </c>
      <c r="J19" s="4">
        <f t="shared" si="5"/>
        <v>1.6666666666666665</v>
      </c>
      <c r="K19" s="28">
        <f t="shared" si="28"/>
        <v>0.16601080368775592</v>
      </c>
      <c r="L19" s="27">
        <f t="shared" si="45"/>
        <v>0.82188366863279283</v>
      </c>
      <c r="M19" s="27">
        <f t="shared" si="52"/>
        <v>0.82188366863279283</v>
      </c>
      <c r="N19" s="16">
        <f t="shared" si="46"/>
        <v>337.97700134358718</v>
      </c>
      <c r="O19" s="16">
        <f t="shared" si="47"/>
        <v>5.6329500223931195</v>
      </c>
      <c r="P19" s="96">
        <f t="shared" si="29"/>
        <v>0.11213909676395144</v>
      </c>
      <c r="Q19" s="96">
        <f t="shared" si="30"/>
        <v>0.11213909676395144</v>
      </c>
      <c r="R19" s="27">
        <f t="shared" si="48"/>
        <v>0.20455781380549665</v>
      </c>
      <c r="S19" s="96">
        <f t="shared" si="6"/>
        <v>2.045578138054966E-2</v>
      </c>
      <c r="T19" s="68">
        <f t="shared" si="31"/>
        <v>0.71708636152769356</v>
      </c>
      <c r="U19" s="27">
        <f t="shared" si="7"/>
        <v>1.6666666666666667</v>
      </c>
      <c r="V19" s="16">
        <f t="shared" si="8"/>
        <v>59.718707827260459</v>
      </c>
      <c r="W19" s="16">
        <f t="shared" si="9"/>
        <v>3.9216779168224978</v>
      </c>
      <c r="X19" s="122">
        <f t="shared" si="32"/>
        <v>99.531179712100752</v>
      </c>
      <c r="Y19" s="68">
        <f t="shared" si="10"/>
        <v>0.68123204345130883</v>
      </c>
      <c r="Z19" s="76">
        <f t="shared" si="33"/>
        <v>0.71708636152769356</v>
      </c>
      <c r="AA19" s="116">
        <f t="shared" si="11"/>
        <v>138.79943205175141</v>
      </c>
      <c r="AB19" s="40">
        <f t="shared" si="12"/>
        <v>337.97700134358718</v>
      </c>
      <c r="AC19" s="39">
        <f t="shared" si="13"/>
        <v>3.9216779168224978</v>
      </c>
      <c r="AD19" s="109">
        <v>0.97</v>
      </c>
      <c r="AE19" s="40">
        <f t="shared" si="14"/>
        <v>1013.9310040307615</v>
      </c>
      <c r="AF19" s="39">
        <f t="shared" si="15"/>
        <v>1.3476556415197587</v>
      </c>
      <c r="AG19" s="132">
        <f t="shared" si="16"/>
        <v>147.51772988814054</v>
      </c>
      <c r="AH19" s="148">
        <f t="shared" si="54"/>
        <v>0.84</v>
      </c>
      <c r="AI19" s="132">
        <f t="shared" si="34"/>
        <v>175.61634510492922</v>
      </c>
      <c r="AJ19" s="152">
        <f t="shared" si="57"/>
        <v>7.4121060283586724</v>
      </c>
      <c r="AK19" s="152">
        <f t="shared" si="35"/>
        <v>23.693177678924474</v>
      </c>
      <c r="AL19" s="167">
        <v>0.99</v>
      </c>
      <c r="AM19" s="140">
        <f t="shared" si="17"/>
        <v>177.3902475807366</v>
      </c>
      <c r="AN19" s="132">
        <f t="shared" si="18"/>
        <v>327.27913646962548</v>
      </c>
      <c r="AO19" s="260">
        <f>IF(AN19&lt;Battery!$D$4,Battery!$F$4,FORECAST(AN19,Battery!$F$3:$F$7,Battery!$D$3:$D$7))</f>
        <v>0.99694217174817501</v>
      </c>
      <c r="AP19" s="263">
        <f>AO19*Battery!$E$3</f>
        <v>1587.0521820493548</v>
      </c>
      <c r="AQ19" s="40">
        <f t="shared" si="36"/>
        <v>10</v>
      </c>
      <c r="AR19" s="152">
        <f>AN19*AQ19</f>
        <v>3272.7913646962547</v>
      </c>
      <c r="AS19" s="152">
        <f>AP19/AQ19</f>
        <v>158.70521820493548</v>
      </c>
      <c r="AT19" s="152" t="b">
        <f t="shared" si="38"/>
        <v>0</v>
      </c>
      <c r="AU19" s="132">
        <f t="shared" si="19"/>
        <v>168.57391826469001</v>
      </c>
      <c r="AV19" s="160">
        <v>0.99</v>
      </c>
      <c r="AW19" s="132">
        <f t="shared" si="50"/>
        <v>170.27668511584849</v>
      </c>
      <c r="AX19" s="253">
        <f>VLOOKUP($AX$7,'Solar Panels'!$G$6:$K$17,5,FALSE)</f>
        <v>1774.5</v>
      </c>
      <c r="AY19" s="40" t="b">
        <f t="shared" si="20"/>
        <v>1</v>
      </c>
      <c r="AZ19" s="229">
        <f t="shared" si="21"/>
        <v>170.27668511584849</v>
      </c>
      <c r="BA19" s="224">
        <f t="shared" si="22"/>
        <v>1933.2052182049356</v>
      </c>
      <c r="BB19" s="224">
        <f t="shared" si="39"/>
        <v>1762.9285330890871</v>
      </c>
      <c r="BC19" s="224" t="b">
        <f t="shared" si="40"/>
        <v>1</v>
      </c>
      <c r="BD19" s="224">
        <f t="shared" si="23"/>
        <v>1702.766851158485</v>
      </c>
      <c r="BE19" s="224">
        <f t="shared" si="24"/>
        <v>19332.052182049356</v>
      </c>
      <c r="BF19" s="225">
        <f t="shared" si="25"/>
        <v>113.53317201880404</v>
      </c>
      <c r="BG19" s="214">
        <f t="shared" si="3"/>
        <v>10</v>
      </c>
      <c r="BH19" s="222">
        <f t="shared" si="41"/>
        <v>103.53317201880404</v>
      </c>
      <c r="BJ19" s="40"/>
      <c r="BL19" s="1">
        <f t="shared" si="42"/>
        <v>0</v>
      </c>
      <c r="BM19" s="1">
        <f t="shared" si="43"/>
        <v>0</v>
      </c>
      <c r="BS19" s="16"/>
      <c r="BU19" s="22">
        <f t="shared" ref="BU19:DE19" si="59">IF(SIGN(BU$8-$K19*BU$7^2)*SIGN(BV$8-$K19*BV$7^2)=-1,INTERCEPT(BU$7:BV$7, BU$8:BV$8-$K19*(BU$7:BV$7)^2),0)</f>
        <v>0</v>
      </c>
      <c r="BV19" s="22">
        <f t="shared" si="59"/>
        <v>0</v>
      </c>
      <c r="BW19" s="22">
        <f t="shared" si="59"/>
        <v>0</v>
      </c>
      <c r="BX19" s="22">
        <f t="shared" si="59"/>
        <v>0</v>
      </c>
      <c r="BY19" s="22">
        <f t="shared" si="59"/>
        <v>0.82188366863279283</v>
      </c>
      <c r="BZ19" s="22">
        <f t="shared" si="59"/>
        <v>0</v>
      </c>
      <c r="CA19" s="22">
        <f t="shared" si="59"/>
        <v>0</v>
      </c>
      <c r="CB19" s="22">
        <f t="shared" si="59"/>
        <v>0</v>
      </c>
      <c r="CC19" s="22">
        <f t="shared" si="59"/>
        <v>0</v>
      </c>
      <c r="CD19" s="22">
        <f t="shared" si="59"/>
        <v>0</v>
      </c>
      <c r="CE19" s="22">
        <f t="shared" si="59"/>
        <v>0</v>
      </c>
      <c r="CF19" s="22">
        <f t="shared" si="59"/>
        <v>0</v>
      </c>
      <c r="CG19" s="22">
        <f t="shared" si="59"/>
        <v>0</v>
      </c>
      <c r="CH19" s="22">
        <f t="shared" si="59"/>
        <v>0</v>
      </c>
      <c r="CI19" s="22">
        <f t="shared" si="59"/>
        <v>0</v>
      </c>
      <c r="CJ19" s="22">
        <f t="shared" si="59"/>
        <v>0</v>
      </c>
      <c r="CK19" s="22">
        <f t="shared" si="59"/>
        <v>0</v>
      </c>
      <c r="CL19" s="22">
        <f t="shared" si="59"/>
        <v>0</v>
      </c>
      <c r="CM19" s="22">
        <f t="shared" si="59"/>
        <v>0</v>
      </c>
      <c r="CN19" s="22">
        <f t="shared" si="59"/>
        <v>0</v>
      </c>
      <c r="CO19" s="22">
        <f t="shared" si="59"/>
        <v>0</v>
      </c>
      <c r="CP19" s="22">
        <f t="shared" si="59"/>
        <v>0</v>
      </c>
      <c r="CQ19" s="22">
        <f t="shared" si="59"/>
        <v>0</v>
      </c>
      <c r="CR19" s="22">
        <f t="shared" si="59"/>
        <v>0</v>
      </c>
      <c r="CS19" s="22">
        <f t="shared" si="59"/>
        <v>0</v>
      </c>
      <c r="CT19" s="22">
        <f t="shared" si="59"/>
        <v>0</v>
      </c>
      <c r="CU19" s="22">
        <f t="shared" si="59"/>
        <v>0</v>
      </c>
      <c r="CV19" s="22">
        <f t="shared" si="59"/>
        <v>0</v>
      </c>
      <c r="CW19" s="22">
        <f t="shared" si="59"/>
        <v>0</v>
      </c>
      <c r="CX19" s="22">
        <f t="shared" si="59"/>
        <v>0</v>
      </c>
      <c r="CY19" s="22">
        <f t="shared" si="59"/>
        <v>0</v>
      </c>
      <c r="CZ19" s="22">
        <f t="shared" si="59"/>
        <v>0</v>
      </c>
      <c r="DA19" s="22">
        <f t="shared" si="59"/>
        <v>0</v>
      </c>
      <c r="DB19" s="22">
        <f t="shared" si="59"/>
        <v>0</v>
      </c>
      <c r="DC19" s="22">
        <f t="shared" si="59"/>
        <v>0</v>
      </c>
      <c r="DD19" s="22">
        <f t="shared" si="59"/>
        <v>0</v>
      </c>
      <c r="DE19" s="22">
        <f t="shared" si="59"/>
        <v>0</v>
      </c>
      <c r="DF19" s="22">
        <f t="shared" si="27"/>
        <v>0.82188366863279283</v>
      </c>
      <c r="DJ19" s="1"/>
      <c r="DK19" s="1"/>
      <c r="DL19" s="1"/>
      <c r="DM19" s="1"/>
      <c r="DN19" s="1"/>
      <c r="DO19" s="1"/>
    </row>
    <row r="20" spans="2:119" x14ac:dyDescent="0.25">
      <c r="B20" s="70">
        <f>resistance!J12</f>
        <v>1.9444444444444444</v>
      </c>
      <c r="C20" s="3">
        <f>resistance!I12</f>
        <v>7</v>
      </c>
      <c r="D20" s="16">
        <f>resistance!Z12</f>
        <v>59.569411057692307</v>
      </c>
      <c r="E20" s="16">
        <f>resistance!AA12</f>
        <v>6.6188234508547019</v>
      </c>
      <c r="F20" s="16">
        <f>resistance!AB12</f>
        <v>0</v>
      </c>
      <c r="G20" s="16">
        <f>resistance!AC12</f>
        <v>66.188234508547012</v>
      </c>
      <c r="H20" s="126">
        <f>B20*G20</f>
        <v>128.69934487773031</v>
      </c>
      <c r="I20" s="16">
        <f t="shared" si="56"/>
        <v>69.671825798470536</v>
      </c>
      <c r="J20" s="4">
        <f t="shared" si="5"/>
        <v>1.9444444444444444</v>
      </c>
      <c r="K20" s="28">
        <f t="shared" ref="K20:K43" si="60">I20/($E$5*J20^2*$N$3^2)</f>
        <v>0.14229497458950505</v>
      </c>
      <c r="L20" s="27">
        <f t="shared" si="45"/>
        <v>0.86730219173341327</v>
      </c>
      <c r="M20" s="27">
        <f t="shared" si="52"/>
        <v>0.86730219173341339</v>
      </c>
      <c r="N20" s="16">
        <f t="shared" si="46"/>
        <v>373.65762148758205</v>
      </c>
      <c r="O20" s="16">
        <f t="shared" si="47"/>
        <v>6.2276270247930343</v>
      </c>
      <c r="P20" s="96">
        <f t="shared" si="29"/>
        <v>0.10703614278152247</v>
      </c>
      <c r="Q20" s="96">
        <f t="shared" si="30"/>
        <v>0.10703614278152247</v>
      </c>
      <c r="R20" s="27">
        <f t="shared" si="48"/>
        <v>0.19693166637370194</v>
      </c>
      <c r="S20" s="96">
        <f t="shared" si="6"/>
        <v>1.9693166637370193E-2</v>
      </c>
      <c r="T20" s="68">
        <f t="shared" si="31"/>
        <v>0.75024907726364909</v>
      </c>
      <c r="U20" s="27">
        <f t="shared" si="7"/>
        <v>1.9444444444444442</v>
      </c>
      <c r="V20" s="16">
        <f t="shared" si="8"/>
        <v>69.671825798470522</v>
      </c>
      <c r="W20" s="16">
        <f t="shared" si="9"/>
        <v>4.6147140797542576</v>
      </c>
      <c r="X20" s="122">
        <f t="shared" si="32"/>
        <v>135.47299460813707</v>
      </c>
      <c r="Y20" s="68">
        <f t="shared" si="10"/>
        <v>0.71273662340046684</v>
      </c>
      <c r="Z20" s="76">
        <f t="shared" si="33"/>
        <v>0.75024907726364887</v>
      </c>
      <c r="AA20" s="116">
        <f t="shared" si="11"/>
        <v>180.57069140590201</v>
      </c>
      <c r="AB20" s="40">
        <f t="shared" si="12"/>
        <v>373.65762148758205</v>
      </c>
      <c r="AC20" s="39">
        <f t="shared" si="13"/>
        <v>4.6147140797542576</v>
      </c>
      <c r="AD20" s="109">
        <v>0.97</v>
      </c>
      <c r="AE20" s="40">
        <f t="shared" si="14"/>
        <v>1120.9728644627462</v>
      </c>
      <c r="AF20" s="39">
        <f t="shared" si="15"/>
        <v>1.585812398540982</v>
      </c>
      <c r="AG20" s="132">
        <f t="shared" si="16"/>
        <v>191.91273398437883</v>
      </c>
      <c r="AH20" s="147">
        <v>0.86</v>
      </c>
      <c r="AI20" s="132">
        <f t="shared" si="34"/>
        <v>223.15434184230097</v>
      </c>
      <c r="AJ20" s="152">
        <f t="shared" si="57"/>
        <v>8.7219681919754013</v>
      </c>
      <c r="AK20" s="152">
        <f t="shared" si="35"/>
        <v>25.585319383257197</v>
      </c>
      <c r="AL20" s="167">
        <v>0.99</v>
      </c>
      <c r="AM20" s="140">
        <f t="shared" si="17"/>
        <v>225.40842610333431</v>
      </c>
      <c r="AN20" s="132">
        <f t="shared" si="18"/>
        <v>375.29731499222316</v>
      </c>
      <c r="AO20" s="260">
        <f>IF(AN20&lt;Battery!$D$4,Battery!$F$4,FORECAST(AN20,Battery!$F$3:$F$7,Battery!$D$3:$D$7))</f>
        <v>0.99599487909963214</v>
      </c>
      <c r="AP20" s="263">
        <f>AO20*Battery!$E$3</f>
        <v>1585.5441679362864</v>
      </c>
      <c r="AQ20" s="40">
        <f t="shared" si="36"/>
        <v>8.5714285714285712</v>
      </c>
      <c r="AR20" s="152">
        <f>AN20*AQ20</f>
        <v>3216.83412850477</v>
      </c>
      <c r="AS20" s="152">
        <f t="shared" si="49"/>
        <v>184.98015292590009</v>
      </c>
      <c r="AT20" s="152" t="b">
        <f t="shared" si="38"/>
        <v>0</v>
      </c>
      <c r="AU20" s="132">
        <f>AN20-AS20</f>
        <v>190.31716206632308</v>
      </c>
      <c r="AV20" s="160">
        <v>0.99</v>
      </c>
      <c r="AW20" s="132">
        <f t="shared" si="50"/>
        <v>192.23955764275058</v>
      </c>
      <c r="AX20" s="253">
        <f>VLOOKUP($AX$7,'Solar Panels'!$G$6:$K$17,5,FALSE)</f>
        <v>1774.5</v>
      </c>
      <c r="AY20" s="40" t="b">
        <f t="shared" si="20"/>
        <v>1</v>
      </c>
      <c r="AZ20" s="229">
        <f t="shared" si="21"/>
        <v>192.23955764275058</v>
      </c>
      <c r="BA20" s="224">
        <f t="shared" si="22"/>
        <v>1959.4801529259</v>
      </c>
      <c r="BB20" s="224">
        <f t="shared" si="39"/>
        <v>1767.2405952831496</v>
      </c>
      <c r="BC20" s="224" t="b">
        <f t="shared" si="40"/>
        <v>1</v>
      </c>
      <c r="BD20" s="224">
        <f t="shared" si="23"/>
        <v>1647.7676369378621</v>
      </c>
      <c r="BE20" s="224">
        <f t="shared" si="24"/>
        <v>16795.544167936285</v>
      </c>
      <c r="BF20" s="225">
        <f t="shared" si="25"/>
        <v>87.367784101690319</v>
      </c>
      <c r="BG20" s="214">
        <f t="shared" si="3"/>
        <v>8.5714285714285712</v>
      </c>
      <c r="BH20" s="222">
        <f t="shared" si="41"/>
        <v>78.796355530261749</v>
      </c>
      <c r="BJ20" s="40"/>
      <c r="BL20" s="1">
        <f t="shared" si="42"/>
        <v>0</v>
      </c>
      <c r="BM20" s="1">
        <f t="shared" si="43"/>
        <v>0</v>
      </c>
      <c r="BS20" s="16"/>
      <c r="BU20" s="22">
        <f t="shared" ref="BU20:DE20" si="61">IF(SIGN(BU$8-$K20*BU$7^2)*SIGN(BV$8-$K20*BV$7^2)=-1,INTERCEPT(BU$7:BV$7, BU$8:BV$8-$K20*(BU$7:BV$7)^2),0)</f>
        <v>0</v>
      </c>
      <c r="BV20" s="22">
        <f t="shared" si="61"/>
        <v>0</v>
      </c>
      <c r="BW20" s="22">
        <f t="shared" si="61"/>
        <v>0</v>
      </c>
      <c r="BX20" s="22">
        <f t="shared" si="61"/>
        <v>0</v>
      </c>
      <c r="BY20" s="22">
        <f t="shared" si="61"/>
        <v>0.86730219173341327</v>
      </c>
      <c r="BZ20" s="22">
        <f t="shared" si="61"/>
        <v>0</v>
      </c>
      <c r="CA20" s="22">
        <f t="shared" si="61"/>
        <v>0</v>
      </c>
      <c r="CB20" s="22">
        <f t="shared" si="61"/>
        <v>0</v>
      </c>
      <c r="CC20" s="22">
        <f t="shared" si="61"/>
        <v>0</v>
      </c>
      <c r="CD20" s="22">
        <f t="shared" si="61"/>
        <v>0</v>
      </c>
      <c r="CE20" s="22">
        <f t="shared" si="61"/>
        <v>0</v>
      </c>
      <c r="CF20" s="22">
        <f t="shared" si="61"/>
        <v>0</v>
      </c>
      <c r="CG20" s="22">
        <f t="shared" si="61"/>
        <v>0</v>
      </c>
      <c r="CH20" s="22">
        <f t="shared" si="61"/>
        <v>0</v>
      </c>
      <c r="CI20" s="22">
        <f t="shared" si="61"/>
        <v>0</v>
      </c>
      <c r="CJ20" s="22">
        <f t="shared" si="61"/>
        <v>0</v>
      </c>
      <c r="CK20" s="22">
        <f t="shared" si="61"/>
        <v>0</v>
      </c>
      <c r="CL20" s="22">
        <f t="shared" si="61"/>
        <v>0</v>
      </c>
      <c r="CM20" s="22">
        <f t="shared" si="61"/>
        <v>0</v>
      </c>
      <c r="CN20" s="22">
        <f t="shared" si="61"/>
        <v>0</v>
      </c>
      <c r="CO20" s="22">
        <f t="shared" si="61"/>
        <v>0</v>
      </c>
      <c r="CP20" s="22">
        <f t="shared" si="61"/>
        <v>0</v>
      </c>
      <c r="CQ20" s="22">
        <f t="shared" si="61"/>
        <v>0</v>
      </c>
      <c r="CR20" s="22">
        <f t="shared" si="61"/>
        <v>0</v>
      </c>
      <c r="CS20" s="22">
        <f t="shared" si="61"/>
        <v>0</v>
      </c>
      <c r="CT20" s="22">
        <f t="shared" si="61"/>
        <v>0</v>
      </c>
      <c r="CU20" s="22">
        <f t="shared" si="61"/>
        <v>0</v>
      </c>
      <c r="CV20" s="22">
        <f t="shared" si="61"/>
        <v>0</v>
      </c>
      <c r="CW20" s="22">
        <f t="shared" si="61"/>
        <v>0</v>
      </c>
      <c r="CX20" s="22">
        <f t="shared" si="61"/>
        <v>0</v>
      </c>
      <c r="CY20" s="22">
        <f t="shared" si="61"/>
        <v>0</v>
      </c>
      <c r="CZ20" s="22">
        <f t="shared" si="61"/>
        <v>0</v>
      </c>
      <c r="DA20" s="22">
        <f t="shared" si="61"/>
        <v>0</v>
      </c>
      <c r="DB20" s="22">
        <f t="shared" si="61"/>
        <v>0</v>
      </c>
      <c r="DC20" s="22">
        <f t="shared" si="61"/>
        <v>0</v>
      </c>
      <c r="DD20" s="22">
        <f t="shared" si="61"/>
        <v>0</v>
      </c>
      <c r="DE20" s="22">
        <f t="shared" si="61"/>
        <v>0</v>
      </c>
      <c r="DF20" s="22">
        <f t="shared" si="27"/>
        <v>0.86730219173341327</v>
      </c>
      <c r="DJ20" s="1"/>
      <c r="DK20" s="1"/>
      <c r="DL20" s="1"/>
      <c r="DM20" s="1"/>
      <c r="DN20" s="1"/>
      <c r="DO20" s="1"/>
    </row>
    <row r="21" spans="2:119" x14ac:dyDescent="0.25">
      <c r="B21" s="70">
        <f>resistance!J13</f>
        <v>2.2222222222222223</v>
      </c>
      <c r="C21" s="3">
        <f>resistance!I13</f>
        <v>8</v>
      </c>
      <c r="D21" s="16">
        <f>resistance!Z13</f>
        <v>68.079326923076934</v>
      </c>
      <c r="E21" s="16">
        <f>resistance!AA13</f>
        <v>7.5643696581196602</v>
      </c>
      <c r="F21" s="16">
        <f>resistance!AB13</f>
        <v>0</v>
      </c>
      <c r="G21" s="16">
        <f>resistance!AC13</f>
        <v>75.643696581196593</v>
      </c>
      <c r="H21" s="126">
        <f t="shared" si="4"/>
        <v>168.09710351377021</v>
      </c>
      <c r="I21" s="16">
        <f t="shared" si="56"/>
        <v>79.624943769680627</v>
      </c>
      <c r="J21" s="4">
        <f t="shared" si="5"/>
        <v>2.2222222222222223</v>
      </c>
      <c r="K21" s="28">
        <f t="shared" si="60"/>
        <v>0.12450810276581693</v>
      </c>
      <c r="L21" s="27">
        <f t="shared" si="45"/>
        <v>0.90661495983899776</v>
      </c>
      <c r="M21" s="27">
        <f t="shared" si="52"/>
        <v>0.90661495983899776</v>
      </c>
      <c r="N21" s="16">
        <f t="shared" si="46"/>
        <v>408.52002975567825</v>
      </c>
      <c r="O21" s="16">
        <f t="shared" si="47"/>
        <v>6.8086671625946371</v>
      </c>
      <c r="P21" s="96">
        <f t="shared" si="29"/>
        <v>0.1023395204066984</v>
      </c>
      <c r="Q21" s="96">
        <f t="shared" si="30"/>
        <v>0.1023395204066984</v>
      </c>
      <c r="R21" s="27">
        <f t="shared" si="48"/>
        <v>0.19077000543800476</v>
      </c>
      <c r="S21" s="96">
        <f t="shared" si="6"/>
        <v>1.9077000543800474E-2</v>
      </c>
      <c r="T21" s="68">
        <f t="shared" si="31"/>
        <v>0.77406298065127821</v>
      </c>
      <c r="U21" s="27">
        <f t="shared" si="7"/>
        <v>2.2222222222222219</v>
      </c>
      <c r="V21" s="16">
        <f t="shared" si="8"/>
        <v>79.624943769680613</v>
      </c>
      <c r="W21" s="16">
        <f t="shared" si="9"/>
        <v>5.3434082184554414</v>
      </c>
      <c r="X21" s="122">
        <f t="shared" si="32"/>
        <v>176.94431948817908</v>
      </c>
      <c r="Y21" s="68">
        <f t="shared" si="10"/>
        <v>0.73535983161871443</v>
      </c>
      <c r="Z21" s="76">
        <f t="shared" si="33"/>
        <v>0.7740629806512781</v>
      </c>
      <c r="AA21" s="116">
        <f t="shared" si="11"/>
        <v>228.5916313157133</v>
      </c>
      <c r="AB21" s="40">
        <f t="shared" si="12"/>
        <v>408.52002975567825</v>
      </c>
      <c r="AC21" s="39">
        <f t="shared" si="13"/>
        <v>5.3434082184554414</v>
      </c>
      <c r="AD21" s="109">
        <v>0.97</v>
      </c>
      <c r="AE21" s="40">
        <f t="shared" si="14"/>
        <v>1225.5600892670348</v>
      </c>
      <c r="AF21" s="39">
        <f t="shared" si="15"/>
        <v>1.8362227554829695</v>
      </c>
      <c r="AG21" s="132">
        <f t="shared" si="16"/>
        <v>242.94997482805118</v>
      </c>
      <c r="AH21" s="148">
        <f t="shared" si="54"/>
        <v>0.86</v>
      </c>
      <c r="AI21" s="132">
        <f t="shared" si="34"/>
        <v>282.49997073029209</v>
      </c>
      <c r="AJ21" s="152">
        <f t="shared" si="57"/>
        <v>10.099225155156333</v>
      </c>
      <c r="AK21" s="152">
        <f t="shared" si="35"/>
        <v>27.972440102105942</v>
      </c>
      <c r="AL21" s="167">
        <v>0.99</v>
      </c>
      <c r="AM21" s="140">
        <f t="shared" si="17"/>
        <v>285.35350578817383</v>
      </c>
      <c r="AN21" s="132">
        <f t="shared" si="18"/>
        <v>435.24239467706275</v>
      </c>
      <c r="AO21" s="260">
        <f>IF(AN21&lt;Battery!$D$4,Battery!$F$4,FORECAST(AN21,Battery!$F$3:$F$7,Battery!$D$3:$D$7))</f>
        <v>0.99481229502316537</v>
      </c>
      <c r="AP21" s="263">
        <f>AO21*Battery!$E$3</f>
        <v>1583.6615886932775</v>
      </c>
      <c r="AQ21" s="40">
        <f t="shared" si="36"/>
        <v>7.5</v>
      </c>
      <c r="AR21" s="152">
        <f>AN21*AQ21</f>
        <v>3264.3179600779704</v>
      </c>
      <c r="AS21" s="152">
        <f t="shared" si="49"/>
        <v>211.15487849243701</v>
      </c>
      <c r="AT21" s="152" t="b">
        <f t="shared" si="38"/>
        <v>0</v>
      </c>
      <c r="AU21" s="132">
        <f t="shared" si="19"/>
        <v>224.08751618462574</v>
      </c>
      <c r="AV21" s="160">
        <v>0.99</v>
      </c>
      <c r="AW21" s="132">
        <f t="shared" si="50"/>
        <v>226.35102644911692</v>
      </c>
      <c r="AX21" s="253">
        <f>VLOOKUP($AX$7,'Solar Panels'!$G$6:$K$17,5,FALSE)</f>
        <v>1774.5</v>
      </c>
      <c r="AY21" s="40" t="b">
        <f t="shared" si="20"/>
        <v>1</v>
      </c>
      <c r="AZ21" s="229">
        <f t="shared" si="21"/>
        <v>226.35102644911692</v>
      </c>
      <c r="BA21" s="224">
        <f t="shared" si="22"/>
        <v>1985.6548784924371</v>
      </c>
      <c r="BB21" s="224">
        <f t="shared" si="39"/>
        <v>1759.3038520433201</v>
      </c>
      <c r="BC21" s="224" t="b">
        <f t="shared" si="40"/>
        <v>1</v>
      </c>
      <c r="BD21" s="224">
        <f t="shared" si="23"/>
        <v>1697.6326983683769</v>
      </c>
      <c r="BE21" s="224">
        <f t="shared" si="24"/>
        <v>14892.411588693278</v>
      </c>
      <c r="BF21" s="225">
        <f>BE21/AZ21</f>
        <v>65.79343518921948</v>
      </c>
      <c r="BG21" s="214">
        <f t="shared" si="3"/>
        <v>7.5</v>
      </c>
      <c r="BH21" s="222">
        <f t="shared" si="41"/>
        <v>58.29343518921948</v>
      </c>
      <c r="BJ21" s="40"/>
      <c r="BL21" s="1">
        <f t="shared" si="42"/>
        <v>0</v>
      </c>
      <c r="BM21" s="1">
        <f t="shared" si="43"/>
        <v>0</v>
      </c>
      <c r="BS21" s="16"/>
      <c r="BU21" s="22">
        <f t="shared" ref="BU21:DE21" si="62">IF(SIGN(BU$8-$K21*BU$7^2)*SIGN(BV$8-$K21*BV$7^2)=-1,INTERCEPT(BU$7:BV$7, BU$8:BV$8-$K21*(BU$7:BV$7)^2),0)</f>
        <v>0</v>
      </c>
      <c r="BV21" s="22">
        <f t="shared" si="62"/>
        <v>0</v>
      </c>
      <c r="BW21" s="22">
        <f t="shared" si="62"/>
        <v>0</v>
      </c>
      <c r="BX21" s="22">
        <f t="shared" si="62"/>
        <v>0</v>
      </c>
      <c r="BY21" s="22">
        <f t="shared" si="62"/>
        <v>0</v>
      </c>
      <c r="BZ21" s="22">
        <f t="shared" si="62"/>
        <v>0.90661495983899776</v>
      </c>
      <c r="CA21" s="22">
        <f t="shared" si="62"/>
        <v>0</v>
      </c>
      <c r="CB21" s="22">
        <f t="shared" si="62"/>
        <v>0</v>
      </c>
      <c r="CC21" s="22">
        <f t="shared" si="62"/>
        <v>0</v>
      </c>
      <c r="CD21" s="22">
        <f t="shared" si="62"/>
        <v>0</v>
      </c>
      <c r="CE21" s="22">
        <f t="shared" si="62"/>
        <v>0</v>
      </c>
      <c r="CF21" s="22">
        <f t="shared" si="62"/>
        <v>0</v>
      </c>
      <c r="CG21" s="22">
        <f t="shared" si="62"/>
        <v>0</v>
      </c>
      <c r="CH21" s="22">
        <f t="shared" si="62"/>
        <v>0</v>
      </c>
      <c r="CI21" s="22">
        <f t="shared" si="62"/>
        <v>0</v>
      </c>
      <c r="CJ21" s="22">
        <f t="shared" si="62"/>
        <v>0</v>
      </c>
      <c r="CK21" s="22">
        <f t="shared" si="62"/>
        <v>0</v>
      </c>
      <c r="CL21" s="22">
        <f t="shared" si="62"/>
        <v>0</v>
      </c>
      <c r="CM21" s="22">
        <f t="shared" si="62"/>
        <v>0</v>
      </c>
      <c r="CN21" s="22">
        <f t="shared" si="62"/>
        <v>0</v>
      </c>
      <c r="CO21" s="22">
        <f t="shared" si="62"/>
        <v>0</v>
      </c>
      <c r="CP21" s="22">
        <f t="shared" si="62"/>
        <v>0</v>
      </c>
      <c r="CQ21" s="22">
        <f t="shared" si="62"/>
        <v>0</v>
      </c>
      <c r="CR21" s="22">
        <f t="shared" si="62"/>
        <v>0</v>
      </c>
      <c r="CS21" s="22">
        <f t="shared" si="62"/>
        <v>0</v>
      </c>
      <c r="CT21" s="22">
        <f t="shared" si="62"/>
        <v>0</v>
      </c>
      <c r="CU21" s="22">
        <f t="shared" si="62"/>
        <v>0</v>
      </c>
      <c r="CV21" s="22">
        <f t="shared" si="62"/>
        <v>0</v>
      </c>
      <c r="CW21" s="22">
        <f t="shared" si="62"/>
        <v>0</v>
      </c>
      <c r="CX21" s="22">
        <f t="shared" si="62"/>
        <v>0</v>
      </c>
      <c r="CY21" s="22">
        <f t="shared" si="62"/>
        <v>0</v>
      </c>
      <c r="CZ21" s="22">
        <f t="shared" si="62"/>
        <v>0</v>
      </c>
      <c r="DA21" s="22">
        <f t="shared" si="62"/>
        <v>0</v>
      </c>
      <c r="DB21" s="22">
        <f t="shared" si="62"/>
        <v>0</v>
      </c>
      <c r="DC21" s="22">
        <f t="shared" si="62"/>
        <v>0</v>
      </c>
      <c r="DD21" s="22">
        <f t="shared" si="62"/>
        <v>0</v>
      </c>
      <c r="DE21" s="22">
        <f t="shared" si="62"/>
        <v>0</v>
      </c>
      <c r="DF21" s="22">
        <f t="shared" si="27"/>
        <v>0.90661495983899776</v>
      </c>
      <c r="DJ21" s="1"/>
      <c r="DK21" s="1"/>
      <c r="DL21" s="1"/>
      <c r="DM21" s="1"/>
      <c r="DN21" s="1"/>
      <c r="DO21" s="1"/>
    </row>
    <row r="22" spans="2:119" x14ac:dyDescent="0.25">
      <c r="B22" s="70">
        <f>resistance!J14</f>
        <v>2.5</v>
      </c>
      <c r="C22" s="3">
        <f>resistance!I14</f>
        <v>9</v>
      </c>
      <c r="D22" s="16">
        <f>resistance!Z14</f>
        <v>76.589242788461547</v>
      </c>
      <c r="E22" s="16">
        <f>resistance!AA14</f>
        <v>8.5099158653846168</v>
      </c>
      <c r="F22" s="16">
        <f>resistance!AB14</f>
        <v>0</v>
      </c>
      <c r="G22" s="16">
        <f>resistance!AC14</f>
        <v>85.09915865384616</v>
      </c>
      <c r="H22" s="126">
        <f t="shared" si="4"/>
        <v>212.74789663461542</v>
      </c>
      <c r="I22" s="16">
        <f t="shared" si="56"/>
        <v>89.578061740890703</v>
      </c>
      <c r="J22" s="4">
        <f t="shared" si="5"/>
        <v>2.5</v>
      </c>
      <c r="K22" s="28">
        <f>I22/($E$5*J22^2*$N$3^2)</f>
        <v>0.1106738691251706</v>
      </c>
      <c r="L22" s="27">
        <f t="shared" si="45"/>
        <v>0.93996108903445941</v>
      </c>
      <c r="M22" s="27">
        <f t="shared" si="52"/>
        <v>0.93996108903445941</v>
      </c>
      <c r="N22" s="16">
        <f t="shared" si="46"/>
        <v>443.28076079688816</v>
      </c>
      <c r="O22" s="16">
        <f t="shared" si="47"/>
        <v>7.3880126799481358</v>
      </c>
      <c r="P22" s="96">
        <f t="shared" si="29"/>
        <v>9.7783334843605366E-2</v>
      </c>
      <c r="Q22" s="96">
        <f t="shared" si="30"/>
        <v>9.778333484360538E-2</v>
      </c>
      <c r="R22" s="27">
        <f t="shared" si="48"/>
        <v>0.18625476929833071</v>
      </c>
      <c r="S22" s="96">
        <f t="shared" si="6"/>
        <v>1.862547692983307E-2</v>
      </c>
      <c r="T22" s="68">
        <f t="shared" si="31"/>
        <v>0.78539376587296617</v>
      </c>
      <c r="U22" s="27">
        <f t="shared" si="7"/>
        <v>2.5</v>
      </c>
      <c r="V22" s="16">
        <f t="shared" si="8"/>
        <v>89.578061740890703</v>
      </c>
      <c r="W22" s="16">
        <f t="shared" si="9"/>
        <v>6.1425219851147581</v>
      </c>
      <c r="X22" s="122">
        <f t="shared" si="32"/>
        <v>223.94515435222675</v>
      </c>
      <c r="Y22" s="68">
        <f t="shared" si="10"/>
        <v>0.74612407757931798</v>
      </c>
      <c r="Z22" s="76">
        <f t="shared" si="33"/>
        <v>0.78539376587296628</v>
      </c>
      <c r="AA22" s="116">
        <f t="shared" si="11"/>
        <v>285.1374228866095</v>
      </c>
      <c r="AB22" s="40">
        <f t="shared" si="12"/>
        <v>443.28076079688816</v>
      </c>
      <c r="AC22" s="39">
        <f t="shared" si="13"/>
        <v>6.1425219851147581</v>
      </c>
      <c r="AD22" s="109">
        <v>0.97</v>
      </c>
      <c r="AE22" s="40">
        <f t="shared" si="14"/>
        <v>1329.8422823906644</v>
      </c>
      <c r="AF22" s="39">
        <f t="shared" si="15"/>
        <v>2.1108322972902949</v>
      </c>
      <c r="AG22" s="132">
        <f t="shared" si="16"/>
        <v>303.04753202955624</v>
      </c>
      <c r="AH22" s="148">
        <f t="shared" si="54"/>
        <v>0.86</v>
      </c>
      <c r="AI22" s="132">
        <f t="shared" si="34"/>
        <v>352.38085119715839</v>
      </c>
      <c r="AJ22" s="152">
        <f>AF22/$AK$7</f>
        <v>11.609577635096622</v>
      </c>
      <c r="AK22" s="152">
        <f t="shared" si="35"/>
        <v>30.352598714003573</v>
      </c>
      <c r="AL22" s="167">
        <v>0.99</v>
      </c>
      <c r="AM22" s="140">
        <f t="shared" si="17"/>
        <v>355.94025373450341</v>
      </c>
      <c r="AN22" s="132">
        <f t="shared" si="18"/>
        <v>505.82914262339227</v>
      </c>
      <c r="AO22" s="260">
        <f>IF(AN22&lt;Battery!$D$4,Battery!$F$4,FORECAST(AN22,Battery!$F$3:$F$7,Battery!$D$3:$D$7))</f>
        <v>0.99341977432639128</v>
      </c>
      <c r="AP22" s="263">
        <f>AO22*Battery!$E$3</f>
        <v>1581.4448071456688</v>
      </c>
      <c r="AQ22" s="40">
        <f t="shared" si="36"/>
        <v>6.666666666666667</v>
      </c>
      <c r="AR22" s="152">
        <f t="shared" si="37"/>
        <v>3372.1942841559485</v>
      </c>
      <c r="AS22" s="152">
        <f t="shared" si="49"/>
        <v>237.21672107185032</v>
      </c>
      <c r="AT22" s="152" t="b">
        <f t="shared" si="38"/>
        <v>0</v>
      </c>
      <c r="AU22" s="132">
        <f t="shared" si="19"/>
        <v>268.61242155154196</v>
      </c>
      <c r="AV22" s="160">
        <v>0.99</v>
      </c>
      <c r="AW22" s="132">
        <f t="shared" si="50"/>
        <v>271.32567833489088</v>
      </c>
      <c r="AX22" s="253">
        <f>VLOOKUP($AX$7,'Solar Panels'!$G$6:$K$17,5,FALSE)</f>
        <v>1774.5</v>
      </c>
      <c r="AY22" s="40" t="b">
        <f t="shared" si="20"/>
        <v>1</v>
      </c>
      <c r="AZ22" s="229">
        <f t="shared" si="21"/>
        <v>271.32567833489088</v>
      </c>
      <c r="BA22" s="224">
        <f t="shared" si="22"/>
        <v>2011.7167210718503</v>
      </c>
      <c r="BB22" s="224">
        <f t="shared" si="39"/>
        <v>1740.3910427369594</v>
      </c>
      <c r="BC22" s="224" t="b">
        <f t="shared" si="40"/>
        <v>1</v>
      </c>
      <c r="BD22" s="224">
        <f t="shared" si="23"/>
        <v>1808.8378555659392</v>
      </c>
      <c r="BE22" s="224">
        <f t="shared" si="24"/>
        <v>13411.44480714567</v>
      </c>
      <c r="BF22" s="225">
        <f t="shared" si="25"/>
        <v>49.429323790696436</v>
      </c>
      <c r="BG22" s="214">
        <f t="shared" si="3"/>
        <v>6.666666666666667</v>
      </c>
      <c r="BH22" s="222">
        <f t="shared" si="41"/>
        <v>42.762657124029772</v>
      </c>
      <c r="BJ22" s="40"/>
      <c r="BL22" s="1">
        <f t="shared" si="42"/>
        <v>0</v>
      </c>
      <c r="BM22" s="1">
        <f t="shared" si="43"/>
        <v>0</v>
      </c>
      <c r="BS22" s="16"/>
      <c r="BU22" s="22">
        <f t="shared" ref="BU22:DE22" si="63">IF(SIGN(BU$8-$K22*BU$7^2)*SIGN(BV$8-$K22*BV$7^2)=-1,INTERCEPT(BU$7:BV$7, BU$8:BV$8-$K22*(BU$7:BV$7)^2),0)</f>
        <v>0</v>
      </c>
      <c r="BV22" s="22">
        <f t="shared" si="63"/>
        <v>0</v>
      </c>
      <c r="BW22" s="22">
        <f t="shared" si="63"/>
        <v>0</v>
      </c>
      <c r="BX22" s="22">
        <f t="shared" si="63"/>
        <v>0</v>
      </c>
      <c r="BY22" s="22">
        <f t="shared" si="63"/>
        <v>0</v>
      </c>
      <c r="BZ22" s="22">
        <f t="shared" si="63"/>
        <v>0.93996108903445941</v>
      </c>
      <c r="CA22" s="22">
        <f t="shared" si="63"/>
        <v>0</v>
      </c>
      <c r="CB22" s="22">
        <f t="shared" si="63"/>
        <v>0</v>
      </c>
      <c r="CC22" s="22">
        <f t="shared" si="63"/>
        <v>0</v>
      </c>
      <c r="CD22" s="22">
        <f t="shared" si="63"/>
        <v>0</v>
      </c>
      <c r="CE22" s="22">
        <f t="shared" si="63"/>
        <v>0</v>
      </c>
      <c r="CF22" s="22">
        <f t="shared" si="63"/>
        <v>0</v>
      </c>
      <c r="CG22" s="22">
        <f t="shared" si="63"/>
        <v>0</v>
      </c>
      <c r="CH22" s="22">
        <f t="shared" si="63"/>
        <v>0</v>
      </c>
      <c r="CI22" s="22">
        <f t="shared" si="63"/>
        <v>0</v>
      </c>
      <c r="CJ22" s="22">
        <f t="shared" si="63"/>
        <v>0</v>
      </c>
      <c r="CK22" s="22">
        <f t="shared" si="63"/>
        <v>0</v>
      </c>
      <c r="CL22" s="22">
        <f t="shared" si="63"/>
        <v>0</v>
      </c>
      <c r="CM22" s="22">
        <f t="shared" si="63"/>
        <v>0</v>
      </c>
      <c r="CN22" s="22">
        <f t="shared" si="63"/>
        <v>0</v>
      </c>
      <c r="CO22" s="22">
        <f t="shared" si="63"/>
        <v>0</v>
      </c>
      <c r="CP22" s="22">
        <f t="shared" si="63"/>
        <v>0</v>
      </c>
      <c r="CQ22" s="22">
        <f t="shared" si="63"/>
        <v>0</v>
      </c>
      <c r="CR22" s="22">
        <f t="shared" si="63"/>
        <v>0</v>
      </c>
      <c r="CS22" s="22">
        <f t="shared" si="63"/>
        <v>0</v>
      </c>
      <c r="CT22" s="22">
        <f t="shared" si="63"/>
        <v>0</v>
      </c>
      <c r="CU22" s="22">
        <f t="shared" si="63"/>
        <v>0</v>
      </c>
      <c r="CV22" s="22">
        <f t="shared" si="63"/>
        <v>0</v>
      </c>
      <c r="CW22" s="22">
        <f t="shared" si="63"/>
        <v>0</v>
      </c>
      <c r="CX22" s="22">
        <f t="shared" si="63"/>
        <v>0</v>
      </c>
      <c r="CY22" s="22">
        <f t="shared" si="63"/>
        <v>0</v>
      </c>
      <c r="CZ22" s="22">
        <f t="shared" si="63"/>
        <v>0</v>
      </c>
      <c r="DA22" s="22">
        <f t="shared" si="63"/>
        <v>0</v>
      </c>
      <c r="DB22" s="22">
        <f t="shared" si="63"/>
        <v>0</v>
      </c>
      <c r="DC22" s="22">
        <f t="shared" si="63"/>
        <v>0</v>
      </c>
      <c r="DD22" s="22">
        <f t="shared" si="63"/>
        <v>0</v>
      </c>
      <c r="DE22" s="22">
        <f t="shared" si="63"/>
        <v>0</v>
      </c>
      <c r="DF22" s="22">
        <f t="shared" si="27"/>
        <v>0.93996108903445941</v>
      </c>
      <c r="DJ22" s="1"/>
      <c r="DK22" s="1"/>
      <c r="DL22" s="1"/>
      <c r="DM22" s="1"/>
      <c r="DN22" s="1"/>
      <c r="DO22" s="1"/>
    </row>
    <row r="23" spans="2:119" x14ac:dyDescent="0.25">
      <c r="B23" s="70">
        <f>resistance!J15</f>
        <v>2.7777777777777777</v>
      </c>
      <c r="C23" s="3">
        <f>resistance!I15</f>
        <v>10</v>
      </c>
      <c r="D23" s="16">
        <f>resistance!Z15</f>
        <v>85.09915865384616</v>
      </c>
      <c r="E23" s="16">
        <f>resistance!AA15</f>
        <v>9.4554620726495742</v>
      </c>
      <c r="F23" s="16">
        <f>resistance!AB15</f>
        <v>0</v>
      </c>
      <c r="G23" s="16">
        <f>resistance!AC15</f>
        <v>94.554620726495727</v>
      </c>
      <c r="H23" s="126">
        <f t="shared" si="4"/>
        <v>262.65172424026588</v>
      </c>
      <c r="I23" s="16">
        <f t="shared" si="56"/>
        <v>99.531179712100766</v>
      </c>
      <c r="J23" s="4">
        <f t="shared" si="5"/>
        <v>2.7777777777777777</v>
      </c>
      <c r="K23" s="28">
        <f t="shared" si="60"/>
        <v>9.9606482212653544E-2</v>
      </c>
      <c r="L23" s="27">
        <f t="shared" si="45"/>
        <v>0.97071790487578313</v>
      </c>
      <c r="M23" s="27">
        <f t="shared" si="52"/>
        <v>0.97071790487578302</v>
      </c>
      <c r="N23" s="16">
        <f t="shared" si="46"/>
        <v>476.92842651563694</v>
      </c>
      <c r="O23" s="16">
        <f t="shared" si="47"/>
        <v>7.9488071085939493</v>
      </c>
      <c r="P23" s="96">
        <f t="shared" si="29"/>
        <v>9.3858515929538408E-2</v>
      </c>
      <c r="Q23" s="96">
        <f t="shared" si="30"/>
        <v>9.385851592953838E-2</v>
      </c>
      <c r="R23" s="27">
        <f t="shared" si="48"/>
        <v>0.18209013940638677</v>
      </c>
      <c r="S23" s="96">
        <f t="shared" si="6"/>
        <v>1.8209013940638678E-2</v>
      </c>
      <c r="T23" s="68">
        <f t="shared" si="31"/>
        <v>0.79634347595583721</v>
      </c>
      <c r="U23" s="27">
        <f t="shared" si="7"/>
        <v>2.7777777777777777</v>
      </c>
      <c r="V23" s="16">
        <f t="shared" si="8"/>
        <v>99.531179712100794</v>
      </c>
      <c r="W23" s="16">
        <f t="shared" si="9"/>
        <v>6.9514339060711077</v>
      </c>
      <c r="X23" s="122">
        <f t="shared" si="32"/>
        <v>276.47549920027996</v>
      </c>
      <c r="Y23" s="68">
        <f t="shared" si="10"/>
        <v>0.75652630215804495</v>
      </c>
      <c r="Z23" s="76">
        <f t="shared" si="33"/>
        <v>0.7963434759558371</v>
      </c>
      <c r="AA23" s="116">
        <f t="shared" si="11"/>
        <v>347.18121959677171</v>
      </c>
      <c r="AB23" s="40">
        <f t="shared" si="12"/>
        <v>476.92842651563694</v>
      </c>
      <c r="AC23" s="39">
        <f t="shared" si="13"/>
        <v>6.9514339060711077</v>
      </c>
      <c r="AD23" s="109">
        <v>0.97</v>
      </c>
      <c r="AE23" s="40">
        <f t="shared" si="14"/>
        <v>1430.7852795469107</v>
      </c>
      <c r="AF23" s="39">
        <f t="shared" si="15"/>
        <v>2.3888089024299339</v>
      </c>
      <c r="AG23" s="132">
        <f t="shared" si="16"/>
        <v>368.98843617469618</v>
      </c>
      <c r="AH23" s="148">
        <f t="shared" si="54"/>
        <v>0.86</v>
      </c>
      <c r="AI23" s="132">
        <f>AG23/AH23</f>
        <v>429.05632113336765</v>
      </c>
      <c r="AJ23" s="152">
        <f t="shared" si="57"/>
        <v>13.138448963364636</v>
      </c>
      <c r="AK23" s="152">
        <f t="shared" si="35"/>
        <v>32.656542817934749</v>
      </c>
      <c r="AL23" s="167">
        <v>0.99</v>
      </c>
      <c r="AM23" s="140">
        <f t="shared" si="17"/>
        <v>433.390223367038</v>
      </c>
      <c r="AN23" s="132">
        <f t="shared" si="18"/>
        <v>583.27911225592686</v>
      </c>
      <c r="AO23" s="260">
        <f>IF(AN23&lt;Battery!$D$4,Battery!$F$4,FORECAST(AN23,Battery!$F$3:$F$7,Battery!$D$3:$D$7))</f>
        <v>0.99189185741825114</v>
      </c>
      <c r="AP23" s="263">
        <f>AO23*Battery!$E$3</f>
        <v>1579.0124856612624</v>
      </c>
      <c r="AQ23" s="40">
        <f t="shared" si="36"/>
        <v>6</v>
      </c>
      <c r="AR23" s="152">
        <f t="shared" si="37"/>
        <v>3499.6746735355609</v>
      </c>
      <c r="AS23" s="152">
        <f t="shared" si="49"/>
        <v>263.1687476102104</v>
      </c>
      <c r="AT23" s="152" t="b">
        <f t="shared" si="38"/>
        <v>0</v>
      </c>
      <c r="AU23" s="132">
        <f t="shared" ref="AU23:AU43" si="64">AN23-AS23</f>
        <v>320.11036464571646</v>
      </c>
      <c r="AV23" s="160">
        <v>0.99</v>
      </c>
      <c r="AW23" s="132">
        <f t="shared" si="50"/>
        <v>323.34380267244086</v>
      </c>
      <c r="AX23" s="253">
        <f>VLOOKUP($AX$7,'Solar Panels'!$G$6:$K$17,5,FALSE)</f>
        <v>1774.5</v>
      </c>
      <c r="AY23" s="40" t="b">
        <f t="shared" si="20"/>
        <v>1</v>
      </c>
      <c r="AZ23" s="229">
        <f t="shared" si="21"/>
        <v>323.34380267244086</v>
      </c>
      <c r="BA23" s="224">
        <f t="shared" si="22"/>
        <v>2037.6687476102104</v>
      </c>
      <c r="BB23" s="224">
        <f>BA23-AZ23</f>
        <v>1714.3249449377695</v>
      </c>
      <c r="BC23" s="224" t="b">
        <f t="shared" si="40"/>
        <v>1</v>
      </c>
      <c r="BD23" s="224">
        <f t="shared" si="23"/>
        <v>1940.062816034645</v>
      </c>
      <c r="BE23" s="224">
        <f t="shared" si="24"/>
        <v>12226.012485661262</v>
      </c>
      <c r="BF23" s="225">
        <f>BE23/AZ23</f>
        <v>37.811185445996195</v>
      </c>
      <c r="BG23" s="214">
        <f t="shared" si="3"/>
        <v>6</v>
      </c>
      <c r="BH23" s="222">
        <f t="shared" si="41"/>
        <v>31.811185445996195</v>
      </c>
      <c r="BJ23" s="40"/>
      <c r="BL23" s="1">
        <f t="shared" si="42"/>
        <v>0</v>
      </c>
      <c r="BM23" s="1">
        <f t="shared" si="43"/>
        <v>0</v>
      </c>
      <c r="BS23" s="16"/>
      <c r="BU23" s="22">
        <f t="shared" ref="BU23:DE23" si="65">IF(SIGN(BU$8-$K23*BU$7^2)*SIGN(BV$8-$K23*BV$7^2)=-1,INTERCEPT(BU$7:BV$7, BU$8:BV$8-$K23*(BU$7:BV$7)^2),0)</f>
        <v>0</v>
      </c>
      <c r="BV23" s="22">
        <f t="shared" si="65"/>
        <v>0</v>
      </c>
      <c r="BW23" s="22">
        <f t="shared" si="65"/>
        <v>0</v>
      </c>
      <c r="BX23" s="22">
        <f t="shared" si="65"/>
        <v>0</v>
      </c>
      <c r="BY23" s="22">
        <f t="shared" si="65"/>
        <v>0</v>
      </c>
      <c r="BZ23" s="22">
        <f t="shared" si="65"/>
        <v>0.97071790487578313</v>
      </c>
      <c r="CA23" s="22">
        <f t="shared" si="65"/>
        <v>0</v>
      </c>
      <c r="CB23" s="22">
        <f t="shared" si="65"/>
        <v>0</v>
      </c>
      <c r="CC23" s="22">
        <f t="shared" si="65"/>
        <v>0</v>
      </c>
      <c r="CD23" s="22">
        <f t="shared" si="65"/>
        <v>0</v>
      </c>
      <c r="CE23" s="22">
        <f t="shared" si="65"/>
        <v>0</v>
      </c>
      <c r="CF23" s="22">
        <f t="shared" si="65"/>
        <v>0</v>
      </c>
      <c r="CG23" s="22">
        <f t="shared" si="65"/>
        <v>0</v>
      </c>
      <c r="CH23" s="22">
        <f t="shared" si="65"/>
        <v>0</v>
      </c>
      <c r="CI23" s="22">
        <f t="shared" si="65"/>
        <v>0</v>
      </c>
      <c r="CJ23" s="22">
        <f t="shared" si="65"/>
        <v>0</v>
      </c>
      <c r="CK23" s="22">
        <f t="shared" si="65"/>
        <v>0</v>
      </c>
      <c r="CL23" s="22">
        <f t="shared" si="65"/>
        <v>0</v>
      </c>
      <c r="CM23" s="22">
        <f t="shared" si="65"/>
        <v>0</v>
      </c>
      <c r="CN23" s="22">
        <f t="shared" si="65"/>
        <v>0</v>
      </c>
      <c r="CO23" s="22">
        <f t="shared" si="65"/>
        <v>0</v>
      </c>
      <c r="CP23" s="22">
        <f t="shared" si="65"/>
        <v>0</v>
      </c>
      <c r="CQ23" s="22">
        <f t="shared" si="65"/>
        <v>0</v>
      </c>
      <c r="CR23" s="22">
        <f t="shared" si="65"/>
        <v>0</v>
      </c>
      <c r="CS23" s="22">
        <f t="shared" si="65"/>
        <v>0</v>
      </c>
      <c r="CT23" s="22">
        <f t="shared" si="65"/>
        <v>0</v>
      </c>
      <c r="CU23" s="22">
        <f t="shared" si="65"/>
        <v>0</v>
      </c>
      <c r="CV23" s="22">
        <f t="shared" si="65"/>
        <v>0</v>
      </c>
      <c r="CW23" s="22">
        <f t="shared" si="65"/>
        <v>0</v>
      </c>
      <c r="CX23" s="22">
        <f t="shared" si="65"/>
        <v>0</v>
      </c>
      <c r="CY23" s="22">
        <f t="shared" si="65"/>
        <v>0</v>
      </c>
      <c r="CZ23" s="22">
        <f t="shared" si="65"/>
        <v>0</v>
      </c>
      <c r="DA23" s="22">
        <f t="shared" si="65"/>
        <v>0</v>
      </c>
      <c r="DB23" s="22">
        <f t="shared" si="65"/>
        <v>0</v>
      </c>
      <c r="DC23" s="22">
        <f t="shared" si="65"/>
        <v>0</v>
      </c>
      <c r="DD23" s="22">
        <f t="shared" si="65"/>
        <v>0</v>
      </c>
      <c r="DE23" s="22">
        <f t="shared" si="65"/>
        <v>0</v>
      </c>
      <c r="DF23" s="22">
        <f t="shared" si="27"/>
        <v>0.97071790487578313</v>
      </c>
      <c r="DJ23" s="1"/>
      <c r="DK23" s="1"/>
      <c r="DL23" s="1"/>
      <c r="DM23" s="1"/>
      <c r="DN23" s="1"/>
      <c r="DO23" s="1"/>
    </row>
    <row r="24" spans="2:119" x14ac:dyDescent="0.25">
      <c r="B24" s="70">
        <f>resistance!J16</f>
        <v>3.0555555555555554</v>
      </c>
      <c r="C24" s="3">
        <f>resistance!I16</f>
        <v>11</v>
      </c>
      <c r="D24" s="16">
        <f>resistance!Z16</f>
        <v>93.609074519230774</v>
      </c>
      <c r="E24" s="16">
        <f>resistance!AA16</f>
        <v>10.401008279914532</v>
      </c>
      <c r="F24" s="16">
        <f>resistance!AB16</f>
        <v>0</v>
      </c>
      <c r="G24" s="16">
        <f>resistance!AC16</f>
        <v>104.01008279914531</v>
      </c>
      <c r="H24" s="126">
        <f t="shared" si="4"/>
        <v>317.80858633072177</v>
      </c>
      <c r="I24" s="16">
        <f t="shared" si="56"/>
        <v>109.48429768331086</v>
      </c>
      <c r="J24" s="4">
        <f t="shared" si="5"/>
        <v>3.0555555555555554</v>
      </c>
      <c r="K24" s="28">
        <f t="shared" si="60"/>
        <v>9.055134746604869E-2</v>
      </c>
      <c r="L24" s="27">
        <f t="shared" si="45"/>
        <v>0.99917572454878201</v>
      </c>
      <c r="M24" s="27">
        <f t="shared" si="52"/>
        <v>0.99917572454878201</v>
      </c>
      <c r="N24" s="16">
        <f t="shared" si="46"/>
        <v>509.67937545644014</v>
      </c>
      <c r="O24" s="16">
        <f t="shared" si="47"/>
        <v>8.4946562576073354</v>
      </c>
      <c r="P24" s="96">
        <f t="shared" si="29"/>
        <v>9.0402130483770507E-2</v>
      </c>
      <c r="Q24" s="96">
        <f t="shared" si="30"/>
        <v>9.0402130483770521E-2</v>
      </c>
      <c r="R24" s="27">
        <f t="shared" si="48"/>
        <v>0.17823680533301733</v>
      </c>
      <c r="S24" s="96">
        <f t="shared" si="6"/>
        <v>1.7823680533301734E-2</v>
      </c>
      <c r="T24" s="68">
        <f t="shared" si="31"/>
        <v>0.80657226070926824</v>
      </c>
      <c r="U24" s="27">
        <f t="shared" si="7"/>
        <v>3.0555555555555558</v>
      </c>
      <c r="V24" s="16">
        <f t="shared" si="8"/>
        <v>109.48429768331084</v>
      </c>
      <c r="W24" s="16">
        <f t="shared" si="9"/>
        <v>7.7709311556701035</v>
      </c>
      <c r="X24" s="122">
        <f t="shared" si="32"/>
        <v>334.53535403233872</v>
      </c>
      <c r="Y24" s="68">
        <f t="shared" si="10"/>
        <v>0.76624364767380493</v>
      </c>
      <c r="Z24" s="76">
        <f t="shared" si="33"/>
        <v>0.80657226070926835</v>
      </c>
      <c r="AA24" s="116">
        <f t="shared" si="11"/>
        <v>414.76178927621601</v>
      </c>
      <c r="AB24" s="40">
        <f t="shared" si="12"/>
        <v>509.67937545644014</v>
      </c>
      <c r="AC24" s="39">
        <f t="shared" si="13"/>
        <v>7.7709311556701035</v>
      </c>
      <c r="AD24" s="109">
        <v>0.97</v>
      </c>
      <c r="AE24" s="40">
        <f t="shared" si="14"/>
        <v>1529.0381263693205</v>
      </c>
      <c r="AF24" s="39">
        <f t="shared" si="15"/>
        <v>2.6704230775498634</v>
      </c>
      <c r="AG24" s="132">
        <f t="shared" si="16"/>
        <v>440.81389018622178</v>
      </c>
      <c r="AH24" s="148">
        <f t="shared" si="54"/>
        <v>0.86</v>
      </c>
      <c r="AI24" s="132">
        <f>AG24/AH24</f>
        <v>512.57429091421136</v>
      </c>
      <c r="AJ24" s="152">
        <f t="shared" si="57"/>
        <v>14.687326926524248</v>
      </c>
      <c r="AK24" s="152">
        <f t="shared" si="35"/>
        <v>34.899086367345667</v>
      </c>
      <c r="AL24" s="167">
        <v>0.99</v>
      </c>
      <c r="AM24" s="140">
        <f t="shared" si="17"/>
        <v>517.75180900425391</v>
      </c>
      <c r="AN24" s="132">
        <f t="shared" si="18"/>
        <v>667.64069789314283</v>
      </c>
      <c r="AO24" s="260">
        <f>IF(AN24&lt;Battery!$D$4,Battery!$F$4,FORECAST(AN24,Battery!$F$3:$F$7,Battery!$D$3:$D$7))</f>
        <v>0.99022758958568546</v>
      </c>
      <c r="AP24" s="263">
        <f>AO24*Battery!$E$3</f>
        <v>1576.3631044132444</v>
      </c>
      <c r="AQ24" s="40">
        <f t="shared" si="36"/>
        <v>5.4545454545454541</v>
      </c>
      <c r="AR24" s="152">
        <f t="shared" si="37"/>
        <v>3641.6765339625967</v>
      </c>
      <c r="AS24" s="152">
        <f t="shared" si="49"/>
        <v>288.99990247576147</v>
      </c>
      <c r="AT24" s="152" t="b">
        <f t="shared" si="38"/>
        <v>0</v>
      </c>
      <c r="AU24" s="132">
        <f t="shared" si="64"/>
        <v>378.64079541738136</v>
      </c>
      <c r="AV24" s="160">
        <v>0.99</v>
      </c>
      <c r="AW24" s="132">
        <f t="shared" si="50"/>
        <v>382.46544991654685</v>
      </c>
      <c r="AX24" s="253">
        <f>VLOOKUP($AX$7,'Solar Panels'!$G$6:$K$17,5,FALSE)</f>
        <v>1774.5</v>
      </c>
      <c r="AY24" s="40" t="b">
        <f t="shared" si="20"/>
        <v>1</v>
      </c>
      <c r="AZ24" s="229">
        <f t="shared" si="21"/>
        <v>382.46544991654685</v>
      </c>
      <c r="BA24" s="224">
        <f t="shared" si="22"/>
        <v>2063.4999024757617</v>
      </c>
      <c r="BB24" s="224">
        <f t="shared" si="39"/>
        <v>1681.034452559215</v>
      </c>
      <c r="BC24" s="224" t="b">
        <f t="shared" si="40"/>
        <v>1</v>
      </c>
      <c r="BD24" s="224">
        <f t="shared" si="23"/>
        <v>2086.1751813629826</v>
      </c>
      <c r="BE24" s="224">
        <f t="shared" si="24"/>
        <v>11255.454013504153</v>
      </c>
      <c r="BF24" s="225">
        <f t="shared" si="25"/>
        <v>29.428681769712977</v>
      </c>
      <c r="BG24" s="214">
        <f t="shared" si="3"/>
        <v>5.4545454545454541</v>
      </c>
      <c r="BH24" s="222">
        <f t="shared" si="41"/>
        <v>23.974136315167524</v>
      </c>
      <c r="BJ24" s="40"/>
      <c r="BL24" s="1">
        <f t="shared" si="42"/>
        <v>0</v>
      </c>
      <c r="BM24" s="1">
        <f t="shared" si="43"/>
        <v>0</v>
      </c>
      <c r="BS24" s="16"/>
      <c r="BU24" s="22">
        <f t="shared" ref="BU24:DE24" si="66">IF(SIGN(BU$8-$K24*BU$7^2)*SIGN(BV$8-$K24*BV$7^2)=-1,INTERCEPT(BU$7:BV$7, BU$8:BV$8-$K24*(BU$7:BV$7)^2),0)</f>
        <v>0</v>
      </c>
      <c r="BV24" s="22">
        <f t="shared" si="66"/>
        <v>0</v>
      </c>
      <c r="BW24" s="22">
        <f t="shared" si="66"/>
        <v>0</v>
      </c>
      <c r="BX24" s="22">
        <f t="shared" si="66"/>
        <v>0</v>
      </c>
      <c r="BY24" s="22">
        <f t="shared" si="66"/>
        <v>0</v>
      </c>
      <c r="BZ24" s="22">
        <f t="shared" si="66"/>
        <v>0.99917572454878201</v>
      </c>
      <c r="CA24" s="22">
        <f t="shared" si="66"/>
        <v>0</v>
      </c>
      <c r="CB24" s="22">
        <f t="shared" si="66"/>
        <v>0</v>
      </c>
      <c r="CC24" s="22">
        <f t="shared" si="66"/>
        <v>0</v>
      </c>
      <c r="CD24" s="22">
        <f t="shared" si="66"/>
        <v>0</v>
      </c>
      <c r="CE24" s="22">
        <f t="shared" si="66"/>
        <v>0</v>
      </c>
      <c r="CF24" s="22">
        <f t="shared" si="66"/>
        <v>0</v>
      </c>
      <c r="CG24" s="22">
        <f t="shared" si="66"/>
        <v>0</v>
      </c>
      <c r="CH24" s="22">
        <f t="shared" si="66"/>
        <v>0</v>
      </c>
      <c r="CI24" s="22">
        <f t="shared" si="66"/>
        <v>0</v>
      </c>
      <c r="CJ24" s="22">
        <f t="shared" si="66"/>
        <v>0</v>
      </c>
      <c r="CK24" s="22">
        <f t="shared" si="66"/>
        <v>0</v>
      </c>
      <c r="CL24" s="22">
        <f t="shared" si="66"/>
        <v>0</v>
      </c>
      <c r="CM24" s="22">
        <f t="shared" si="66"/>
        <v>0</v>
      </c>
      <c r="CN24" s="22">
        <f t="shared" si="66"/>
        <v>0</v>
      </c>
      <c r="CO24" s="22">
        <f t="shared" si="66"/>
        <v>0</v>
      </c>
      <c r="CP24" s="22">
        <f t="shared" si="66"/>
        <v>0</v>
      </c>
      <c r="CQ24" s="22">
        <f t="shared" si="66"/>
        <v>0</v>
      </c>
      <c r="CR24" s="22">
        <f t="shared" si="66"/>
        <v>0</v>
      </c>
      <c r="CS24" s="22">
        <f t="shared" si="66"/>
        <v>0</v>
      </c>
      <c r="CT24" s="22">
        <f t="shared" si="66"/>
        <v>0</v>
      </c>
      <c r="CU24" s="22">
        <f t="shared" si="66"/>
        <v>0</v>
      </c>
      <c r="CV24" s="22">
        <f t="shared" si="66"/>
        <v>0</v>
      </c>
      <c r="CW24" s="22">
        <f t="shared" si="66"/>
        <v>0</v>
      </c>
      <c r="CX24" s="22">
        <f t="shared" si="66"/>
        <v>0</v>
      </c>
      <c r="CY24" s="22">
        <f t="shared" si="66"/>
        <v>0</v>
      </c>
      <c r="CZ24" s="22">
        <f t="shared" si="66"/>
        <v>0</v>
      </c>
      <c r="DA24" s="22">
        <f t="shared" si="66"/>
        <v>0</v>
      </c>
      <c r="DB24" s="22">
        <f t="shared" si="66"/>
        <v>0</v>
      </c>
      <c r="DC24" s="22">
        <f t="shared" si="66"/>
        <v>0</v>
      </c>
      <c r="DD24" s="22">
        <f t="shared" si="66"/>
        <v>0</v>
      </c>
      <c r="DE24" s="22">
        <f t="shared" si="66"/>
        <v>0</v>
      </c>
      <c r="DF24" s="22">
        <f>SUM(BU24:DE24)</f>
        <v>0.99917572454878201</v>
      </c>
      <c r="DJ24" s="1"/>
      <c r="DK24" s="1"/>
      <c r="DL24" s="1"/>
      <c r="DM24" s="1"/>
      <c r="DN24" s="1"/>
      <c r="DO24" s="1"/>
    </row>
    <row r="25" spans="2:119" x14ac:dyDescent="0.25">
      <c r="B25" s="70">
        <f>resistance!J17</f>
        <v>3.333333333333333</v>
      </c>
      <c r="C25" s="3">
        <f>resistance!I17</f>
        <v>12</v>
      </c>
      <c r="D25" s="16">
        <f>resistance!Z17</f>
        <v>102.30434666666666</v>
      </c>
      <c r="E25" s="16">
        <f>resistance!AA17</f>
        <v>11.385662857142858</v>
      </c>
      <c r="F25" s="16">
        <f>resistance!AB17</f>
        <v>0</v>
      </c>
      <c r="G25" s="16">
        <f>resistance!AC17</f>
        <v>113.69000952380952</v>
      </c>
      <c r="H25" s="126">
        <f t="shared" si="4"/>
        <v>378.96669841269835</v>
      </c>
      <c r="I25" s="16">
        <f t="shared" si="56"/>
        <v>119.67369423558898</v>
      </c>
      <c r="J25" s="4">
        <f t="shared" si="5"/>
        <v>3.333333333333333</v>
      </c>
      <c r="K25" s="28">
        <f t="shared" si="60"/>
        <v>8.3169608331946865E-2</v>
      </c>
      <c r="L25" s="27">
        <f t="shared" si="45"/>
        <v>1.0249794037956186</v>
      </c>
      <c r="M25" s="27">
        <f t="shared" si="52"/>
        <v>1.0249794037956186</v>
      </c>
      <c r="N25" s="16">
        <f t="shared" si="46"/>
        <v>542.01631125295626</v>
      </c>
      <c r="O25" s="16">
        <f t="shared" si="47"/>
        <v>9.0336051875492718</v>
      </c>
      <c r="P25" s="96">
        <f t="shared" si="29"/>
        <v>8.7376558183616893E-2</v>
      </c>
      <c r="Q25" s="96">
        <f t="shared" si="30"/>
        <v>8.7376558183616893E-2</v>
      </c>
      <c r="R25" s="27">
        <f t="shared" si="48"/>
        <v>0.17474285542390072</v>
      </c>
      <c r="S25" s="96">
        <f t="shared" si="6"/>
        <v>1.7474285542390076E-2</v>
      </c>
      <c r="T25" s="68">
        <f t="shared" si="31"/>
        <v>0.81570058873351015</v>
      </c>
      <c r="U25" s="27">
        <f t="shared" si="7"/>
        <v>3.3333333333333335</v>
      </c>
      <c r="V25" s="16">
        <f t="shared" si="8"/>
        <v>119.673694235589</v>
      </c>
      <c r="W25" s="16">
        <f t="shared" si="9"/>
        <v>8.6160000513259813</v>
      </c>
      <c r="X25" s="122">
        <f t="shared" si="32"/>
        <v>398.91231411862987</v>
      </c>
      <c r="Y25" s="68">
        <f t="shared" si="10"/>
        <v>0.77491555929683431</v>
      </c>
      <c r="Z25" s="76">
        <f t="shared" si="33"/>
        <v>0.81570058873351003</v>
      </c>
      <c r="AA25" s="116">
        <f t="shared" si="11"/>
        <v>489.04257227274701</v>
      </c>
      <c r="AB25" s="40">
        <f t="shared" si="12"/>
        <v>542.01631125295626</v>
      </c>
      <c r="AC25" s="39">
        <f t="shared" si="13"/>
        <v>8.6160000513259813</v>
      </c>
      <c r="AD25" s="109">
        <v>0.97</v>
      </c>
      <c r="AE25" s="40">
        <f t="shared" si="14"/>
        <v>1626.0489337588688</v>
      </c>
      <c r="AF25" s="39">
        <f t="shared" si="15"/>
        <v>2.9608247599058353</v>
      </c>
      <c r="AG25" s="132">
        <f t="shared" si="16"/>
        <v>519.76041266101288</v>
      </c>
      <c r="AH25" s="148">
        <f t="shared" si="54"/>
        <v>0.86</v>
      </c>
      <c r="AI25" s="132">
        <f t="shared" ref="AI25:AI46" si="67">AG25/AH25</f>
        <v>604.37257286164288</v>
      </c>
      <c r="AJ25" s="152">
        <f t="shared" si="57"/>
        <v>16.284536179482092</v>
      </c>
      <c r="AK25" s="152">
        <f t="shared" si="35"/>
        <v>37.113281348665595</v>
      </c>
      <c r="AL25" s="167">
        <v>0.99</v>
      </c>
      <c r="AM25" s="140">
        <f t="shared" si="17"/>
        <v>610.47734632489176</v>
      </c>
      <c r="AN25" s="132">
        <f t="shared" si="18"/>
        <v>760.36623521378067</v>
      </c>
      <c r="AO25" s="260">
        <f>IF(AN25&lt;Battery!$D$4,Battery!$F$4,FORECAST(AN25,Battery!$F$3:$F$7,Battery!$D$3:$D$7))</f>
        <v>0.98839831945219436</v>
      </c>
      <c r="AP25" s="263">
        <f>AO25*Battery!$E$3</f>
        <v>1573.4510527023374</v>
      </c>
      <c r="AQ25" s="40">
        <f t="shared" si="36"/>
        <v>5</v>
      </c>
      <c r="AR25" s="152">
        <f t="shared" si="37"/>
        <v>3801.8311760689035</v>
      </c>
      <c r="AS25" s="152">
        <f>AP25/AQ25</f>
        <v>314.69021054046749</v>
      </c>
      <c r="AT25" s="152" t="b">
        <f t="shared" si="38"/>
        <v>0</v>
      </c>
      <c r="AU25" s="132">
        <f t="shared" si="64"/>
        <v>445.67602467331318</v>
      </c>
      <c r="AV25" s="160">
        <v>0.99</v>
      </c>
      <c r="AW25" s="132">
        <f t="shared" si="50"/>
        <v>450.17780270031636</v>
      </c>
      <c r="AX25" s="253">
        <f>VLOOKUP($AX$7,'Solar Panels'!$G$6:$K$17,5,FALSE)</f>
        <v>1774.5</v>
      </c>
      <c r="AY25" s="40" t="b">
        <f>IF(AX25&gt;AW25,TRUE,FALSE)</f>
        <v>1</v>
      </c>
      <c r="AZ25" s="229">
        <f t="shared" si="21"/>
        <v>450.17780270031636</v>
      </c>
      <c r="BA25" s="224">
        <f t="shared" si="22"/>
        <v>2089.1902105404674</v>
      </c>
      <c r="BB25" s="224">
        <f t="shared" si="39"/>
        <v>1639.0124078401511</v>
      </c>
      <c r="BC25" s="224" t="b">
        <f>IF(BB25&gt;0,TRUE,BB25)</f>
        <v>1</v>
      </c>
      <c r="BD25" s="224">
        <f t="shared" si="23"/>
        <v>2250.8890135015818</v>
      </c>
      <c r="BE25" s="224">
        <f t="shared" si="24"/>
        <v>10445.951052702338</v>
      </c>
      <c r="BF25" s="225">
        <f>BE25/AZ25</f>
        <v>23.204056241876089</v>
      </c>
      <c r="BG25" s="214">
        <f t="shared" si="3"/>
        <v>5</v>
      </c>
      <c r="BH25" s="222">
        <f t="shared" si="41"/>
        <v>18.204056241876089</v>
      </c>
      <c r="BJ25" s="40"/>
      <c r="BL25" s="1">
        <f t="shared" si="42"/>
        <v>0</v>
      </c>
      <c r="BM25" s="1">
        <f t="shared" si="43"/>
        <v>0</v>
      </c>
      <c r="BS25" s="16"/>
      <c r="BU25" s="22">
        <f t="shared" ref="BU25:DE25" si="68">IF(SIGN(BU$8-$K25*BU$7^2)*SIGN(BV$8-$K25*BV$7^2)=-1,INTERCEPT(BU$7:BV$7, BU$8:BV$8-$K25*(BU$7:BV$7)^2),0)</f>
        <v>0</v>
      </c>
      <c r="BV25" s="22">
        <f t="shared" si="68"/>
        <v>0</v>
      </c>
      <c r="BW25" s="22">
        <f t="shared" si="68"/>
        <v>0</v>
      </c>
      <c r="BX25" s="22">
        <f t="shared" si="68"/>
        <v>0</v>
      </c>
      <c r="BY25" s="22">
        <f t="shared" si="68"/>
        <v>0</v>
      </c>
      <c r="BZ25" s="22">
        <f t="shared" si="68"/>
        <v>1.0249794037956186</v>
      </c>
      <c r="CA25" s="22">
        <f t="shared" si="68"/>
        <v>0</v>
      </c>
      <c r="CB25" s="22">
        <f t="shared" si="68"/>
        <v>0</v>
      </c>
      <c r="CC25" s="22">
        <f t="shared" si="68"/>
        <v>0</v>
      </c>
      <c r="CD25" s="22">
        <f t="shared" si="68"/>
        <v>0</v>
      </c>
      <c r="CE25" s="22">
        <f t="shared" si="68"/>
        <v>0</v>
      </c>
      <c r="CF25" s="22">
        <f t="shared" si="68"/>
        <v>0</v>
      </c>
      <c r="CG25" s="22">
        <f t="shared" si="68"/>
        <v>0</v>
      </c>
      <c r="CH25" s="22">
        <f t="shared" si="68"/>
        <v>0</v>
      </c>
      <c r="CI25" s="22">
        <f t="shared" si="68"/>
        <v>0</v>
      </c>
      <c r="CJ25" s="22">
        <f t="shared" si="68"/>
        <v>0</v>
      </c>
      <c r="CK25" s="22">
        <f t="shared" si="68"/>
        <v>0</v>
      </c>
      <c r="CL25" s="22">
        <f t="shared" si="68"/>
        <v>0</v>
      </c>
      <c r="CM25" s="22">
        <f t="shared" si="68"/>
        <v>0</v>
      </c>
      <c r="CN25" s="22">
        <f t="shared" si="68"/>
        <v>0</v>
      </c>
      <c r="CO25" s="22">
        <f t="shared" si="68"/>
        <v>0</v>
      </c>
      <c r="CP25" s="22">
        <f t="shared" si="68"/>
        <v>0</v>
      </c>
      <c r="CQ25" s="22">
        <f t="shared" si="68"/>
        <v>0</v>
      </c>
      <c r="CR25" s="22">
        <f t="shared" si="68"/>
        <v>0</v>
      </c>
      <c r="CS25" s="22">
        <f t="shared" si="68"/>
        <v>0</v>
      </c>
      <c r="CT25" s="22">
        <f t="shared" si="68"/>
        <v>0</v>
      </c>
      <c r="CU25" s="22">
        <f t="shared" si="68"/>
        <v>0</v>
      </c>
      <c r="CV25" s="22">
        <f t="shared" si="68"/>
        <v>0</v>
      </c>
      <c r="CW25" s="22">
        <f t="shared" si="68"/>
        <v>0</v>
      </c>
      <c r="CX25" s="22">
        <f t="shared" si="68"/>
        <v>0</v>
      </c>
      <c r="CY25" s="22">
        <f t="shared" si="68"/>
        <v>0</v>
      </c>
      <c r="CZ25" s="22">
        <f t="shared" si="68"/>
        <v>0</v>
      </c>
      <c r="DA25" s="22">
        <f t="shared" si="68"/>
        <v>0</v>
      </c>
      <c r="DB25" s="22">
        <f t="shared" si="68"/>
        <v>0</v>
      </c>
      <c r="DC25" s="22">
        <f t="shared" si="68"/>
        <v>0</v>
      </c>
      <c r="DD25" s="22">
        <f t="shared" si="68"/>
        <v>0</v>
      </c>
      <c r="DE25" s="22">
        <f t="shared" si="68"/>
        <v>0</v>
      </c>
      <c r="DF25" s="22">
        <f>SUM(BU25:DE25)</f>
        <v>1.0249794037956186</v>
      </c>
      <c r="DJ25" s="1"/>
      <c r="DK25" s="1"/>
      <c r="DL25" s="1"/>
      <c r="DM25" s="1"/>
      <c r="DN25" s="1"/>
      <c r="DO25" s="1"/>
    </row>
    <row r="26" spans="2:119" x14ac:dyDescent="0.25">
      <c r="B26" s="70">
        <f>resistance!J18</f>
        <v>3.6111111111111112</v>
      </c>
      <c r="C26" s="3">
        <f>resistance!I18</f>
        <v>13</v>
      </c>
      <c r="D26" s="16">
        <f>resistance!Z18</f>
        <v>120.46823555555558</v>
      </c>
      <c r="E26" s="16">
        <f>resistance!AA18</f>
        <v>14.368103333333327</v>
      </c>
      <c r="F26" s="16">
        <f>resistance!AB18</f>
        <v>0</v>
      </c>
      <c r="G26" s="16">
        <f>resistance!AC18</f>
        <v>134.83633888888892</v>
      </c>
      <c r="H26" s="126">
        <f t="shared" si="4"/>
        <v>486.90900154320997</v>
      </c>
      <c r="I26" s="16">
        <f t="shared" si="56"/>
        <v>141.93298830409361</v>
      </c>
      <c r="J26" s="4">
        <f t="shared" si="5"/>
        <v>3.6111111111111112</v>
      </c>
      <c r="K26" s="28">
        <f t="shared" si="60"/>
        <v>8.4047556700850234E-2</v>
      </c>
      <c r="L26" s="27">
        <f t="shared" si="45"/>
        <v>1.0217748995041249</v>
      </c>
      <c r="M26" s="27">
        <f t="shared" si="52"/>
        <v>1.0217748995041251</v>
      </c>
      <c r="N26" s="16">
        <f t="shared" si="46"/>
        <v>589.02587266915157</v>
      </c>
      <c r="O26" s="16">
        <f t="shared" si="47"/>
        <v>9.817097877819192</v>
      </c>
      <c r="P26" s="96">
        <f t="shared" si="29"/>
        <v>8.7747661736004887E-2</v>
      </c>
      <c r="Q26" s="96">
        <f t="shared" si="30"/>
        <v>8.7747661736004914E-2</v>
      </c>
      <c r="R26" s="27">
        <f t="shared" si="48"/>
        <v>0.17517676166536825</v>
      </c>
      <c r="S26" s="96">
        <f t="shared" si="6"/>
        <v>1.7517676166536825E-2</v>
      </c>
      <c r="T26" s="68">
        <f t="shared" si="31"/>
        <v>0.81458127034982009</v>
      </c>
      <c r="U26" s="27">
        <f t="shared" si="7"/>
        <v>3.6111111111111103</v>
      </c>
      <c r="V26" s="16">
        <f t="shared" si="8"/>
        <v>141.93298830409356</v>
      </c>
      <c r="W26" s="16">
        <f t="shared" si="9"/>
        <v>10.200625154189343</v>
      </c>
      <c r="X26" s="122">
        <f t="shared" si="32"/>
        <v>512.53579109811562</v>
      </c>
      <c r="Y26" s="68">
        <f t="shared" si="10"/>
        <v>0.77385220683232958</v>
      </c>
      <c r="Z26" s="76">
        <f t="shared" si="33"/>
        <v>0.8145812703498202</v>
      </c>
      <c r="AA26" s="116">
        <f t="shared" si="11"/>
        <v>629.20154164360815</v>
      </c>
      <c r="AB26" s="40">
        <f t="shared" si="12"/>
        <v>589.02587266915157</v>
      </c>
      <c r="AC26" s="39">
        <f t="shared" si="13"/>
        <v>10.200625154189343</v>
      </c>
      <c r="AD26" s="109">
        <v>0.97</v>
      </c>
      <c r="AE26" s="40">
        <f t="shared" si="14"/>
        <v>1767.0776180074547</v>
      </c>
      <c r="AF26" s="39">
        <f t="shared" si="15"/>
        <v>3.5053694687935884</v>
      </c>
      <c r="AG26" s="132">
        <f t="shared" si="16"/>
        <v>668.72307539973224</v>
      </c>
      <c r="AH26" s="148">
        <f t="shared" si="54"/>
        <v>0.86</v>
      </c>
      <c r="AI26" s="132">
        <f t="shared" si="67"/>
        <v>777.58497139503754</v>
      </c>
      <c r="AJ26" s="152">
        <f t="shared" si="57"/>
        <v>19.279532078364735</v>
      </c>
      <c r="AK26" s="152">
        <f t="shared" si="35"/>
        <v>40.332149568486379</v>
      </c>
      <c r="AL26" s="167">
        <v>0.99</v>
      </c>
      <c r="AM26" s="140">
        <f t="shared" si="17"/>
        <v>785.43936504549242</v>
      </c>
      <c r="AN26" s="132">
        <f t="shared" si="18"/>
        <v>935.32825393438134</v>
      </c>
      <c r="AO26" s="260">
        <f>IF(AN26&lt;Battery!$D$4,Battery!$F$4,FORECAST(AN26,Battery!$F$3:$F$7,Battery!$D$3:$D$7))</f>
        <v>0.98494670510097015</v>
      </c>
      <c r="AP26" s="263">
        <f>AO26*Battery!$E$3</f>
        <v>1567.9563587843365</v>
      </c>
      <c r="AQ26" s="40">
        <f t="shared" si="36"/>
        <v>4.615384615384615</v>
      </c>
      <c r="AR26" s="152">
        <f t="shared" si="37"/>
        <v>4316.8996335432985</v>
      </c>
      <c r="AS26" s="152">
        <f t="shared" si="49"/>
        <v>339.72387773660625</v>
      </c>
      <c r="AT26" s="152" t="b">
        <f t="shared" si="38"/>
        <v>0</v>
      </c>
      <c r="AU26" s="132">
        <f t="shared" si="64"/>
        <v>595.60437619777508</v>
      </c>
      <c r="AV26" s="160">
        <v>0.99</v>
      </c>
      <c r="AW26" s="132">
        <f t="shared" si="50"/>
        <v>601.62058201795469</v>
      </c>
      <c r="AX26" s="253">
        <f>VLOOKUP($AX$7,'Solar Panels'!$G$6:$K$17,5,FALSE)</f>
        <v>1774.5</v>
      </c>
      <c r="AY26" s="40" t="b">
        <f t="shared" si="20"/>
        <v>1</v>
      </c>
      <c r="AZ26" s="229">
        <f t="shared" si="21"/>
        <v>601.62058201795469</v>
      </c>
      <c r="BA26" s="224">
        <f t="shared" si="22"/>
        <v>2114.2238777366065</v>
      </c>
      <c r="BB26" s="224">
        <f t="shared" si="39"/>
        <v>1512.6032957186517</v>
      </c>
      <c r="BC26" s="224" t="b">
        <f t="shared" si="40"/>
        <v>1</v>
      </c>
      <c r="BD26" s="224">
        <f t="shared" si="23"/>
        <v>2776.710378544406</v>
      </c>
      <c r="BE26" s="224">
        <f t="shared" si="24"/>
        <v>9757.9563587843368</v>
      </c>
      <c r="BF26" s="225">
        <f t="shared" si="25"/>
        <v>16.219452343292872</v>
      </c>
      <c r="BG26" s="214">
        <f t="shared" si="3"/>
        <v>4.615384615384615</v>
      </c>
      <c r="BH26" s="222">
        <f t="shared" si="41"/>
        <v>11.604067727908257</v>
      </c>
      <c r="BJ26" s="40"/>
      <c r="BL26" s="1">
        <f t="shared" si="42"/>
        <v>0</v>
      </c>
      <c r="BM26" s="1">
        <f t="shared" si="43"/>
        <v>0</v>
      </c>
      <c r="BS26" s="16"/>
      <c r="BU26" s="22">
        <f t="shared" ref="BU26:DE26" si="69">IF(SIGN(BU$8-$K26*BU$7^2)*SIGN(BV$8-$K26*BV$7^2)=-1,INTERCEPT(BU$7:BV$7, BU$8:BV$8-$K26*(BU$7:BV$7)^2),0)</f>
        <v>0</v>
      </c>
      <c r="BV26" s="22">
        <f t="shared" si="69"/>
        <v>0</v>
      </c>
      <c r="BW26" s="22">
        <f t="shared" si="69"/>
        <v>0</v>
      </c>
      <c r="BX26" s="22">
        <f t="shared" si="69"/>
        <v>0</v>
      </c>
      <c r="BY26" s="22">
        <f t="shared" si="69"/>
        <v>0</v>
      </c>
      <c r="BZ26" s="22">
        <f t="shared" si="69"/>
        <v>1.0217748995041249</v>
      </c>
      <c r="CA26" s="22">
        <f t="shared" si="69"/>
        <v>0</v>
      </c>
      <c r="CB26" s="22">
        <f t="shared" si="69"/>
        <v>0</v>
      </c>
      <c r="CC26" s="22">
        <f t="shared" si="69"/>
        <v>0</v>
      </c>
      <c r="CD26" s="22">
        <f t="shared" si="69"/>
        <v>0</v>
      </c>
      <c r="CE26" s="22">
        <f t="shared" si="69"/>
        <v>0</v>
      </c>
      <c r="CF26" s="22">
        <f t="shared" si="69"/>
        <v>0</v>
      </c>
      <c r="CG26" s="22">
        <f t="shared" si="69"/>
        <v>0</v>
      </c>
      <c r="CH26" s="22">
        <f t="shared" si="69"/>
        <v>0</v>
      </c>
      <c r="CI26" s="22">
        <f t="shared" si="69"/>
        <v>0</v>
      </c>
      <c r="CJ26" s="22">
        <f t="shared" si="69"/>
        <v>0</v>
      </c>
      <c r="CK26" s="22">
        <f t="shared" si="69"/>
        <v>0</v>
      </c>
      <c r="CL26" s="22">
        <f t="shared" si="69"/>
        <v>0</v>
      </c>
      <c r="CM26" s="22">
        <f t="shared" si="69"/>
        <v>0</v>
      </c>
      <c r="CN26" s="22">
        <f t="shared" si="69"/>
        <v>0</v>
      </c>
      <c r="CO26" s="22">
        <f t="shared" si="69"/>
        <v>0</v>
      </c>
      <c r="CP26" s="22">
        <f t="shared" si="69"/>
        <v>0</v>
      </c>
      <c r="CQ26" s="22">
        <f t="shared" si="69"/>
        <v>0</v>
      </c>
      <c r="CR26" s="22">
        <f t="shared" si="69"/>
        <v>0</v>
      </c>
      <c r="CS26" s="22">
        <f t="shared" si="69"/>
        <v>0</v>
      </c>
      <c r="CT26" s="22">
        <f t="shared" si="69"/>
        <v>0</v>
      </c>
      <c r="CU26" s="22">
        <f t="shared" si="69"/>
        <v>0</v>
      </c>
      <c r="CV26" s="22">
        <f t="shared" si="69"/>
        <v>0</v>
      </c>
      <c r="CW26" s="22">
        <f t="shared" si="69"/>
        <v>0</v>
      </c>
      <c r="CX26" s="22">
        <f t="shared" si="69"/>
        <v>0</v>
      </c>
      <c r="CY26" s="22">
        <f t="shared" si="69"/>
        <v>0</v>
      </c>
      <c r="CZ26" s="22">
        <f t="shared" si="69"/>
        <v>0</v>
      </c>
      <c r="DA26" s="22">
        <f t="shared" si="69"/>
        <v>0</v>
      </c>
      <c r="DB26" s="22">
        <f t="shared" si="69"/>
        <v>0</v>
      </c>
      <c r="DC26" s="22">
        <f t="shared" si="69"/>
        <v>0</v>
      </c>
      <c r="DD26" s="22">
        <f t="shared" si="69"/>
        <v>0</v>
      </c>
      <c r="DE26" s="22">
        <f t="shared" si="69"/>
        <v>0</v>
      </c>
      <c r="DF26" s="22">
        <f t="shared" ref="DF26:DF31" si="70">SUM(BU26:DE26)</f>
        <v>1.0217748995041249</v>
      </c>
      <c r="DJ26" s="1"/>
      <c r="DK26" s="1"/>
      <c r="DL26" s="1"/>
      <c r="DM26" s="1"/>
      <c r="DN26" s="1"/>
      <c r="DO26" s="1"/>
    </row>
    <row r="27" spans="2:119" x14ac:dyDescent="0.25">
      <c r="B27" s="70">
        <f>resistance!J19</f>
        <v>3.8888888888888888</v>
      </c>
      <c r="C27" s="3">
        <f>resistance!I19</f>
        <v>14</v>
      </c>
      <c r="D27" s="16">
        <f>resistance!Z19</f>
        <v>138.62347138387486</v>
      </c>
      <c r="E27" s="16">
        <f>resistance!AA19</f>
        <v>17.350241813076593</v>
      </c>
      <c r="F27" s="16">
        <f>resistance!AB19</f>
        <v>0</v>
      </c>
      <c r="G27" s="16">
        <f>resistance!AC19</f>
        <v>155.97371319695145</v>
      </c>
      <c r="H27" s="126">
        <f t="shared" si="4"/>
        <v>606.5644402103668</v>
      </c>
      <c r="I27" s="16">
        <f t="shared" si="56"/>
        <v>164.18285599679101</v>
      </c>
      <c r="J27" s="4">
        <f t="shared" si="5"/>
        <v>3.8888888888888888</v>
      </c>
      <c r="K27" s="28">
        <f t="shared" si="60"/>
        <v>8.383013884863845E-2</v>
      </c>
      <c r="L27" s="27">
        <f t="shared" si="45"/>
        <v>1.0225649081205603</v>
      </c>
      <c r="M27" s="27">
        <f t="shared" si="52"/>
        <v>1.0225649081205606</v>
      </c>
      <c r="N27" s="16">
        <f t="shared" si="46"/>
        <v>633.84548306026113</v>
      </c>
      <c r="O27" s="16">
        <f t="shared" si="47"/>
        <v>10.564091384337685</v>
      </c>
      <c r="P27" s="96">
        <f t="shared" si="29"/>
        <v>8.7656061827873166E-2</v>
      </c>
      <c r="Q27" s="96">
        <f t="shared" si="30"/>
        <v>8.7656061827873194E-2</v>
      </c>
      <c r="R27" s="27">
        <f t="shared" si="48"/>
        <v>0.17506979046536256</v>
      </c>
      <c r="S27" s="96">
        <f t="shared" si="6"/>
        <v>1.7506979046536256E-2</v>
      </c>
      <c r="T27" s="68">
        <f t="shared" si="31"/>
        <v>0.81485767303603207</v>
      </c>
      <c r="U27" s="27">
        <f t="shared" si="7"/>
        <v>3.8888888888888884</v>
      </c>
      <c r="V27" s="16">
        <f t="shared" si="8"/>
        <v>164.18285599679095</v>
      </c>
      <c r="W27" s="16">
        <f t="shared" si="9"/>
        <v>11.804825285637344</v>
      </c>
      <c r="X27" s="122">
        <f t="shared" si="32"/>
        <v>638.48888443196483</v>
      </c>
      <c r="Y27" s="68">
        <f t="shared" si="10"/>
        <v>0.77411478938423073</v>
      </c>
      <c r="Z27" s="76">
        <f t="shared" si="33"/>
        <v>0.81485767303603196</v>
      </c>
      <c r="AA27" s="116">
        <f t="shared" si="11"/>
        <v>783.55878033651607</v>
      </c>
      <c r="AB27" s="40">
        <f t="shared" si="12"/>
        <v>633.84548306026113</v>
      </c>
      <c r="AC27" s="39">
        <f t="shared" si="13"/>
        <v>11.804825285637344</v>
      </c>
      <c r="AD27" s="109">
        <v>0.97</v>
      </c>
      <c r="AE27" s="40">
        <f t="shared" si="14"/>
        <v>1901.5364491807834</v>
      </c>
      <c r="AF27" s="39">
        <f t="shared" si="15"/>
        <v>4.0566409916279529</v>
      </c>
      <c r="AG27" s="132">
        <f t="shared" si="16"/>
        <v>832.77583200820061</v>
      </c>
      <c r="AH27" s="148">
        <f t="shared" si="54"/>
        <v>0.86</v>
      </c>
      <c r="AI27" s="132">
        <f t="shared" si="67"/>
        <v>968.34399070721008</v>
      </c>
      <c r="AJ27" s="152">
        <f t="shared" si="57"/>
        <v>22.311525453953742</v>
      </c>
      <c r="AK27" s="152">
        <f t="shared" si="35"/>
        <v>43.401066086031044</v>
      </c>
      <c r="AL27" s="167">
        <v>0.99</v>
      </c>
      <c r="AM27" s="140">
        <f t="shared" si="17"/>
        <v>978.12524313859603</v>
      </c>
      <c r="AN27" s="132">
        <f t="shared" si="18"/>
        <v>1128.0141320274849</v>
      </c>
      <c r="AO27" s="260">
        <f>IF(AN27&lt;Battery!$D$4,Battery!$F$4,FORECAST(AN27,Battery!$F$3:$F$7,Battery!$D$3:$D$7))</f>
        <v>0.98114543813475796</v>
      </c>
      <c r="AP27" s="263">
        <f>AO27*Battery!$E$3</f>
        <v>1561.9050458754839</v>
      </c>
      <c r="AQ27" s="40">
        <f t="shared" si="36"/>
        <v>4.2857142857142856</v>
      </c>
      <c r="AR27" s="152">
        <f t="shared" si="37"/>
        <v>4834.346280117792</v>
      </c>
      <c r="AS27" s="152">
        <f t="shared" si="49"/>
        <v>364.44451070427959</v>
      </c>
      <c r="AT27" s="152" t="b">
        <f t="shared" si="38"/>
        <v>0</v>
      </c>
      <c r="AU27" s="132">
        <f t="shared" si="64"/>
        <v>763.56962132320541</v>
      </c>
      <c r="AV27" s="160">
        <v>0.99</v>
      </c>
      <c r="AW27" s="132">
        <f t="shared" si="50"/>
        <v>771.28244578101555</v>
      </c>
      <c r="AX27" s="253">
        <f>VLOOKUP($AX$7,'Solar Panels'!$G$6:$K$17,5,FALSE)</f>
        <v>1774.5</v>
      </c>
      <c r="AY27" s="40" t="b">
        <f t="shared" si="20"/>
        <v>1</v>
      </c>
      <c r="AZ27" s="229">
        <f t="shared" si="21"/>
        <v>771.28244578101555</v>
      </c>
      <c r="BA27" s="224">
        <f t="shared" si="22"/>
        <v>2138.9445107042798</v>
      </c>
      <c r="BB27" s="224">
        <f t="shared" si="39"/>
        <v>1367.6620649232641</v>
      </c>
      <c r="BC27" s="224" t="b">
        <f t="shared" si="40"/>
        <v>1</v>
      </c>
      <c r="BD27" s="224">
        <f t="shared" si="23"/>
        <v>3305.4961962043521</v>
      </c>
      <c r="BE27" s="224">
        <f t="shared" si="24"/>
        <v>9166.9050458754846</v>
      </c>
      <c r="BF27" s="225">
        <f t="shared" si="25"/>
        <v>11.885276393906384</v>
      </c>
      <c r="BG27" s="214">
        <f t="shared" si="3"/>
        <v>4.2857142857142856</v>
      </c>
      <c r="BH27" s="222">
        <f>BF27-BG27</f>
        <v>7.5995621081920985</v>
      </c>
      <c r="BJ27" s="40"/>
      <c r="BL27" s="1">
        <f t="shared" si="42"/>
        <v>0</v>
      </c>
      <c r="BM27" s="1">
        <f t="shared" si="43"/>
        <v>0</v>
      </c>
      <c r="BS27" s="16"/>
      <c r="BU27" s="22">
        <f t="shared" ref="BU27:DE27" si="71">IF(SIGN(BU$8-$K27*BU$7^2)*SIGN(BV$8-$K27*BV$7^2)=-1,INTERCEPT(BU$7:BV$7, BU$8:BV$8-$K27*(BU$7:BV$7)^2),0)</f>
        <v>0</v>
      </c>
      <c r="BV27" s="22">
        <f t="shared" si="71"/>
        <v>0</v>
      </c>
      <c r="BW27" s="22">
        <f t="shared" si="71"/>
        <v>0</v>
      </c>
      <c r="BX27" s="22">
        <f t="shared" si="71"/>
        <v>0</v>
      </c>
      <c r="BY27" s="22">
        <f t="shared" si="71"/>
        <v>0</v>
      </c>
      <c r="BZ27" s="22">
        <f t="shared" si="71"/>
        <v>1.0225649081205603</v>
      </c>
      <c r="CA27" s="22">
        <f t="shared" si="71"/>
        <v>0</v>
      </c>
      <c r="CB27" s="22">
        <f t="shared" si="71"/>
        <v>0</v>
      </c>
      <c r="CC27" s="22">
        <f t="shared" si="71"/>
        <v>0</v>
      </c>
      <c r="CD27" s="22">
        <f t="shared" si="71"/>
        <v>0</v>
      </c>
      <c r="CE27" s="22">
        <f t="shared" si="71"/>
        <v>0</v>
      </c>
      <c r="CF27" s="22">
        <f t="shared" si="71"/>
        <v>0</v>
      </c>
      <c r="CG27" s="22">
        <f t="shared" si="71"/>
        <v>0</v>
      </c>
      <c r="CH27" s="22">
        <f t="shared" si="71"/>
        <v>0</v>
      </c>
      <c r="CI27" s="22">
        <f t="shared" si="71"/>
        <v>0</v>
      </c>
      <c r="CJ27" s="22">
        <f t="shared" si="71"/>
        <v>0</v>
      </c>
      <c r="CK27" s="22">
        <f t="shared" si="71"/>
        <v>0</v>
      </c>
      <c r="CL27" s="22">
        <f t="shared" si="71"/>
        <v>0</v>
      </c>
      <c r="CM27" s="22">
        <f t="shared" si="71"/>
        <v>0</v>
      </c>
      <c r="CN27" s="22">
        <f t="shared" si="71"/>
        <v>0</v>
      </c>
      <c r="CO27" s="22">
        <f t="shared" si="71"/>
        <v>0</v>
      </c>
      <c r="CP27" s="22">
        <f t="shared" si="71"/>
        <v>0</v>
      </c>
      <c r="CQ27" s="22">
        <f t="shared" si="71"/>
        <v>0</v>
      </c>
      <c r="CR27" s="22">
        <f t="shared" si="71"/>
        <v>0</v>
      </c>
      <c r="CS27" s="22">
        <f t="shared" si="71"/>
        <v>0</v>
      </c>
      <c r="CT27" s="22">
        <f t="shared" si="71"/>
        <v>0</v>
      </c>
      <c r="CU27" s="22">
        <f t="shared" si="71"/>
        <v>0</v>
      </c>
      <c r="CV27" s="22">
        <f t="shared" si="71"/>
        <v>0</v>
      </c>
      <c r="CW27" s="22">
        <f t="shared" si="71"/>
        <v>0</v>
      </c>
      <c r="CX27" s="22">
        <f t="shared" si="71"/>
        <v>0</v>
      </c>
      <c r="CY27" s="22">
        <f t="shared" si="71"/>
        <v>0</v>
      </c>
      <c r="CZ27" s="22">
        <f t="shared" si="71"/>
        <v>0</v>
      </c>
      <c r="DA27" s="22">
        <f t="shared" si="71"/>
        <v>0</v>
      </c>
      <c r="DB27" s="22">
        <f t="shared" si="71"/>
        <v>0</v>
      </c>
      <c r="DC27" s="22">
        <f t="shared" si="71"/>
        <v>0</v>
      </c>
      <c r="DD27" s="22">
        <f t="shared" si="71"/>
        <v>0</v>
      </c>
      <c r="DE27" s="22">
        <f t="shared" si="71"/>
        <v>0</v>
      </c>
      <c r="DF27" s="22">
        <f t="shared" si="70"/>
        <v>1.0225649081205603</v>
      </c>
      <c r="DJ27" s="1"/>
      <c r="DK27" s="1"/>
      <c r="DL27" s="1"/>
      <c r="DM27" s="1"/>
      <c r="DN27" s="1"/>
      <c r="DO27" s="1"/>
    </row>
    <row r="28" spans="2:119" x14ac:dyDescent="0.25">
      <c r="B28" s="70">
        <f>resistance!J20</f>
        <v>4.166666666666667</v>
      </c>
      <c r="C28" s="3">
        <f>resistance!I20</f>
        <v>15</v>
      </c>
      <c r="D28" s="16">
        <f>resistance!Z20</f>
        <v>154.08327884476535</v>
      </c>
      <c r="E28" s="16">
        <f>resistance!AA20</f>
        <v>20.238308399518644</v>
      </c>
      <c r="F28" s="16">
        <f>resistance!AB20</f>
        <v>0</v>
      </c>
      <c r="G28" s="16">
        <f>resistance!AC20</f>
        <v>174.32158724428399</v>
      </c>
      <c r="H28" s="126">
        <f t="shared" si="4"/>
        <v>726.3399468511833</v>
      </c>
      <c r="I28" s="16">
        <f t="shared" si="56"/>
        <v>183.49640762556211</v>
      </c>
      <c r="J28" s="4">
        <f t="shared" si="5"/>
        <v>4.166666666666667</v>
      </c>
      <c r="K28" s="28">
        <f t="shared" si="60"/>
        <v>8.1615660383944535E-2</v>
      </c>
      <c r="L28" s="27">
        <f t="shared" si="45"/>
        <v>1.0307465394233517</v>
      </c>
      <c r="M28" s="27">
        <f t="shared" si="52"/>
        <v>1.0307465394233517</v>
      </c>
      <c r="N28" s="16">
        <f t="shared" si="46"/>
        <v>673.72959101366428</v>
      </c>
      <c r="O28" s="16">
        <f t="shared" si="47"/>
        <v>11.228826516894404</v>
      </c>
      <c r="P28" s="96">
        <f t="shared" si="29"/>
        <v>8.671161396201861E-2</v>
      </c>
      <c r="Q28" s="96">
        <f t="shared" si="30"/>
        <v>8.6711613962018597E-2</v>
      </c>
      <c r="R28" s="27">
        <f t="shared" si="48"/>
        <v>0.17396195581614995</v>
      </c>
      <c r="S28" s="96">
        <f t="shared" si="6"/>
        <v>1.7396195581614999E-2</v>
      </c>
      <c r="T28" s="68">
        <f t="shared" si="31"/>
        <v>0.81770189676691518</v>
      </c>
      <c r="U28" s="27">
        <f t="shared" si="7"/>
        <v>4.166666666666667</v>
      </c>
      <c r="V28" s="16">
        <f>P28*$E$5*(N28/60)^2*$N$3^4</f>
        <v>183.49640762556214</v>
      </c>
      <c r="W28" s="16">
        <f t="shared" si="9"/>
        <v>13.252782757698979</v>
      </c>
      <c r="X28" s="122">
        <f t="shared" si="32"/>
        <v>764.56836510650885</v>
      </c>
      <c r="Y28" s="68">
        <f t="shared" si="10"/>
        <v>0.77681680192856895</v>
      </c>
      <c r="Z28" s="76">
        <f t="shared" si="33"/>
        <v>0.81770189676691496</v>
      </c>
      <c r="AA28" s="116">
        <f t="shared" si="11"/>
        <v>935.02090202983618</v>
      </c>
      <c r="AB28" s="40">
        <f t="shared" si="12"/>
        <v>673.72959101366428</v>
      </c>
      <c r="AC28" s="39">
        <f t="shared" si="13"/>
        <v>13.252782757698979</v>
      </c>
      <c r="AD28" s="109">
        <v>0.97</v>
      </c>
      <c r="AE28" s="40">
        <f t="shared" si="14"/>
        <v>2021.1887730409928</v>
      </c>
      <c r="AF28" s="39">
        <f t="shared" si="15"/>
        <v>4.5542208789343572</v>
      </c>
      <c r="AG28" s="132">
        <f t="shared" si="16"/>
        <v>993.75162294594145</v>
      </c>
      <c r="AH28" s="147">
        <v>0.88</v>
      </c>
      <c r="AI28" s="132">
        <f t="shared" si="67"/>
        <v>1129.2632078931154</v>
      </c>
      <c r="AJ28" s="152">
        <f>AF28/$AK$7</f>
        <v>25.048214834138964</v>
      </c>
      <c r="AK28" s="152">
        <f t="shared" si="35"/>
        <v>45.083580421627836</v>
      </c>
      <c r="AL28" s="167">
        <v>0.99</v>
      </c>
      <c r="AM28" s="140">
        <f t="shared" si="17"/>
        <v>1140.6699069627427</v>
      </c>
      <c r="AN28" s="132">
        <f t="shared" si="18"/>
        <v>1290.5587958516317</v>
      </c>
      <c r="AO28" s="260">
        <f>IF(AN28&lt;Battery!$D$4,Battery!$F$4,FORECAST(AN28,Battery!$F$3:$F$7,Battery!$D$3:$D$7))</f>
        <v>0.97793879078081836</v>
      </c>
      <c r="AP28" s="263">
        <f>AO28*Battery!$E$3</f>
        <v>1556.8003198198005</v>
      </c>
      <c r="AQ28" s="40">
        <f t="shared" si="36"/>
        <v>4</v>
      </c>
      <c r="AR28" s="152">
        <f t="shared" si="37"/>
        <v>5162.2351834065266</v>
      </c>
      <c r="AS28" s="152">
        <f t="shared" si="49"/>
        <v>389.20007995495013</v>
      </c>
      <c r="AT28" s="152" t="b">
        <f t="shared" si="38"/>
        <v>0</v>
      </c>
      <c r="AU28" s="132">
        <f t="shared" si="64"/>
        <v>901.35871589668159</v>
      </c>
      <c r="AV28" s="160">
        <v>0.99</v>
      </c>
      <c r="AW28" s="132">
        <f t="shared" si="50"/>
        <v>910.4633493905875</v>
      </c>
      <c r="AX28" s="253">
        <f>VLOOKUP($AX$7,'Solar Panels'!$G$6:$K$17,5,FALSE)</f>
        <v>1774.5</v>
      </c>
      <c r="AY28" s="40" t="b">
        <f t="shared" si="20"/>
        <v>1</v>
      </c>
      <c r="AZ28" s="229">
        <f t="shared" si="21"/>
        <v>910.4633493905875</v>
      </c>
      <c r="BA28" s="224">
        <f t="shared" si="22"/>
        <v>2163.7000799549501</v>
      </c>
      <c r="BB28" s="224">
        <f t="shared" si="39"/>
        <v>1253.2367305643625</v>
      </c>
      <c r="BC28" s="224" t="b">
        <f t="shared" si="40"/>
        <v>1</v>
      </c>
      <c r="BD28" s="224">
        <f t="shared" si="23"/>
        <v>3641.85339756235</v>
      </c>
      <c r="BE28" s="224">
        <f t="shared" si="24"/>
        <v>8654.8003198198003</v>
      </c>
      <c r="BF28" s="225">
        <f t="shared" si="25"/>
        <v>9.5059293991491618</v>
      </c>
      <c r="BG28" s="214">
        <f t="shared" si="3"/>
        <v>4</v>
      </c>
      <c r="BH28" s="222">
        <f>BF28-BG28</f>
        <v>5.5059293991491618</v>
      </c>
      <c r="BJ28" s="40"/>
      <c r="BL28" s="1">
        <f t="shared" si="42"/>
        <v>0</v>
      </c>
      <c r="BM28" s="1">
        <f t="shared" si="43"/>
        <v>0</v>
      </c>
      <c r="BS28" s="16"/>
      <c r="BU28" s="22">
        <f t="shared" ref="BU28:DE28" si="72">IF(SIGN(BU$8-$K28*BU$7^2)*SIGN(BV$8-$K28*BV$7^2)=-1,INTERCEPT(BU$7:BV$7, BU$8:BV$8-$K28*(BU$7:BV$7)^2),0)</f>
        <v>0</v>
      </c>
      <c r="BV28" s="22">
        <f t="shared" si="72"/>
        <v>0</v>
      </c>
      <c r="BW28" s="22">
        <f t="shared" si="72"/>
        <v>0</v>
      </c>
      <c r="BX28" s="22">
        <f t="shared" si="72"/>
        <v>0</v>
      </c>
      <c r="BY28" s="22">
        <f t="shared" si="72"/>
        <v>0</v>
      </c>
      <c r="BZ28" s="22">
        <f t="shared" si="72"/>
        <v>1.0307465394233517</v>
      </c>
      <c r="CA28" s="22">
        <f t="shared" si="72"/>
        <v>0</v>
      </c>
      <c r="CB28" s="22">
        <f t="shared" si="72"/>
        <v>0</v>
      </c>
      <c r="CC28" s="22">
        <f t="shared" si="72"/>
        <v>0</v>
      </c>
      <c r="CD28" s="22">
        <f t="shared" si="72"/>
        <v>0</v>
      </c>
      <c r="CE28" s="22">
        <f t="shared" si="72"/>
        <v>0</v>
      </c>
      <c r="CF28" s="22">
        <f t="shared" si="72"/>
        <v>0</v>
      </c>
      <c r="CG28" s="22">
        <f t="shared" si="72"/>
        <v>0</v>
      </c>
      <c r="CH28" s="22">
        <f t="shared" si="72"/>
        <v>0</v>
      </c>
      <c r="CI28" s="22">
        <f t="shared" si="72"/>
        <v>0</v>
      </c>
      <c r="CJ28" s="22">
        <f t="shared" si="72"/>
        <v>0</v>
      </c>
      <c r="CK28" s="22">
        <f t="shared" si="72"/>
        <v>0</v>
      </c>
      <c r="CL28" s="22">
        <f t="shared" si="72"/>
        <v>0</v>
      </c>
      <c r="CM28" s="22">
        <f t="shared" si="72"/>
        <v>0</v>
      </c>
      <c r="CN28" s="22">
        <f t="shared" si="72"/>
        <v>0</v>
      </c>
      <c r="CO28" s="22">
        <f t="shared" si="72"/>
        <v>0</v>
      </c>
      <c r="CP28" s="22">
        <f t="shared" si="72"/>
        <v>0</v>
      </c>
      <c r="CQ28" s="22">
        <f t="shared" si="72"/>
        <v>0</v>
      </c>
      <c r="CR28" s="22">
        <f t="shared" si="72"/>
        <v>0</v>
      </c>
      <c r="CS28" s="22">
        <f t="shared" si="72"/>
        <v>0</v>
      </c>
      <c r="CT28" s="22">
        <f t="shared" si="72"/>
        <v>0</v>
      </c>
      <c r="CU28" s="22">
        <f t="shared" si="72"/>
        <v>0</v>
      </c>
      <c r="CV28" s="22">
        <f t="shared" si="72"/>
        <v>0</v>
      </c>
      <c r="CW28" s="22">
        <f t="shared" si="72"/>
        <v>0</v>
      </c>
      <c r="CX28" s="22">
        <f t="shared" si="72"/>
        <v>0</v>
      </c>
      <c r="CY28" s="22">
        <f t="shared" si="72"/>
        <v>0</v>
      </c>
      <c r="CZ28" s="22">
        <f t="shared" si="72"/>
        <v>0</v>
      </c>
      <c r="DA28" s="22">
        <f t="shared" si="72"/>
        <v>0</v>
      </c>
      <c r="DB28" s="22">
        <f t="shared" si="72"/>
        <v>0</v>
      </c>
      <c r="DC28" s="22">
        <f t="shared" si="72"/>
        <v>0</v>
      </c>
      <c r="DD28" s="22">
        <f t="shared" si="72"/>
        <v>0</v>
      </c>
      <c r="DE28" s="22">
        <f t="shared" si="72"/>
        <v>0</v>
      </c>
      <c r="DF28" s="22">
        <f t="shared" si="70"/>
        <v>1.0307465394233517</v>
      </c>
      <c r="DJ28" s="1"/>
      <c r="DK28" s="1"/>
      <c r="DL28" s="1"/>
      <c r="DM28" s="1"/>
      <c r="DN28" s="1"/>
      <c r="DO28" s="1"/>
    </row>
    <row r="29" spans="2:119" x14ac:dyDescent="0.25">
      <c r="B29" s="86">
        <f>resistance!J21</f>
        <v>4.4444444444444446</v>
      </c>
      <c r="C29" s="87">
        <f>resistance!I21</f>
        <v>16</v>
      </c>
      <c r="D29" s="89">
        <f>resistance!Z21</f>
        <v>169.54745271291398</v>
      </c>
      <c r="E29" s="89">
        <f>resistance!AA21</f>
        <v>23.128041310209682</v>
      </c>
      <c r="F29" s="89">
        <f>resistance!AB21</f>
        <v>0</v>
      </c>
      <c r="G29" s="89">
        <f>resistance!AC21</f>
        <v>192.67549402312366</v>
      </c>
      <c r="H29" s="127">
        <f t="shared" si="4"/>
        <v>856.33552899166079</v>
      </c>
      <c r="I29" s="89">
        <f>G29/(1-$E$6/100)</f>
        <v>202.81630949802491</v>
      </c>
      <c r="J29" s="88">
        <f t="shared" si="5"/>
        <v>4.4444444444444446</v>
      </c>
      <c r="K29" s="90">
        <f t="shared" si="60"/>
        <v>7.9285060403330901E-2</v>
      </c>
      <c r="L29" s="91">
        <f t="shared" si="45"/>
        <v>1.0396318331351084</v>
      </c>
      <c r="M29" s="91">
        <f t="shared" si="52"/>
        <v>1.0396318331351084</v>
      </c>
      <c r="N29" s="89">
        <f t="shared" si="46"/>
        <v>712.50294299566292</v>
      </c>
      <c r="O29" s="89">
        <f t="shared" si="47"/>
        <v>11.875049049927716</v>
      </c>
      <c r="P29" s="97">
        <f t="shared" si="29"/>
        <v>8.5694016604269549E-2</v>
      </c>
      <c r="Q29" s="97">
        <f t="shared" si="30"/>
        <v>8.5694016604269563E-2</v>
      </c>
      <c r="R29" s="91">
        <f t="shared" si="48"/>
        <v>0.17275884168425837</v>
      </c>
      <c r="S29" s="97">
        <f t="shared" si="6"/>
        <v>1.7275884168425838E-2</v>
      </c>
      <c r="T29" s="92">
        <f t="shared" si="31"/>
        <v>0.8207481574240979</v>
      </c>
      <c r="U29" s="91">
        <f t="shared" si="7"/>
        <v>4.4444444444444438</v>
      </c>
      <c r="V29" s="89">
        <f t="shared" si="8"/>
        <v>202.81630949802485</v>
      </c>
      <c r="W29" s="89">
        <f t="shared" si="9"/>
        <v>14.719571275938161</v>
      </c>
      <c r="X29" s="123">
        <f t="shared" si="32"/>
        <v>901.40581999122139</v>
      </c>
      <c r="Y29" s="92">
        <f t="shared" si="10"/>
        <v>0.77971074955289321</v>
      </c>
      <c r="Z29" s="93">
        <f t="shared" si="33"/>
        <v>0.82074815742409768</v>
      </c>
      <c r="AA29" s="117">
        <f t="shared" si="11"/>
        <v>1098.2733398028772</v>
      </c>
      <c r="AB29" s="94">
        <f t="shared" si="12"/>
        <v>712.50294299566292</v>
      </c>
      <c r="AC29" s="95">
        <f t="shared" si="13"/>
        <v>14.719571275938161</v>
      </c>
      <c r="AD29" s="110">
        <v>0.97</v>
      </c>
      <c r="AE29" s="94">
        <f t="shared" si="14"/>
        <v>2137.5088289869886</v>
      </c>
      <c r="AF29" s="95">
        <f t="shared" si="15"/>
        <v>5.0582719161299519</v>
      </c>
      <c r="AG29" s="133">
        <f t="shared" si="16"/>
        <v>1167.2583056678466</v>
      </c>
      <c r="AH29" s="149">
        <f t="shared" si="54"/>
        <v>0.88</v>
      </c>
      <c r="AI29" s="133">
        <f t="shared" si="67"/>
        <v>1326.4298928043711</v>
      </c>
      <c r="AJ29" s="155">
        <f t="shared" si="57"/>
        <v>27.820495538714734</v>
      </c>
      <c r="AK29" s="155">
        <f t="shared" si="35"/>
        <v>47.678154796291246</v>
      </c>
      <c r="AL29" s="169">
        <v>0.99</v>
      </c>
      <c r="AM29" s="141">
        <f t="shared" si="17"/>
        <v>1339.8281745498698</v>
      </c>
      <c r="AN29" s="133">
        <f t="shared" si="18"/>
        <v>1489.7170634387587</v>
      </c>
      <c r="AO29" s="261">
        <f>IF(AN29&lt;Battery!$D$4,Battery!$F$4,FORECAST(AN29,Battery!$F$3:$F$7,Battery!$D$3:$D$7))</f>
        <v>0.97400983785951933</v>
      </c>
      <c r="AP29" s="264">
        <f>AO29*Battery!$E$3</f>
        <v>1550.5457410853262</v>
      </c>
      <c r="AQ29" s="94">
        <f t="shared" si="36"/>
        <v>3.75</v>
      </c>
      <c r="AR29" s="155">
        <f t="shared" si="37"/>
        <v>5586.4389878953452</v>
      </c>
      <c r="AS29" s="155">
        <f t="shared" si="49"/>
        <v>413.4788642894203</v>
      </c>
      <c r="AT29" s="155" t="b">
        <f t="shared" si="38"/>
        <v>0</v>
      </c>
      <c r="AU29" s="133">
        <f t="shared" si="64"/>
        <v>1076.2381991493385</v>
      </c>
      <c r="AV29" s="162">
        <v>0.99</v>
      </c>
      <c r="AW29" s="133">
        <f t="shared" si="50"/>
        <v>1087.1092920700389</v>
      </c>
      <c r="AX29" s="255">
        <f>VLOOKUP($AX$7,'Solar Panels'!$G$6:$K$17,5,FALSE)</f>
        <v>1774.5</v>
      </c>
      <c r="AY29" s="94" t="b">
        <f t="shared" si="20"/>
        <v>1</v>
      </c>
      <c r="AZ29" s="230">
        <f t="shared" si="21"/>
        <v>1087.1092920700389</v>
      </c>
      <c r="BA29" s="226">
        <f t="shared" si="22"/>
        <v>2187.9788642894205</v>
      </c>
      <c r="BB29" s="226">
        <f t="shared" si="39"/>
        <v>1100.8695722193816</v>
      </c>
      <c r="BC29" s="226" t="b">
        <f t="shared" si="40"/>
        <v>1</v>
      </c>
      <c r="BD29" s="226">
        <f t="shared" si="23"/>
        <v>4076.6598452626458</v>
      </c>
      <c r="BE29" s="226">
        <f t="shared" si="24"/>
        <v>8204.9207410853269</v>
      </c>
      <c r="BF29" s="227">
        <f t="shared" si="25"/>
        <v>7.5474662951889391</v>
      </c>
      <c r="BG29" s="231">
        <f t="shared" si="3"/>
        <v>3.75</v>
      </c>
      <c r="BH29" s="222">
        <f t="shared" si="41"/>
        <v>3.7974662951889391</v>
      </c>
      <c r="BJ29" s="40"/>
      <c r="BL29" s="1">
        <f t="shared" si="42"/>
        <v>0</v>
      </c>
      <c r="BM29" s="1">
        <f t="shared" si="43"/>
        <v>0</v>
      </c>
      <c r="BS29" s="16"/>
      <c r="BU29" s="22">
        <f t="shared" ref="BU29:DE29" si="73">IF(SIGN(BU$8-$K29*BU$7^2)*SIGN(BV$8-$K29*BV$7^2)=-1,INTERCEPT(BU$7:BV$7, BU$8:BV$8-$K29*(BU$7:BV$7)^2),0)</f>
        <v>0</v>
      </c>
      <c r="BV29" s="22">
        <f t="shared" si="73"/>
        <v>0</v>
      </c>
      <c r="BW29" s="22">
        <f t="shared" si="73"/>
        <v>0</v>
      </c>
      <c r="BX29" s="22">
        <f t="shared" si="73"/>
        <v>0</v>
      </c>
      <c r="BY29" s="22">
        <f t="shared" si="73"/>
        <v>0</v>
      </c>
      <c r="BZ29" s="22">
        <f t="shared" si="73"/>
        <v>1.0396318331351084</v>
      </c>
      <c r="CA29" s="22">
        <f t="shared" si="73"/>
        <v>0</v>
      </c>
      <c r="CB29" s="22">
        <f t="shared" si="73"/>
        <v>0</v>
      </c>
      <c r="CC29" s="22">
        <f t="shared" si="73"/>
        <v>0</v>
      </c>
      <c r="CD29" s="22">
        <f t="shared" si="73"/>
        <v>0</v>
      </c>
      <c r="CE29" s="22">
        <f t="shared" si="73"/>
        <v>0</v>
      </c>
      <c r="CF29" s="22">
        <f t="shared" si="73"/>
        <v>0</v>
      </c>
      <c r="CG29" s="22">
        <f t="shared" si="73"/>
        <v>0</v>
      </c>
      <c r="CH29" s="22">
        <f t="shared" si="73"/>
        <v>0</v>
      </c>
      <c r="CI29" s="22">
        <f t="shared" si="73"/>
        <v>0</v>
      </c>
      <c r="CJ29" s="22">
        <f t="shared" si="73"/>
        <v>0</v>
      </c>
      <c r="CK29" s="22">
        <f t="shared" si="73"/>
        <v>0</v>
      </c>
      <c r="CL29" s="22">
        <f t="shared" si="73"/>
        <v>0</v>
      </c>
      <c r="CM29" s="22">
        <f t="shared" si="73"/>
        <v>0</v>
      </c>
      <c r="CN29" s="22">
        <f t="shared" si="73"/>
        <v>0</v>
      </c>
      <c r="CO29" s="22">
        <f t="shared" si="73"/>
        <v>0</v>
      </c>
      <c r="CP29" s="22">
        <f t="shared" si="73"/>
        <v>0</v>
      </c>
      <c r="CQ29" s="22">
        <f t="shared" si="73"/>
        <v>0</v>
      </c>
      <c r="CR29" s="22">
        <f t="shared" si="73"/>
        <v>0</v>
      </c>
      <c r="CS29" s="22">
        <f t="shared" si="73"/>
        <v>0</v>
      </c>
      <c r="CT29" s="22">
        <f t="shared" si="73"/>
        <v>0</v>
      </c>
      <c r="CU29" s="22">
        <f t="shared" si="73"/>
        <v>0</v>
      </c>
      <c r="CV29" s="22">
        <f t="shared" si="73"/>
        <v>0</v>
      </c>
      <c r="CW29" s="22">
        <f t="shared" si="73"/>
        <v>0</v>
      </c>
      <c r="CX29" s="22">
        <f t="shared" si="73"/>
        <v>0</v>
      </c>
      <c r="CY29" s="22">
        <f t="shared" si="73"/>
        <v>0</v>
      </c>
      <c r="CZ29" s="22">
        <f t="shared" si="73"/>
        <v>0</v>
      </c>
      <c r="DA29" s="22">
        <f t="shared" si="73"/>
        <v>0</v>
      </c>
      <c r="DB29" s="22">
        <f t="shared" si="73"/>
        <v>0</v>
      </c>
      <c r="DC29" s="22">
        <f t="shared" si="73"/>
        <v>0</v>
      </c>
      <c r="DD29" s="22">
        <f t="shared" si="73"/>
        <v>0</v>
      </c>
      <c r="DE29" s="22">
        <f t="shared" si="73"/>
        <v>0</v>
      </c>
      <c r="DF29" s="22">
        <f t="shared" si="70"/>
        <v>1.0396318331351084</v>
      </c>
      <c r="DJ29" s="1"/>
      <c r="DK29" s="1"/>
      <c r="DL29" s="1"/>
      <c r="DM29" s="1"/>
      <c r="DN29" s="1"/>
      <c r="DO29" s="1"/>
    </row>
    <row r="30" spans="2:119" x14ac:dyDescent="0.25">
      <c r="B30" s="70">
        <f>resistance!J22</f>
        <v>4.7222222222222223</v>
      </c>
      <c r="C30" s="3">
        <f>resistance!I22</f>
        <v>17</v>
      </c>
      <c r="D30" s="16">
        <f>resistance!Z22</f>
        <v>185.50344281677442</v>
      </c>
      <c r="E30" s="16">
        <f>resistance!AA22</f>
        <v>26.205462924946108</v>
      </c>
      <c r="F30" s="16">
        <f>resistance!AB22</f>
        <v>0</v>
      </c>
      <c r="G30" s="16">
        <f>resistance!AC22</f>
        <v>211.70890574172054</v>
      </c>
      <c r="H30" s="126">
        <f t="shared" si="4"/>
        <v>999.73649933590264</v>
      </c>
      <c r="I30" s="16">
        <f t="shared" si="56"/>
        <v>222.85147972812689</v>
      </c>
      <c r="J30" s="4">
        <f t="shared" si="5"/>
        <v>4.7222222222222223</v>
      </c>
      <c r="K30" s="28">
        <f t="shared" si="60"/>
        <v>7.7169578861871105E-2</v>
      </c>
      <c r="L30" s="27">
        <f t="shared" si="45"/>
        <v>1.0479524280809367</v>
      </c>
      <c r="M30" s="27">
        <f t="shared" si="52"/>
        <v>1.0479524280809367</v>
      </c>
      <c r="N30" s="16">
        <f t="shared" si="46"/>
        <v>751.02363041259321</v>
      </c>
      <c r="O30" s="16">
        <f t="shared" si="47"/>
        <v>12.517060506876554</v>
      </c>
      <c r="P30" s="96">
        <f t="shared" si="29"/>
        <v>8.4747962680954317E-2</v>
      </c>
      <c r="Q30" s="96">
        <f t="shared" si="30"/>
        <v>8.4747962680954303E-2</v>
      </c>
      <c r="R30" s="27">
        <f t="shared" si="48"/>
        <v>0.17163219064830826</v>
      </c>
      <c r="S30" s="96">
        <f t="shared" si="6"/>
        <v>1.7163219064830825E-2</v>
      </c>
      <c r="T30" s="68">
        <f t="shared" si="31"/>
        <v>0.82355426543307875</v>
      </c>
      <c r="U30" s="27">
        <f t="shared" si="7"/>
        <v>4.7222222222222223</v>
      </c>
      <c r="V30" s="16">
        <f t="shared" si="8"/>
        <v>222.85147972812695</v>
      </c>
      <c r="W30" s="16">
        <f t="shared" si="9"/>
        <v>16.247535775722461</v>
      </c>
      <c r="X30" s="122">
        <f t="shared" si="32"/>
        <v>1052.3542098272662</v>
      </c>
      <c r="Y30" s="68">
        <f t="shared" si="10"/>
        <v>0.78237655216142477</v>
      </c>
      <c r="Z30" s="76">
        <f t="shared" si="33"/>
        <v>0.82355426543307897</v>
      </c>
      <c r="AA30" s="116">
        <f t="shared" si="11"/>
        <v>1277.8201194475864</v>
      </c>
      <c r="AB30" s="40">
        <f t="shared" si="12"/>
        <v>751.02363041259321</v>
      </c>
      <c r="AC30" s="39">
        <f t="shared" si="13"/>
        <v>16.247535775722461</v>
      </c>
      <c r="AD30" s="109">
        <v>0.97</v>
      </c>
      <c r="AE30" s="40">
        <f t="shared" si="14"/>
        <v>2253.0708912377795</v>
      </c>
      <c r="AF30" s="39">
        <f t="shared" si="15"/>
        <v>5.5833456273960342</v>
      </c>
      <c r="AG30" s="132">
        <f t="shared" si="16"/>
        <v>1358.0828137395965</v>
      </c>
      <c r="AH30" s="148">
        <f>AH29</f>
        <v>0.88</v>
      </c>
      <c r="AI30" s="132">
        <f t="shared" si="67"/>
        <v>1543.2759247040869</v>
      </c>
      <c r="AJ30" s="152">
        <f t="shared" si="57"/>
        <v>30.708400950678186</v>
      </c>
      <c r="AK30" s="152">
        <f t="shared" si="35"/>
        <v>50.255821759745658</v>
      </c>
      <c r="AL30" s="167">
        <v>0.99</v>
      </c>
      <c r="AM30" s="140">
        <f t="shared" si="17"/>
        <v>1558.8645704081687</v>
      </c>
      <c r="AN30" s="132">
        <f t="shared" si="18"/>
        <v>1708.7534592970576</v>
      </c>
      <c r="AO30" s="260">
        <f>IF(AN30&lt;Battery!$D$4,Battery!$F$4,FORECAST(AN30,Battery!$F$3:$F$7,Battery!$D$3:$D$7))</f>
        <v>0.96968873335401939</v>
      </c>
      <c r="AP30" s="263">
        <f>AO30*Battery!$E$3</f>
        <v>1543.6668884009307</v>
      </c>
      <c r="AQ30" s="40">
        <f t="shared" si="36"/>
        <v>3.5294117647058822</v>
      </c>
      <c r="AR30" s="152">
        <f t="shared" si="37"/>
        <v>6030.8945622249094</v>
      </c>
      <c r="AS30" s="152">
        <f t="shared" si="49"/>
        <v>437.37228504693036</v>
      </c>
      <c r="AT30" s="152" t="b">
        <f t="shared" si="38"/>
        <v>0</v>
      </c>
      <c r="AU30" s="132">
        <f t="shared" si="64"/>
        <v>1271.3811742501273</v>
      </c>
      <c r="AV30" s="160">
        <v>0.99</v>
      </c>
      <c r="AW30" s="132">
        <f t="shared" si="50"/>
        <v>1284.223408333462</v>
      </c>
      <c r="AX30" s="253">
        <f>VLOOKUP($AX$7,'Solar Panels'!$G$6:$K$17,5,FALSE)</f>
        <v>1774.5</v>
      </c>
      <c r="AY30" s="40" t="b">
        <f t="shared" si="20"/>
        <v>1</v>
      </c>
      <c r="AZ30" s="229">
        <f t="shared" si="21"/>
        <v>1284.223408333462</v>
      </c>
      <c r="BA30" s="224">
        <f t="shared" si="22"/>
        <v>2211.8722850469303</v>
      </c>
      <c r="BB30" s="224">
        <f t="shared" si="39"/>
        <v>927.64887671346833</v>
      </c>
      <c r="BC30" s="224" t="b">
        <f t="shared" si="40"/>
        <v>1</v>
      </c>
      <c r="BD30" s="224">
        <f t="shared" si="23"/>
        <v>4532.5532058828067</v>
      </c>
      <c r="BE30" s="224">
        <f t="shared" si="24"/>
        <v>7806.6080648715188</v>
      </c>
      <c r="BF30" s="225">
        <f t="shared" si="25"/>
        <v>6.0788551386103151</v>
      </c>
      <c r="BG30" s="214">
        <f t="shared" si="3"/>
        <v>3.5294117647058822</v>
      </c>
      <c r="BH30" s="222">
        <f t="shared" si="41"/>
        <v>2.5494433739044329</v>
      </c>
      <c r="BJ30" s="40"/>
      <c r="BL30" s="1">
        <f t="shared" si="42"/>
        <v>16.171580132253467</v>
      </c>
      <c r="BM30" s="1">
        <f t="shared" si="43"/>
        <v>0</v>
      </c>
      <c r="BS30" s="16"/>
      <c r="BU30" s="22">
        <f t="shared" ref="BU30:DE30" si="74">IF(SIGN(BU$8-$K30*BU$7^2)*SIGN(BV$8-$K30*BV$7^2)=-1,INTERCEPT(BU$7:BV$7, BU$8:BV$8-$K30*(BU$7:BV$7)^2),0)</f>
        <v>0</v>
      </c>
      <c r="BV30" s="22">
        <f t="shared" si="74"/>
        <v>0</v>
      </c>
      <c r="BW30" s="22">
        <f t="shared" si="74"/>
        <v>0</v>
      </c>
      <c r="BX30" s="22">
        <f t="shared" si="74"/>
        <v>0</v>
      </c>
      <c r="BY30" s="22">
        <f t="shared" si="74"/>
        <v>0</v>
      </c>
      <c r="BZ30" s="22">
        <f t="shared" si="74"/>
        <v>1.0479524280809367</v>
      </c>
      <c r="CA30" s="22">
        <f t="shared" si="74"/>
        <v>0</v>
      </c>
      <c r="CB30" s="22">
        <f t="shared" si="74"/>
        <v>0</v>
      </c>
      <c r="CC30" s="22">
        <f t="shared" si="74"/>
        <v>0</v>
      </c>
      <c r="CD30" s="22">
        <f t="shared" si="74"/>
        <v>0</v>
      </c>
      <c r="CE30" s="22">
        <f t="shared" si="74"/>
        <v>0</v>
      </c>
      <c r="CF30" s="22">
        <f t="shared" si="74"/>
        <v>0</v>
      </c>
      <c r="CG30" s="22">
        <f t="shared" si="74"/>
        <v>0</v>
      </c>
      <c r="CH30" s="22">
        <f t="shared" si="74"/>
        <v>0</v>
      </c>
      <c r="CI30" s="22">
        <f t="shared" si="74"/>
        <v>0</v>
      </c>
      <c r="CJ30" s="22">
        <f t="shared" si="74"/>
        <v>0</v>
      </c>
      <c r="CK30" s="22">
        <f t="shared" si="74"/>
        <v>0</v>
      </c>
      <c r="CL30" s="22">
        <f t="shared" si="74"/>
        <v>0</v>
      </c>
      <c r="CM30" s="22">
        <f t="shared" si="74"/>
        <v>0</v>
      </c>
      <c r="CN30" s="22">
        <f t="shared" si="74"/>
        <v>0</v>
      </c>
      <c r="CO30" s="22">
        <f t="shared" si="74"/>
        <v>0</v>
      </c>
      <c r="CP30" s="22">
        <f t="shared" si="74"/>
        <v>0</v>
      </c>
      <c r="CQ30" s="22">
        <f t="shared" si="74"/>
        <v>0</v>
      </c>
      <c r="CR30" s="22">
        <f t="shared" si="74"/>
        <v>0</v>
      </c>
      <c r="CS30" s="22">
        <f t="shared" si="74"/>
        <v>0</v>
      </c>
      <c r="CT30" s="22">
        <f t="shared" si="74"/>
        <v>0</v>
      </c>
      <c r="CU30" s="22">
        <f t="shared" si="74"/>
        <v>0</v>
      </c>
      <c r="CV30" s="22">
        <f t="shared" si="74"/>
        <v>0</v>
      </c>
      <c r="CW30" s="22">
        <f t="shared" si="74"/>
        <v>0</v>
      </c>
      <c r="CX30" s="22">
        <f t="shared" si="74"/>
        <v>0</v>
      </c>
      <c r="CY30" s="22">
        <f t="shared" si="74"/>
        <v>0</v>
      </c>
      <c r="CZ30" s="22">
        <f t="shared" si="74"/>
        <v>0</v>
      </c>
      <c r="DA30" s="22">
        <f t="shared" si="74"/>
        <v>0</v>
      </c>
      <c r="DB30" s="22">
        <f t="shared" si="74"/>
        <v>0</v>
      </c>
      <c r="DC30" s="22">
        <f t="shared" si="74"/>
        <v>0</v>
      </c>
      <c r="DD30" s="22">
        <f t="shared" si="74"/>
        <v>0</v>
      </c>
      <c r="DE30" s="22">
        <f t="shared" si="74"/>
        <v>0</v>
      </c>
      <c r="DF30" s="22">
        <f t="shared" si="70"/>
        <v>1.0479524280809367</v>
      </c>
      <c r="DJ30" s="1"/>
      <c r="DK30" s="1"/>
      <c r="DL30" s="1"/>
      <c r="DM30" s="1"/>
      <c r="DN30" s="1"/>
      <c r="DO30" s="1"/>
    </row>
    <row r="31" spans="2:119" x14ac:dyDescent="0.25">
      <c r="B31" s="70">
        <f>resistance!J23</f>
        <v>5</v>
      </c>
      <c r="C31" s="3">
        <f>resistance!I23</f>
        <v>18</v>
      </c>
      <c r="D31" s="16">
        <f>resistance!Z23</f>
        <v>201.4594329206349</v>
      </c>
      <c r="E31" s="16">
        <f>resistance!AA23</f>
        <v>29.282884539682534</v>
      </c>
      <c r="F31" s="16">
        <f>resistance!AB23</f>
        <v>0</v>
      </c>
      <c r="G31" s="16">
        <f>resistance!AC23</f>
        <v>230.74231746031742</v>
      </c>
      <c r="H31" s="126">
        <f t="shared" si="4"/>
        <v>1153.7115873015871</v>
      </c>
      <c r="I31" s="16">
        <f t="shared" si="56"/>
        <v>242.88664995822887</v>
      </c>
      <c r="J31" s="4">
        <f t="shared" si="5"/>
        <v>5</v>
      </c>
      <c r="K31" s="28">
        <f t="shared" si="60"/>
        <v>7.5021731848483889E-2</v>
      </c>
      <c r="L31" s="27">
        <f t="shared" si="45"/>
        <v>1.0566608619569651</v>
      </c>
      <c r="M31" s="27">
        <f t="shared" si="52"/>
        <v>1.0566608619569653</v>
      </c>
      <c r="N31" s="16">
        <f t="shared" si="46"/>
        <v>788.64786549392682</v>
      </c>
      <c r="O31" s="16">
        <f t="shared" si="47"/>
        <v>13.144131091565447</v>
      </c>
      <c r="P31" s="96">
        <f t="shared" si="29"/>
        <v>8.3764177597474843E-2</v>
      </c>
      <c r="Q31" s="96">
        <f t="shared" si="30"/>
        <v>8.376417759747487E-2</v>
      </c>
      <c r="R31" s="27">
        <f t="shared" si="48"/>
        <v>0.1704530242411213</v>
      </c>
      <c r="S31" s="96">
        <f t="shared" si="6"/>
        <v>1.7045302424112129E-2</v>
      </c>
      <c r="T31" s="68">
        <f t="shared" si="31"/>
        <v>0.8264362744350332</v>
      </c>
      <c r="U31" s="27">
        <f t="shared" si="7"/>
        <v>5</v>
      </c>
      <c r="V31" s="16">
        <f t="shared" si="8"/>
        <v>242.88664995822884</v>
      </c>
      <c r="W31" s="16">
        <f t="shared" si="9"/>
        <v>17.793137209040303</v>
      </c>
      <c r="X31" s="122">
        <f t="shared" si="32"/>
        <v>1214.4332497911441</v>
      </c>
      <c r="Y31" s="68">
        <f t="shared" si="10"/>
        <v>0.78511446071328161</v>
      </c>
      <c r="Z31" s="76">
        <f t="shared" si="33"/>
        <v>0.8264362744350332</v>
      </c>
      <c r="AA31" s="116">
        <f t="shared" si="11"/>
        <v>1469.4820246380796</v>
      </c>
      <c r="AB31" s="40">
        <f t="shared" si="12"/>
        <v>788.64786549392682</v>
      </c>
      <c r="AC31" s="39">
        <f t="shared" si="13"/>
        <v>17.793137209040303</v>
      </c>
      <c r="AD31" s="109">
        <v>0.97</v>
      </c>
      <c r="AE31" s="40">
        <f t="shared" si="14"/>
        <v>2365.9435964817803</v>
      </c>
      <c r="AF31" s="39">
        <f t="shared" si="15"/>
        <v>6.1144801405636775</v>
      </c>
      <c r="AG31" s="132">
        <f t="shared" si="16"/>
        <v>1561.7834250590704</v>
      </c>
      <c r="AH31" s="148">
        <f t="shared" si="54"/>
        <v>0.88</v>
      </c>
      <c r="AI31" s="132">
        <f t="shared" si="67"/>
        <v>1774.7538921125799</v>
      </c>
      <c r="AJ31" s="152">
        <f t="shared" si="57"/>
        <v>33.629640773100228</v>
      </c>
      <c r="AK31" s="152">
        <f t="shared" si="35"/>
        <v>52.77350133136644</v>
      </c>
      <c r="AL31" s="167">
        <v>0.99</v>
      </c>
      <c r="AM31" s="140">
        <f t="shared" si="17"/>
        <v>1792.680699103616</v>
      </c>
      <c r="AN31" s="132">
        <f t="shared" si="18"/>
        <v>1942.5695879925049</v>
      </c>
      <c r="AO31" s="260">
        <f>IF(AN31&lt;Battery!$D$4,Battery!$F$4,FORECAST(AN31,Battery!$F$3:$F$7,Battery!$D$3:$D$7))</f>
        <v>0.96507605735008228</v>
      </c>
      <c r="AP31" s="263">
        <f>AO31*Battery!$E$3</f>
        <v>1536.3238772167431</v>
      </c>
      <c r="AQ31" s="40">
        <f t="shared" si="36"/>
        <v>3.3333333333333335</v>
      </c>
      <c r="AR31" s="152">
        <f t="shared" si="37"/>
        <v>6475.2319599750163</v>
      </c>
      <c r="AS31" s="152">
        <f t="shared" si="49"/>
        <v>460.8971631650229</v>
      </c>
      <c r="AT31" s="152" t="b">
        <f t="shared" si="38"/>
        <v>0</v>
      </c>
      <c r="AU31" s="132">
        <f t="shared" si="64"/>
        <v>1481.672424827482</v>
      </c>
      <c r="AV31" s="160">
        <v>0.99</v>
      </c>
      <c r="AW31" s="132">
        <f t="shared" si="50"/>
        <v>1496.6388129570526</v>
      </c>
      <c r="AX31" s="253">
        <f>VLOOKUP($AX$7,'Solar Panels'!$G$6:$K$17,5,FALSE)</f>
        <v>1774.5</v>
      </c>
      <c r="AY31" s="40" t="b">
        <f t="shared" si="20"/>
        <v>1</v>
      </c>
      <c r="AZ31" s="229">
        <f t="shared" si="21"/>
        <v>1496.6388129570526</v>
      </c>
      <c r="BA31" s="224">
        <f t="shared" si="22"/>
        <v>2235.3971631650229</v>
      </c>
      <c r="BB31" s="224">
        <f t="shared" si="39"/>
        <v>738.75835020797035</v>
      </c>
      <c r="BC31" s="224" t="b">
        <f t="shared" si="40"/>
        <v>1</v>
      </c>
      <c r="BD31" s="224">
        <f t="shared" si="23"/>
        <v>4988.7960431901756</v>
      </c>
      <c r="BE31" s="224">
        <f t="shared" si="24"/>
        <v>7451.3238772167433</v>
      </c>
      <c r="BF31" s="225">
        <f t="shared" si="25"/>
        <v>4.9787054917374816</v>
      </c>
      <c r="BG31" s="214">
        <f t="shared" si="3"/>
        <v>3.3333333333333335</v>
      </c>
      <c r="BH31" s="222">
        <f t="shared" si="41"/>
        <v>1.6453721584041481</v>
      </c>
      <c r="BJ31" s="40"/>
      <c r="BL31" s="1">
        <f t="shared" si="42"/>
        <v>0</v>
      </c>
      <c r="BM31" s="1">
        <f t="shared" si="43"/>
        <v>0</v>
      </c>
      <c r="BS31" s="16"/>
      <c r="BU31" s="22">
        <f t="shared" ref="BU31:DE31" si="75">IF(SIGN(BU$8-$K31*BU$7^2)*SIGN(BV$8-$K31*BV$7^2)=-1,INTERCEPT(BU$7:BV$7, BU$8:BV$8-$K31*(BU$7:BV$7)^2),0)</f>
        <v>0</v>
      </c>
      <c r="BV31" s="22">
        <f t="shared" si="75"/>
        <v>0</v>
      </c>
      <c r="BW31" s="22">
        <f t="shared" si="75"/>
        <v>0</v>
      </c>
      <c r="BX31" s="22">
        <f t="shared" si="75"/>
        <v>0</v>
      </c>
      <c r="BY31" s="22">
        <f t="shared" si="75"/>
        <v>0</v>
      </c>
      <c r="BZ31" s="22">
        <f t="shared" si="75"/>
        <v>1.0566608619569651</v>
      </c>
      <c r="CA31" s="22">
        <f t="shared" si="75"/>
        <v>0</v>
      </c>
      <c r="CB31" s="22">
        <f t="shared" si="75"/>
        <v>0</v>
      </c>
      <c r="CC31" s="22">
        <f t="shared" si="75"/>
        <v>0</v>
      </c>
      <c r="CD31" s="22">
        <f t="shared" si="75"/>
        <v>0</v>
      </c>
      <c r="CE31" s="22">
        <f t="shared" si="75"/>
        <v>0</v>
      </c>
      <c r="CF31" s="22">
        <f t="shared" si="75"/>
        <v>0</v>
      </c>
      <c r="CG31" s="22">
        <f t="shared" si="75"/>
        <v>0</v>
      </c>
      <c r="CH31" s="22">
        <f t="shared" si="75"/>
        <v>0</v>
      </c>
      <c r="CI31" s="22">
        <f t="shared" si="75"/>
        <v>0</v>
      </c>
      <c r="CJ31" s="22">
        <f t="shared" si="75"/>
        <v>0</v>
      </c>
      <c r="CK31" s="22">
        <f t="shared" si="75"/>
        <v>0</v>
      </c>
      <c r="CL31" s="22">
        <f t="shared" si="75"/>
        <v>0</v>
      </c>
      <c r="CM31" s="22">
        <f t="shared" si="75"/>
        <v>0</v>
      </c>
      <c r="CN31" s="22">
        <f t="shared" si="75"/>
        <v>0</v>
      </c>
      <c r="CO31" s="22">
        <f t="shared" si="75"/>
        <v>0</v>
      </c>
      <c r="CP31" s="22">
        <f t="shared" si="75"/>
        <v>0</v>
      </c>
      <c r="CQ31" s="22">
        <f t="shared" si="75"/>
        <v>0</v>
      </c>
      <c r="CR31" s="22">
        <f t="shared" si="75"/>
        <v>0</v>
      </c>
      <c r="CS31" s="22">
        <f t="shared" si="75"/>
        <v>0</v>
      </c>
      <c r="CT31" s="22">
        <f t="shared" si="75"/>
        <v>0</v>
      </c>
      <c r="CU31" s="22">
        <f t="shared" si="75"/>
        <v>0</v>
      </c>
      <c r="CV31" s="22">
        <f t="shared" si="75"/>
        <v>0</v>
      </c>
      <c r="CW31" s="22">
        <f t="shared" si="75"/>
        <v>0</v>
      </c>
      <c r="CX31" s="22">
        <f t="shared" si="75"/>
        <v>0</v>
      </c>
      <c r="CY31" s="22">
        <f t="shared" si="75"/>
        <v>0</v>
      </c>
      <c r="CZ31" s="22">
        <f t="shared" si="75"/>
        <v>0</v>
      </c>
      <c r="DA31" s="22">
        <f t="shared" si="75"/>
        <v>0</v>
      </c>
      <c r="DB31" s="22">
        <f t="shared" si="75"/>
        <v>0</v>
      </c>
      <c r="DC31" s="22">
        <f t="shared" si="75"/>
        <v>0</v>
      </c>
      <c r="DD31" s="22">
        <f t="shared" si="75"/>
        <v>0</v>
      </c>
      <c r="DE31" s="22">
        <f t="shared" si="75"/>
        <v>0</v>
      </c>
      <c r="DF31" s="22">
        <f t="shared" si="70"/>
        <v>1.0566608619569651</v>
      </c>
      <c r="DJ31" s="1"/>
      <c r="DK31" s="1"/>
      <c r="DL31" s="1"/>
      <c r="DM31" s="1"/>
      <c r="DN31" s="1"/>
      <c r="DO31" s="1"/>
    </row>
    <row r="32" spans="2:119" x14ac:dyDescent="0.25">
      <c r="B32" s="70">
        <f>resistance!J24</f>
        <v>5.2777777777777777</v>
      </c>
      <c r="C32" s="3">
        <f>resistance!I24</f>
        <v>19</v>
      </c>
      <c r="D32" s="16">
        <f>resistance!Z24</f>
        <v>218.4907821525735</v>
      </c>
      <c r="E32" s="16">
        <f>resistance!AA24</f>
        <v>33.172797912785938</v>
      </c>
      <c r="F32" s="16">
        <f>resistance!AB24</f>
        <v>0</v>
      </c>
      <c r="G32" s="16">
        <f>resistance!AC24</f>
        <v>251.66358006535944</v>
      </c>
      <c r="H32" s="126">
        <f t="shared" si="4"/>
        <v>1328.2244503449526</v>
      </c>
      <c r="I32" s="16">
        <f t="shared" si="56"/>
        <v>264.90903164774681</v>
      </c>
      <c r="J32" s="4">
        <f t="shared" si="5"/>
        <v>5.2777777777777777</v>
      </c>
      <c r="K32" s="28">
        <f t="shared" si="60"/>
        <v>7.3437521993149485E-2</v>
      </c>
      <c r="L32" s="27">
        <f t="shared" si="45"/>
        <v>1.0632594522255556</v>
      </c>
      <c r="M32" s="27">
        <f t="shared" si="52"/>
        <v>1.0632594522255556</v>
      </c>
      <c r="N32" s="16">
        <f t="shared" si="46"/>
        <v>827.29537723688964</v>
      </c>
      <c r="O32" s="16">
        <f t="shared" si="47"/>
        <v>13.788256287281493</v>
      </c>
      <c r="P32" s="96">
        <f t="shared" si="29"/>
        <v>8.302263603419191E-2</v>
      </c>
      <c r="Q32" s="96">
        <f t="shared" si="30"/>
        <v>8.3022636034191924E-2</v>
      </c>
      <c r="R32" s="27">
        <f t="shared" si="48"/>
        <v>0.16955954143005797</v>
      </c>
      <c r="S32" s="96">
        <f t="shared" si="6"/>
        <v>1.6955954143005797E-2</v>
      </c>
      <c r="T32" s="68">
        <f t="shared" si="31"/>
        <v>0.82857851706670882</v>
      </c>
      <c r="U32" s="27">
        <f t="shared" si="7"/>
        <v>5.2777777777777777</v>
      </c>
      <c r="V32" s="16">
        <f t="shared" si="8"/>
        <v>264.90903164774681</v>
      </c>
      <c r="W32" s="16">
        <f t="shared" si="9"/>
        <v>19.477130799622593</v>
      </c>
      <c r="X32" s="122">
        <f t="shared" si="32"/>
        <v>1398.1310003631081</v>
      </c>
      <c r="Y32" s="68">
        <f t="shared" si="10"/>
        <v>0.78714959121337336</v>
      </c>
      <c r="Z32" s="76">
        <f t="shared" si="33"/>
        <v>0.82857851706670882</v>
      </c>
      <c r="AA32" s="116">
        <f t="shared" si="11"/>
        <v>1687.385047481921</v>
      </c>
      <c r="AB32" s="40">
        <f t="shared" si="12"/>
        <v>827.29537723688964</v>
      </c>
      <c r="AC32" s="39">
        <f t="shared" si="13"/>
        <v>19.477130799622593</v>
      </c>
      <c r="AD32" s="109">
        <v>0.97</v>
      </c>
      <c r="AE32" s="40">
        <f t="shared" si="14"/>
        <v>2481.8861317106689</v>
      </c>
      <c r="AF32" s="39">
        <f t="shared" si="15"/>
        <v>6.6931720960902377</v>
      </c>
      <c r="AG32" s="132">
        <f t="shared" si="16"/>
        <v>1793.3734163906056</v>
      </c>
      <c r="AH32" s="148">
        <f t="shared" si="54"/>
        <v>0.88</v>
      </c>
      <c r="AI32" s="132">
        <f t="shared" si="67"/>
        <v>2037.9243368075063</v>
      </c>
      <c r="AJ32" s="152">
        <f t="shared" si="57"/>
        <v>36.812446528496309</v>
      </c>
      <c r="AK32" s="152">
        <f t="shared" si="35"/>
        <v>55.359654926220685</v>
      </c>
      <c r="AL32" s="167">
        <v>0.99</v>
      </c>
      <c r="AM32" s="140">
        <f t="shared" si="17"/>
        <v>2058.5094311186931</v>
      </c>
      <c r="AN32" s="132">
        <f t="shared" si="18"/>
        <v>2208.3983200075818</v>
      </c>
      <c r="AO32" s="260">
        <f>IF(AN32&lt;Battery!$D$4,Battery!$F$4,FORECAST(AN32,Battery!$F$3:$F$7,Battery!$D$3:$D$7))</f>
        <v>0.95983184335952343</v>
      </c>
      <c r="AP32" s="263">
        <f>AO32*Battery!$E$3</f>
        <v>1527.9755080808925</v>
      </c>
      <c r="AQ32" s="40">
        <f t="shared" si="36"/>
        <v>3.1578947368421053</v>
      </c>
      <c r="AR32" s="152">
        <f t="shared" si="37"/>
        <v>6973.88943160289</v>
      </c>
      <c r="AS32" s="152">
        <f t="shared" si="49"/>
        <v>483.85891089228261</v>
      </c>
      <c r="AT32" s="152" t="b">
        <f t="shared" si="38"/>
        <v>0</v>
      </c>
      <c r="AU32" s="132">
        <f t="shared" si="64"/>
        <v>1724.5394091152991</v>
      </c>
      <c r="AV32" s="160">
        <v>0.99</v>
      </c>
      <c r="AW32" s="132">
        <f t="shared" si="50"/>
        <v>1741.9589991063629</v>
      </c>
      <c r="AX32" s="253">
        <f>VLOOKUP($AX$7,'Solar Panels'!$G$6:$K$17,5,FALSE)</f>
        <v>1774.5</v>
      </c>
      <c r="AY32" s="40" t="b">
        <f t="shared" si="20"/>
        <v>1</v>
      </c>
      <c r="AZ32" s="229">
        <f t="shared" si="21"/>
        <v>1741.9589991063629</v>
      </c>
      <c r="BA32" s="224">
        <f t="shared" si="22"/>
        <v>2258.3589108922824</v>
      </c>
      <c r="BB32" s="224">
        <f t="shared" si="39"/>
        <v>516.39991178591958</v>
      </c>
      <c r="BC32" s="224" t="b">
        <f t="shared" si="40"/>
        <v>1</v>
      </c>
      <c r="BD32" s="224">
        <f t="shared" si="23"/>
        <v>5500.9231550727245</v>
      </c>
      <c r="BE32" s="224">
        <f t="shared" si="24"/>
        <v>7131.6597186072077</v>
      </c>
      <c r="BF32" s="225">
        <f t="shared" si="25"/>
        <v>4.0940456820543991</v>
      </c>
      <c r="BG32" s="214">
        <f t="shared" si="3"/>
        <v>3.1578947368421053</v>
      </c>
      <c r="BH32" s="222">
        <f t="shared" si="41"/>
        <v>0.93615094521229381</v>
      </c>
      <c r="BJ32" s="40"/>
      <c r="BL32" s="1">
        <f t="shared" si="42"/>
        <v>0</v>
      </c>
      <c r="BM32" s="1">
        <f t="shared" si="43"/>
        <v>0</v>
      </c>
      <c r="BS32" s="16"/>
      <c r="BU32" s="22">
        <f t="shared" ref="BU32:DE32" si="76">IF(SIGN(BU$8-$K32*BU$7^2)*SIGN(BV$8-$K32*BV$7^2)=-1,INTERCEPT(BU$7:BV$7, BU$8:BV$8-$K32*(BU$7:BV$7)^2),0)</f>
        <v>0</v>
      </c>
      <c r="BV32" s="22">
        <f t="shared" si="76"/>
        <v>0</v>
      </c>
      <c r="BW32" s="22">
        <f t="shared" si="76"/>
        <v>0</v>
      </c>
      <c r="BX32" s="22">
        <f t="shared" si="76"/>
        <v>0</v>
      </c>
      <c r="BY32" s="22">
        <f t="shared" si="76"/>
        <v>0</v>
      </c>
      <c r="BZ32" s="22">
        <f t="shared" si="76"/>
        <v>1.0632594522255556</v>
      </c>
      <c r="CA32" s="22">
        <f t="shared" si="76"/>
        <v>0</v>
      </c>
      <c r="CB32" s="22">
        <f t="shared" si="76"/>
        <v>0</v>
      </c>
      <c r="CC32" s="22">
        <f t="shared" si="76"/>
        <v>0</v>
      </c>
      <c r="CD32" s="22">
        <f t="shared" si="76"/>
        <v>0</v>
      </c>
      <c r="CE32" s="22">
        <f t="shared" si="76"/>
        <v>0</v>
      </c>
      <c r="CF32" s="22">
        <f t="shared" si="76"/>
        <v>0</v>
      </c>
      <c r="CG32" s="22">
        <f t="shared" si="76"/>
        <v>0</v>
      </c>
      <c r="CH32" s="22">
        <f t="shared" si="76"/>
        <v>0</v>
      </c>
      <c r="CI32" s="22">
        <f t="shared" si="76"/>
        <v>0</v>
      </c>
      <c r="CJ32" s="22">
        <f t="shared" si="76"/>
        <v>0</v>
      </c>
      <c r="CK32" s="22">
        <f t="shared" si="76"/>
        <v>0</v>
      </c>
      <c r="CL32" s="22">
        <f t="shared" si="76"/>
        <v>0</v>
      </c>
      <c r="CM32" s="22">
        <f t="shared" si="76"/>
        <v>0</v>
      </c>
      <c r="CN32" s="22">
        <f t="shared" si="76"/>
        <v>0</v>
      </c>
      <c r="CO32" s="22">
        <f t="shared" si="76"/>
        <v>0</v>
      </c>
      <c r="CP32" s="22">
        <f t="shared" si="76"/>
        <v>0</v>
      </c>
      <c r="CQ32" s="22">
        <f t="shared" si="76"/>
        <v>0</v>
      </c>
      <c r="CR32" s="22">
        <f t="shared" si="76"/>
        <v>0</v>
      </c>
      <c r="CS32" s="22">
        <f t="shared" si="76"/>
        <v>0</v>
      </c>
      <c r="CT32" s="22">
        <f t="shared" si="76"/>
        <v>0</v>
      </c>
      <c r="CU32" s="22">
        <f t="shared" si="76"/>
        <v>0</v>
      </c>
      <c r="CV32" s="22">
        <f t="shared" si="76"/>
        <v>0</v>
      </c>
      <c r="CW32" s="22">
        <f t="shared" si="76"/>
        <v>0</v>
      </c>
      <c r="CX32" s="22">
        <f t="shared" si="76"/>
        <v>0</v>
      </c>
      <c r="CY32" s="22">
        <f t="shared" si="76"/>
        <v>0</v>
      </c>
      <c r="CZ32" s="22">
        <f t="shared" si="76"/>
        <v>0</v>
      </c>
      <c r="DA32" s="22">
        <f t="shared" si="76"/>
        <v>0</v>
      </c>
      <c r="DB32" s="22">
        <f t="shared" si="76"/>
        <v>0</v>
      </c>
      <c r="DC32" s="22">
        <f t="shared" si="76"/>
        <v>0</v>
      </c>
      <c r="DD32" s="22">
        <f t="shared" si="76"/>
        <v>0</v>
      </c>
      <c r="DE32" s="22">
        <f t="shared" si="76"/>
        <v>0</v>
      </c>
      <c r="DF32" s="22">
        <f>SUM(BU32:DE32)</f>
        <v>1.0632594522255556</v>
      </c>
      <c r="DH32" s="1"/>
    </row>
    <row r="33" spans="1:110" x14ac:dyDescent="0.25">
      <c r="B33" s="70">
        <f>resistance!J25</f>
        <v>5.5555555555555554</v>
      </c>
      <c r="C33" s="3">
        <f>resistance!I25</f>
        <v>20</v>
      </c>
      <c r="D33" s="16">
        <f>resistance!Z25</f>
        <v>235.56883289520425</v>
      </c>
      <c r="E33" s="16">
        <f>resistance!AA25</f>
        <v>37.099930475626593</v>
      </c>
      <c r="F33" s="16">
        <f>resistance!AB25</f>
        <v>0</v>
      </c>
      <c r="G33" s="16">
        <f>resistance!AC25</f>
        <v>272.66876337083085</v>
      </c>
      <c r="H33" s="126">
        <f t="shared" si="4"/>
        <v>1514.8264631712825</v>
      </c>
      <c r="I33" s="16">
        <f t="shared" si="56"/>
        <v>287.01975091666407</v>
      </c>
      <c r="J33" s="4">
        <f t="shared" si="5"/>
        <v>5.5555555555555554</v>
      </c>
      <c r="K33" s="28">
        <f t="shared" si="60"/>
        <v>7.1809225503646781E-2</v>
      </c>
      <c r="L33" s="27">
        <f t="shared" si="45"/>
        <v>1.0702030361289796</v>
      </c>
      <c r="M33" s="27">
        <f t="shared" si="52"/>
        <v>1.0702030361289796</v>
      </c>
      <c r="N33" s="16">
        <f t="shared" si="46"/>
        <v>865.18716044301561</v>
      </c>
      <c r="O33" s="16">
        <f t="shared" si="47"/>
        <v>14.419786007383594</v>
      </c>
      <c r="P33" s="96">
        <f t="shared" si="29"/>
        <v>8.2245586155111544E-2</v>
      </c>
      <c r="Q33" s="96">
        <f t="shared" si="30"/>
        <v>8.224558615511153E-2</v>
      </c>
      <c r="R33" s="27">
        <f t="shared" si="48"/>
        <v>0.16861934471949447</v>
      </c>
      <c r="S33" s="96">
        <f t="shared" si="6"/>
        <v>1.6861934471949447E-2</v>
      </c>
      <c r="T33" s="68">
        <f t="shared" si="31"/>
        <v>0.83079048367067321</v>
      </c>
      <c r="U33" s="27">
        <f t="shared" si="7"/>
        <v>5.5555555555555554</v>
      </c>
      <c r="V33" s="16">
        <f t="shared" si="8"/>
        <v>287.01975091666412</v>
      </c>
      <c r="W33" s="16">
        <f t="shared" si="9"/>
        <v>21.184054306263242</v>
      </c>
      <c r="X33" s="122">
        <f t="shared" si="32"/>
        <v>1594.5541717592446</v>
      </c>
      <c r="Y33" s="68">
        <f t="shared" si="10"/>
        <v>0.7892509594871393</v>
      </c>
      <c r="Z33" s="76">
        <f t="shared" si="33"/>
        <v>0.8307904836706731</v>
      </c>
      <c r="AA33" s="116">
        <f t="shared" si="11"/>
        <v>1919.3216618395077</v>
      </c>
      <c r="AB33" s="40">
        <f t="shared" si="12"/>
        <v>865.18716044301561</v>
      </c>
      <c r="AC33" s="39">
        <f t="shared" si="13"/>
        <v>21.184054306263242</v>
      </c>
      <c r="AD33" s="109">
        <v>0.97</v>
      </c>
      <c r="AE33" s="40">
        <f t="shared" si="14"/>
        <v>2595.5614813290467</v>
      </c>
      <c r="AF33" s="39">
        <f t="shared" si="15"/>
        <v>7.2797437478567835</v>
      </c>
      <c r="AG33" s="132">
        <f t="shared" si="16"/>
        <v>2039.8784800079791</v>
      </c>
      <c r="AH33" s="148">
        <f t="shared" si="54"/>
        <v>0.88</v>
      </c>
      <c r="AI33" s="132">
        <f t="shared" si="67"/>
        <v>2318.0437272817944</v>
      </c>
      <c r="AJ33" s="152">
        <f t="shared" si="57"/>
        <v>40.038590613212307</v>
      </c>
      <c r="AK33" s="152">
        <f t="shared" si="35"/>
        <v>57.895237863763988</v>
      </c>
      <c r="AL33" s="167">
        <v>0.99</v>
      </c>
      <c r="AM33" s="140">
        <f t="shared" si="17"/>
        <v>2341.4583103856507</v>
      </c>
      <c r="AN33" s="132">
        <f t="shared" si="18"/>
        <v>2491.3471992745394</v>
      </c>
      <c r="AO33" s="260">
        <f>IF(AN33&lt;Battery!$D$4,Battery!$F$4,FORECAST(AN33,Battery!$F$3:$F$7,Battery!$D$3:$D$7))</f>
        <v>0.95424988666125143</v>
      </c>
      <c r="AP33" s="263">
        <f>AO33*Battery!$E$3</f>
        <v>1519.0894795737795</v>
      </c>
      <c r="AQ33" s="40">
        <f t="shared" si="36"/>
        <v>3</v>
      </c>
      <c r="AR33" s="152">
        <f t="shared" si="37"/>
        <v>7474.0415978236178</v>
      </c>
      <c r="AS33" s="152">
        <f t="shared" si="49"/>
        <v>506.36315985792652</v>
      </c>
      <c r="AT33" s="152" t="b">
        <f t="shared" si="38"/>
        <v>0</v>
      </c>
      <c r="AU33" s="132">
        <f t="shared" si="64"/>
        <v>1984.9840394166129</v>
      </c>
      <c r="AV33" s="160">
        <v>0.99</v>
      </c>
      <c r="AW33" s="132">
        <f t="shared" si="50"/>
        <v>2005.0343832491039</v>
      </c>
      <c r="AX33" s="253">
        <f>VLOOKUP($AX$7,'Solar Panels'!$G$6:$K$17,5,FALSE)</f>
        <v>1774.5</v>
      </c>
      <c r="AY33" s="40" t="b">
        <f t="shared" si="20"/>
        <v>0</v>
      </c>
      <c r="AZ33" s="229">
        <f t="shared" si="21"/>
        <v>2005.0343832491039</v>
      </c>
      <c r="BA33" s="224">
        <f t="shared" si="22"/>
        <v>2280.8631598579263</v>
      </c>
      <c r="BB33" s="224">
        <f t="shared" si="39"/>
        <v>275.82877660882241</v>
      </c>
      <c r="BC33" s="224" t="b">
        <f t="shared" si="40"/>
        <v>1</v>
      </c>
      <c r="BD33" s="224">
        <f t="shared" si="23"/>
        <v>6015.1031497473123</v>
      </c>
      <c r="BE33" s="224">
        <f t="shared" si="24"/>
        <v>6842.5894795737786</v>
      </c>
      <c r="BF33" s="225">
        <f t="shared" si="25"/>
        <v>3.4127043090829932</v>
      </c>
      <c r="BG33" s="214">
        <f t="shared" si="3"/>
        <v>3</v>
      </c>
      <c r="BH33" s="222">
        <f t="shared" si="41"/>
        <v>0.41270430908299316</v>
      </c>
      <c r="BJ33" s="40"/>
      <c r="BL33" s="1">
        <f t="shared" si="42"/>
        <v>0</v>
      </c>
      <c r="BM33" s="1">
        <f t="shared" si="43"/>
        <v>0</v>
      </c>
      <c r="BU33" s="22">
        <f t="shared" ref="BU33:DE33" si="77">IF(SIGN(BU$8-$K33*BU$7^2)*SIGN(BV$8-$K33*BV$7^2)=-1,INTERCEPT(BU$7:BV$7, BU$8:BV$8-$K33*(BU$7:BV$7)^2),0)</f>
        <v>0</v>
      </c>
      <c r="BV33" s="22">
        <f t="shared" si="77"/>
        <v>0</v>
      </c>
      <c r="BW33" s="22">
        <f t="shared" si="77"/>
        <v>0</v>
      </c>
      <c r="BX33" s="22">
        <f t="shared" si="77"/>
        <v>0</v>
      </c>
      <c r="BY33" s="22">
        <f t="shared" si="77"/>
        <v>0</v>
      </c>
      <c r="BZ33" s="22">
        <f t="shared" si="77"/>
        <v>1.0702030361289796</v>
      </c>
      <c r="CA33" s="22">
        <f t="shared" si="77"/>
        <v>0</v>
      </c>
      <c r="CB33" s="22">
        <f t="shared" si="77"/>
        <v>0</v>
      </c>
      <c r="CC33" s="22">
        <f t="shared" si="77"/>
        <v>0</v>
      </c>
      <c r="CD33" s="22">
        <f t="shared" si="77"/>
        <v>0</v>
      </c>
      <c r="CE33" s="22">
        <f t="shared" si="77"/>
        <v>0</v>
      </c>
      <c r="CF33" s="22">
        <f t="shared" si="77"/>
        <v>0</v>
      </c>
      <c r="CG33" s="22">
        <f t="shared" si="77"/>
        <v>0</v>
      </c>
      <c r="CH33" s="22">
        <f t="shared" si="77"/>
        <v>0</v>
      </c>
      <c r="CI33" s="22">
        <f t="shared" si="77"/>
        <v>0</v>
      </c>
      <c r="CJ33" s="22">
        <f t="shared" si="77"/>
        <v>0</v>
      </c>
      <c r="CK33" s="22">
        <f t="shared" si="77"/>
        <v>0</v>
      </c>
      <c r="CL33" s="22">
        <f t="shared" si="77"/>
        <v>0</v>
      </c>
      <c r="CM33" s="22">
        <f t="shared" si="77"/>
        <v>0</v>
      </c>
      <c r="CN33" s="22">
        <f t="shared" si="77"/>
        <v>0</v>
      </c>
      <c r="CO33" s="22">
        <f t="shared" si="77"/>
        <v>0</v>
      </c>
      <c r="CP33" s="22">
        <f t="shared" si="77"/>
        <v>0</v>
      </c>
      <c r="CQ33" s="22">
        <f t="shared" si="77"/>
        <v>0</v>
      </c>
      <c r="CR33" s="22">
        <f t="shared" si="77"/>
        <v>0</v>
      </c>
      <c r="CS33" s="22">
        <f t="shared" si="77"/>
        <v>0</v>
      </c>
      <c r="CT33" s="22">
        <f t="shared" si="77"/>
        <v>0</v>
      </c>
      <c r="CU33" s="22">
        <f t="shared" si="77"/>
        <v>0</v>
      </c>
      <c r="CV33" s="22">
        <f t="shared" si="77"/>
        <v>0</v>
      </c>
      <c r="CW33" s="22">
        <f t="shared" si="77"/>
        <v>0</v>
      </c>
      <c r="CX33" s="22">
        <f t="shared" si="77"/>
        <v>0</v>
      </c>
      <c r="CY33" s="22">
        <f t="shared" si="77"/>
        <v>0</v>
      </c>
      <c r="CZ33" s="22">
        <f t="shared" si="77"/>
        <v>0</v>
      </c>
      <c r="DA33" s="22">
        <f t="shared" si="77"/>
        <v>0</v>
      </c>
      <c r="DB33" s="22">
        <f t="shared" si="77"/>
        <v>0</v>
      </c>
      <c r="DC33" s="22">
        <f t="shared" si="77"/>
        <v>0</v>
      </c>
      <c r="DD33" s="22">
        <f t="shared" si="77"/>
        <v>0</v>
      </c>
      <c r="DE33" s="22">
        <f t="shared" si="77"/>
        <v>0</v>
      </c>
      <c r="DF33" s="22">
        <f t="shared" ref="DF33:DF43" si="78">SUM(BU33:DE33)</f>
        <v>1.0702030361289796</v>
      </c>
    </row>
    <row r="34" spans="1:110" x14ac:dyDescent="0.25">
      <c r="B34" s="70">
        <f>resistance!J26</f>
        <v>5.833333333333333</v>
      </c>
      <c r="C34" s="3">
        <f>resistance!I26</f>
        <v>21</v>
      </c>
      <c r="D34" s="16">
        <f>resistance!Z26</f>
        <v>253.79849541740674</v>
      </c>
      <c r="E34" s="16">
        <f>resistance!AA26</f>
        <v>42.105416956779159</v>
      </c>
      <c r="F34" s="16">
        <f>resistance!AB26</f>
        <v>0</v>
      </c>
      <c r="G34" s="16">
        <f>resistance!AC26</f>
        <v>295.90391237418589</v>
      </c>
      <c r="H34" s="126">
        <f t="shared" si="4"/>
        <v>1726.1061555160843</v>
      </c>
      <c r="I34" s="16">
        <f t="shared" si="56"/>
        <v>311.47780249914308</v>
      </c>
      <c r="J34" s="4">
        <f t="shared" si="5"/>
        <v>5.833333333333333</v>
      </c>
      <c r="K34" s="28">
        <f t="shared" si="60"/>
        <v>7.0683323780792603E-2</v>
      </c>
      <c r="L34" s="27">
        <f t="shared" si="45"/>
        <v>1.0747121096337329</v>
      </c>
      <c r="M34" s="27">
        <f t="shared" si="52"/>
        <v>1.0747121096337329</v>
      </c>
      <c r="N34" s="16">
        <f t="shared" si="46"/>
        <v>904.63503063491146</v>
      </c>
      <c r="O34" s="16">
        <f t="shared" si="47"/>
        <v>15.077250510581857</v>
      </c>
      <c r="P34" s="96">
        <f t="shared" si="29"/>
        <v>8.1639671449333026E-2</v>
      </c>
      <c r="Q34" s="96">
        <f t="shared" si="30"/>
        <v>8.1639671449333026E-2</v>
      </c>
      <c r="R34" s="27">
        <f t="shared" si="48"/>
        <v>0.16781360956175873</v>
      </c>
      <c r="S34" s="96">
        <f t="shared" si="6"/>
        <v>1.6781360956175873E-2</v>
      </c>
      <c r="T34" s="68">
        <f t="shared" si="31"/>
        <v>0.832120733974552</v>
      </c>
      <c r="U34" s="27">
        <f t="shared" si="7"/>
        <v>5.833333333333333</v>
      </c>
      <c r="V34" s="16">
        <f t="shared" si="8"/>
        <v>311.47780249914314</v>
      </c>
      <c r="W34" s="16">
        <f t="shared" si="9"/>
        <v>23.049182862705187</v>
      </c>
      <c r="X34" s="122">
        <f t="shared" si="32"/>
        <v>1816.9538479116682</v>
      </c>
      <c r="Y34" s="68">
        <f t="shared" si="10"/>
        <v>0.79051469727582435</v>
      </c>
      <c r="Z34" s="76">
        <f t="shared" si="33"/>
        <v>0.83212073397455211</v>
      </c>
      <c r="AA34" s="116">
        <f t="shared" si="11"/>
        <v>2183.5219022041988</v>
      </c>
      <c r="AB34" s="40">
        <f t="shared" si="12"/>
        <v>904.63503063491146</v>
      </c>
      <c r="AC34" s="39">
        <f t="shared" si="13"/>
        <v>23.049182862705187</v>
      </c>
      <c r="AD34" s="109">
        <v>0.97</v>
      </c>
      <c r="AE34" s="40">
        <f t="shared" si="14"/>
        <v>2713.9050919047345</v>
      </c>
      <c r="AF34" s="39">
        <f t="shared" si="15"/>
        <v>7.9206813961186207</v>
      </c>
      <c r="AG34" s="132">
        <f t="shared" si="16"/>
        <v>2320.6737189969172</v>
      </c>
      <c r="AH34" s="148">
        <f t="shared" si="54"/>
        <v>0.88</v>
      </c>
      <c r="AI34" s="132">
        <f t="shared" si="67"/>
        <v>2637.1292261328604</v>
      </c>
      <c r="AJ34" s="152">
        <f t="shared" si="57"/>
        <v>43.563747678652412</v>
      </c>
      <c r="AK34" s="152">
        <f t="shared" si="35"/>
        <v>60.534948590410998</v>
      </c>
      <c r="AL34" s="167">
        <v>0.99</v>
      </c>
      <c r="AM34" s="140">
        <f t="shared" si="17"/>
        <v>2663.7668950836974</v>
      </c>
      <c r="AN34" s="132">
        <f t="shared" si="18"/>
        <v>2813.6557839725861</v>
      </c>
      <c r="AO34" s="260">
        <f>IF(AN34&lt;Battery!$D$4,Battery!$F$4,FORECAST(AN34,Battery!$F$3:$F$7,Battery!$D$3:$D$7))</f>
        <v>0.94789144987250407</v>
      </c>
      <c r="AP34" s="263">
        <f>AO34*Battery!$E$3</f>
        <v>1508.9673568810367</v>
      </c>
      <c r="AQ34" s="40">
        <f t="shared" si="36"/>
        <v>2.8571428571428572</v>
      </c>
      <c r="AR34" s="152">
        <f t="shared" si="37"/>
        <v>8039.0165256359605</v>
      </c>
      <c r="AS34" s="152">
        <f t="shared" si="49"/>
        <v>528.13857490836278</v>
      </c>
      <c r="AT34" s="152" t="b">
        <f t="shared" si="38"/>
        <v>0</v>
      </c>
      <c r="AU34" s="132">
        <f t="shared" si="64"/>
        <v>2285.5172090642232</v>
      </c>
      <c r="AV34" s="160">
        <v>0.99</v>
      </c>
      <c r="AW34" s="132">
        <f t="shared" si="50"/>
        <v>2308.6032414790134</v>
      </c>
      <c r="AX34" s="253">
        <f>VLOOKUP($AX$7,'Solar Panels'!$G$6:$K$17,5,FALSE)</f>
        <v>1774.5</v>
      </c>
      <c r="AY34" s="40" t="b">
        <f t="shared" si="20"/>
        <v>0</v>
      </c>
      <c r="AZ34" s="229">
        <f t="shared" si="21"/>
        <v>2308.6032414790134</v>
      </c>
      <c r="BA34" s="224">
        <f t="shared" si="22"/>
        <v>2302.6385749083629</v>
      </c>
      <c r="BB34" s="224">
        <f t="shared" si="39"/>
        <v>-5.9646665706504791</v>
      </c>
      <c r="BC34" s="224">
        <f t="shared" si="40"/>
        <v>-5.9646665706504791</v>
      </c>
      <c r="BD34" s="224">
        <f t="shared" si="23"/>
        <v>6596.0092613686102</v>
      </c>
      <c r="BE34" s="224">
        <f t="shared" si="24"/>
        <v>6578.9673568810367</v>
      </c>
      <c r="BF34" s="225">
        <f t="shared" si="25"/>
        <v>2.8497609457856439</v>
      </c>
      <c r="BG34" s="214">
        <f t="shared" si="3"/>
        <v>2.8571428571428572</v>
      </c>
      <c r="BH34" s="222">
        <f t="shared" si="41"/>
        <v>-7.3819113572133332E-3</v>
      </c>
      <c r="BJ34" s="40"/>
      <c r="BL34" s="1">
        <f t="shared" si="42"/>
        <v>0</v>
      </c>
      <c r="BM34" s="1">
        <f t="shared" si="43"/>
        <v>0</v>
      </c>
      <c r="BU34" s="22">
        <f t="shared" ref="BU34:DE34" si="79">IF(SIGN(BU$8-$K34*BU$7^2)*SIGN(BV$8-$K34*BV$7^2)=-1,INTERCEPT(BU$7:BV$7, BU$8:BV$8-$K34*(BU$7:BV$7)^2),0)</f>
        <v>0</v>
      </c>
      <c r="BV34" s="22">
        <f t="shared" si="79"/>
        <v>0</v>
      </c>
      <c r="BW34" s="22">
        <f t="shared" si="79"/>
        <v>0</v>
      </c>
      <c r="BX34" s="22">
        <f t="shared" si="79"/>
        <v>0</v>
      </c>
      <c r="BY34" s="22">
        <f t="shared" si="79"/>
        <v>0</v>
      </c>
      <c r="BZ34" s="22">
        <f t="shared" si="79"/>
        <v>0</v>
      </c>
      <c r="CA34" s="22">
        <f t="shared" si="79"/>
        <v>1.0747121096337329</v>
      </c>
      <c r="CB34" s="22">
        <f t="shared" si="79"/>
        <v>0</v>
      </c>
      <c r="CC34" s="22">
        <f t="shared" si="79"/>
        <v>0</v>
      </c>
      <c r="CD34" s="22">
        <f t="shared" si="79"/>
        <v>0</v>
      </c>
      <c r="CE34" s="22">
        <f t="shared" si="79"/>
        <v>0</v>
      </c>
      <c r="CF34" s="22">
        <f t="shared" si="79"/>
        <v>0</v>
      </c>
      <c r="CG34" s="22">
        <f t="shared" si="79"/>
        <v>0</v>
      </c>
      <c r="CH34" s="22">
        <f t="shared" si="79"/>
        <v>0</v>
      </c>
      <c r="CI34" s="22">
        <f t="shared" si="79"/>
        <v>0</v>
      </c>
      <c r="CJ34" s="22">
        <f t="shared" si="79"/>
        <v>0</v>
      </c>
      <c r="CK34" s="22">
        <f t="shared" si="79"/>
        <v>0</v>
      </c>
      <c r="CL34" s="22">
        <f t="shared" si="79"/>
        <v>0</v>
      </c>
      <c r="CM34" s="22">
        <f t="shared" si="79"/>
        <v>0</v>
      </c>
      <c r="CN34" s="22">
        <f t="shared" si="79"/>
        <v>0</v>
      </c>
      <c r="CO34" s="22">
        <f t="shared" si="79"/>
        <v>0</v>
      </c>
      <c r="CP34" s="22">
        <f t="shared" si="79"/>
        <v>0</v>
      </c>
      <c r="CQ34" s="22">
        <f t="shared" si="79"/>
        <v>0</v>
      </c>
      <c r="CR34" s="22">
        <f t="shared" si="79"/>
        <v>0</v>
      </c>
      <c r="CS34" s="22">
        <f t="shared" si="79"/>
        <v>0</v>
      </c>
      <c r="CT34" s="22">
        <f t="shared" si="79"/>
        <v>0</v>
      </c>
      <c r="CU34" s="22">
        <f t="shared" si="79"/>
        <v>0</v>
      </c>
      <c r="CV34" s="22">
        <f t="shared" si="79"/>
        <v>0</v>
      </c>
      <c r="CW34" s="22">
        <f t="shared" si="79"/>
        <v>0</v>
      </c>
      <c r="CX34" s="22">
        <f t="shared" si="79"/>
        <v>0</v>
      </c>
      <c r="CY34" s="22">
        <f t="shared" si="79"/>
        <v>0</v>
      </c>
      <c r="CZ34" s="22">
        <f t="shared" si="79"/>
        <v>0</v>
      </c>
      <c r="DA34" s="22">
        <f t="shared" si="79"/>
        <v>0</v>
      </c>
      <c r="DB34" s="22">
        <f t="shared" si="79"/>
        <v>0</v>
      </c>
      <c r="DC34" s="22">
        <f t="shared" si="79"/>
        <v>0</v>
      </c>
      <c r="DD34" s="22">
        <f t="shared" si="79"/>
        <v>0</v>
      </c>
      <c r="DE34" s="22">
        <f t="shared" si="79"/>
        <v>0</v>
      </c>
      <c r="DF34" s="22">
        <f t="shared" si="78"/>
        <v>1.0747121096337329</v>
      </c>
    </row>
    <row r="35" spans="1:110" x14ac:dyDescent="0.25">
      <c r="B35" s="70">
        <f>resistance!J27</f>
        <v>6.1111111111111107</v>
      </c>
      <c r="C35" s="3">
        <f>resistance!I27</f>
        <v>22</v>
      </c>
      <c r="D35" s="16">
        <f>resistance!Z27</f>
        <v>272.02815793960923</v>
      </c>
      <c r="E35" s="16">
        <f>resistance!AA27</f>
        <v>47.110903437931725</v>
      </c>
      <c r="F35" s="16">
        <f>resistance!AB27</f>
        <v>0</v>
      </c>
      <c r="G35" s="16">
        <f>resistance!AC27</f>
        <v>319.13906137754094</v>
      </c>
      <c r="H35" s="126">
        <f t="shared" si="4"/>
        <v>1950.2942639738612</v>
      </c>
      <c r="I35" s="16">
        <f t="shared" si="56"/>
        <v>335.93585408162204</v>
      </c>
      <c r="J35" s="4">
        <f t="shared" si="5"/>
        <v>6.1111111111111107</v>
      </c>
      <c r="K35" s="28">
        <f t="shared" si="60"/>
        <v>6.946074663884369E-2</v>
      </c>
      <c r="L35" s="27">
        <f t="shared" si="45"/>
        <v>1.0789473772630627</v>
      </c>
      <c r="M35" s="27">
        <f t="shared" si="52"/>
        <v>1.0789473772630627</v>
      </c>
      <c r="N35" s="16">
        <f t="shared" si="46"/>
        <v>943.9927655250134</v>
      </c>
      <c r="O35" s="16">
        <f t="shared" si="47"/>
        <v>15.733212758750224</v>
      </c>
      <c r="P35" s="96">
        <f t="shared" si="29"/>
        <v>8.0861161366799258E-2</v>
      </c>
      <c r="Q35" s="96">
        <f t="shared" si="30"/>
        <v>8.0861161366799272E-2</v>
      </c>
      <c r="R35" s="27">
        <f t="shared" si="48"/>
        <v>0.16665472863900804</v>
      </c>
      <c r="S35" s="96">
        <f t="shared" si="6"/>
        <v>1.6665472863900806E-2</v>
      </c>
      <c r="T35" s="68">
        <f t="shared" si="31"/>
        <v>0.83318746803791488</v>
      </c>
      <c r="U35" s="27">
        <f t="shared" si="7"/>
        <v>6.1111111111111098</v>
      </c>
      <c r="V35" s="16">
        <f t="shared" si="8"/>
        <v>335.93585408162198</v>
      </c>
      <c r="W35" s="16">
        <f t="shared" si="9"/>
        <v>24.925077943570468</v>
      </c>
      <c r="X35" s="122">
        <f t="shared" si="32"/>
        <v>2052.9413304988011</v>
      </c>
      <c r="Y35" s="68">
        <f t="shared" si="10"/>
        <v>0.79152809463601903</v>
      </c>
      <c r="Z35" s="76">
        <f t="shared" si="33"/>
        <v>0.83318746803791455</v>
      </c>
      <c r="AA35" s="116">
        <f t="shared" si="11"/>
        <v>2463.9608842573002</v>
      </c>
      <c r="AB35" s="40">
        <f t="shared" si="12"/>
        <v>943.9927655250134</v>
      </c>
      <c r="AC35" s="39">
        <f t="shared" si="13"/>
        <v>24.925077943570468</v>
      </c>
      <c r="AD35" s="109">
        <v>0.97</v>
      </c>
      <c r="AE35" s="40">
        <f t="shared" si="14"/>
        <v>2831.9782965750401</v>
      </c>
      <c r="AF35" s="39">
        <f t="shared" si="15"/>
        <v>8.5653188809520504</v>
      </c>
      <c r="AG35" s="132">
        <f t="shared" si="16"/>
        <v>2618.7276907825481</v>
      </c>
      <c r="AH35" s="148">
        <f t="shared" si="54"/>
        <v>0.88</v>
      </c>
      <c r="AI35" s="132">
        <f t="shared" si="67"/>
        <v>2975.8269213438048</v>
      </c>
      <c r="AJ35" s="152">
        <f t="shared" si="57"/>
        <v>47.109253845236275</v>
      </c>
      <c r="AK35" s="152">
        <f t="shared" si="35"/>
        <v>63.168627784256934</v>
      </c>
      <c r="AL35" s="167">
        <v>0.99</v>
      </c>
      <c r="AM35" s="140">
        <f t="shared" si="17"/>
        <v>3005.8857791351566</v>
      </c>
      <c r="AN35" s="132">
        <f t="shared" si="18"/>
        <v>3155.7746680240452</v>
      </c>
      <c r="AO35" s="260">
        <f>IF(AN35&lt;Battery!$D$4,Battery!$F$4,FORECAST(AN35,Battery!$F$3:$F$7,Battery!$D$3:$D$7))</f>
        <v>0.94114219961435186</v>
      </c>
      <c r="AP35" s="263">
        <f>AO35*Battery!$E$3</f>
        <v>1498.2230904100791</v>
      </c>
      <c r="AQ35" s="40">
        <f t="shared" si="36"/>
        <v>2.7272727272727271</v>
      </c>
      <c r="AR35" s="152">
        <f t="shared" si="37"/>
        <v>8606.6581855201221</v>
      </c>
      <c r="AS35" s="152">
        <f t="shared" si="49"/>
        <v>549.34846648369569</v>
      </c>
      <c r="AT35" s="152" t="b">
        <f t="shared" si="38"/>
        <v>0</v>
      </c>
      <c r="AU35" s="132">
        <f t="shared" si="64"/>
        <v>2606.4262015403497</v>
      </c>
      <c r="AV35" s="160">
        <v>0.99</v>
      </c>
      <c r="AW35" s="132">
        <f t="shared" si="50"/>
        <v>2632.7537389296463</v>
      </c>
      <c r="AX35" s="253">
        <f>VLOOKUP($AX$7,'Solar Panels'!$G$6:$K$17,5,FALSE)</f>
        <v>1774.5</v>
      </c>
      <c r="AY35" s="40" t="b">
        <f t="shared" si="20"/>
        <v>0</v>
      </c>
      <c r="AZ35" s="229">
        <f t="shared" si="21"/>
        <v>2632.7537389296463</v>
      </c>
      <c r="BA35" s="224">
        <f t="shared" si="22"/>
        <v>2323.8484664836956</v>
      </c>
      <c r="BB35" s="224">
        <f t="shared" si="39"/>
        <v>-308.90527244595069</v>
      </c>
      <c r="BC35" s="224">
        <f t="shared" si="40"/>
        <v>-308.90527244595069</v>
      </c>
      <c r="BD35" s="224">
        <f t="shared" si="23"/>
        <v>7180.2374698081258</v>
      </c>
      <c r="BE35" s="224">
        <f t="shared" si="24"/>
        <v>6337.7685449555329</v>
      </c>
      <c r="BF35" s="225">
        <f t="shared" si="25"/>
        <v>2.407277388401762</v>
      </c>
      <c r="BG35" s="214">
        <f t="shared" si="3"/>
        <v>2.7272727272727271</v>
      </c>
      <c r="BH35" s="222">
        <f t="shared" si="41"/>
        <v>-0.3199953388709651</v>
      </c>
      <c r="BJ35" s="40"/>
      <c r="BL35" s="1">
        <f t="shared" si="42"/>
        <v>0</v>
      </c>
      <c r="BM35" s="1">
        <f t="shared" si="43"/>
        <v>21.601657075491211</v>
      </c>
      <c r="BU35" s="22">
        <f t="shared" ref="BU35:DE35" si="80">IF(SIGN(BU$8-$K35*BU$7^2)*SIGN(BV$8-$K35*BV$7^2)=-1,INTERCEPT(BU$7:BV$7, BU$8:BV$8-$K35*(BU$7:BV$7)^2),0)</f>
        <v>0</v>
      </c>
      <c r="BV35" s="22">
        <f t="shared" si="80"/>
        <v>0</v>
      </c>
      <c r="BW35" s="22">
        <f t="shared" si="80"/>
        <v>0</v>
      </c>
      <c r="BX35" s="22">
        <f t="shared" si="80"/>
        <v>0</v>
      </c>
      <c r="BY35" s="22">
        <f t="shared" si="80"/>
        <v>0</v>
      </c>
      <c r="BZ35" s="22">
        <f t="shared" si="80"/>
        <v>0</v>
      </c>
      <c r="CA35" s="22">
        <f t="shared" si="80"/>
        <v>1.0789473772630627</v>
      </c>
      <c r="CB35" s="22">
        <f t="shared" si="80"/>
        <v>0</v>
      </c>
      <c r="CC35" s="22">
        <f t="shared" si="80"/>
        <v>0</v>
      </c>
      <c r="CD35" s="22">
        <f t="shared" si="80"/>
        <v>0</v>
      </c>
      <c r="CE35" s="22">
        <f t="shared" si="80"/>
        <v>0</v>
      </c>
      <c r="CF35" s="22">
        <f t="shared" si="80"/>
        <v>0</v>
      </c>
      <c r="CG35" s="22">
        <f t="shared" si="80"/>
        <v>0</v>
      </c>
      <c r="CH35" s="22">
        <f t="shared" si="80"/>
        <v>0</v>
      </c>
      <c r="CI35" s="22">
        <f t="shared" si="80"/>
        <v>0</v>
      </c>
      <c r="CJ35" s="22">
        <f t="shared" si="80"/>
        <v>0</v>
      </c>
      <c r="CK35" s="22">
        <f t="shared" si="80"/>
        <v>0</v>
      </c>
      <c r="CL35" s="22">
        <f t="shared" si="80"/>
        <v>0</v>
      </c>
      <c r="CM35" s="22">
        <f t="shared" si="80"/>
        <v>0</v>
      </c>
      <c r="CN35" s="22">
        <f t="shared" si="80"/>
        <v>0</v>
      </c>
      <c r="CO35" s="22">
        <f t="shared" si="80"/>
        <v>0</v>
      </c>
      <c r="CP35" s="22">
        <f t="shared" si="80"/>
        <v>0</v>
      </c>
      <c r="CQ35" s="22">
        <f t="shared" si="80"/>
        <v>0</v>
      </c>
      <c r="CR35" s="22">
        <f t="shared" si="80"/>
        <v>0</v>
      </c>
      <c r="CS35" s="22">
        <f t="shared" si="80"/>
        <v>0</v>
      </c>
      <c r="CT35" s="22">
        <f t="shared" si="80"/>
        <v>0</v>
      </c>
      <c r="CU35" s="22">
        <f t="shared" si="80"/>
        <v>0</v>
      </c>
      <c r="CV35" s="22">
        <f t="shared" si="80"/>
        <v>0</v>
      </c>
      <c r="CW35" s="22">
        <f t="shared" si="80"/>
        <v>0</v>
      </c>
      <c r="CX35" s="22">
        <f t="shared" si="80"/>
        <v>0</v>
      </c>
      <c r="CY35" s="22">
        <f t="shared" si="80"/>
        <v>0</v>
      </c>
      <c r="CZ35" s="22">
        <f t="shared" si="80"/>
        <v>0</v>
      </c>
      <c r="DA35" s="22">
        <f t="shared" si="80"/>
        <v>0</v>
      </c>
      <c r="DB35" s="22">
        <f t="shared" si="80"/>
        <v>0</v>
      </c>
      <c r="DC35" s="22">
        <f t="shared" si="80"/>
        <v>0</v>
      </c>
      <c r="DD35" s="22">
        <f t="shared" si="80"/>
        <v>0</v>
      </c>
      <c r="DE35" s="22">
        <f t="shared" si="80"/>
        <v>0</v>
      </c>
      <c r="DF35" s="22">
        <f t="shared" si="78"/>
        <v>1.0789473772630627</v>
      </c>
    </row>
    <row r="36" spans="1:110" x14ac:dyDescent="0.25">
      <c r="B36" s="70">
        <f>resistance!J28</f>
        <v>6.3888888888888884</v>
      </c>
      <c r="C36" s="3">
        <f>resistance!I28</f>
        <v>23</v>
      </c>
      <c r="D36" s="16">
        <f>resistance!Z28</f>
        <v>292.23486402097194</v>
      </c>
      <c r="E36" s="16">
        <f>resistance!AA28</f>
        <v>52.212885122000401</v>
      </c>
      <c r="F36" s="16">
        <f>resistance!AB28</f>
        <v>0</v>
      </c>
      <c r="G36" s="16">
        <f>resistance!AC28</f>
        <v>344.44774914297233</v>
      </c>
      <c r="H36" s="126">
        <f t="shared" si="4"/>
        <v>2200.638397302323</v>
      </c>
      <c r="I36" s="16">
        <f t="shared" si="56"/>
        <v>362.57657804523404</v>
      </c>
      <c r="J36" s="4">
        <f t="shared" si="5"/>
        <v>6.3888888888888884</v>
      </c>
      <c r="K36" s="28">
        <f t="shared" si="60"/>
        <v>6.859185128933544E-2</v>
      </c>
      <c r="L36" s="27">
        <f t="shared" si="45"/>
        <v>1.0819999089930428</v>
      </c>
      <c r="M36" s="27">
        <f t="shared" si="52"/>
        <v>1.0819999089930428</v>
      </c>
      <c r="N36" s="16">
        <f t="shared" si="46"/>
        <v>984.11728685428341</v>
      </c>
      <c r="O36" s="16">
        <f t="shared" si="47"/>
        <v>16.401954780904724</v>
      </c>
      <c r="P36" s="96">
        <f t="shared" si="29"/>
        <v>8.0302113000442099E-2</v>
      </c>
      <c r="Q36" s="96">
        <f t="shared" si="30"/>
        <v>8.0302113000442099E-2</v>
      </c>
      <c r="R36" s="27">
        <f t="shared" si="48"/>
        <v>0.16581947545135417</v>
      </c>
      <c r="S36" s="96">
        <f t="shared" si="6"/>
        <v>1.6581947545135416E-2</v>
      </c>
      <c r="T36" s="68">
        <f t="shared" si="31"/>
        <v>0.83394765532940796</v>
      </c>
      <c r="U36" s="27">
        <f t="shared" si="7"/>
        <v>6.3888888888888893</v>
      </c>
      <c r="V36" s="16">
        <f t="shared" si="8"/>
        <v>362.57657804523399</v>
      </c>
      <c r="W36" s="16">
        <f t="shared" si="9"/>
        <v>26.953229578837615</v>
      </c>
      <c r="X36" s="122">
        <f t="shared" si="32"/>
        <v>2316.4614708445506</v>
      </c>
      <c r="Y36" s="68">
        <f t="shared" si="10"/>
        <v>0.79225027256293734</v>
      </c>
      <c r="Z36" s="76">
        <f t="shared" si="33"/>
        <v>0.83394765532940773</v>
      </c>
      <c r="AA36" s="116">
        <f t="shared" si="11"/>
        <v>2777.7060778827331</v>
      </c>
      <c r="AB36" s="40">
        <f t="shared" si="12"/>
        <v>984.11728685428341</v>
      </c>
      <c r="AC36" s="39">
        <f t="shared" si="13"/>
        <v>26.953229578837615</v>
      </c>
      <c r="AD36" s="109">
        <v>0.97</v>
      </c>
      <c r="AE36" s="40">
        <f t="shared" si="14"/>
        <v>2952.3518605628501</v>
      </c>
      <c r="AF36" s="39">
        <f t="shared" si="15"/>
        <v>9.2622782057861208</v>
      </c>
      <c r="AG36" s="132">
        <f t="shared" si="16"/>
        <v>2952.1799105991417</v>
      </c>
      <c r="AH36" s="148">
        <f t="shared" si="54"/>
        <v>0.88</v>
      </c>
      <c r="AI36" s="132">
        <f t="shared" si="67"/>
        <v>3354.7498984081158</v>
      </c>
      <c r="AJ36" s="152">
        <f t="shared" si="57"/>
        <v>50.942530131823666</v>
      </c>
      <c r="AK36" s="152">
        <f t="shared" si="35"/>
        <v>65.853617590784168</v>
      </c>
      <c r="AL36" s="167">
        <v>0.99</v>
      </c>
      <c r="AM36" s="140">
        <f t="shared" si="17"/>
        <v>3388.6362610182987</v>
      </c>
      <c r="AN36" s="132">
        <f t="shared" si="18"/>
        <v>3538.5251499071874</v>
      </c>
      <c r="AO36" s="260">
        <f>IF(AN36&lt;Battery!$D$4,Battery!$F$4,FORECAST(AN36,Battery!$F$3:$F$7,Battery!$D$3:$D$7))</f>
        <v>0.93359137763672284</v>
      </c>
      <c r="AP36" s="263">
        <f>AO36*Battery!$E$3</f>
        <v>1486.2027858874519</v>
      </c>
      <c r="AQ36" s="40">
        <f t="shared" si="36"/>
        <v>2.6086956521739131</v>
      </c>
      <c r="AR36" s="152">
        <f t="shared" si="37"/>
        <v>9230.9351736709232</v>
      </c>
      <c r="AS36" s="152">
        <f t="shared" si="49"/>
        <v>569.71106792352327</v>
      </c>
      <c r="AT36" s="152" t="b">
        <f t="shared" si="38"/>
        <v>0</v>
      </c>
      <c r="AU36" s="132">
        <f t="shared" si="64"/>
        <v>2968.814081983664</v>
      </c>
      <c r="AV36" s="160">
        <v>0.99</v>
      </c>
      <c r="AW36" s="132">
        <f t="shared" si="50"/>
        <v>2998.802103013802</v>
      </c>
      <c r="AX36" s="253">
        <f>VLOOKUP($AX$7,'Solar Panels'!$G$6:$K$17,5,FALSE)</f>
        <v>1774.5</v>
      </c>
      <c r="AY36" s="40" t="b">
        <f t="shared" si="20"/>
        <v>0</v>
      </c>
      <c r="AZ36" s="229">
        <f t="shared" si="21"/>
        <v>2998.802103013802</v>
      </c>
      <c r="BA36" s="224">
        <f t="shared" si="22"/>
        <v>2344.2110679235234</v>
      </c>
      <c r="BB36" s="224">
        <f t="shared" si="39"/>
        <v>-654.59103509027864</v>
      </c>
      <c r="BC36" s="224">
        <f t="shared" si="40"/>
        <v>-654.59103509027864</v>
      </c>
      <c r="BD36" s="224">
        <f t="shared" si="23"/>
        <v>7822.9620078620919</v>
      </c>
      <c r="BE36" s="224">
        <f t="shared" si="24"/>
        <v>6115.3332206700607</v>
      </c>
      <c r="BF36" s="225">
        <f t="shared" si="25"/>
        <v>2.0392586808326358</v>
      </c>
      <c r="BG36" s="214">
        <f t="shared" si="3"/>
        <v>2.6086956521739131</v>
      </c>
      <c r="BH36" s="222">
        <f t="shared" si="41"/>
        <v>-0.56943697134127724</v>
      </c>
      <c r="BJ36" s="40"/>
      <c r="BL36" s="1">
        <f t="shared" si="42"/>
        <v>0</v>
      </c>
      <c r="BM36" s="1">
        <f t="shared" si="43"/>
        <v>0</v>
      </c>
      <c r="BU36" s="22">
        <f t="shared" ref="BU36:DE36" si="81">IF(SIGN(BU$8-$K36*BU$7^2)*SIGN(BV$8-$K36*BV$7^2)=-1,INTERCEPT(BU$7:BV$7, BU$8:BV$8-$K36*(BU$7:BV$7)^2),0)</f>
        <v>0</v>
      </c>
      <c r="BV36" s="22">
        <f t="shared" si="81"/>
        <v>0</v>
      </c>
      <c r="BW36" s="22">
        <f t="shared" si="81"/>
        <v>0</v>
      </c>
      <c r="BX36" s="22">
        <f t="shared" si="81"/>
        <v>0</v>
      </c>
      <c r="BY36" s="22">
        <f t="shared" si="81"/>
        <v>0</v>
      </c>
      <c r="BZ36" s="22">
        <f t="shared" si="81"/>
        <v>0</v>
      </c>
      <c r="CA36" s="22">
        <f t="shared" si="81"/>
        <v>1.0819999089930428</v>
      </c>
      <c r="CB36" s="22">
        <f t="shared" si="81"/>
        <v>0</v>
      </c>
      <c r="CC36" s="22">
        <f t="shared" si="81"/>
        <v>0</v>
      </c>
      <c r="CD36" s="22">
        <f t="shared" si="81"/>
        <v>0</v>
      </c>
      <c r="CE36" s="22">
        <f t="shared" si="81"/>
        <v>0</v>
      </c>
      <c r="CF36" s="22">
        <f t="shared" si="81"/>
        <v>0</v>
      </c>
      <c r="CG36" s="22">
        <f t="shared" si="81"/>
        <v>0</v>
      </c>
      <c r="CH36" s="22">
        <f t="shared" si="81"/>
        <v>0</v>
      </c>
      <c r="CI36" s="22">
        <f t="shared" si="81"/>
        <v>0</v>
      </c>
      <c r="CJ36" s="22">
        <f t="shared" si="81"/>
        <v>0</v>
      </c>
      <c r="CK36" s="22">
        <f t="shared" si="81"/>
        <v>0</v>
      </c>
      <c r="CL36" s="22">
        <f t="shared" si="81"/>
        <v>0</v>
      </c>
      <c r="CM36" s="22">
        <f t="shared" si="81"/>
        <v>0</v>
      </c>
      <c r="CN36" s="22">
        <f t="shared" si="81"/>
        <v>0</v>
      </c>
      <c r="CO36" s="22">
        <f t="shared" si="81"/>
        <v>0</v>
      </c>
      <c r="CP36" s="22">
        <f t="shared" si="81"/>
        <v>0</v>
      </c>
      <c r="CQ36" s="22">
        <f t="shared" si="81"/>
        <v>0</v>
      </c>
      <c r="CR36" s="22">
        <f t="shared" si="81"/>
        <v>0</v>
      </c>
      <c r="CS36" s="22">
        <f t="shared" si="81"/>
        <v>0</v>
      </c>
      <c r="CT36" s="22">
        <f t="shared" si="81"/>
        <v>0</v>
      </c>
      <c r="CU36" s="22">
        <f t="shared" si="81"/>
        <v>0</v>
      </c>
      <c r="CV36" s="22">
        <f t="shared" si="81"/>
        <v>0</v>
      </c>
      <c r="CW36" s="22">
        <f t="shared" si="81"/>
        <v>0</v>
      </c>
      <c r="CX36" s="22">
        <f t="shared" si="81"/>
        <v>0</v>
      </c>
      <c r="CY36" s="22">
        <f t="shared" si="81"/>
        <v>0</v>
      </c>
      <c r="CZ36" s="22">
        <f t="shared" si="81"/>
        <v>0</v>
      </c>
      <c r="DA36" s="22">
        <f t="shared" si="81"/>
        <v>0</v>
      </c>
      <c r="DB36" s="22">
        <f t="shared" si="81"/>
        <v>0</v>
      </c>
      <c r="DC36" s="22">
        <f t="shared" si="81"/>
        <v>0</v>
      </c>
      <c r="DD36" s="22">
        <f t="shared" si="81"/>
        <v>0</v>
      </c>
      <c r="DE36" s="22">
        <f t="shared" si="81"/>
        <v>0</v>
      </c>
      <c r="DF36" s="22">
        <f t="shared" si="78"/>
        <v>1.0819999089930428</v>
      </c>
    </row>
    <row r="37" spans="1:110" x14ac:dyDescent="0.25">
      <c r="B37" s="70">
        <f>resistance!J29</f>
        <v>6.6666666666666661</v>
      </c>
      <c r="C37" s="3">
        <f>resistance!I29</f>
        <v>24</v>
      </c>
      <c r="D37" s="16">
        <f>resistance!Z29</f>
        <v>312.47698944948576</v>
      </c>
      <c r="E37" s="16">
        <f>resistance!AA29</f>
        <v>57.316595547489399</v>
      </c>
      <c r="F37" s="16">
        <f>resistance!AB29</f>
        <v>0</v>
      </c>
      <c r="G37" s="16">
        <f>resistance!AC29</f>
        <v>369.79358499697514</v>
      </c>
      <c r="H37" s="126">
        <f t="shared" si="4"/>
        <v>2465.2905666465008</v>
      </c>
      <c r="I37" s="16">
        <f t="shared" si="56"/>
        <v>389.25640525997386</v>
      </c>
      <c r="J37" s="4">
        <f>B37*(1-$E$7/100)</f>
        <v>6.6666666666666661</v>
      </c>
      <c r="K37" s="28">
        <f t="shared" si="60"/>
        <v>6.7630365580680016E-2</v>
      </c>
      <c r="L37" s="27">
        <f t="shared" si="45"/>
        <v>1.0854197264311494</v>
      </c>
      <c r="M37" s="27">
        <f t="shared" si="52"/>
        <v>1.0854197264311494</v>
      </c>
      <c r="N37" s="16">
        <f t="shared" si="46"/>
        <v>1023.6695391232981</v>
      </c>
      <c r="O37" s="16">
        <f t="shared" si="47"/>
        <v>17.061158985388303</v>
      </c>
      <c r="P37" s="96">
        <f t="shared" si="29"/>
        <v>7.9677767201978306E-2</v>
      </c>
      <c r="Q37" s="96">
        <f t="shared" si="30"/>
        <v>7.967776720197832E-2</v>
      </c>
      <c r="R37" s="27">
        <f t="shared" si="48"/>
        <v>0.16488372320730083</v>
      </c>
      <c r="S37" s="96">
        <f t="shared" si="6"/>
        <v>1.6488372320730086E-2</v>
      </c>
      <c r="T37" s="68">
        <f t="shared" si="31"/>
        <v>0.83478994937367157</v>
      </c>
      <c r="U37" s="27">
        <f t="shared" si="7"/>
        <v>6.666666666666667</v>
      </c>
      <c r="V37" s="16">
        <f t="shared" si="8"/>
        <v>389.25640525997386</v>
      </c>
      <c r="W37" s="16">
        <f t="shared" si="9"/>
        <v>28.998724674084389</v>
      </c>
      <c r="X37" s="122">
        <f t="shared" si="32"/>
        <v>2595.042701733159</v>
      </c>
      <c r="Y37" s="68">
        <f t="shared" si="10"/>
        <v>0.7930504519049878</v>
      </c>
      <c r="Z37" s="76">
        <f t="shared" si="33"/>
        <v>0.83478994937367135</v>
      </c>
      <c r="AA37" s="116">
        <f t="shared" si="11"/>
        <v>3108.6175674254046</v>
      </c>
      <c r="AB37" s="40">
        <f t="shared" si="12"/>
        <v>1023.6695391232981</v>
      </c>
      <c r="AC37" s="39">
        <f t="shared" si="13"/>
        <v>28.998724674084389</v>
      </c>
      <c r="AD37" s="109">
        <v>0.97</v>
      </c>
      <c r="AE37" s="40">
        <f t="shared" si="14"/>
        <v>3071.0086173698946</v>
      </c>
      <c r="AF37" s="39">
        <f t="shared" si="15"/>
        <v>9.9651974825032266</v>
      </c>
      <c r="AG37" s="132">
        <f t="shared" si="16"/>
        <v>3303.8766791639964</v>
      </c>
      <c r="AH37" s="148">
        <f t="shared" si="54"/>
        <v>0.88</v>
      </c>
      <c r="AI37" s="132">
        <f t="shared" si="67"/>
        <v>3754.405317231814</v>
      </c>
      <c r="AJ37" s="152">
        <f t="shared" si="57"/>
        <v>54.808586153767742</v>
      </c>
      <c r="AK37" s="152">
        <f t="shared" si="35"/>
        <v>68.500313193605749</v>
      </c>
      <c r="AL37" s="167">
        <v>0.99</v>
      </c>
      <c r="AM37" s="140">
        <f t="shared" si="17"/>
        <v>3792.3286032644587</v>
      </c>
      <c r="AN37" s="132">
        <f t="shared" si="18"/>
        <v>3942.2174921533474</v>
      </c>
      <c r="AO37" s="260">
        <f>IF(AN37&lt;Battery!$D$4,Battery!$F$4,FORECAST(AN37,Battery!$F$3:$F$7,Battery!$D$3:$D$7))</f>
        <v>0.92562741898921019</v>
      </c>
      <c r="AP37" s="263">
        <f>AO37*Battery!$E$3</f>
        <v>1473.5248008373035</v>
      </c>
      <c r="AQ37" s="40">
        <f t="shared" si="36"/>
        <v>2.5</v>
      </c>
      <c r="AR37" s="152">
        <f t="shared" si="37"/>
        <v>9855.5437303833678</v>
      </c>
      <c r="AS37" s="152">
        <f t="shared" si="49"/>
        <v>589.40992033492137</v>
      </c>
      <c r="AT37" s="152" t="b">
        <f t="shared" si="38"/>
        <v>0</v>
      </c>
      <c r="AU37" s="132">
        <f t="shared" si="64"/>
        <v>3352.8075718184259</v>
      </c>
      <c r="AV37" s="160">
        <v>0.99</v>
      </c>
      <c r="AW37" s="132">
        <f t="shared" si="50"/>
        <v>3386.674314968107</v>
      </c>
      <c r="AX37" s="253">
        <f>VLOOKUP($AX$7,'Solar Panels'!$G$6:$K$17,5,FALSE)</f>
        <v>1774.5</v>
      </c>
      <c r="AY37" s="40" t="b">
        <f t="shared" si="20"/>
        <v>0</v>
      </c>
      <c r="AZ37" s="229">
        <f t="shared" si="21"/>
        <v>3386.674314968107</v>
      </c>
      <c r="BA37" s="224">
        <f t="shared" si="22"/>
        <v>2363.9099203349215</v>
      </c>
      <c r="BB37" s="224">
        <f t="shared" si="39"/>
        <v>-1022.7643946331855</v>
      </c>
      <c r="BC37" s="224">
        <f t="shared" si="40"/>
        <v>-1022.7643946331855</v>
      </c>
      <c r="BD37" s="224">
        <f t="shared" si="23"/>
        <v>8466.6857874202669</v>
      </c>
      <c r="BE37" s="224">
        <f t="shared" si="24"/>
        <v>5909.7748008373037</v>
      </c>
      <c r="BF37" s="225">
        <f t="shared" si="25"/>
        <v>1.7450083034904871</v>
      </c>
      <c r="BG37" s="214">
        <f t="shared" si="3"/>
        <v>2.5</v>
      </c>
      <c r="BH37" s="222">
        <f t="shared" si="41"/>
        <v>-0.75499169650951292</v>
      </c>
      <c r="BJ37" s="40"/>
      <c r="BL37" s="1">
        <f t="shared" si="42"/>
        <v>0</v>
      </c>
      <c r="BM37" s="1">
        <f t="shared" si="43"/>
        <v>0</v>
      </c>
      <c r="BU37" s="22">
        <f t="shared" ref="BU37:DE37" si="82">IF(SIGN(BU$8-$K37*BU$7^2)*SIGN(BV$8-$K37*BV$7^2)=-1,INTERCEPT(BU$7:BV$7, BU$8:BV$8-$K37*(BU$7:BV$7)^2),0)</f>
        <v>0</v>
      </c>
      <c r="BV37" s="22">
        <f t="shared" si="82"/>
        <v>0</v>
      </c>
      <c r="BW37" s="22">
        <f t="shared" si="82"/>
        <v>0</v>
      </c>
      <c r="BX37" s="22">
        <f t="shared" si="82"/>
        <v>0</v>
      </c>
      <c r="BY37" s="22">
        <f t="shared" si="82"/>
        <v>0</v>
      </c>
      <c r="BZ37" s="22">
        <f t="shared" si="82"/>
        <v>0</v>
      </c>
      <c r="CA37" s="22">
        <f t="shared" si="82"/>
        <v>1.0854197264311494</v>
      </c>
      <c r="CB37" s="22">
        <f t="shared" si="82"/>
        <v>0</v>
      </c>
      <c r="CC37" s="22">
        <f t="shared" si="82"/>
        <v>0</v>
      </c>
      <c r="CD37" s="22">
        <f t="shared" si="82"/>
        <v>0</v>
      </c>
      <c r="CE37" s="22">
        <f t="shared" si="82"/>
        <v>0</v>
      </c>
      <c r="CF37" s="22">
        <f t="shared" si="82"/>
        <v>0</v>
      </c>
      <c r="CG37" s="22">
        <f t="shared" si="82"/>
        <v>0</v>
      </c>
      <c r="CH37" s="22">
        <f t="shared" si="82"/>
        <v>0</v>
      </c>
      <c r="CI37" s="22">
        <f t="shared" si="82"/>
        <v>0</v>
      </c>
      <c r="CJ37" s="22">
        <f t="shared" si="82"/>
        <v>0</v>
      </c>
      <c r="CK37" s="22">
        <f t="shared" si="82"/>
        <v>0</v>
      </c>
      <c r="CL37" s="22">
        <f t="shared" si="82"/>
        <v>0</v>
      </c>
      <c r="CM37" s="22">
        <f t="shared" si="82"/>
        <v>0</v>
      </c>
      <c r="CN37" s="22">
        <f t="shared" si="82"/>
        <v>0</v>
      </c>
      <c r="CO37" s="22">
        <f t="shared" si="82"/>
        <v>0</v>
      </c>
      <c r="CP37" s="22">
        <f t="shared" si="82"/>
        <v>0</v>
      </c>
      <c r="CQ37" s="22">
        <f t="shared" si="82"/>
        <v>0</v>
      </c>
      <c r="CR37" s="22">
        <f t="shared" si="82"/>
        <v>0</v>
      </c>
      <c r="CS37" s="22">
        <f t="shared" si="82"/>
        <v>0</v>
      </c>
      <c r="CT37" s="22">
        <f t="shared" si="82"/>
        <v>0</v>
      </c>
      <c r="CU37" s="22">
        <f t="shared" si="82"/>
        <v>0</v>
      </c>
      <c r="CV37" s="22">
        <f t="shared" si="82"/>
        <v>0</v>
      </c>
      <c r="CW37" s="22">
        <f t="shared" si="82"/>
        <v>0</v>
      </c>
      <c r="CX37" s="22">
        <f t="shared" si="82"/>
        <v>0</v>
      </c>
      <c r="CY37" s="22">
        <f t="shared" si="82"/>
        <v>0</v>
      </c>
      <c r="CZ37" s="22">
        <f t="shared" si="82"/>
        <v>0</v>
      </c>
      <c r="DA37" s="22">
        <f t="shared" si="82"/>
        <v>0</v>
      </c>
      <c r="DB37" s="22">
        <f t="shared" si="82"/>
        <v>0</v>
      </c>
      <c r="DC37" s="22">
        <f t="shared" si="82"/>
        <v>0</v>
      </c>
      <c r="DD37" s="22">
        <f t="shared" si="82"/>
        <v>0</v>
      </c>
      <c r="DE37" s="22">
        <f t="shared" si="82"/>
        <v>0</v>
      </c>
      <c r="DF37" s="22">
        <f t="shared" si="78"/>
        <v>1.0854197264311494</v>
      </c>
    </row>
    <row r="38" spans="1:110" x14ac:dyDescent="0.25">
      <c r="B38" s="70">
        <f>resistance!J30</f>
        <v>6.9444444444444446</v>
      </c>
      <c r="C38" s="3">
        <f>resistance!I30</f>
        <v>25</v>
      </c>
      <c r="D38" s="16">
        <f>resistance!Z30</f>
        <v>325.50589137209806</v>
      </c>
      <c r="E38" s="16">
        <f>resistance!AA30</f>
        <v>59.708181257603783</v>
      </c>
      <c r="F38" s="16">
        <f>resistance!AB30</f>
        <v>0</v>
      </c>
      <c r="G38" s="16">
        <f>resistance!AC30</f>
        <v>385.21407262970183</v>
      </c>
      <c r="H38" s="126">
        <f t="shared" si="4"/>
        <v>2675.0977265951515</v>
      </c>
      <c r="I38" s="16">
        <f t="shared" si="56"/>
        <v>405.48849750494929</v>
      </c>
      <c r="J38" s="4">
        <f t="shared" si="5"/>
        <v>6.9444444444444446</v>
      </c>
      <c r="K38" s="28">
        <f t="shared" si="60"/>
        <v>6.4927244597707753E-2</v>
      </c>
      <c r="L38" s="27">
        <f t="shared" si="45"/>
        <v>1.0952780528892712</v>
      </c>
      <c r="M38" s="27">
        <f t="shared" si="52"/>
        <v>1.0952780528892709</v>
      </c>
      <c r="N38" s="16">
        <f t="shared" si="46"/>
        <v>1056.7247324587975</v>
      </c>
      <c r="O38" s="16">
        <f t="shared" si="47"/>
        <v>17.612078874313291</v>
      </c>
      <c r="P38" s="96">
        <f t="shared" si="29"/>
        <v>7.7888930998929823E-2</v>
      </c>
      <c r="Q38" s="96">
        <f t="shared" si="30"/>
        <v>7.7888930998929809E-2</v>
      </c>
      <c r="R38" s="27">
        <f t="shared" si="48"/>
        <v>0.16218622508854003</v>
      </c>
      <c r="S38" s="96">
        <f t="shared" si="6"/>
        <v>1.6218622508854003E-2</v>
      </c>
      <c r="T38" s="68">
        <f t="shared" si="31"/>
        <v>0.8371558081789674</v>
      </c>
      <c r="U38" s="27">
        <f t="shared" si="7"/>
        <v>6.9444444444444455</v>
      </c>
      <c r="V38" s="16">
        <f t="shared" si="8"/>
        <v>405.48849750494941</v>
      </c>
      <c r="W38" s="16">
        <f t="shared" si="9"/>
        <v>30.39619781416679</v>
      </c>
      <c r="X38" s="122">
        <f t="shared" si="32"/>
        <v>2815.8923437843714</v>
      </c>
      <c r="Y38" s="68">
        <f t="shared" si="10"/>
        <v>0.79529801777001852</v>
      </c>
      <c r="Z38" s="76">
        <f t="shared" si="33"/>
        <v>0.83715580817896729</v>
      </c>
      <c r="AA38" s="116">
        <f t="shared" si="11"/>
        <v>3363.6418887299765</v>
      </c>
      <c r="AB38" s="40">
        <f t="shared" si="12"/>
        <v>1056.7247324587975</v>
      </c>
      <c r="AC38" s="39">
        <f t="shared" si="13"/>
        <v>30.39619781416679</v>
      </c>
      <c r="AD38" s="109">
        <v>0.97</v>
      </c>
      <c r="AE38" s="40">
        <f t="shared" si="14"/>
        <v>3170.1741973763924</v>
      </c>
      <c r="AF38" s="39">
        <f t="shared" si="15"/>
        <v>10.445428802119171</v>
      </c>
      <c r="AG38" s="132">
        <f t="shared" si="16"/>
        <v>3574.9196394196792</v>
      </c>
      <c r="AH38" s="148">
        <f t="shared" si="54"/>
        <v>0.88</v>
      </c>
      <c r="AI38" s="132">
        <f t="shared" si="67"/>
        <v>4062.4086811587263</v>
      </c>
      <c r="AJ38" s="152">
        <f t="shared" si="57"/>
        <v>57.449858411655441</v>
      </c>
      <c r="AK38" s="152">
        <f t="shared" si="35"/>
        <v>70.712248793541747</v>
      </c>
      <c r="AL38" s="167">
        <v>0.99</v>
      </c>
      <c r="AM38" s="140">
        <f t="shared" si="17"/>
        <v>4103.4431122815413</v>
      </c>
      <c r="AN38" s="132">
        <f t="shared" si="18"/>
        <v>4253.33200117043</v>
      </c>
      <c r="AO38" s="260">
        <f>IF(AN38&lt;Battery!$D$4,Battery!$F$4,FORECAST(AN38,Battery!$F$3:$F$7,Battery!$D$3:$D$7))</f>
        <v>0.91948981659956075</v>
      </c>
      <c r="AP38" s="263">
        <f>AO38*Battery!$E$3</f>
        <v>1463.7542288411728</v>
      </c>
      <c r="AQ38" s="40">
        <f t="shared" si="36"/>
        <v>2.4</v>
      </c>
      <c r="AR38" s="152">
        <f t="shared" si="37"/>
        <v>10207.996802809032</v>
      </c>
      <c r="AS38" s="152">
        <f t="shared" si="49"/>
        <v>609.8975953504887</v>
      </c>
      <c r="AT38" s="152" t="b">
        <f t="shared" si="38"/>
        <v>0</v>
      </c>
      <c r="AU38" s="132">
        <f t="shared" si="64"/>
        <v>3643.4344058199413</v>
      </c>
      <c r="AV38" s="160">
        <v>0.99</v>
      </c>
      <c r="AW38" s="132">
        <f t="shared" si="50"/>
        <v>3680.2367735554963</v>
      </c>
      <c r="AX38" s="253">
        <f>VLOOKUP($AX$7,'Solar Panels'!$G$6:$K$17,5,FALSE)</f>
        <v>1774.5</v>
      </c>
      <c r="AY38" s="40" t="b">
        <f t="shared" si="20"/>
        <v>0</v>
      </c>
      <c r="AZ38" s="229">
        <f t="shared" si="21"/>
        <v>3680.2367735554963</v>
      </c>
      <c r="BA38" s="224">
        <f t="shared" si="22"/>
        <v>2384.3975953504887</v>
      </c>
      <c r="BB38" s="224">
        <f t="shared" si="39"/>
        <v>-1295.8391782050076</v>
      </c>
      <c r="BC38" s="224">
        <f t="shared" si="40"/>
        <v>-1295.8391782050076</v>
      </c>
      <c r="BD38" s="224">
        <f t="shared" si="23"/>
        <v>8832.5682565331899</v>
      </c>
      <c r="BE38" s="224">
        <f t="shared" si="24"/>
        <v>5722.5542288411725</v>
      </c>
      <c r="BF38" s="225">
        <f t="shared" si="25"/>
        <v>1.5549418640563668</v>
      </c>
      <c r="BG38" s="214">
        <f t="shared" si="3"/>
        <v>2.4</v>
      </c>
      <c r="BH38" s="222">
        <f t="shared" si="41"/>
        <v>-0.8450581359436331</v>
      </c>
      <c r="BJ38" s="40"/>
      <c r="BL38" s="1">
        <f t="shared" si="42"/>
        <v>0</v>
      </c>
      <c r="BM38" s="1">
        <f t="shared" si="43"/>
        <v>0</v>
      </c>
      <c r="BR38" s="6"/>
      <c r="BU38" s="22">
        <f t="shared" ref="BU38:DE38" si="83">IF(SIGN(BU$8-$K38*BU$7^2)*SIGN(BV$8-$K38*BV$7^2)=-1,INTERCEPT(BU$7:BV$7, BU$8:BV$8-$K38*(BU$7:BV$7)^2),0)</f>
        <v>0</v>
      </c>
      <c r="BV38" s="22">
        <f t="shared" si="83"/>
        <v>0</v>
      </c>
      <c r="BW38" s="22">
        <f t="shared" si="83"/>
        <v>0</v>
      </c>
      <c r="BX38" s="22">
        <f t="shared" si="83"/>
        <v>0</v>
      </c>
      <c r="BY38" s="22">
        <f t="shared" si="83"/>
        <v>0</v>
      </c>
      <c r="BZ38" s="22">
        <f t="shared" si="83"/>
        <v>0</v>
      </c>
      <c r="CA38" s="22">
        <f t="shared" si="83"/>
        <v>1.0952780528892712</v>
      </c>
      <c r="CB38" s="22">
        <f t="shared" si="83"/>
        <v>0</v>
      </c>
      <c r="CC38" s="22">
        <f t="shared" si="83"/>
        <v>0</v>
      </c>
      <c r="CD38" s="22">
        <f t="shared" si="83"/>
        <v>0</v>
      </c>
      <c r="CE38" s="22">
        <f t="shared" si="83"/>
        <v>0</v>
      </c>
      <c r="CF38" s="22">
        <f t="shared" si="83"/>
        <v>0</v>
      </c>
      <c r="CG38" s="22">
        <f t="shared" si="83"/>
        <v>0</v>
      </c>
      <c r="CH38" s="22">
        <f t="shared" si="83"/>
        <v>0</v>
      </c>
      <c r="CI38" s="22">
        <f t="shared" si="83"/>
        <v>0</v>
      </c>
      <c r="CJ38" s="22">
        <f t="shared" si="83"/>
        <v>0</v>
      </c>
      <c r="CK38" s="22">
        <f t="shared" si="83"/>
        <v>0</v>
      </c>
      <c r="CL38" s="22">
        <f t="shared" si="83"/>
        <v>0</v>
      </c>
      <c r="CM38" s="22">
        <f t="shared" si="83"/>
        <v>0</v>
      </c>
      <c r="CN38" s="22">
        <f t="shared" si="83"/>
        <v>0</v>
      </c>
      <c r="CO38" s="22">
        <f t="shared" si="83"/>
        <v>0</v>
      </c>
      <c r="CP38" s="22">
        <f t="shared" si="83"/>
        <v>0</v>
      </c>
      <c r="CQ38" s="22">
        <f t="shared" si="83"/>
        <v>0</v>
      </c>
      <c r="CR38" s="22">
        <f t="shared" si="83"/>
        <v>0</v>
      </c>
      <c r="CS38" s="22">
        <f t="shared" si="83"/>
        <v>0</v>
      </c>
      <c r="CT38" s="22">
        <f t="shared" si="83"/>
        <v>0</v>
      </c>
      <c r="CU38" s="22">
        <f t="shared" si="83"/>
        <v>0</v>
      </c>
      <c r="CV38" s="22">
        <f t="shared" si="83"/>
        <v>0</v>
      </c>
      <c r="CW38" s="22">
        <f t="shared" si="83"/>
        <v>0</v>
      </c>
      <c r="CX38" s="22">
        <f t="shared" si="83"/>
        <v>0</v>
      </c>
      <c r="CY38" s="22">
        <f t="shared" si="83"/>
        <v>0</v>
      </c>
      <c r="CZ38" s="22">
        <f t="shared" si="83"/>
        <v>0</v>
      </c>
      <c r="DA38" s="22">
        <f t="shared" si="83"/>
        <v>0</v>
      </c>
      <c r="DB38" s="22">
        <f t="shared" si="83"/>
        <v>0</v>
      </c>
      <c r="DC38" s="22">
        <f t="shared" si="83"/>
        <v>0</v>
      </c>
      <c r="DD38" s="22">
        <f t="shared" si="83"/>
        <v>0</v>
      </c>
      <c r="DE38" s="22">
        <f t="shared" si="83"/>
        <v>0</v>
      </c>
      <c r="DF38" s="22">
        <f t="shared" si="78"/>
        <v>1.0952780528892712</v>
      </c>
    </row>
    <row r="39" spans="1:110" x14ac:dyDescent="0.25">
      <c r="B39" s="70">
        <f>resistance!J31</f>
        <v>7.2222222222222223</v>
      </c>
      <c r="C39" s="3">
        <f>resistance!I31</f>
        <v>26</v>
      </c>
      <c r="D39" s="16">
        <f>resistance!Z31</f>
        <v>338.52612702698201</v>
      </c>
      <c r="E39" s="16">
        <f>resistance!AA31</f>
        <v>62.096508507907934</v>
      </c>
      <c r="F39" s="16">
        <f>resistance!AB31</f>
        <v>0</v>
      </c>
      <c r="G39" s="16">
        <f>resistance!AC31</f>
        <v>400.62263553488992</v>
      </c>
      <c r="H39" s="126">
        <f t="shared" si="4"/>
        <v>2893.3857010853162</v>
      </c>
      <c r="I39" s="16">
        <f t="shared" si="56"/>
        <v>421.70803740514731</v>
      </c>
      <c r="J39" s="4">
        <f t="shared" si="5"/>
        <v>7.2222222222222223</v>
      </c>
      <c r="K39" s="28">
        <f t="shared" si="60"/>
        <v>6.2430042882411309E-2</v>
      </c>
      <c r="L39" s="27">
        <f t="shared" si="45"/>
        <v>1.104718942106973</v>
      </c>
      <c r="M39" s="27">
        <f t="shared" si="52"/>
        <v>1.1047189421069727</v>
      </c>
      <c r="N39" s="16">
        <f t="shared" si="46"/>
        <v>1089.6017600711566</v>
      </c>
      <c r="O39" s="16">
        <f t="shared" si="47"/>
        <v>18.160029334519276</v>
      </c>
      <c r="P39" s="96">
        <f t="shared" si="29"/>
        <v>7.6189870373612106E-2</v>
      </c>
      <c r="Q39" s="96">
        <f t="shared" si="30"/>
        <v>7.6189870373612092E-2</v>
      </c>
      <c r="R39" s="27">
        <f t="shared" si="48"/>
        <v>0.15960294880809195</v>
      </c>
      <c r="S39" s="96">
        <f t="shared" si="6"/>
        <v>1.5960294880809196E-2</v>
      </c>
      <c r="T39" s="68">
        <f t="shared" si="31"/>
        <v>0.83932132193275133</v>
      </c>
      <c r="U39" s="27">
        <f t="shared" si="7"/>
        <v>7.2222222222222232</v>
      </c>
      <c r="V39" s="16">
        <f t="shared" si="8"/>
        <v>421.70803740514737</v>
      </c>
      <c r="W39" s="16">
        <f t="shared" si="9"/>
        <v>31.80226525037957</v>
      </c>
      <c r="X39" s="122">
        <f t="shared" si="32"/>
        <v>3045.6691590371756</v>
      </c>
      <c r="Y39" s="68">
        <f t="shared" si="10"/>
        <v>0.79735525583611333</v>
      </c>
      <c r="Z39" s="76">
        <f t="shared" si="33"/>
        <v>0.83932132193275111</v>
      </c>
      <c r="AA39" s="116">
        <f t="shared" si="11"/>
        <v>3628.7284493425555</v>
      </c>
      <c r="AB39" s="40">
        <f t="shared" si="12"/>
        <v>1089.6017600711566</v>
      </c>
      <c r="AC39" s="39">
        <f t="shared" si="13"/>
        <v>31.80226525037957</v>
      </c>
      <c r="AD39" s="109">
        <v>0.97</v>
      </c>
      <c r="AE39" s="40">
        <f t="shared" si="14"/>
        <v>3268.8052802134698</v>
      </c>
      <c r="AF39" s="39">
        <f t="shared" si="15"/>
        <v>10.928613488102945</v>
      </c>
      <c r="AG39" s="132">
        <f t="shared" si="16"/>
        <v>3856.6568703821399</v>
      </c>
      <c r="AH39" s="148">
        <f t="shared" si="54"/>
        <v>0.88</v>
      </c>
      <c r="AI39" s="132">
        <f t="shared" si="67"/>
        <v>4382.56462543425</v>
      </c>
      <c r="AJ39" s="152">
        <f t="shared" si="57"/>
        <v>60.107374184566197</v>
      </c>
      <c r="AK39" s="152">
        <f t="shared" si="35"/>
        <v>72.912262178965122</v>
      </c>
      <c r="AL39" s="167">
        <v>0.99</v>
      </c>
      <c r="AM39" s="140">
        <f t="shared" si="17"/>
        <v>4426.832954984091</v>
      </c>
      <c r="AN39" s="132">
        <f t="shared" si="18"/>
        <v>4576.7218438729797</v>
      </c>
      <c r="AO39" s="260">
        <f>IF(AN39&lt;Battery!$D$4,Battery!$F$4,FORECAST(AN39,Battery!$F$3:$F$7,Battery!$D$3:$D$7))</f>
        <v>0.91311004897756742</v>
      </c>
      <c r="AP39" s="263">
        <f>AO39*Battery!$E$3</f>
        <v>1453.5981491683692</v>
      </c>
      <c r="AQ39" s="40">
        <f t="shared" si="36"/>
        <v>2.3076923076923075</v>
      </c>
      <c r="AR39" s="152">
        <f t="shared" si="37"/>
        <v>10561.665793553029</v>
      </c>
      <c r="AS39" s="152">
        <f t="shared" si="49"/>
        <v>629.89253130629334</v>
      </c>
      <c r="AT39" s="152" t="b">
        <f t="shared" si="38"/>
        <v>0</v>
      </c>
      <c r="AU39" s="132">
        <f t="shared" si="64"/>
        <v>3946.8293125666864</v>
      </c>
      <c r="AV39" s="160">
        <v>0.99</v>
      </c>
      <c r="AW39" s="132">
        <f t="shared" si="50"/>
        <v>3986.6962753198854</v>
      </c>
      <c r="AX39" s="253">
        <f>VLOOKUP($AX$7,'Solar Panels'!$G$6:$K$17,5,FALSE)</f>
        <v>1774.5</v>
      </c>
      <c r="AY39" s="40" t="b">
        <f t="shared" si="20"/>
        <v>0</v>
      </c>
      <c r="AZ39" s="229">
        <f t="shared" si="21"/>
        <v>3986.6962753198854</v>
      </c>
      <c r="BA39" s="224">
        <f t="shared" si="22"/>
        <v>2404.3925313062932</v>
      </c>
      <c r="BB39" s="224">
        <f t="shared" si="39"/>
        <v>-1582.3037440135922</v>
      </c>
      <c r="BC39" s="224">
        <f t="shared" si="40"/>
        <v>-1582.3037440135922</v>
      </c>
      <c r="BD39" s="224">
        <f t="shared" si="23"/>
        <v>9200.0683276612726</v>
      </c>
      <c r="BE39" s="224">
        <f t="shared" si="24"/>
        <v>5548.5981491683688</v>
      </c>
      <c r="BF39" s="225">
        <f t="shared" si="25"/>
        <v>1.3917784967762961</v>
      </c>
      <c r="BG39" s="214">
        <f t="shared" si="3"/>
        <v>2.3076923076923075</v>
      </c>
      <c r="BH39" s="222">
        <f t="shared" si="41"/>
        <v>-0.91591381091601143</v>
      </c>
      <c r="BJ39" s="40"/>
      <c r="BL39" s="1">
        <f t="shared" si="42"/>
        <v>0</v>
      </c>
      <c r="BM39" s="1">
        <f t="shared" si="43"/>
        <v>0</v>
      </c>
      <c r="BR39" s="6"/>
      <c r="BU39" s="22">
        <f t="shared" ref="BU39:DE39" si="84">IF(SIGN(BU$8-$K39*BU$7^2)*SIGN(BV$8-$K39*BV$7^2)=-1,INTERCEPT(BU$7:BV$7, BU$8:BV$8-$K39*(BU$7:BV$7)^2),0)</f>
        <v>0</v>
      </c>
      <c r="BV39" s="22">
        <f t="shared" si="84"/>
        <v>0</v>
      </c>
      <c r="BW39" s="22">
        <f t="shared" si="84"/>
        <v>0</v>
      </c>
      <c r="BX39" s="22">
        <f t="shared" si="84"/>
        <v>0</v>
      </c>
      <c r="BY39" s="22">
        <f t="shared" si="84"/>
        <v>0</v>
      </c>
      <c r="BZ39" s="22">
        <f t="shared" si="84"/>
        <v>0</v>
      </c>
      <c r="CA39" s="22">
        <f t="shared" si="84"/>
        <v>1.104718942106973</v>
      </c>
      <c r="CB39" s="22">
        <f t="shared" si="84"/>
        <v>0</v>
      </c>
      <c r="CC39" s="22">
        <f t="shared" si="84"/>
        <v>0</v>
      </c>
      <c r="CD39" s="22">
        <f t="shared" si="84"/>
        <v>0</v>
      </c>
      <c r="CE39" s="22">
        <f t="shared" si="84"/>
        <v>0</v>
      </c>
      <c r="CF39" s="22">
        <f t="shared" si="84"/>
        <v>0</v>
      </c>
      <c r="CG39" s="22">
        <f t="shared" si="84"/>
        <v>0</v>
      </c>
      <c r="CH39" s="22">
        <f t="shared" si="84"/>
        <v>0</v>
      </c>
      <c r="CI39" s="22">
        <f t="shared" si="84"/>
        <v>0</v>
      </c>
      <c r="CJ39" s="22">
        <f t="shared" si="84"/>
        <v>0</v>
      </c>
      <c r="CK39" s="22">
        <f t="shared" si="84"/>
        <v>0</v>
      </c>
      <c r="CL39" s="22">
        <f t="shared" si="84"/>
        <v>0</v>
      </c>
      <c r="CM39" s="22">
        <f t="shared" si="84"/>
        <v>0</v>
      </c>
      <c r="CN39" s="22">
        <f t="shared" si="84"/>
        <v>0</v>
      </c>
      <c r="CO39" s="22">
        <f t="shared" si="84"/>
        <v>0</v>
      </c>
      <c r="CP39" s="22">
        <f t="shared" si="84"/>
        <v>0</v>
      </c>
      <c r="CQ39" s="22">
        <f t="shared" si="84"/>
        <v>0</v>
      </c>
      <c r="CR39" s="22">
        <f t="shared" si="84"/>
        <v>0</v>
      </c>
      <c r="CS39" s="22">
        <f t="shared" si="84"/>
        <v>0</v>
      </c>
      <c r="CT39" s="22">
        <f t="shared" si="84"/>
        <v>0</v>
      </c>
      <c r="CU39" s="22">
        <f t="shared" si="84"/>
        <v>0</v>
      </c>
      <c r="CV39" s="22">
        <f t="shared" si="84"/>
        <v>0</v>
      </c>
      <c r="CW39" s="22">
        <f t="shared" si="84"/>
        <v>0</v>
      </c>
      <c r="CX39" s="22">
        <f t="shared" si="84"/>
        <v>0</v>
      </c>
      <c r="CY39" s="22">
        <f t="shared" si="84"/>
        <v>0</v>
      </c>
      <c r="CZ39" s="22">
        <f t="shared" si="84"/>
        <v>0</v>
      </c>
      <c r="DA39" s="22">
        <f t="shared" si="84"/>
        <v>0</v>
      </c>
      <c r="DB39" s="22">
        <f t="shared" si="84"/>
        <v>0</v>
      </c>
      <c r="DC39" s="22">
        <f t="shared" si="84"/>
        <v>0</v>
      </c>
      <c r="DD39" s="22">
        <f t="shared" si="84"/>
        <v>0</v>
      </c>
      <c r="DE39" s="22">
        <f t="shared" si="84"/>
        <v>0</v>
      </c>
      <c r="DF39" s="22">
        <f t="shared" si="78"/>
        <v>1.104718942106973</v>
      </c>
    </row>
    <row r="40" spans="1:110" x14ac:dyDescent="0.25">
      <c r="B40" s="70">
        <f>resistance!J32</f>
        <v>7.5</v>
      </c>
      <c r="C40" s="3">
        <f>resistance!I32</f>
        <v>27</v>
      </c>
      <c r="D40" s="16">
        <f>resistance!Z32</f>
        <v>351.5463626818659</v>
      </c>
      <c r="E40" s="16">
        <f>resistance!AA32</f>
        <v>64.484835758212085</v>
      </c>
      <c r="F40" s="16">
        <f>resistance!AB32</f>
        <v>0</v>
      </c>
      <c r="G40" s="16">
        <f>resistance!AC32</f>
        <v>416.03119844007801</v>
      </c>
      <c r="H40" s="126">
        <f t="shared" si="4"/>
        <v>3120.2339883005852</v>
      </c>
      <c r="I40" s="16">
        <f t="shared" si="56"/>
        <v>437.92757730534532</v>
      </c>
      <c r="J40" s="4">
        <f t="shared" si="5"/>
        <v>7.5</v>
      </c>
      <c r="K40" s="28">
        <f t="shared" si="60"/>
        <v>6.0117819071951642E-2</v>
      </c>
      <c r="L40" s="27">
        <f t="shared" si="45"/>
        <v>1.1137614995875336</v>
      </c>
      <c r="M40" s="27">
        <f t="shared" si="52"/>
        <v>1.1137614995875336</v>
      </c>
      <c r="N40" s="16">
        <f t="shared" si="46"/>
        <v>1122.3228675644837</v>
      </c>
      <c r="O40" s="16">
        <f t="shared" si="47"/>
        <v>18.705381126074727</v>
      </c>
      <c r="P40" s="96">
        <f t="shared" si="29"/>
        <v>7.457403107495475E-2</v>
      </c>
      <c r="Q40" s="96">
        <f t="shared" si="30"/>
        <v>7.4574031074954736E-2</v>
      </c>
      <c r="R40" s="27">
        <f t="shared" si="48"/>
        <v>0.15712866659637809</v>
      </c>
      <c r="S40" s="96">
        <f t="shared" si="6"/>
        <v>1.5712866659637809E-2</v>
      </c>
      <c r="T40" s="68">
        <f t="shared" si="31"/>
        <v>0.84128767620733091</v>
      </c>
      <c r="U40" s="27">
        <f t="shared" si="7"/>
        <v>7.5000000000000009</v>
      </c>
      <c r="V40" s="16">
        <f t="shared" si="8"/>
        <v>437.92757730534538</v>
      </c>
      <c r="W40" s="16">
        <f t="shared" si="9"/>
        <v>33.217932712661352</v>
      </c>
      <c r="X40" s="122">
        <f t="shared" si="32"/>
        <v>3284.456829790091</v>
      </c>
      <c r="Y40" s="68">
        <f t="shared" si="10"/>
        <v>0.79922329239696421</v>
      </c>
      <c r="Z40" s="76">
        <f t="shared" si="33"/>
        <v>0.84128767620733091</v>
      </c>
      <c r="AA40" s="116">
        <f t="shared" si="11"/>
        <v>3904.0828989638662</v>
      </c>
      <c r="AB40" s="40">
        <f t="shared" si="12"/>
        <v>1122.3228675644837</v>
      </c>
      <c r="AC40" s="39">
        <f t="shared" si="13"/>
        <v>33.217932712661352</v>
      </c>
      <c r="AD40" s="109">
        <v>0.97</v>
      </c>
      <c r="AE40" s="40">
        <f t="shared" si="14"/>
        <v>3366.968602693451</v>
      </c>
      <c r="AF40" s="39">
        <f t="shared" si="15"/>
        <v>11.415097152117303</v>
      </c>
      <c r="AG40" s="132">
        <f t="shared" si="16"/>
        <v>4149.3069390624578</v>
      </c>
      <c r="AH40" s="148">
        <f t="shared" si="54"/>
        <v>0.88</v>
      </c>
      <c r="AI40" s="132">
        <f t="shared" si="67"/>
        <v>4715.1215216618839</v>
      </c>
      <c r="AJ40" s="152">
        <f t="shared" si="57"/>
        <v>62.783034336645166</v>
      </c>
      <c r="AK40" s="152">
        <f t="shared" si="35"/>
        <v>75.101841946332371</v>
      </c>
      <c r="AL40" s="167">
        <v>0.99</v>
      </c>
      <c r="AM40" s="140">
        <f t="shared" si="17"/>
        <v>4762.7490117796806</v>
      </c>
      <c r="AN40" s="132">
        <f t="shared" si="18"/>
        <v>4912.6379006685693</v>
      </c>
      <c r="AO40" s="260">
        <f>IF(AN40&lt;Battery!$D$4,Battery!$F$4,FORECAST(AN40,Battery!$F$3:$F$7,Battery!$D$3:$D$7))</f>
        <v>0.90648316680667818</v>
      </c>
      <c r="AP40" s="263">
        <f>AO40*Battery!$E$3</f>
        <v>1443.0486829028871</v>
      </c>
      <c r="AQ40" s="40">
        <f t="shared" si="36"/>
        <v>2.2222222222222223</v>
      </c>
      <c r="AR40" s="152">
        <f t="shared" si="37"/>
        <v>10916.973112596821</v>
      </c>
      <c r="AS40" s="152">
        <f t="shared" si="49"/>
        <v>649.37190730629914</v>
      </c>
      <c r="AT40" s="152" t="b">
        <f t="shared" si="38"/>
        <v>0</v>
      </c>
      <c r="AU40" s="132">
        <f t="shared" si="64"/>
        <v>4263.2659933622699</v>
      </c>
      <c r="AV40" s="160">
        <v>0.99</v>
      </c>
      <c r="AW40" s="132">
        <f t="shared" si="50"/>
        <v>4306.3292862245153</v>
      </c>
      <c r="AX40" s="253">
        <f>VLOOKUP($AX$7,'Solar Panels'!$G$6:$K$17,5,FALSE)</f>
        <v>1774.5</v>
      </c>
      <c r="AY40" s="40" t="b">
        <f t="shared" si="20"/>
        <v>0</v>
      </c>
      <c r="AZ40" s="229">
        <f t="shared" si="21"/>
        <v>4306.3292862245153</v>
      </c>
      <c r="BA40" s="224">
        <f t="shared" si="22"/>
        <v>2423.8719073062994</v>
      </c>
      <c r="BB40" s="224">
        <f t="shared" si="39"/>
        <v>-1882.4573789182159</v>
      </c>
      <c r="BC40" s="224">
        <f t="shared" si="40"/>
        <v>-1882.4573789182159</v>
      </c>
      <c r="BD40" s="224">
        <f t="shared" si="23"/>
        <v>9569.6206360544784</v>
      </c>
      <c r="BE40" s="224">
        <f t="shared" si="24"/>
        <v>5386.3820162362208</v>
      </c>
      <c r="BF40" s="225">
        <f t="shared" si="25"/>
        <v>1.2508058855291624</v>
      </c>
      <c r="BG40" s="214">
        <f t="shared" si="3"/>
        <v>2.2222222222222223</v>
      </c>
      <c r="BH40" s="222">
        <f t="shared" si="41"/>
        <v>-0.97141633669305993</v>
      </c>
      <c r="BJ40" s="40"/>
      <c r="BL40" s="1">
        <f t="shared" si="42"/>
        <v>0</v>
      </c>
      <c r="BM40" s="1">
        <f t="shared" si="43"/>
        <v>0</v>
      </c>
      <c r="BR40" s="6"/>
      <c r="BU40" s="22">
        <f t="shared" ref="BU40:DE40" si="85">IF(SIGN(BU$8-$K40*BU$7^2)*SIGN(BV$8-$K40*BV$7^2)=-1,INTERCEPT(BU$7:BV$7, BU$8:BV$8-$K40*(BU$7:BV$7)^2),0)</f>
        <v>0</v>
      </c>
      <c r="BV40" s="22">
        <f t="shared" si="85"/>
        <v>0</v>
      </c>
      <c r="BW40" s="22">
        <f t="shared" si="85"/>
        <v>0</v>
      </c>
      <c r="BX40" s="22">
        <f t="shared" si="85"/>
        <v>0</v>
      </c>
      <c r="BY40" s="22">
        <f t="shared" si="85"/>
        <v>0</v>
      </c>
      <c r="BZ40" s="22">
        <f t="shared" si="85"/>
        <v>0</v>
      </c>
      <c r="CA40" s="22">
        <f t="shared" si="85"/>
        <v>1.1137614995875336</v>
      </c>
      <c r="CB40" s="22">
        <f t="shared" si="85"/>
        <v>0</v>
      </c>
      <c r="CC40" s="22">
        <f t="shared" si="85"/>
        <v>0</v>
      </c>
      <c r="CD40" s="22">
        <f t="shared" si="85"/>
        <v>0</v>
      </c>
      <c r="CE40" s="22">
        <f t="shared" si="85"/>
        <v>0</v>
      </c>
      <c r="CF40" s="22">
        <f t="shared" si="85"/>
        <v>0</v>
      </c>
      <c r="CG40" s="22">
        <f t="shared" si="85"/>
        <v>0</v>
      </c>
      <c r="CH40" s="22">
        <f t="shared" si="85"/>
        <v>0</v>
      </c>
      <c r="CI40" s="22">
        <f t="shared" si="85"/>
        <v>0</v>
      </c>
      <c r="CJ40" s="22">
        <f t="shared" si="85"/>
        <v>0</v>
      </c>
      <c r="CK40" s="22">
        <f t="shared" si="85"/>
        <v>0</v>
      </c>
      <c r="CL40" s="22">
        <f t="shared" si="85"/>
        <v>0</v>
      </c>
      <c r="CM40" s="22">
        <f t="shared" si="85"/>
        <v>0</v>
      </c>
      <c r="CN40" s="22">
        <f t="shared" si="85"/>
        <v>0</v>
      </c>
      <c r="CO40" s="22">
        <f t="shared" si="85"/>
        <v>0</v>
      </c>
      <c r="CP40" s="22">
        <f t="shared" si="85"/>
        <v>0</v>
      </c>
      <c r="CQ40" s="22">
        <f t="shared" si="85"/>
        <v>0</v>
      </c>
      <c r="CR40" s="22">
        <f t="shared" si="85"/>
        <v>0</v>
      </c>
      <c r="CS40" s="22">
        <f t="shared" si="85"/>
        <v>0</v>
      </c>
      <c r="CT40" s="22">
        <f t="shared" si="85"/>
        <v>0</v>
      </c>
      <c r="CU40" s="22">
        <f t="shared" si="85"/>
        <v>0</v>
      </c>
      <c r="CV40" s="22">
        <f t="shared" si="85"/>
        <v>0</v>
      </c>
      <c r="CW40" s="22">
        <f t="shared" si="85"/>
        <v>0</v>
      </c>
      <c r="CX40" s="22">
        <f t="shared" si="85"/>
        <v>0</v>
      </c>
      <c r="CY40" s="22">
        <f t="shared" si="85"/>
        <v>0</v>
      </c>
      <c r="CZ40" s="22">
        <f t="shared" si="85"/>
        <v>0</v>
      </c>
      <c r="DA40" s="22">
        <f t="shared" si="85"/>
        <v>0</v>
      </c>
      <c r="DB40" s="22">
        <f t="shared" si="85"/>
        <v>0</v>
      </c>
      <c r="DC40" s="22">
        <f t="shared" si="85"/>
        <v>0</v>
      </c>
      <c r="DD40" s="22">
        <f t="shared" si="85"/>
        <v>0</v>
      </c>
      <c r="DE40" s="22">
        <f t="shared" si="85"/>
        <v>0</v>
      </c>
      <c r="DF40" s="22">
        <f t="shared" si="78"/>
        <v>1.1137614995875336</v>
      </c>
    </row>
    <row r="41" spans="1:110" x14ac:dyDescent="0.25">
      <c r="B41" s="70">
        <f>resistance!J33</f>
        <v>7.7777777777777777</v>
      </c>
      <c r="C41" s="3">
        <f>resistance!I33</f>
        <v>28</v>
      </c>
      <c r="D41" s="16">
        <f>resistance!Z33</f>
        <v>364.56659833674985</v>
      </c>
      <c r="E41" s="16">
        <f>resistance!AA33</f>
        <v>66.873163008516244</v>
      </c>
      <c r="F41" s="16">
        <f>resistance!AB33</f>
        <v>0</v>
      </c>
      <c r="G41" s="16">
        <f>resistance!AC33</f>
        <v>431.43976134526611</v>
      </c>
      <c r="H41" s="126">
        <f t="shared" si="4"/>
        <v>3355.6425882409585</v>
      </c>
      <c r="I41" s="16">
        <f t="shared" si="56"/>
        <v>454.14711720554328</v>
      </c>
      <c r="J41" s="4">
        <f t="shared" si="5"/>
        <v>7.7777777777777777</v>
      </c>
      <c r="K41" s="28">
        <f t="shared" si="60"/>
        <v>5.7970754105096223E-2</v>
      </c>
      <c r="L41" s="27">
        <f t="shared" si="45"/>
        <v>1.1224304142209114</v>
      </c>
      <c r="M41" s="27">
        <f t="shared" si="52"/>
        <v>1.1224304142209112</v>
      </c>
      <c r="N41" s="16">
        <f t="shared" si="46"/>
        <v>1154.9012570156226</v>
      </c>
      <c r="O41" s="16">
        <f t="shared" si="47"/>
        <v>19.248354283593709</v>
      </c>
      <c r="P41" s="96">
        <f t="shared" si="29"/>
        <v>7.3034456574840007E-2</v>
      </c>
      <c r="Q41" s="96">
        <f t="shared" si="30"/>
        <v>7.3034456574839993E-2</v>
      </c>
      <c r="R41" s="27">
        <f t="shared" si="48"/>
        <v>0.15475662292197034</v>
      </c>
      <c r="S41" s="96">
        <f t="shared" si="6"/>
        <v>1.5475662292197037E-2</v>
      </c>
      <c r="T41" s="68">
        <f t="shared" si="31"/>
        <v>0.84305928517311524</v>
      </c>
      <c r="U41" s="27">
        <f t="shared" si="7"/>
        <v>7.7777777777777786</v>
      </c>
      <c r="V41" s="16">
        <f t="shared" si="8"/>
        <v>454.14711720554345</v>
      </c>
      <c r="W41" s="16">
        <f t="shared" si="9"/>
        <v>34.643399687276393</v>
      </c>
      <c r="X41" s="122">
        <f t="shared" si="32"/>
        <v>3532.2553560431161</v>
      </c>
      <c r="Y41" s="68">
        <f t="shared" si="10"/>
        <v>0.80090632091445901</v>
      </c>
      <c r="Z41" s="76">
        <f t="shared" si="33"/>
        <v>0.84305928517311524</v>
      </c>
      <c r="AA41" s="116">
        <f t="shared" si="11"/>
        <v>4189.8065986163674</v>
      </c>
      <c r="AB41" s="40">
        <f t="shared" si="12"/>
        <v>1154.9012570156226</v>
      </c>
      <c r="AC41" s="39">
        <f t="shared" si="13"/>
        <v>34.643399687276393</v>
      </c>
      <c r="AD41" s="109">
        <v>0.97</v>
      </c>
      <c r="AE41" s="40">
        <f t="shared" si="14"/>
        <v>3464.7037710468676</v>
      </c>
      <c r="AF41" s="39">
        <f t="shared" si="15"/>
        <v>11.90494834614309</v>
      </c>
      <c r="AG41" s="132">
        <f t="shared" si="16"/>
        <v>4452.9775731920145</v>
      </c>
      <c r="AH41" s="148">
        <f t="shared" si="54"/>
        <v>0.88</v>
      </c>
      <c r="AI41" s="132">
        <f t="shared" si="67"/>
        <v>5060.2017877181979</v>
      </c>
      <c r="AJ41" s="152">
        <f t="shared" si="57"/>
        <v>65.477215903786998</v>
      </c>
      <c r="AK41" s="152">
        <f t="shared" si="35"/>
        <v>77.281871531522029</v>
      </c>
      <c r="AL41" s="167">
        <v>0.99</v>
      </c>
      <c r="AM41" s="140">
        <f t="shared" si="17"/>
        <v>5111.3149370890887</v>
      </c>
      <c r="AN41" s="132">
        <f t="shared" si="18"/>
        <v>5261.2038259779774</v>
      </c>
      <c r="AO41" s="260">
        <f>IF(AN41&lt;Battery!$D$4,Battery!$F$4,FORECAST(AN41,Battery!$F$3:$F$7,Battery!$D$3:$D$7))</f>
        <v>0.89960673065817343</v>
      </c>
      <c r="AP41" s="263">
        <f>AO41*Battery!$E$3</f>
        <v>1432.1019466693594</v>
      </c>
      <c r="AQ41" s="40">
        <f t="shared" si="36"/>
        <v>2.1428571428571428</v>
      </c>
      <c r="AR41" s="152">
        <f t="shared" si="37"/>
        <v>11274.008198524238</v>
      </c>
      <c r="AS41" s="152">
        <f t="shared" si="49"/>
        <v>668.31424177903443</v>
      </c>
      <c r="AT41" s="152" t="b">
        <f t="shared" si="38"/>
        <v>0</v>
      </c>
      <c r="AU41" s="132">
        <f t="shared" si="64"/>
        <v>4592.8895841989433</v>
      </c>
      <c r="AV41" s="160">
        <v>0.99</v>
      </c>
      <c r="AW41" s="132">
        <f t="shared" si="50"/>
        <v>4639.2824082817606</v>
      </c>
      <c r="AX41" s="253">
        <f>VLOOKUP($AX$7,'Solar Panels'!$G$6:$K$17,5,FALSE)</f>
        <v>1774.5</v>
      </c>
      <c r="AY41" s="40" t="b">
        <f t="shared" si="20"/>
        <v>0</v>
      </c>
      <c r="AZ41" s="229">
        <f t="shared" si="21"/>
        <v>4639.2824082817606</v>
      </c>
      <c r="BA41" s="224">
        <f t="shared" si="22"/>
        <v>2442.8142417790345</v>
      </c>
      <c r="BB41" s="224">
        <f t="shared" si="39"/>
        <v>-2196.468166502726</v>
      </c>
      <c r="BC41" s="224">
        <f t="shared" si="40"/>
        <v>-2196.468166502726</v>
      </c>
      <c r="BD41" s="224">
        <f t="shared" si="23"/>
        <v>9941.3194463180589</v>
      </c>
      <c r="BE41" s="224">
        <f t="shared" si="24"/>
        <v>5234.6019466693597</v>
      </c>
      <c r="BF41" s="225">
        <f t="shared" si="25"/>
        <v>1.1283214700025312</v>
      </c>
      <c r="BG41" s="214">
        <f t="shared" si="3"/>
        <v>2.1428571428571428</v>
      </c>
      <c r="BH41" s="222">
        <f t="shared" si="41"/>
        <v>-1.0145356728546115</v>
      </c>
      <c r="BJ41" s="40"/>
      <c r="BK41" s="6"/>
      <c r="BL41" s="1">
        <f t="shared" si="42"/>
        <v>0</v>
      </c>
      <c r="BM41" s="1">
        <f t="shared" si="43"/>
        <v>0</v>
      </c>
      <c r="BR41" s="6"/>
      <c r="BU41" s="22">
        <f t="shared" ref="BU41:DE41" si="86">IF(SIGN(BU$8-$K41*BU$7^2)*SIGN(BV$8-$K41*BV$7^2)=-1,INTERCEPT(BU$7:BV$7, BU$8:BV$8-$K41*(BU$7:BV$7)^2),0)</f>
        <v>0</v>
      </c>
      <c r="BV41" s="22">
        <f t="shared" si="86"/>
        <v>0</v>
      </c>
      <c r="BW41" s="22">
        <f t="shared" si="86"/>
        <v>0</v>
      </c>
      <c r="BX41" s="22">
        <f t="shared" si="86"/>
        <v>0</v>
      </c>
      <c r="BY41" s="22">
        <f t="shared" si="86"/>
        <v>0</v>
      </c>
      <c r="BZ41" s="22">
        <f t="shared" si="86"/>
        <v>0</v>
      </c>
      <c r="CA41" s="22">
        <f t="shared" si="86"/>
        <v>1.1224304142209114</v>
      </c>
      <c r="CB41" s="22">
        <f t="shared" si="86"/>
        <v>0</v>
      </c>
      <c r="CC41" s="22">
        <f t="shared" si="86"/>
        <v>0</v>
      </c>
      <c r="CD41" s="22">
        <f t="shared" si="86"/>
        <v>0</v>
      </c>
      <c r="CE41" s="22">
        <f t="shared" si="86"/>
        <v>0</v>
      </c>
      <c r="CF41" s="22">
        <f t="shared" si="86"/>
        <v>0</v>
      </c>
      <c r="CG41" s="22">
        <f t="shared" si="86"/>
        <v>0</v>
      </c>
      <c r="CH41" s="22">
        <f t="shared" si="86"/>
        <v>0</v>
      </c>
      <c r="CI41" s="22">
        <f t="shared" si="86"/>
        <v>0</v>
      </c>
      <c r="CJ41" s="22">
        <f t="shared" si="86"/>
        <v>0</v>
      </c>
      <c r="CK41" s="22">
        <f t="shared" si="86"/>
        <v>0</v>
      </c>
      <c r="CL41" s="22">
        <f t="shared" si="86"/>
        <v>0</v>
      </c>
      <c r="CM41" s="22">
        <f t="shared" si="86"/>
        <v>0</v>
      </c>
      <c r="CN41" s="22">
        <f t="shared" si="86"/>
        <v>0</v>
      </c>
      <c r="CO41" s="22">
        <f t="shared" si="86"/>
        <v>0</v>
      </c>
      <c r="CP41" s="22">
        <f t="shared" si="86"/>
        <v>0</v>
      </c>
      <c r="CQ41" s="22">
        <f t="shared" si="86"/>
        <v>0</v>
      </c>
      <c r="CR41" s="22">
        <f t="shared" si="86"/>
        <v>0</v>
      </c>
      <c r="CS41" s="22">
        <f t="shared" si="86"/>
        <v>0</v>
      </c>
      <c r="CT41" s="22">
        <f t="shared" si="86"/>
        <v>0</v>
      </c>
      <c r="CU41" s="22">
        <f t="shared" si="86"/>
        <v>0</v>
      </c>
      <c r="CV41" s="22">
        <f t="shared" si="86"/>
        <v>0</v>
      </c>
      <c r="CW41" s="22">
        <f t="shared" si="86"/>
        <v>0</v>
      </c>
      <c r="CX41" s="22">
        <f t="shared" si="86"/>
        <v>0</v>
      </c>
      <c r="CY41" s="22">
        <f t="shared" si="86"/>
        <v>0</v>
      </c>
      <c r="CZ41" s="22">
        <f t="shared" si="86"/>
        <v>0</v>
      </c>
      <c r="DA41" s="22">
        <f t="shared" si="86"/>
        <v>0</v>
      </c>
      <c r="DB41" s="22">
        <f t="shared" si="86"/>
        <v>0</v>
      </c>
      <c r="DC41" s="22">
        <f t="shared" si="86"/>
        <v>0</v>
      </c>
      <c r="DD41" s="22">
        <f t="shared" si="86"/>
        <v>0</v>
      </c>
      <c r="DE41" s="22">
        <f t="shared" si="86"/>
        <v>0</v>
      </c>
      <c r="DF41" s="22">
        <f t="shared" si="78"/>
        <v>1.1224304142209114</v>
      </c>
    </row>
    <row r="42" spans="1:110" x14ac:dyDescent="0.25">
      <c r="B42" s="70">
        <f>resistance!J34</f>
        <v>8.0555555555555554</v>
      </c>
      <c r="C42" s="3">
        <f>resistance!I34</f>
        <v>29</v>
      </c>
      <c r="D42" s="16">
        <f>resistance!Z34</f>
        <v>377.58683399163374</v>
      </c>
      <c r="E42" s="16">
        <f>resistance!AA34</f>
        <v>69.261490258820388</v>
      </c>
      <c r="F42" s="16">
        <f>resistance!AB34</f>
        <v>0</v>
      </c>
      <c r="G42" s="16">
        <f>resistance!AC34</f>
        <v>446.84832425045414</v>
      </c>
      <c r="H42" s="126">
        <f t="shared" si="4"/>
        <v>3599.611500906436</v>
      </c>
      <c r="I42" s="16">
        <f t="shared" si="56"/>
        <v>470.36665710574124</v>
      </c>
      <c r="J42" s="4">
        <f t="shared" si="5"/>
        <v>8.0555555555555554</v>
      </c>
      <c r="K42" s="28">
        <f t="shared" si="60"/>
        <v>5.5971762584230825E-2</v>
      </c>
      <c r="L42" s="27">
        <f t="shared" si="45"/>
        <v>1.13074837588343</v>
      </c>
      <c r="M42" s="27">
        <f t="shared" si="52"/>
        <v>1.13074837588343</v>
      </c>
      <c r="N42" s="16">
        <f t="shared" si="46"/>
        <v>1187.3486809509261</v>
      </c>
      <c r="O42" s="16">
        <f t="shared" si="47"/>
        <v>19.789144682515435</v>
      </c>
      <c r="P42" s="96">
        <f t="shared" si="29"/>
        <v>7.1565041684744146E-2</v>
      </c>
      <c r="Q42" s="96">
        <f t="shared" si="30"/>
        <v>7.1565041684744146E-2</v>
      </c>
      <c r="R42" s="27">
        <f t="shared" si="48"/>
        <v>0.15248060923629214</v>
      </c>
      <c r="S42" s="96">
        <f t="shared" si="6"/>
        <v>1.5248060923629212E-2</v>
      </c>
      <c r="T42" s="68">
        <f t="shared" si="31"/>
        <v>0.84464149690969659</v>
      </c>
      <c r="U42" s="27">
        <f t="shared" si="7"/>
        <v>8.0555555555555554</v>
      </c>
      <c r="V42" s="16">
        <f t="shared" si="8"/>
        <v>470.36665710574124</v>
      </c>
      <c r="W42" s="16">
        <f t="shared" si="9"/>
        <v>36.078852733870328</v>
      </c>
      <c r="X42" s="122">
        <f t="shared" si="32"/>
        <v>3789.0647377962487</v>
      </c>
      <c r="Y42" s="68">
        <f t="shared" si="10"/>
        <v>0.80240942206421173</v>
      </c>
      <c r="Z42" s="76">
        <f t="shared" si="33"/>
        <v>0.84464149690969659</v>
      </c>
      <c r="AA42" s="116">
        <f t="shared" si="11"/>
        <v>4486.0035312725704</v>
      </c>
      <c r="AB42" s="40">
        <f t="shared" si="12"/>
        <v>1187.3486809509261</v>
      </c>
      <c r="AC42" s="39">
        <f t="shared" si="13"/>
        <v>36.078852733870328</v>
      </c>
      <c r="AD42" s="109">
        <v>0.97</v>
      </c>
      <c r="AE42" s="40">
        <f t="shared" si="14"/>
        <v>3562.0460428527786</v>
      </c>
      <c r="AF42" s="39">
        <f t="shared" si="15"/>
        <v>12.398231180024167</v>
      </c>
      <c r="AG42" s="132">
        <f t="shared" si="16"/>
        <v>4767.7792871427037</v>
      </c>
      <c r="AH42" s="148">
        <f t="shared" si="54"/>
        <v>0.88</v>
      </c>
      <c r="AI42" s="132">
        <f t="shared" si="67"/>
        <v>5417.9310081167087</v>
      </c>
      <c r="AJ42" s="152">
        <f t="shared" si="57"/>
        <v>68.190271490132915</v>
      </c>
      <c r="AK42" s="152">
        <f t="shared" si="35"/>
        <v>79.45313737166569</v>
      </c>
      <c r="AL42" s="167">
        <v>0.99</v>
      </c>
      <c r="AM42" s="140">
        <f t="shared" si="17"/>
        <v>5472.6575839562711</v>
      </c>
      <c r="AN42" s="132">
        <f t="shared" si="18"/>
        <v>5622.5464728451598</v>
      </c>
      <c r="AO42" s="260">
        <f>IF(AN42&lt;Battery!$D$4,Battery!$F$4,FORECAST(AN42,Battery!$F$3:$F$7,Battery!$D$3:$D$7))</f>
        <v>0.89247823800155957</v>
      </c>
      <c r="AP42" s="263">
        <f>AO42*Battery!$E$3</f>
        <v>1420.7539566394428</v>
      </c>
      <c r="AQ42" s="40">
        <f t="shared" si="36"/>
        <v>2.0689655172413794</v>
      </c>
      <c r="AR42" s="152">
        <f t="shared" si="37"/>
        <v>11632.85477140378</v>
      </c>
      <c r="AS42" s="152">
        <f t="shared" si="49"/>
        <v>686.69774570906395</v>
      </c>
      <c r="AT42" s="152" t="b">
        <f t="shared" si="38"/>
        <v>0</v>
      </c>
      <c r="AU42" s="132">
        <f t="shared" si="64"/>
        <v>4935.8487271360955</v>
      </c>
      <c r="AV42" s="160">
        <v>0.99</v>
      </c>
      <c r="AW42" s="132">
        <f t="shared" si="50"/>
        <v>4985.7057849859548</v>
      </c>
      <c r="AX42" s="253">
        <f>VLOOKUP($AX$7,'Solar Panels'!$G$6:$K$17,5,FALSE)</f>
        <v>1774.5</v>
      </c>
      <c r="AY42" s="40" t="b">
        <f t="shared" si="20"/>
        <v>0</v>
      </c>
      <c r="AZ42" s="229">
        <f t="shared" si="21"/>
        <v>4985.7057849859548</v>
      </c>
      <c r="BA42" s="224">
        <f t="shared" si="22"/>
        <v>2461.1977457090638</v>
      </c>
      <c r="BB42" s="224">
        <f t="shared" si="39"/>
        <v>-2524.5080392768909</v>
      </c>
      <c r="BC42" s="224">
        <f t="shared" si="40"/>
        <v>-2524.5080392768909</v>
      </c>
      <c r="BD42" s="224">
        <f t="shared" si="23"/>
        <v>10315.253348246804</v>
      </c>
      <c r="BE42" s="224">
        <f t="shared" si="24"/>
        <v>5092.1332669842704</v>
      </c>
      <c r="BF42" s="225">
        <f t="shared" si="25"/>
        <v>1.021346522756881</v>
      </c>
      <c r="BG42" s="214">
        <f t="shared" si="3"/>
        <v>2.0689655172413794</v>
      </c>
      <c r="BH42" s="222">
        <f t="shared" si="41"/>
        <v>-1.0476189944844985</v>
      </c>
      <c r="BJ42" s="40"/>
      <c r="BK42" s="6"/>
      <c r="BL42" s="1">
        <f t="shared" si="42"/>
        <v>0</v>
      </c>
      <c r="BM42" s="1">
        <f t="shared" si="43"/>
        <v>0</v>
      </c>
      <c r="BR42" s="6"/>
      <c r="BU42" s="22">
        <f t="shared" ref="BU42:DE42" si="87">IF(SIGN(BU$8-$K42*BU$7^2)*SIGN(BV$8-$K42*BV$7^2)=-1,INTERCEPT(BU$7:BV$7, BU$8:BV$8-$K42*(BU$7:BV$7)^2),0)</f>
        <v>0</v>
      </c>
      <c r="BV42" s="22">
        <f t="shared" si="87"/>
        <v>0</v>
      </c>
      <c r="BW42" s="22">
        <f t="shared" si="87"/>
        <v>0</v>
      </c>
      <c r="BX42" s="22">
        <f t="shared" si="87"/>
        <v>0</v>
      </c>
      <c r="BY42" s="22">
        <f t="shared" si="87"/>
        <v>0</v>
      </c>
      <c r="BZ42" s="22">
        <f t="shared" si="87"/>
        <v>0</v>
      </c>
      <c r="CA42" s="22">
        <f t="shared" si="87"/>
        <v>1.13074837588343</v>
      </c>
      <c r="CB42" s="22">
        <f t="shared" si="87"/>
        <v>0</v>
      </c>
      <c r="CC42" s="22">
        <f t="shared" si="87"/>
        <v>0</v>
      </c>
      <c r="CD42" s="22">
        <f t="shared" si="87"/>
        <v>0</v>
      </c>
      <c r="CE42" s="22">
        <f t="shared" si="87"/>
        <v>0</v>
      </c>
      <c r="CF42" s="22">
        <f t="shared" si="87"/>
        <v>0</v>
      </c>
      <c r="CG42" s="22">
        <f t="shared" si="87"/>
        <v>0</v>
      </c>
      <c r="CH42" s="22">
        <f t="shared" si="87"/>
        <v>0</v>
      </c>
      <c r="CI42" s="22">
        <f t="shared" si="87"/>
        <v>0</v>
      </c>
      <c r="CJ42" s="22">
        <f t="shared" si="87"/>
        <v>0</v>
      </c>
      <c r="CK42" s="22">
        <f t="shared" si="87"/>
        <v>0</v>
      </c>
      <c r="CL42" s="22">
        <f t="shared" si="87"/>
        <v>0</v>
      </c>
      <c r="CM42" s="22">
        <f t="shared" si="87"/>
        <v>0</v>
      </c>
      <c r="CN42" s="22">
        <f t="shared" si="87"/>
        <v>0</v>
      </c>
      <c r="CO42" s="22">
        <f t="shared" si="87"/>
        <v>0</v>
      </c>
      <c r="CP42" s="22">
        <f t="shared" si="87"/>
        <v>0</v>
      </c>
      <c r="CQ42" s="22">
        <f t="shared" si="87"/>
        <v>0</v>
      </c>
      <c r="CR42" s="22">
        <f t="shared" si="87"/>
        <v>0</v>
      </c>
      <c r="CS42" s="22">
        <f t="shared" si="87"/>
        <v>0</v>
      </c>
      <c r="CT42" s="22">
        <f t="shared" si="87"/>
        <v>0</v>
      </c>
      <c r="CU42" s="22">
        <f t="shared" si="87"/>
        <v>0</v>
      </c>
      <c r="CV42" s="22">
        <f t="shared" si="87"/>
        <v>0</v>
      </c>
      <c r="CW42" s="22">
        <f t="shared" si="87"/>
        <v>0</v>
      </c>
      <c r="CX42" s="22">
        <f t="shared" si="87"/>
        <v>0</v>
      </c>
      <c r="CY42" s="22">
        <f t="shared" si="87"/>
        <v>0</v>
      </c>
      <c r="CZ42" s="22">
        <f t="shared" si="87"/>
        <v>0</v>
      </c>
      <c r="DA42" s="22">
        <f t="shared" si="87"/>
        <v>0</v>
      </c>
      <c r="DB42" s="22">
        <f t="shared" si="87"/>
        <v>0</v>
      </c>
      <c r="DC42" s="22">
        <f t="shared" si="87"/>
        <v>0</v>
      </c>
      <c r="DD42" s="22">
        <f t="shared" si="87"/>
        <v>0</v>
      </c>
      <c r="DE42" s="22">
        <f t="shared" si="87"/>
        <v>0</v>
      </c>
      <c r="DF42" s="22">
        <f t="shared" si="78"/>
        <v>1.13074837588343</v>
      </c>
    </row>
    <row r="43" spans="1:110" x14ac:dyDescent="0.25">
      <c r="B43" s="81">
        <f>resistance!J35</f>
        <v>8.3333333333333339</v>
      </c>
      <c r="C43" s="9">
        <f>resistance!I35</f>
        <v>30</v>
      </c>
      <c r="D43" s="98">
        <f>resistance!Z35</f>
        <v>390.60706964651774</v>
      </c>
      <c r="E43" s="98">
        <f>resistance!AA35</f>
        <v>71.649817509124546</v>
      </c>
      <c r="F43" s="98">
        <f>resistance!AB35</f>
        <v>0</v>
      </c>
      <c r="G43" s="98">
        <f>resistance!AC35</f>
        <v>462.25688715564229</v>
      </c>
      <c r="H43" s="128">
        <f t="shared" si="4"/>
        <v>3852.1407262970192</v>
      </c>
      <c r="I43" s="98">
        <f t="shared" si="56"/>
        <v>486.58619700593925</v>
      </c>
      <c r="J43" s="99">
        <f t="shared" si="5"/>
        <v>8.3333333333333339</v>
      </c>
      <c r="K43" s="100">
        <f t="shared" si="60"/>
        <v>5.4106037164756475E-2</v>
      </c>
      <c r="L43" s="101">
        <f t="shared" si="45"/>
        <v>1.1387362737441855</v>
      </c>
      <c r="M43" s="101">
        <f t="shared" si="52"/>
        <v>1.1387362737441853</v>
      </c>
      <c r="N43" s="98">
        <f t="shared" si="46"/>
        <v>1219.6756359768863</v>
      </c>
      <c r="O43" s="98">
        <f t="shared" si="47"/>
        <v>20.327927266281439</v>
      </c>
      <c r="P43" s="102">
        <f t="shared" si="29"/>
        <v>7.016039680581794E-2</v>
      </c>
      <c r="Q43" s="102">
        <f t="shared" si="30"/>
        <v>7.0160396805817898E-2</v>
      </c>
      <c r="R43" s="101">
        <f t="shared" si="48"/>
        <v>0.15029490971175574</v>
      </c>
      <c r="S43" s="102">
        <f t="shared" si="6"/>
        <v>1.5029490971175574E-2</v>
      </c>
      <c r="T43" s="103">
        <f t="shared" si="31"/>
        <v>0.84604030169056055</v>
      </c>
      <c r="U43" s="101">
        <f t="shared" si="7"/>
        <v>8.3333333333333339</v>
      </c>
      <c r="V43" s="98">
        <f t="shared" si="8"/>
        <v>486.58619700593948</v>
      </c>
      <c r="W43" s="98">
        <f t="shared" si="9"/>
        <v>37.524466045173199</v>
      </c>
      <c r="X43" s="124">
        <f t="shared" si="32"/>
        <v>4054.8849750494969</v>
      </c>
      <c r="Y43" s="103">
        <f t="shared" si="10"/>
        <v>0.80373828660603208</v>
      </c>
      <c r="Z43" s="104">
        <f t="shared" si="33"/>
        <v>0.84604030169056055</v>
      </c>
      <c r="AA43" s="118">
        <f t="shared" si="11"/>
        <v>4792.7799266146212</v>
      </c>
      <c r="AB43" s="105">
        <f t="shared" si="12"/>
        <v>1219.6756359768863</v>
      </c>
      <c r="AC43" s="106">
        <f t="shared" si="13"/>
        <v>37.524466045173199</v>
      </c>
      <c r="AD43" s="111">
        <v>0.97</v>
      </c>
      <c r="AE43" s="105">
        <f t="shared" si="14"/>
        <v>3659.026907930659</v>
      </c>
      <c r="AF43" s="106">
        <f>W43/($N$8*AD43)</f>
        <v>12.895005513805222</v>
      </c>
      <c r="AG43" s="137">
        <f t="shared" si="16"/>
        <v>5093.824983116825</v>
      </c>
      <c r="AH43" s="148">
        <f t="shared" si="54"/>
        <v>0.88</v>
      </c>
      <c r="AI43" s="142">
        <f t="shared" si="67"/>
        <v>5788.437480814574</v>
      </c>
      <c r="AJ43" s="154">
        <f t="shared" si="57"/>
        <v>70.922530325928719</v>
      </c>
      <c r="AK43" s="154">
        <f t="shared" si="35"/>
        <v>81.616341862218732</v>
      </c>
      <c r="AL43" s="167">
        <v>0.99</v>
      </c>
      <c r="AM43" s="143">
        <f t="shared" si="17"/>
        <v>5846.9065462773478</v>
      </c>
      <c r="AN43" s="189">
        <f t="shared" si="18"/>
        <v>5996.7954351662365</v>
      </c>
      <c r="AO43" s="262">
        <f>IF(AN43&lt;Battery!$D$4,Battery!$F$4,FORECAST(AN43,Battery!$F$3:$F$7,Battery!$D$3:$D$7))</f>
        <v>0.8850951322353815</v>
      </c>
      <c r="AP43" s="265">
        <f>AO43*Battery!$E$3</f>
        <v>1409.0006429081486</v>
      </c>
      <c r="AQ43" s="40">
        <f t="shared" si="36"/>
        <v>2</v>
      </c>
      <c r="AR43" s="190">
        <f t="shared" si="37"/>
        <v>11993.590870332473</v>
      </c>
      <c r="AS43" s="190">
        <f t="shared" si="49"/>
        <v>704.50032145407431</v>
      </c>
      <c r="AT43" s="190" t="b">
        <f t="shared" si="38"/>
        <v>0</v>
      </c>
      <c r="AU43" s="198">
        <f t="shared" si="64"/>
        <v>5292.2951137121618</v>
      </c>
      <c r="AV43" s="161">
        <v>0.99</v>
      </c>
      <c r="AW43" s="132">
        <f t="shared" si="50"/>
        <v>5345.7526401132945</v>
      </c>
      <c r="AX43" s="254">
        <f>VLOOKUP($AX$7,'Solar Panels'!$G$6:$K$17,5,FALSE)</f>
        <v>1774.5</v>
      </c>
      <c r="AY43" s="105" t="b">
        <f t="shared" si="20"/>
        <v>0</v>
      </c>
      <c r="AZ43" s="229">
        <f t="shared" si="21"/>
        <v>5345.7526401132945</v>
      </c>
      <c r="BA43" s="224">
        <f t="shared" si="22"/>
        <v>2479.0003214540743</v>
      </c>
      <c r="BB43" s="224">
        <f t="shared" si="39"/>
        <v>-2866.7523186592202</v>
      </c>
      <c r="BC43" s="224">
        <f t="shared" si="40"/>
        <v>-2866.7523186592202</v>
      </c>
      <c r="BD43" s="224">
        <f t="shared" si="23"/>
        <v>10691.505280226589</v>
      </c>
      <c r="BE43" s="224">
        <f t="shared" si="24"/>
        <v>4958.0006429081486</v>
      </c>
      <c r="BF43" s="225">
        <f t="shared" si="25"/>
        <v>0.92746540603178229</v>
      </c>
      <c r="BG43" s="214">
        <f t="shared" si="3"/>
        <v>2</v>
      </c>
      <c r="BH43" s="223">
        <f t="shared" si="41"/>
        <v>-1.0725345939682178</v>
      </c>
      <c r="BJ43" s="40"/>
      <c r="BK43" s="6"/>
      <c r="BL43" s="1">
        <f t="shared" si="42"/>
        <v>0</v>
      </c>
      <c r="BM43" s="1">
        <f t="shared" si="43"/>
        <v>0</v>
      </c>
      <c r="BR43" s="6"/>
      <c r="BU43" s="22">
        <f t="shared" ref="BU43:DE43" si="88">IF(SIGN(BU$8-$K43*BU$7^2)*SIGN(BV$8-$K43*BV$7^2)=-1,INTERCEPT(BU$7:BV$7, BU$8:BV$8-$K43*(BU$7:BV$7)^2),0)</f>
        <v>0</v>
      </c>
      <c r="BV43" s="22">
        <f t="shared" si="88"/>
        <v>0</v>
      </c>
      <c r="BW43" s="22">
        <f t="shared" si="88"/>
        <v>0</v>
      </c>
      <c r="BX43" s="22">
        <f t="shared" si="88"/>
        <v>0</v>
      </c>
      <c r="BY43" s="22">
        <f t="shared" si="88"/>
        <v>0</v>
      </c>
      <c r="BZ43" s="22">
        <f t="shared" si="88"/>
        <v>0</v>
      </c>
      <c r="CA43" s="22">
        <f t="shared" si="88"/>
        <v>1.1387362737441855</v>
      </c>
      <c r="CB43" s="22">
        <f t="shared" si="88"/>
        <v>0</v>
      </c>
      <c r="CC43" s="22">
        <f t="shared" si="88"/>
        <v>0</v>
      </c>
      <c r="CD43" s="22">
        <f t="shared" si="88"/>
        <v>0</v>
      </c>
      <c r="CE43" s="22">
        <f t="shared" si="88"/>
        <v>0</v>
      </c>
      <c r="CF43" s="22">
        <f t="shared" si="88"/>
        <v>0</v>
      </c>
      <c r="CG43" s="22">
        <f t="shared" si="88"/>
        <v>0</v>
      </c>
      <c r="CH43" s="22">
        <f t="shared" si="88"/>
        <v>0</v>
      </c>
      <c r="CI43" s="22">
        <f t="shared" si="88"/>
        <v>0</v>
      </c>
      <c r="CJ43" s="22">
        <f t="shared" si="88"/>
        <v>0</v>
      </c>
      <c r="CK43" s="22">
        <f t="shared" si="88"/>
        <v>0</v>
      </c>
      <c r="CL43" s="22">
        <f t="shared" si="88"/>
        <v>0</v>
      </c>
      <c r="CM43" s="22">
        <f t="shared" si="88"/>
        <v>0</v>
      </c>
      <c r="CN43" s="22">
        <f t="shared" si="88"/>
        <v>0</v>
      </c>
      <c r="CO43" s="22">
        <f t="shared" si="88"/>
        <v>0</v>
      </c>
      <c r="CP43" s="22">
        <f t="shared" si="88"/>
        <v>0</v>
      </c>
      <c r="CQ43" s="22">
        <f t="shared" si="88"/>
        <v>0</v>
      </c>
      <c r="CR43" s="22">
        <f t="shared" si="88"/>
        <v>0</v>
      </c>
      <c r="CS43" s="22">
        <f t="shared" si="88"/>
        <v>0</v>
      </c>
      <c r="CT43" s="22">
        <f t="shared" si="88"/>
        <v>0</v>
      </c>
      <c r="CU43" s="22">
        <f t="shared" si="88"/>
        <v>0</v>
      </c>
      <c r="CV43" s="22">
        <f t="shared" si="88"/>
        <v>0</v>
      </c>
      <c r="CW43" s="22">
        <f t="shared" si="88"/>
        <v>0</v>
      </c>
      <c r="CX43" s="22">
        <f t="shared" si="88"/>
        <v>0</v>
      </c>
      <c r="CY43" s="22">
        <f t="shared" si="88"/>
        <v>0</v>
      </c>
      <c r="CZ43" s="22">
        <f t="shared" si="88"/>
        <v>0</v>
      </c>
      <c r="DA43" s="22">
        <f t="shared" si="88"/>
        <v>0</v>
      </c>
      <c r="DB43" s="22">
        <f t="shared" si="88"/>
        <v>0</v>
      </c>
      <c r="DC43" s="22">
        <f t="shared" si="88"/>
        <v>0</v>
      </c>
      <c r="DD43" s="22">
        <f t="shared" si="88"/>
        <v>0</v>
      </c>
      <c r="DE43" s="22">
        <f t="shared" si="88"/>
        <v>0</v>
      </c>
      <c r="DF43" s="22">
        <f t="shared" si="78"/>
        <v>1.1387362737441855</v>
      </c>
    </row>
    <row r="44" spans="1:110" ht="8.25" customHeight="1" x14ac:dyDescent="0.25">
      <c r="B44" s="70"/>
      <c r="C44" s="6"/>
      <c r="D44" s="16"/>
      <c r="E44" s="16"/>
      <c r="F44" s="16"/>
      <c r="G44" s="16"/>
      <c r="H44" s="122"/>
      <c r="I44" s="16"/>
      <c r="J44" s="4"/>
      <c r="K44" s="28"/>
      <c r="L44" s="27"/>
      <c r="M44" s="27"/>
      <c r="N44" s="16"/>
      <c r="O44" s="16"/>
      <c r="P44" s="96"/>
      <c r="Q44" s="96"/>
      <c r="R44" s="27"/>
      <c r="S44" s="96"/>
      <c r="T44" s="68"/>
      <c r="U44" s="27"/>
      <c r="V44" s="16"/>
      <c r="W44" s="16"/>
      <c r="X44" s="122"/>
      <c r="Y44" s="68"/>
      <c r="Z44" s="76"/>
      <c r="AA44" s="116"/>
      <c r="AB44" s="40"/>
      <c r="AC44" s="39"/>
      <c r="AD44" s="112"/>
      <c r="AE44" s="40"/>
      <c r="AF44" s="39"/>
      <c r="AG44" s="132"/>
      <c r="AH44" s="151"/>
      <c r="AI44" s="132"/>
      <c r="AJ44" s="152"/>
      <c r="AK44" s="152"/>
      <c r="AL44" s="138"/>
      <c r="AM44" s="140"/>
      <c r="AN44" s="132"/>
      <c r="AO44" s="260"/>
      <c r="AP44" s="263"/>
      <c r="AQ44" s="157"/>
      <c r="AR44" s="152"/>
      <c r="AS44" s="152"/>
      <c r="AT44" s="152"/>
      <c r="AU44" s="132"/>
      <c r="AV44" s="130"/>
      <c r="AW44" s="138"/>
      <c r="AX44" s="253"/>
      <c r="AY44" s="40"/>
      <c r="AZ44" s="229"/>
      <c r="BA44" s="224"/>
      <c r="BB44" s="224"/>
      <c r="BC44" s="224"/>
      <c r="BD44" s="224"/>
      <c r="BE44" s="224"/>
      <c r="BF44" s="225"/>
      <c r="BG44" s="214"/>
      <c r="BH44" s="222"/>
      <c r="BJ44" s="40"/>
      <c r="BK44" s="6"/>
      <c r="BL44" s="1"/>
      <c r="BM44" s="1"/>
      <c r="BN44" s="6"/>
      <c r="BO44" s="6"/>
      <c r="BP44" s="6"/>
      <c r="BQ44" s="6"/>
      <c r="BR44" s="6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</row>
    <row r="45" spans="1:110" x14ac:dyDescent="0.25">
      <c r="A45" s="31" t="s">
        <v>66</v>
      </c>
      <c r="B45" s="70">
        <f>resistance!J37</f>
        <v>4.4420246862924158</v>
      </c>
      <c r="C45" s="4">
        <f>BL11</f>
        <v>16.171580132253467</v>
      </c>
      <c r="D45" s="16">
        <f>resistance!Z37</f>
        <v>169.40845801925494</v>
      </c>
      <c r="E45" s="16">
        <f>resistance!AA37</f>
        <v>23.101233492467525</v>
      </c>
      <c r="F45" s="16">
        <f>resistance!AB37</f>
        <v>0</v>
      </c>
      <c r="G45" s="16">
        <f>resistance!AC37</f>
        <v>192.50969151172245</v>
      </c>
      <c r="H45" s="126">
        <f t="shared" si="4"/>
        <v>855.13280204560863</v>
      </c>
      <c r="I45" s="16">
        <f t="shared" si="56"/>
        <v>202.64178053865521</v>
      </c>
      <c r="J45" s="4">
        <f>B45*(1-$E$7/100)</f>
        <v>4.4420246862924158</v>
      </c>
      <c r="K45" s="28">
        <f>I45/($E$5*J45^2*$N$3^2)</f>
        <v>7.9303162455101966E-2</v>
      </c>
      <c r="L45" s="27">
        <f>SUM(BU45:DE45)</f>
        <v>1.0395617001796822</v>
      </c>
      <c r="M45" s="27">
        <f t="shared" si="52"/>
        <v>1.0395617001796822</v>
      </c>
      <c r="N45" s="16">
        <f>J45/(L45*$N$3)*60</f>
        <v>712.16306601853421</v>
      </c>
      <c r="O45" s="16">
        <f t="shared" si="47"/>
        <v>11.869384433642237</v>
      </c>
      <c r="P45" s="96">
        <f>K45*L45^2</f>
        <v>8.5702017937451913E-2</v>
      </c>
      <c r="Q45" s="96">
        <f>I45/($E$5*O45^2*$N$3^4)</f>
        <v>8.5702017937451927E-2</v>
      </c>
      <c r="R45" s="27">
        <f>DF83</f>
        <v>0.17276833804448258</v>
      </c>
      <c r="S45" s="96">
        <f t="shared" si="6"/>
        <v>1.7276833804448256E-2</v>
      </c>
      <c r="T45" s="68">
        <f>P45*L45/(R45/10*2*PI())</f>
        <v>0.82072430481600689</v>
      </c>
      <c r="U45" s="27">
        <f>L45*O45*$N$3</f>
        <v>4.4420246862924158</v>
      </c>
      <c r="V45" s="16">
        <f>P45*$E$5*(N45/60)^2*$N$3^4</f>
        <v>202.64178053865524</v>
      </c>
      <c r="W45" s="16">
        <f>R45/10*$E$5*(N45/60)^2*$N$3^5</f>
        <v>14.706339960784002</v>
      </c>
      <c r="X45" s="122">
        <f>AA45*Z45</f>
        <v>900.13979162695659</v>
      </c>
      <c r="Y45" s="68">
        <f t="shared" si="10"/>
        <v>0.77968808957520641</v>
      </c>
      <c r="Z45" s="76">
        <f>(V45*U45)/(2*PI()*O45*W45)</f>
        <v>0.82072430481600689</v>
      </c>
      <c r="AA45" s="116">
        <f>W45*N45/60*2*PI()</f>
        <v>1096.7626843081653</v>
      </c>
      <c r="AB45" s="40">
        <f>N45</f>
        <v>712.16306601853421</v>
      </c>
      <c r="AC45" s="39">
        <f>W45</f>
        <v>14.706339960784002</v>
      </c>
      <c r="AD45" s="112">
        <v>0.97</v>
      </c>
      <c r="AE45" s="40">
        <f>$N$8*AB45</f>
        <v>2136.4891980556026</v>
      </c>
      <c r="AF45" s="39">
        <f>W45/($N$8*AD45)</f>
        <v>5.0537250724343643</v>
      </c>
      <c r="AG45" s="132">
        <f>(AF45*2*PI()*AE45/60)/AD45</f>
        <v>1165.6527625764325</v>
      </c>
      <c r="AH45" s="148">
        <f>AH43</f>
        <v>0.88</v>
      </c>
      <c r="AI45" s="132">
        <f t="shared" si="67"/>
        <v>1324.6054120186732</v>
      </c>
      <c r="AJ45" s="152">
        <f>AF45/$AK$7</f>
        <v>27.795487898389002</v>
      </c>
      <c r="AK45" s="152">
        <f>AI45/AJ45</f>
        <v>47.655411441633518</v>
      </c>
      <c r="AL45" s="184">
        <v>0.99</v>
      </c>
      <c r="AM45" s="140">
        <f>AI45/AL45</f>
        <v>1337.9852646653264</v>
      </c>
      <c r="AN45" s="132">
        <f>AM45+$AO$8</f>
        <v>1487.8741535542154</v>
      </c>
      <c r="AO45" s="260">
        <f>IF(AN45&lt;Battery!$D$4,Battery!$F$4,FORECAST(AN45,Battery!$F$3:$F$7,Battery!$D$3:$D$7))</f>
        <v>0.97404619440279661</v>
      </c>
      <c r="AP45" s="263">
        <f>AO45*Battery!$E$3</f>
        <v>1550.6036177937001</v>
      </c>
      <c r="AQ45" s="40">
        <f>$AS$8/C45</f>
        <v>3.710212577207145</v>
      </c>
      <c r="AR45" s="152">
        <f t="shared" si="37"/>
        <v>5520.3293978182846</v>
      </c>
      <c r="AS45" s="152">
        <f t="shared" si="49"/>
        <v>417.92851097521583</v>
      </c>
      <c r="AT45" s="152" t="b">
        <f t="shared" si="38"/>
        <v>0</v>
      </c>
      <c r="AU45" s="132">
        <f>AN45-AS45</f>
        <v>1069.9456425789995</v>
      </c>
      <c r="AV45" s="160">
        <v>0.99</v>
      </c>
      <c r="AW45" s="132">
        <f t="shared" si="50"/>
        <v>1080.7531743222216</v>
      </c>
      <c r="AX45" s="253">
        <f>VLOOKUP($AX$7,'Solar Panels'!$G$6:$K$17,5,FALSE)</f>
        <v>1774.5</v>
      </c>
      <c r="AY45" s="40" t="b">
        <f>IF(AX45&gt;AW45,TRUE,FALSE)</f>
        <v>1</v>
      </c>
      <c r="AZ45" s="229">
        <f>AW45</f>
        <v>1080.7531743222216</v>
      </c>
      <c r="BA45" s="224">
        <f>AX45+AS45</f>
        <v>2192.4285109752159</v>
      </c>
      <c r="BB45" s="224">
        <f t="shared" si="39"/>
        <v>1111.6753366529942</v>
      </c>
      <c r="BC45" s="224" t="b">
        <f t="shared" si="40"/>
        <v>1</v>
      </c>
      <c r="BD45" s="224">
        <f>AQ45*AZ45</f>
        <v>4009.824020226853</v>
      </c>
      <c r="BE45" s="224">
        <f>AQ45*BA45</f>
        <v>8134.3758360477796</v>
      </c>
      <c r="BF45" s="225">
        <f>BE45/AZ45</f>
        <v>7.5265805637342984</v>
      </c>
      <c r="BG45" s="214">
        <f>AQ45</f>
        <v>3.710212577207145</v>
      </c>
      <c r="BH45" s="222">
        <f t="shared" si="41"/>
        <v>3.8163679865271534</v>
      </c>
      <c r="BJ45" s="40"/>
      <c r="BK45" s="40"/>
      <c r="BL45" s="40"/>
      <c r="BM45" s="40"/>
      <c r="BN45" s="6"/>
      <c r="BO45" s="6"/>
      <c r="BP45" s="6"/>
      <c r="BQ45" s="6"/>
      <c r="BR45" s="6"/>
      <c r="BU45" s="22">
        <f t="shared" ref="BU45:DE45" si="89">IF(SIGN(BU$8-$K45*BU$7^2)*SIGN(BV$8-$K45*BV$7^2)=-1,INTERCEPT(BU$7:BV$7, BU$8:BV$8-$K45*(BU$7:BV$7)^2),0)</f>
        <v>0</v>
      </c>
      <c r="BV45" s="22">
        <f t="shared" si="89"/>
        <v>0</v>
      </c>
      <c r="BW45" s="22">
        <f t="shared" si="89"/>
        <v>0</v>
      </c>
      <c r="BX45" s="22">
        <f t="shared" si="89"/>
        <v>0</v>
      </c>
      <c r="BY45" s="22">
        <f t="shared" si="89"/>
        <v>0</v>
      </c>
      <c r="BZ45" s="22">
        <f t="shared" si="89"/>
        <v>1.0395617001796822</v>
      </c>
      <c r="CA45" s="22">
        <f t="shared" si="89"/>
        <v>0</v>
      </c>
      <c r="CB45" s="22">
        <f t="shared" si="89"/>
        <v>0</v>
      </c>
      <c r="CC45" s="22">
        <f t="shared" si="89"/>
        <v>0</v>
      </c>
      <c r="CD45" s="22">
        <f t="shared" si="89"/>
        <v>0</v>
      </c>
      <c r="CE45" s="22">
        <f t="shared" si="89"/>
        <v>0</v>
      </c>
      <c r="CF45" s="22">
        <f t="shared" si="89"/>
        <v>0</v>
      </c>
      <c r="CG45" s="22">
        <f t="shared" si="89"/>
        <v>0</v>
      </c>
      <c r="CH45" s="22">
        <f t="shared" si="89"/>
        <v>0</v>
      </c>
      <c r="CI45" s="22">
        <f t="shared" si="89"/>
        <v>0</v>
      </c>
      <c r="CJ45" s="22">
        <f t="shared" si="89"/>
        <v>0</v>
      </c>
      <c r="CK45" s="22">
        <f t="shared" si="89"/>
        <v>0</v>
      </c>
      <c r="CL45" s="22">
        <f t="shared" si="89"/>
        <v>0</v>
      </c>
      <c r="CM45" s="22">
        <f t="shared" si="89"/>
        <v>0</v>
      </c>
      <c r="CN45" s="22">
        <f t="shared" si="89"/>
        <v>0</v>
      </c>
      <c r="CO45" s="22">
        <f t="shared" si="89"/>
        <v>0</v>
      </c>
      <c r="CP45" s="22">
        <f t="shared" si="89"/>
        <v>0</v>
      </c>
      <c r="CQ45" s="22">
        <f t="shared" si="89"/>
        <v>0</v>
      </c>
      <c r="CR45" s="22">
        <f t="shared" si="89"/>
        <v>0</v>
      </c>
      <c r="CS45" s="22">
        <f t="shared" si="89"/>
        <v>0</v>
      </c>
      <c r="CT45" s="22">
        <f t="shared" si="89"/>
        <v>0</v>
      </c>
      <c r="CU45" s="22">
        <f t="shared" si="89"/>
        <v>0</v>
      </c>
      <c r="CV45" s="22">
        <f t="shared" si="89"/>
        <v>0</v>
      </c>
      <c r="CW45" s="22">
        <f t="shared" si="89"/>
        <v>0</v>
      </c>
      <c r="CX45" s="22">
        <f t="shared" si="89"/>
        <v>0</v>
      </c>
      <c r="CY45" s="22">
        <f t="shared" si="89"/>
        <v>0</v>
      </c>
      <c r="CZ45" s="22">
        <f t="shared" si="89"/>
        <v>0</v>
      </c>
      <c r="DA45" s="22">
        <f t="shared" si="89"/>
        <v>0</v>
      </c>
      <c r="DB45" s="22">
        <f t="shared" si="89"/>
        <v>0</v>
      </c>
      <c r="DC45" s="22">
        <f t="shared" si="89"/>
        <v>0</v>
      </c>
      <c r="DD45" s="22">
        <f t="shared" si="89"/>
        <v>0</v>
      </c>
      <c r="DE45" s="22">
        <f t="shared" si="89"/>
        <v>0</v>
      </c>
      <c r="DF45" s="22">
        <f>SUM(BU45:DE45)</f>
        <v>1.0395617001796822</v>
      </c>
    </row>
    <row r="46" spans="1:110" x14ac:dyDescent="0.25">
      <c r="A46" s="31" t="s">
        <v>67</v>
      </c>
      <c r="B46" s="81">
        <f>resistance!J38</f>
        <v>5.994384717458952</v>
      </c>
      <c r="C46" s="99">
        <f>BM11</f>
        <v>21.601657075491211</v>
      </c>
      <c r="D46" s="98">
        <f>resistance!Z38</f>
        <v>264.36777999024383</v>
      </c>
      <c r="E46" s="98">
        <f>resistance!AA38</f>
        <v>45.00752285042126</v>
      </c>
      <c r="F46" s="98">
        <f>resistance!AB38</f>
        <v>0</v>
      </c>
      <c r="G46" s="98">
        <f>resistance!AC38</f>
        <v>309.37530284066509</v>
      </c>
      <c r="H46" s="128">
        <f t="shared" si="4"/>
        <v>1854.5145873073179</v>
      </c>
      <c r="I46" s="98">
        <f t="shared" si="56"/>
        <v>325.65821351648958</v>
      </c>
      <c r="J46" s="99">
        <f>B46*(1-$E$7/100)</f>
        <v>5.994384717458952</v>
      </c>
      <c r="K46" s="100">
        <f>I46/($E$5*J46^2*$N$3^2)</f>
        <v>6.9983597024931343E-2</v>
      </c>
      <c r="L46" s="101">
        <f>SUM(BU46:DE46)</f>
        <v>1.0771276370628118</v>
      </c>
      <c r="M46" s="101">
        <f t="shared" si="52"/>
        <v>1.0771276370628116</v>
      </c>
      <c r="N46" s="98">
        <f>J46/(L46*$N$3)*60</f>
        <v>927.52621434987145</v>
      </c>
      <c r="O46" s="98">
        <f t="shared" si="47"/>
        <v>15.458770239164524</v>
      </c>
      <c r="P46" s="102">
        <f>K46*L46^2</f>
        <v>8.119524546030675E-2</v>
      </c>
      <c r="Q46" s="102">
        <f>I46/($E$5*O46^2*$N$3^4)</f>
        <v>8.119524546030675E-2</v>
      </c>
      <c r="R46" s="101">
        <f>DF84</f>
        <v>0.16715265755094483</v>
      </c>
      <c r="S46" s="102">
        <f t="shared" si="6"/>
        <v>1.6715265755094483E-2</v>
      </c>
      <c r="T46" s="103">
        <f>P46*L46/(R46/10*2*PI())</f>
        <v>0.83273077317455968</v>
      </c>
      <c r="U46" s="101">
        <f>L46*O46*$N$3</f>
        <v>5.9943847174589528</v>
      </c>
      <c r="V46" s="98">
        <f>P46*$E$5*(N46/60)^2*$N$3^4</f>
        <v>325.65821351648952</v>
      </c>
      <c r="W46" s="98">
        <f>R46/10*$E$5*(N46/60)^2*$N$3^5</f>
        <v>24.134995580383702</v>
      </c>
      <c r="X46" s="124">
        <f>AA46*Z46</f>
        <v>1952.1206182182293</v>
      </c>
      <c r="Y46" s="103">
        <f t="shared" si="10"/>
        <v>0.7910942345158315</v>
      </c>
      <c r="Z46" s="104">
        <f>(V46*U46)/(2*PI()*O46*W46)</f>
        <v>0.83273077317455946</v>
      </c>
      <c r="AA46" s="118">
        <f>W46*N46/60*2*PI()</f>
        <v>2344.2397964666307</v>
      </c>
      <c r="AB46" s="105">
        <f>N46</f>
        <v>927.52621434987145</v>
      </c>
      <c r="AC46" s="106">
        <f>W46</f>
        <v>24.134995580383702</v>
      </c>
      <c r="AD46" s="113">
        <v>0.97</v>
      </c>
      <c r="AE46" s="105">
        <f>$N$8*AB46</f>
        <v>2782.5786430496146</v>
      </c>
      <c r="AF46" s="106">
        <f>W46/($N$8*AD46)</f>
        <v>8.2938129142212027</v>
      </c>
      <c r="AG46" s="137">
        <f>(AF46*2*PI()*AE46/60)/AD46</f>
        <v>2491.4866579515683</v>
      </c>
      <c r="AH46" s="150">
        <f>AH45</f>
        <v>0.88</v>
      </c>
      <c r="AI46" s="142">
        <f t="shared" si="67"/>
        <v>2831.2348385813275</v>
      </c>
      <c r="AJ46" s="154">
        <f t="shared" si="57"/>
        <v>45.615971028216613</v>
      </c>
      <c r="AK46" s="154">
        <f>AI46/AJ46</f>
        <v>62.066744930849204</v>
      </c>
      <c r="AL46" s="168">
        <v>0.99</v>
      </c>
      <c r="AM46" s="143">
        <f>AI46/AL46</f>
        <v>2859.8331702841692</v>
      </c>
      <c r="AN46" s="189">
        <f>AM46+$AO$8</f>
        <v>3009.7220591730579</v>
      </c>
      <c r="AO46" s="262">
        <f>IF(AN46&lt;Battery!$D$4,Battery!$F$4,FORECAST(AN46,Battery!$F$3:$F$7,Battery!$D$3:$D$7))</f>
        <v>0.9440234951345462</v>
      </c>
      <c r="AP46" s="265">
        <f>AO46*Battery!$E$3</f>
        <v>1502.8098823745868</v>
      </c>
      <c r="AQ46" s="129">
        <f>$AS$8/C46</f>
        <v>2.7775646928528808</v>
      </c>
      <c r="AR46" s="190">
        <f t="shared" si="37"/>
        <v>8359.6977268595547</v>
      </c>
      <c r="AS46" s="190">
        <f t="shared" si="49"/>
        <v>541.05306214525172</v>
      </c>
      <c r="AT46" s="190" t="b">
        <f t="shared" si="38"/>
        <v>0</v>
      </c>
      <c r="AU46" s="198">
        <f>AN46-AS46</f>
        <v>2468.6689970278062</v>
      </c>
      <c r="AV46" s="161">
        <v>0.99</v>
      </c>
      <c r="AW46" s="142">
        <f>AU46/AV46</f>
        <v>2493.6050475028346</v>
      </c>
      <c r="AX46" s="254">
        <f>VLOOKUP($AX$7,'Solar Panels'!$G$6:$K$17,5,FALSE)</f>
        <v>1774.5</v>
      </c>
      <c r="AY46" s="105" t="b">
        <f>IF(AX46&gt;AW46,TRUE,FALSE)</f>
        <v>0</v>
      </c>
      <c r="AZ46" s="232">
        <f>AW46</f>
        <v>2493.6050475028346</v>
      </c>
      <c r="BA46" s="233">
        <f>AX46+AS46</f>
        <v>2315.5530621452517</v>
      </c>
      <c r="BB46" s="233">
        <f t="shared" si="39"/>
        <v>-178.05198535758291</v>
      </c>
      <c r="BC46" s="233">
        <f t="shared" si="40"/>
        <v>-178.05198535758291</v>
      </c>
      <c r="BD46" s="233">
        <f>AQ46*AZ46</f>
        <v>6926.1493378636042</v>
      </c>
      <c r="BE46" s="233">
        <f>AQ46*BA46</f>
        <v>6431.5984298420235</v>
      </c>
      <c r="BF46" s="234">
        <f>BE46/AZ46</f>
        <v>2.5792370112030389</v>
      </c>
      <c r="BG46" s="235">
        <f>AQ46</f>
        <v>2.7775646928528808</v>
      </c>
      <c r="BH46" s="223">
        <f t="shared" si="41"/>
        <v>-0.19832768164984182</v>
      </c>
      <c r="BJ46" s="40"/>
      <c r="BK46" s="40"/>
      <c r="BL46" s="40"/>
      <c r="BM46" s="40"/>
      <c r="BN46" s="6"/>
      <c r="BO46" s="6"/>
      <c r="BP46" s="6"/>
      <c r="BQ46" s="6"/>
      <c r="BR46" s="6"/>
      <c r="BU46" s="22">
        <f t="shared" ref="BU46:DE46" si="90">IF(SIGN(BU$8-$K46*BU$7^2)*SIGN(BV$8-$K46*BV$7^2)=-1,INTERCEPT(BU$7:BV$7, BU$8:BV$8-$K46*(BU$7:BV$7)^2),0)</f>
        <v>0</v>
      </c>
      <c r="BV46" s="22">
        <f t="shared" si="90"/>
        <v>0</v>
      </c>
      <c r="BW46" s="22">
        <f t="shared" si="90"/>
        <v>0</v>
      </c>
      <c r="BX46" s="22">
        <f t="shared" si="90"/>
        <v>0</v>
      </c>
      <c r="BY46" s="22">
        <f t="shared" si="90"/>
        <v>0</v>
      </c>
      <c r="BZ46" s="22">
        <f t="shared" si="90"/>
        <v>0</v>
      </c>
      <c r="CA46" s="22">
        <f t="shared" si="90"/>
        <v>1.0771276370628118</v>
      </c>
      <c r="CB46" s="22">
        <f t="shared" si="90"/>
        <v>0</v>
      </c>
      <c r="CC46" s="22">
        <f t="shared" si="90"/>
        <v>0</v>
      </c>
      <c r="CD46" s="22">
        <f t="shared" si="90"/>
        <v>0</v>
      </c>
      <c r="CE46" s="22">
        <f t="shared" si="90"/>
        <v>0</v>
      </c>
      <c r="CF46" s="22">
        <f t="shared" si="90"/>
        <v>0</v>
      </c>
      <c r="CG46" s="22">
        <f t="shared" si="90"/>
        <v>0</v>
      </c>
      <c r="CH46" s="22">
        <f t="shared" si="90"/>
        <v>0</v>
      </c>
      <c r="CI46" s="22">
        <f t="shared" si="90"/>
        <v>0</v>
      </c>
      <c r="CJ46" s="22">
        <f t="shared" si="90"/>
        <v>0</v>
      </c>
      <c r="CK46" s="22">
        <f t="shared" si="90"/>
        <v>0</v>
      </c>
      <c r="CL46" s="22">
        <f t="shared" si="90"/>
        <v>0</v>
      </c>
      <c r="CM46" s="22">
        <f t="shared" si="90"/>
        <v>0</v>
      </c>
      <c r="CN46" s="22">
        <f t="shared" si="90"/>
        <v>0</v>
      </c>
      <c r="CO46" s="22">
        <f t="shared" si="90"/>
        <v>0</v>
      </c>
      <c r="CP46" s="22">
        <f t="shared" si="90"/>
        <v>0</v>
      </c>
      <c r="CQ46" s="22">
        <f t="shared" si="90"/>
        <v>0</v>
      </c>
      <c r="CR46" s="22">
        <f t="shared" si="90"/>
        <v>0</v>
      </c>
      <c r="CS46" s="22">
        <f t="shared" si="90"/>
        <v>0</v>
      </c>
      <c r="CT46" s="22">
        <f t="shared" si="90"/>
        <v>0</v>
      </c>
      <c r="CU46" s="22">
        <f t="shared" si="90"/>
        <v>0</v>
      </c>
      <c r="CV46" s="22">
        <f t="shared" si="90"/>
        <v>0</v>
      </c>
      <c r="CW46" s="22">
        <f t="shared" si="90"/>
        <v>0</v>
      </c>
      <c r="CX46" s="22">
        <f t="shared" si="90"/>
        <v>0</v>
      </c>
      <c r="CY46" s="22">
        <f t="shared" si="90"/>
        <v>0</v>
      </c>
      <c r="CZ46" s="22">
        <f t="shared" si="90"/>
        <v>0</v>
      </c>
      <c r="DA46" s="22">
        <f t="shared" si="90"/>
        <v>0</v>
      </c>
      <c r="DB46" s="22">
        <f t="shared" si="90"/>
        <v>0</v>
      </c>
      <c r="DC46" s="22">
        <f t="shared" si="90"/>
        <v>0</v>
      </c>
      <c r="DD46" s="22">
        <f t="shared" si="90"/>
        <v>0</v>
      </c>
      <c r="DE46" s="22">
        <f t="shared" si="90"/>
        <v>0</v>
      </c>
      <c r="DF46" s="22">
        <f>SUM(BU46:DE46)</f>
        <v>1.0771276370628118</v>
      </c>
    </row>
    <row r="47" spans="1:110" x14ac:dyDescent="0.25">
      <c r="AB47" s="23"/>
      <c r="AC47" s="23"/>
      <c r="AG47" s="6"/>
      <c r="AH47" s="6"/>
      <c r="AI47" s="6"/>
      <c r="AJ47" s="6"/>
      <c r="AK47" s="6"/>
      <c r="AL47" s="6"/>
      <c r="AM47" s="6"/>
      <c r="AN47" s="6"/>
      <c r="AO47" s="249"/>
      <c r="AP47" s="26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J47" s="6"/>
      <c r="BK47" s="6"/>
      <c r="BL47" s="6"/>
      <c r="BM47" s="6"/>
      <c r="BN47" s="6"/>
      <c r="BO47" s="6"/>
      <c r="BP47" s="6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</row>
    <row r="48" spans="1:110" x14ac:dyDescent="0.25">
      <c r="AB48" s="23"/>
      <c r="AC48" s="23"/>
      <c r="AG48" s="6"/>
      <c r="AH48" s="6"/>
      <c r="AI48" s="6"/>
      <c r="AJ48" s="6"/>
      <c r="AK48" s="6"/>
      <c r="AL48" s="6"/>
      <c r="AM48" s="6"/>
      <c r="AN48" s="6"/>
      <c r="AO48" s="249"/>
      <c r="AP48" s="195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J48" s="6"/>
      <c r="BK48" s="6"/>
      <c r="BL48" s="6"/>
      <c r="BM48" s="6"/>
      <c r="BN48" s="6"/>
      <c r="BO48" s="6"/>
      <c r="BP48" s="6"/>
      <c r="BQ48" s="6"/>
      <c r="BR48" s="6"/>
      <c r="BT48" s="31" t="s">
        <v>49</v>
      </c>
      <c r="BU48" s="22">
        <f t="shared" ref="BU48:DE48" si="91">$K$45*BU7^2</f>
        <v>0</v>
      </c>
      <c r="BV48" s="22">
        <f t="shared" si="91"/>
        <v>2.9692888344345419E-3</v>
      </c>
      <c r="BW48" s="22">
        <f t="shared" si="91"/>
        <v>1.053623798957546E-2</v>
      </c>
      <c r="BX48" s="22">
        <f t="shared" si="91"/>
        <v>2.3227693267003482E-2</v>
      </c>
      <c r="BY48" s="22">
        <f t="shared" si="91"/>
        <v>4.0951039675413789E-2</v>
      </c>
      <c r="BZ48" s="22">
        <f t="shared" si="91"/>
        <v>6.3254391934504717E-2</v>
      </c>
      <c r="CA48" s="22">
        <f t="shared" si="91"/>
        <v>9.13550932395433E-2</v>
      </c>
      <c r="CB48" s="22">
        <f t="shared" si="91"/>
        <v>0.10750293006371107</v>
      </c>
      <c r="CC48" s="22">
        <f t="shared" si="91"/>
        <v>0.11419655393534683</v>
      </c>
      <c r="CD48" s="22">
        <f t="shared" si="91"/>
        <v>0.12936247803475451</v>
      </c>
      <c r="CE48" s="22">
        <f t="shared" si="91"/>
        <v>0.13817783026176969</v>
      </c>
      <c r="CF48" s="22">
        <f t="shared" si="91"/>
        <v>0.14453001357442335</v>
      </c>
      <c r="CG48" s="22">
        <f t="shared" si="91"/>
        <v>0.15490173794651729</v>
      </c>
      <c r="CH48" s="22">
        <f t="shared" si="91"/>
        <v>0.16216703690443798</v>
      </c>
      <c r="CI48" s="22">
        <f t="shared" si="91"/>
        <v>0.16904262108929533</v>
      </c>
      <c r="CJ48" s="22">
        <f t="shared" si="91"/>
        <v>0.17606095096657187</v>
      </c>
      <c r="CK48" s="22">
        <f t="shared" si="91"/>
        <v>0.1813943868215683</v>
      </c>
      <c r="CL48" s="22">
        <f t="shared" si="91"/>
        <v>0</v>
      </c>
      <c r="CM48" s="22">
        <f t="shared" si="91"/>
        <v>0</v>
      </c>
      <c r="CN48" s="22">
        <f t="shared" si="91"/>
        <v>0</v>
      </c>
      <c r="CO48" s="22">
        <f t="shared" si="91"/>
        <v>0</v>
      </c>
      <c r="CP48" s="22">
        <f t="shared" si="91"/>
        <v>0</v>
      </c>
      <c r="CQ48" s="22">
        <f t="shared" si="91"/>
        <v>0</v>
      </c>
      <c r="CR48" s="22">
        <f t="shared" si="91"/>
        <v>0</v>
      </c>
      <c r="CS48" s="22">
        <f t="shared" si="91"/>
        <v>0</v>
      </c>
      <c r="CT48" s="22">
        <f t="shared" si="91"/>
        <v>0</v>
      </c>
      <c r="CU48" s="22">
        <f t="shared" si="91"/>
        <v>0</v>
      </c>
      <c r="CV48" s="22">
        <f t="shared" si="91"/>
        <v>0</v>
      </c>
      <c r="CW48" s="22">
        <f t="shared" si="91"/>
        <v>0</v>
      </c>
      <c r="CX48" s="22">
        <f t="shared" si="91"/>
        <v>0</v>
      </c>
      <c r="CY48" s="22">
        <f t="shared" si="91"/>
        <v>0</v>
      </c>
      <c r="CZ48" s="22">
        <f t="shared" si="91"/>
        <v>0</v>
      </c>
      <c r="DA48" s="22">
        <f t="shared" si="91"/>
        <v>0</v>
      </c>
      <c r="DB48" s="22">
        <f t="shared" si="91"/>
        <v>0</v>
      </c>
      <c r="DC48" s="22">
        <f t="shared" si="91"/>
        <v>0</v>
      </c>
      <c r="DD48" s="22">
        <f t="shared" si="91"/>
        <v>0</v>
      </c>
      <c r="DE48" s="22">
        <f t="shared" si="91"/>
        <v>0</v>
      </c>
      <c r="DF48" s="22"/>
    </row>
    <row r="49" spans="7:110" x14ac:dyDescent="0.25">
      <c r="AB49" s="23"/>
      <c r="AC49" s="23"/>
      <c r="AG49" s="6"/>
      <c r="AH49" s="6"/>
      <c r="AI49" s="6"/>
      <c r="AJ49" s="6"/>
      <c r="AK49" s="6"/>
      <c r="AL49" s="6"/>
      <c r="AM49" s="6"/>
      <c r="AN49" s="6"/>
      <c r="AO49" s="249"/>
      <c r="AP49" s="195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J49" s="6"/>
      <c r="BK49" s="6"/>
      <c r="BL49" s="6"/>
      <c r="BM49" s="6"/>
      <c r="BN49" s="6"/>
      <c r="BO49" s="6"/>
      <c r="BP49" s="6"/>
      <c r="BQ49" s="6"/>
      <c r="BR49" s="6"/>
    </row>
    <row r="50" spans="7:110" x14ac:dyDescent="0.25">
      <c r="H50" s="85" t="s">
        <v>97</v>
      </c>
      <c r="AB50" s="23"/>
      <c r="AC50" s="23"/>
      <c r="AG50" s="6"/>
      <c r="AH50" s="6"/>
      <c r="AI50" s="6"/>
      <c r="AJ50" s="6"/>
      <c r="AK50" s="6"/>
      <c r="AL50" s="6"/>
      <c r="AM50" s="6"/>
      <c r="AN50" s="6"/>
      <c r="AO50" s="249"/>
      <c r="AP50" s="195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J50" s="6"/>
      <c r="BK50" s="6"/>
      <c r="BL50" s="6"/>
      <c r="BM50" s="6"/>
      <c r="BN50" s="6"/>
      <c r="BO50" s="6"/>
      <c r="BP50" s="6"/>
      <c r="BQ50" s="6"/>
      <c r="BR50" s="6"/>
      <c r="BU50" s="371" t="s">
        <v>43</v>
      </c>
      <c r="BV50" s="372"/>
      <c r="BW50" s="372"/>
      <c r="BX50" s="372"/>
      <c r="BY50" s="372"/>
      <c r="BZ50" s="372"/>
      <c r="CA50" s="372"/>
      <c r="CB50" s="372"/>
      <c r="CC50" s="372"/>
      <c r="CD50" s="372"/>
      <c r="CE50" s="372"/>
      <c r="CF50" s="372"/>
      <c r="CG50" s="372"/>
      <c r="CH50" s="372"/>
      <c r="CI50" s="372"/>
      <c r="CJ50" s="372"/>
      <c r="CK50" s="372"/>
      <c r="CL50" s="372"/>
      <c r="CM50" s="372"/>
      <c r="CN50" s="372"/>
      <c r="CO50" s="372"/>
      <c r="CP50" s="372"/>
      <c r="CQ50" s="372"/>
      <c r="CR50" s="372"/>
      <c r="CS50" s="372"/>
      <c r="CT50" s="372"/>
      <c r="CU50" s="372"/>
      <c r="CV50" s="372"/>
      <c r="CW50" s="372"/>
      <c r="CX50" s="372"/>
      <c r="CY50" s="372"/>
      <c r="CZ50" s="372"/>
      <c r="DA50" s="372"/>
      <c r="DB50" s="372"/>
      <c r="DC50" s="372"/>
      <c r="DD50" s="372"/>
      <c r="DE50" s="373"/>
    </row>
    <row r="51" spans="7:110" x14ac:dyDescent="0.25">
      <c r="H51" s="85" t="s">
        <v>98</v>
      </c>
      <c r="AB51" s="23"/>
      <c r="AC51" s="23"/>
      <c r="AG51" s="6"/>
      <c r="AH51" s="6"/>
      <c r="AI51" s="6"/>
      <c r="AJ51" s="6"/>
      <c r="AK51" s="6"/>
      <c r="AL51" s="6"/>
      <c r="AM51" s="6"/>
      <c r="AN51" s="6"/>
      <c r="AO51" s="249"/>
      <c r="AP51" s="195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J51" s="6"/>
      <c r="BK51" s="6"/>
      <c r="BL51" s="6"/>
      <c r="BM51" s="6"/>
      <c r="BN51" s="6"/>
      <c r="BO51" s="6"/>
      <c r="BP51" s="6"/>
      <c r="BQ51" s="6"/>
      <c r="BR51" s="6"/>
      <c r="BU51" s="22">
        <f t="shared" ref="BU51:DE51" si="92">IF(BU13&gt;0,FORECAST(BU13,BU$9:BV$9,BU$7:BV$7),0)</f>
        <v>0</v>
      </c>
      <c r="BV51" s="22">
        <f t="shared" si="92"/>
        <v>0</v>
      </c>
      <c r="BW51" s="22">
        <f t="shared" si="92"/>
        <v>0</v>
      </c>
      <c r="BX51" s="22">
        <f t="shared" si="92"/>
        <v>0</v>
      </c>
      <c r="BY51" s="22">
        <f t="shared" si="92"/>
        <v>0</v>
      </c>
      <c r="BZ51" s="22">
        <f t="shared" si="92"/>
        <v>0</v>
      </c>
      <c r="CA51" s="22">
        <f t="shared" si="92"/>
        <v>0</v>
      </c>
      <c r="CB51" s="22">
        <f t="shared" si="92"/>
        <v>0</v>
      </c>
      <c r="CC51" s="22">
        <f t="shared" si="92"/>
        <v>0</v>
      </c>
      <c r="CD51" s="22">
        <f t="shared" si="92"/>
        <v>0</v>
      </c>
      <c r="CE51" s="22">
        <f t="shared" si="92"/>
        <v>0</v>
      </c>
      <c r="CF51" s="22">
        <f t="shared" si="92"/>
        <v>0</v>
      </c>
      <c r="CG51" s="22">
        <f t="shared" si="92"/>
        <v>0</v>
      </c>
      <c r="CH51" s="22">
        <f t="shared" si="92"/>
        <v>0</v>
      </c>
      <c r="CI51" s="22">
        <f t="shared" si="92"/>
        <v>0</v>
      </c>
      <c r="CJ51" s="22">
        <f t="shared" si="92"/>
        <v>0</v>
      </c>
      <c r="CK51" s="22">
        <f t="shared" si="92"/>
        <v>0</v>
      </c>
      <c r="CL51" s="22">
        <f t="shared" si="92"/>
        <v>0</v>
      </c>
      <c r="CM51" s="22">
        <f t="shared" si="92"/>
        <v>0</v>
      </c>
      <c r="CN51" s="22">
        <f t="shared" si="92"/>
        <v>0</v>
      </c>
      <c r="CO51" s="22">
        <f t="shared" si="92"/>
        <v>0</v>
      </c>
      <c r="CP51" s="22">
        <f t="shared" si="92"/>
        <v>0</v>
      </c>
      <c r="CQ51" s="22">
        <f t="shared" si="92"/>
        <v>0</v>
      </c>
      <c r="CR51" s="22">
        <f t="shared" si="92"/>
        <v>0</v>
      </c>
      <c r="CS51" s="22">
        <f t="shared" si="92"/>
        <v>0</v>
      </c>
      <c r="CT51" s="22">
        <f t="shared" si="92"/>
        <v>0</v>
      </c>
      <c r="CU51" s="22">
        <f t="shared" si="92"/>
        <v>0</v>
      </c>
      <c r="CV51" s="22">
        <f t="shared" si="92"/>
        <v>0</v>
      </c>
      <c r="CW51" s="22">
        <f t="shared" si="92"/>
        <v>0</v>
      </c>
      <c r="CX51" s="22">
        <f t="shared" si="92"/>
        <v>0</v>
      </c>
      <c r="CY51" s="22">
        <f t="shared" si="92"/>
        <v>0</v>
      </c>
      <c r="CZ51" s="22">
        <f t="shared" si="92"/>
        <v>0</v>
      </c>
      <c r="DA51" s="22">
        <f t="shared" si="92"/>
        <v>0</v>
      </c>
      <c r="DB51" s="22">
        <f t="shared" si="92"/>
        <v>0</v>
      </c>
      <c r="DC51" s="22">
        <f t="shared" si="92"/>
        <v>0</v>
      </c>
      <c r="DD51" s="22">
        <f t="shared" si="92"/>
        <v>0</v>
      </c>
      <c r="DE51" s="22">
        <f t="shared" si="92"/>
        <v>0</v>
      </c>
      <c r="DF51" s="22">
        <f>SUM(BU51:DE51)</f>
        <v>0</v>
      </c>
    </row>
    <row r="52" spans="7:110" x14ac:dyDescent="0.25">
      <c r="G52">
        <v>2007</v>
      </c>
      <c r="H52" s="85" t="s">
        <v>99</v>
      </c>
      <c r="AB52" s="23"/>
      <c r="AC52" s="23"/>
      <c r="AG52" s="6"/>
      <c r="AH52" s="6"/>
      <c r="AI52" s="6"/>
      <c r="AJ52" s="6"/>
      <c r="AK52" s="6"/>
      <c r="AL52" s="6"/>
      <c r="AM52" s="6"/>
      <c r="AN52" s="6"/>
      <c r="AO52" s="249"/>
      <c r="AP52" s="195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J52" s="6"/>
      <c r="BK52" s="6"/>
      <c r="BL52" s="6"/>
      <c r="BM52" s="6"/>
      <c r="BN52" s="6"/>
      <c r="BO52" s="6"/>
      <c r="BP52" s="6"/>
      <c r="BQ52" s="6"/>
      <c r="BR52" s="6"/>
      <c r="BU52" s="22">
        <f t="shared" ref="BU52:DE52" si="93">IF(BU14&gt;0,FORECAST(BU14,BU$9:BV$9,BU$7:BV$7),0)</f>
        <v>0</v>
      </c>
      <c r="BV52" s="22">
        <f t="shared" si="93"/>
        <v>0</v>
      </c>
      <c r="BW52" s="22">
        <f t="shared" si="93"/>
        <v>0.29683063031908702</v>
      </c>
      <c r="BX52" s="22">
        <f t="shared" si="93"/>
        <v>0</v>
      </c>
      <c r="BY52" s="22">
        <f t="shared" si="93"/>
        <v>0</v>
      </c>
      <c r="BZ52" s="22">
        <f t="shared" si="93"/>
        <v>0</v>
      </c>
      <c r="CA52" s="22">
        <f t="shared" si="93"/>
        <v>0</v>
      </c>
      <c r="CB52" s="22">
        <f t="shared" si="93"/>
        <v>0</v>
      </c>
      <c r="CC52" s="22">
        <f t="shared" si="93"/>
        <v>0</v>
      </c>
      <c r="CD52" s="22">
        <f t="shared" si="93"/>
        <v>0</v>
      </c>
      <c r="CE52" s="22">
        <f t="shared" si="93"/>
        <v>0</v>
      </c>
      <c r="CF52" s="22">
        <f t="shared" si="93"/>
        <v>0</v>
      </c>
      <c r="CG52" s="22">
        <f t="shared" si="93"/>
        <v>0</v>
      </c>
      <c r="CH52" s="22">
        <f t="shared" si="93"/>
        <v>0</v>
      </c>
      <c r="CI52" s="22">
        <f t="shared" si="93"/>
        <v>0</v>
      </c>
      <c r="CJ52" s="22">
        <f t="shared" si="93"/>
        <v>0</v>
      </c>
      <c r="CK52" s="22">
        <f t="shared" si="93"/>
        <v>0</v>
      </c>
      <c r="CL52" s="22">
        <f t="shared" si="93"/>
        <v>0</v>
      </c>
      <c r="CM52" s="22">
        <f t="shared" si="93"/>
        <v>0</v>
      </c>
      <c r="CN52" s="22">
        <f t="shared" si="93"/>
        <v>0</v>
      </c>
      <c r="CO52" s="22">
        <f t="shared" si="93"/>
        <v>0</v>
      </c>
      <c r="CP52" s="22">
        <f t="shared" si="93"/>
        <v>0</v>
      </c>
      <c r="CQ52" s="22">
        <f t="shared" si="93"/>
        <v>0</v>
      </c>
      <c r="CR52" s="22">
        <f t="shared" si="93"/>
        <v>0</v>
      </c>
      <c r="CS52" s="22">
        <f t="shared" si="93"/>
        <v>0</v>
      </c>
      <c r="CT52" s="22">
        <f t="shared" si="93"/>
        <v>0</v>
      </c>
      <c r="CU52" s="22">
        <f t="shared" si="93"/>
        <v>0</v>
      </c>
      <c r="CV52" s="22">
        <f t="shared" si="93"/>
        <v>0</v>
      </c>
      <c r="CW52" s="22">
        <f t="shared" si="93"/>
        <v>0</v>
      </c>
      <c r="CX52" s="22">
        <f t="shared" si="93"/>
        <v>0</v>
      </c>
      <c r="CY52" s="22">
        <f t="shared" si="93"/>
        <v>0</v>
      </c>
      <c r="CZ52" s="22">
        <f t="shared" si="93"/>
        <v>0</v>
      </c>
      <c r="DA52" s="22">
        <f t="shared" si="93"/>
        <v>0</v>
      </c>
      <c r="DB52" s="22">
        <f t="shared" si="93"/>
        <v>0</v>
      </c>
      <c r="DC52" s="22">
        <f t="shared" si="93"/>
        <v>0</v>
      </c>
      <c r="DD52" s="22">
        <f t="shared" si="93"/>
        <v>0</v>
      </c>
      <c r="DE52" s="22">
        <f t="shared" si="93"/>
        <v>0</v>
      </c>
      <c r="DF52" s="22">
        <f t="shared" ref="DF52:DF81" si="94">SUM(BU52:DE52)</f>
        <v>0.29683063031908702</v>
      </c>
    </row>
    <row r="53" spans="7:110" x14ac:dyDescent="0.25">
      <c r="G53">
        <v>2017</v>
      </c>
      <c r="H53" s="85" t="s">
        <v>100</v>
      </c>
      <c r="AB53" s="23"/>
      <c r="AC53" s="23"/>
      <c r="AG53" s="6"/>
      <c r="AH53" s="6"/>
      <c r="AI53" s="6"/>
      <c r="AJ53" s="6"/>
      <c r="AK53" s="6"/>
      <c r="AL53" s="6"/>
      <c r="AM53" s="6"/>
      <c r="AN53" s="6"/>
      <c r="AO53" s="249"/>
      <c r="AP53" s="195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J53" s="6"/>
      <c r="BK53" s="6"/>
      <c r="BL53" s="6"/>
      <c r="BM53" s="6"/>
      <c r="BN53" s="6"/>
      <c r="BO53" s="6"/>
      <c r="BP53" s="6"/>
      <c r="BQ53" s="6"/>
      <c r="BR53" s="6"/>
      <c r="BU53" s="22">
        <f t="shared" ref="BU53:DE53" si="95">IF(BU15&gt;0,FORECAST(BU15,BU$9:BV$9,BU$7:BV$7),0)</f>
        <v>0</v>
      </c>
      <c r="BV53" s="22">
        <f t="shared" si="95"/>
        <v>0</v>
      </c>
      <c r="BW53" s="22">
        <f t="shared" si="95"/>
        <v>0</v>
      </c>
      <c r="BX53" s="22">
        <f t="shared" si="95"/>
        <v>0.26506151075725359</v>
      </c>
      <c r="BY53" s="22">
        <f t="shared" si="95"/>
        <v>0</v>
      </c>
      <c r="BZ53" s="22">
        <f t="shared" si="95"/>
        <v>0</v>
      </c>
      <c r="CA53" s="22">
        <f t="shared" si="95"/>
        <v>0</v>
      </c>
      <c r="CB53" s="22">
        <f t="shared" si="95"/>
        <v>0</v>
      </c>
      <c r="CC53" s="22">
        <f t="shared" si="95"/>
        <v>0</v>
      </c>
      <c r="CD53" s="22">
        <f t="shared" si="95"/>
        <v>0</v>
      </c>
      <c r="CE53" s="22">
        <f t="shared" si="95"/>
        <v>0</v>
      </c>
      <c r="CF53" s="22">
        <f t="shared" si="95"/>
        <v>0</v>
      </c>
      <c r="CG53" s="22">
        <f t="shared" si="95"/>
        <v>0</v>
      </c>
      <c r="CH53" s="22">
        <f t="shared" si="95"/>
        <v>0</v>
      </c>
      <c r="CI53" s="22">
        <f t="shared" si="95"/>
        <v>0</v>
      </c>
      <c r="CJ53" s="22">
        <f t="shared" si="95"/>
        <v>0</v>
      </c>
      <c r="CK53" s="22">
        <f t="shared" si="95"/>
        <v>0</v>
      </c>
      <c r="CL53" s="22">
        <f t="shared" si="95"/>
        <v>0</v>
      </c>
      <c r="CM53" s="22">
        <f t="shared" si="95"/>
        <v>0</v>
      </c>
      <c r="CN53" s="22">
        <f t="shared" si="95"/>
        <v>0</v>
      </c>
      <c r="CO53" s="22">
        <f t="shared" si="95"/>
        <v>0</v>
      </c>
      <c r="CP53" s="22">
        <f t="shared" si="95"/>
        <v>0</v>
      </c>
      <c r="CQ53" s="22">
        <f t="shared" si="95"/>
        <v>0</v>
      </c>
      <c r="CR53" s="22">
        <f t="shared" si="95"/>
        <v>0</v>
      </c>
      <c r="CS53" s="22">
        <f t="shared" si="95"/>
        <v>0</v>
      </c>
      <c r="CT53" s="22">
        <f t="shared" si="95"/>
        <v>0</v>
      </c>
      <c r="CU53" s="22">
        <f t="shared" si="95"/>
        <v>0</v>
      </c>
      <c r="CV53" s="22">
        <f t="shared" si="95"/>
        <v>0</v>
      </c>
      <c r="CW53" s="22">
        <f t="shared" si="95"/>
        <v>0</v>
      </c>
      <c r="CX53" s="22">
        <f t="shared" si="95"/>
        <v>0</v>
      </c>
      <c r="CY53" s="22">
        <f t="shared" si="95"/>
        <v>0</v>
      </c>
      <c r="CZ53" s="22">
        <f t="shared" si="95"/>
        <v>0</v>
      </c>
      <c r="DA53" s="22">
        <f t="shared" si="95"/>
        <v>0</v>
      </c>
      <c r="DB53" s="22">
        <f t="shared" si="95"/>
        <v>0</v>
      </c>
      <c r="DC53" s="22">
        <f t="shared" si="95"/>
        <v>0</v>
      </c>
      <c r="DD53" s="22">
        <f t="shared" si="95"/>
        <v>0</v>
      </c>
      <c r="DE53" s="22">
        <f t="shared" si="95"/>
        <v>0</v>
      </c>
      <c r="DF53" s="22">
        <f t="shared" si="94"/>
        <v>0.26506151075725359</v>
      </c>
    </row>
    <row r="54" spans="7:110" x14ac:dyDescent="0.25">
      <c r="AB54" s="23"/>
      <c r="AC54" s="23"/>
      <c r="AG54" s="6"/>
      <c r="AH54" s="6"/>
      <c r="AI54" s="6"/>
      <c r="AJ54" s="6"/>
      <c r="AK54" s="6"/>
      <c r="AL54" s="6"/>
      <c r="AM54" s="6"/>
      <c r="AN54" s="6"/>
      <c r="AO54" s="249"/>
      <c r="AP54" s="195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J54" s="6"/>
      <c r="BK54" s="6"/>
      <c r="BL54" s="6"/>
      <c r="BM54" s="6"/>
      <c r="BN54" s="6"/>
      <c r="BO54" s="6"/>
      <c r="BP54" s="6"/>
      <c r="BQ54" s="6"/>
      <c r="BR54" s="6"/>
      <c r="BU54" s="22">
        <f t="shared" ref="BU54:DE54" si="96">IF(BU16&gt;0,FORECAST(BU16,BU$9:BV$9,BU$7:BV$7),0)</f>
        <v>0</v>
      </c>
      <c r="BV54" s="22">
        <f t="shared" si="96"/>
        <v>0</v>
      </c>
      <c r="BW54" s="22">
        <f t="shared" si="96"/>
        <v>0</v>
      </c>
      <c r="BX54" s="22">
        <f t="shared" si="96"/>
        <v>0.24255136151219012</v>
      </c>
      <c r="BY54" s="22">
        <f t="shared" si="96"/>
        <v>0</v>
      </c>
      <c r="BZ54" s="22">
        <f t="shared" si="96"/>
        <v>0</v>
      </c>
      <c r="CA54" s="22">
        <f t="shared" si="96"/>
        <v>0</v>
      </c>
      <c r="CB54" s="22">
        <f t="shared" si="96"/>
        <v>0</v>
      </c>
      <c r="CC54" s="22">
        <f t="shared" si="96"/>
        <v>0</v>
      </c>
      <c r="CD54" s="22">
        <f t="shared" si="96"/>
        <v>0</v>
      </c>
      <c r="CE54" s="22">
        <f t="shared" si="96"/>
        <v>0</v>
      </c>
      <c r="CF54" s="22">
        <f t="shared" si="96"/>
        <v>0</v>
      </c>
      <c r="CG54" s="22">
        <f t="shared" si="96"/>
        <v>0</v>
      </c>
      <c r="CH54" s="22">
        <f t="shared" si="96"/>
        <v>0</v>
      </c>
      <c r="CI54" s="22">
        <f t="shared" si="96"/>
        <v>0</v>
      </c>
      <c r="CJ54" s="22">
        <f t="shared" si="96"/>
        <v>0</v>
      </c>
      <c r="CK54" s="22">
        <f t="shared" si="96"/>
        <v>0</v>
      </c>
      <c r="CL54" s="22">
        <f t="shared" si="96"/>
        <v>0</v>
      </c>
      <c r="CM54" s="22">
        <f t="shared" si="96"/>
        <v>0</v>
      </c>
      <c r="CN54" s="22">
        <f t="shared" si="96"/>
        <v>0</v>
      </c>
      <c r="CO54" s="22">
        <f t="shared" si="96"/>
        <v>0</v>
      </c>
      <c r="CP54" s="22">
        <f t="shared" si="96"/>
        <v>0</v>
      </c>
      <c r="CQ54" s="22">
        <f t="shared" si="96"/>
        <v>0</v>
      </c>
      <c r="CR54" s="22">
        <f t="shared" si="96"/>
        <v>0</v>
      </c>
      <c r="CS54" s="22">
        <f t="shared" si="96"/>
        <v>0</v>
      </c>
      <c r="CT54" s="22">
        <f t="shared" si="96"/>
        <v>0</v>
      </c>
      <c r="CU54" s="22">
        <f t="shared" si="96"/>
        <v>0</v>
      </c>
      <c r="CV54" s="22">
        <f t="shared" si="96"/>
        <v>0</v>
      </c>
      <c r="CW54" s="22">
        <f t="shared" si="96"/>
        <v>0</v>
      </c>
      <c r="CX54" s="22">
        <f t="shared" si="96"/>
        <v>0</v>
      </c>
      <c r="CY54" s="22">
        <f t="shared" si="96"/>
        <v>0</v>
      </c>
      <c r="CZ54" s="22">
        <f t="shared" si="96"/>
        <v>0</v>
      </c>
      <c r="DA54" s="22">
        <f t="shared" si="96"/>
        <v>0</v>
      </c>
      <c r="DB54" s="22">
        <f t="shared" si="96"/>
        <v>0</v>
      </c>
      <c r="DC54" s="22">
        <f t="shared" si="96"/>
        <v>0</v>
      </c>
      <c r="DD54" s="22">
        <f t="shared" si="96"/>
        <v>0</v>
      </c>
      <c r="DE54" s="22">
        <f t="shared" si="96"/>
        <v>0</v>
      </c>
      <c r="DF54" s="22">
        <f t="shared" si="94"/>
        <v>0.24255136151219012</v>
      </c>
    </row>
    <row r="55" spans="7:110" x14ac:dyDescent="0.25">
      <c r="AB55" s="23"/>
      <c r="AC55" s="23"/>
      <c r="AG55" s="6"/>
      <c r="AH55" s="6"/>
      <c r="AI55" s="6"/>
      <c r="AJ55" s="6"/>
      <c r="AK55" s="6"/>
      <c r="AL55" s="6"/>
      <c r="AM55" s="6"/>
      <c r="AN55" s="6"/>
      <c r="AO55" s="249"/>
      <c r="AP55" s="195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J55" s="6"/>
      <c r="BK55" s="6"/>
      <c r="BL55" s="6"/>
      <c r="BM55" s="6"/>
      <c r="BN55" s="6"/>
      <c r="BO55" s="6"/>
      <c r="BP55" s="6"/>
      <c r="BQ55" s="6"/>
      <c r="BR55" s="6"/>
      <c r="BU55" s="22">
        <f t="shared" ref="BU55:DE55" si="97">IF(BU17&gt;0,FORECAST(BU17,BU$9:BV$9,BU$7:BV$7),0)</f>
        <v>0</v>
      </c>
      <c r="BV55" s="22">
        <f t="shared" si="97"/>
        <v>0</v>
      </c>
      <c r="BW55" s="22">
        <f t="shared" si="97"/>
        <v>0</v>
      </c>
      <c r="BX55" s="22">
        <f t="shared" si="97"/>
        <v>0.22309259587816288</v>
      </c>
      <c r="BY55" s="22">
        <f t="shared" si="97"/>
        <v>0</v>
      </c>
      <c r="BZ55" s="22">
        <f t="shared" si="97"/>
        <v>0</v>
      </c>
      <c r="CA55" s="22">
        <f t="shared" si="97"/>
        <v>0</v>
      </c>
      <c r="CB55" s="22">
        <f t="shared" si="97"/>
        <v>0</v>
      </c>
      <c r="CC55" s="22">
        <f t="shared" si="97"/>
        <v>0</v>
      </c>
      <c r="CD55" s="22">
        <f t="shared" si="97"/>
        <v>0</v>
      </c>
      <c r="CE55" s="22">
        <f t="shared" si="97"/>
        <v>0</v>
      </c>
      <c r="CF55" s="22">
        <f t="shared" si="97"/>
        <v>0</v>
      </c>
      <c r="CG55" s="22">
        <f t="shared" si="97"/>
        <v>0</v>
      </c>
      <c r="CH55" s="22">
        <f t="shared" si="97"/>
        <v>0</v>
      </c>
      <c r="CI55" s="22">
        <f t="shared" si="97"/>
        <v>0</v>
      </c>
      <c r="CJ55" s="22">
        <f t="shared" si="97"/>
        <v>0</v>
      </c>
      <c r="CK55" s="22">
        <f t="shared" si="97"/>
        <v>0</v>
      </c>
      <c r="CL55" s="22">
        <f t="shared" si="97"/>
        <v>0</v>
      </c>
      <c r="CM55" s="22">
        <f t="shared" si="97"/>
        <v>0</v>
      </c>
      <c r="CN55" s="22">
        <f t="shared" si="97"/>
        <v>0</v>
      </c>
      <c r="CO55" s="22">
        <f t="shared" si="97"/>
        <v>0</v>
      </c>
      <c r="CP55" s="22">
        <f t="shared" si="97"/>
        <v>0</v>
      </c>
      <c r="CQ55" s="22">
        <f t="shared" si="97"/>
        <v>0</v>
      </c>
      <c r="CR55" s="22">
        <f t="shared" si="97"/>
        <v>0</v>
      </c>
      <c r="CS55" s="22">
        <f t="shared" si="97"/>
        <v>0</v>
      </c>
      <c r="CT55" s="22">
        <f t="shared" si="97"/>
        <v>0</v>
      </c>
      <c r="CU55" s="22">
        <f t="shared" si="97"/>
        <v>0</v>
      </c>
      <c r="CV55" s="22">
        <f t="shared" si="97"/>
        <v>0</v>
      </c>
      <c r="CW55" s="22">
        <f t="shared" si="97"/>
        <v>0</v>
      </c>
      <c r="CX55" s="22">
        <f t="shared" si="97"/>
        <v>0</v>
      </c>
      <c r="CY55" s="22">
        <f t="shared" si="97"/>
        <v>0</v>
      </c>
      <c r="CZ55" s="22">
        <f t="shared" si="97"/>
        <v>0</v>
      </c>
      <c r="DA55" s="22">
        <f t="shared" si="97"/>
        <v>0</v>
      </c>
      <c r="DB55" s="22">
        <f t="shared" si="97"/>
        <v>0</v>
      </c>
      <c r="DC55" s="22">
        <f t="shared" si="97"/>
        <v>0</v>
      </c>
      <c r="DD55" s="22">
        <f t="shared" si="97"/>
        <v>0</v>
      </c>
      <c r="DE55" s="22">
        <f t="shared" si="97"/>
        <v>0</v>
      </c>
      <c r="DF55" s="22">
        <f t="shared" si="94"/>
        <v>0.22309259587816288</v>
      </c>
    </row>
    <row r="56" spans="7:110" x14ac:dyDescent="0.25">
      <c r="AB56" s="23"/>
      <c r="AC56" s="23"/>
      <c r="AG56" s="6"/>
      <c r="AH56" s="6"/>
      <c r="AI56" s="6"/>
      <c r="AJ56" s="6"/>
      <c r="AK56" s="6"/>
      <c r="AL56" s="6"/>
      <c r="AM56" s="6"/>
      <c r="AN56" s="6"/>
      <c r="AO56" s="249"/>
      <c r="AP56" s="195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J56" s="6"/>
      <c r="BK56" s="6"/>
      <c r="BL56" s="6"/>
      <c r="BM56" s="6"/>
      <c r="BN56" s="6"/>
      <c r="BO56" s="6"/>
      <c r="BP56" s="6"/>
      <c r="BQ56" s="6"/>
      <c r="BR56" s="6"/>
      <c r="BU56" s="22">
        <f t="shared" ref="BU56:DE56" si="98">IF(BU18&gt;0,FORECAST(BU18,BU$9:BV$9,BU$7:BV$7),0)</f>
        <v>0</v>
      </c>
      <c r="BV56" s="22">
        <f t="shared" si="98"/>
        <v>0</v>
      </c>
      <c r="BW56" s="22">
        <f t="shared" si="98"/>
        <v>0</v>
      </c>
      <c r="BX56" s="22">
        <f t="shared" si="98"/>
        <v>0</v>
      </c>
      <c r="BY56" s="22">
        <f t="shared" si="98"/>
        <v>0.21304964960665246</v>
      </c>
      <c r="BZ56" s="22">
        <f t="shared" si="98"/>
        <v>0</v>
      </c>
      <c r="CA56" s="22">
        <f t="shared" si="98"/>
        <v>0</v>
      </c>
      <c r="CB56" s="22">
        <f t="shared" si="98"/>
        <v>0</v>
      </c>
      <c r="CC56" s="22">
        <f t="shared" si="98"/>
        <v>0</v>
      </c>
      <c r="CD56" s="22">
        <f t="shared" si="98"/>
        <v>0</v>
      </c>
      <c r="CE56" s="22">
        <f t="shared" si="98"/>
        <v>0</v>
      </c>
      <c r="CF56" s="22">
        <f t="shared" si="98"/>
        <v>0</v>
      </c>
      <c r="CG56" s="22">
        <f t="shared" si="98"/>
        <v>0</v>
      </c>
      <c r="CH56" s="22">
        <f t="shared" si="98"/>
        <v>0</v>
      </c>
      <c r="CI56" s="22">
        <f t="shared" si="98"/>
        <v>0</v>
      </c>
      <c r="CJ56" s="22">
        <f t="shared" si="98"/>
        <v>0</v>
      </c>
      <c r="CK56" s="22">
        <f t="shared" si="98"/>
        <v>0</v>
      </c>
      <c r="CL56" s="22">
        <f t="shared" si="98"/>
        <v>0</v>
      </c>
      <c r="CM56" s="22">
        <f t="shared" si="98"/>
        <v>0</v>
      </c>
      <c r="CN56" s="22">
        <f t="shared" si="98"/>
        <v>0</v>
      </c>
      <c r="CO56" s="22">
        <f t="shared" si="98"/>
        <v>0</v>
      </c>
      <c r="CP56" s="22">
        <f t="shared" si="98"/>
        <v>0</v>
      </c>
      <c r="CQ56" s="22">
        <f t="shared" si="98"/>
        <v>0</v>
      </c>
      <c r="CR56" s="22">
        <f t="shared" si="98"/>
        <v>0</v>
      </c>
      <c r="CS56" s="22">
        <f t="shared" si="98"/>
        <v>0</v>
      </c>
      <c r="CT56" s="22">
        <f t="shared" si="98"/>
        <v>0</v>
      </c>
      <c r="CU56" s="22">
        <f t="shared" si="98"/>
        <v>0</v>
      </c>
      <c r="CV56" s="22">
        <f t="shared" si="98"/>
        <v>0</v>
      </c>
      <c r="CW56" s="22">
        <f t="shared" si="98"/>
        <v>0</v>
      </c>
      <c r="CX56" s="22">
        <f t="shared" si="98"/>
        <v>0</v>
      </c>
      <c r="CY56" s="22">
        <f t="shared" si="98"/>
        <v>0</v>
      </c>
      <c r="CZ56" s="22">
        <f t="shared" si="98"/>
        <v>0</v>
      </c>
      <c r="DA56" s="22">
        <f t="shared" si="98"/>
        <v>0</v>
      </c>
      <c r="DB56" s="22">
        <f t="shared" si="98"/>
        <v>0</v>
      </c>
      <c r="DC56" s="22">
        <f t="shared" si="98"/>
        <v>0</v>
      </c>
      <c r="DD56" s="22">
        <f t="shared" si="98"/>
        <v>0</v>
      </c>
      <c r="DE56" s="22">
        <f t="shared" si="98"/>
        <v>0</v>
      </c>
      <c r="DF56" s="22">
        <f>SUM(BU56:DE56)</f>
        <v>0.21304964960665246</v>
      </c>
    </row>
    <row r="57" spans="7:110" x14ac:dyDescent="0.25">
      <c r="AB57" s="23"/>
      <c r="AC57" s="23"/>
      <c r="AG57" s="6"/>
      <c r="AH57" s="6"/>
      <c r="AI57" s="6"/>
      <c r="AJ57" s="6"/>
      <c r="AK57" s="6"/>
      <c r="AL57" s="6"/>
      <c r="AM57" s="6"/>
      <c r="AN57" s="6"/>
      <c r="AO57" s="249"/>
      <c r="AP57" s="195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J57" s="6"/>
      <c r="BK57" s="6"/>
      <c r="BL57" s="6"/>
      <c r="BM57" s="6"/>
      <c r="BN57" s="6"/>
      <c r="BO57" s="6"/>
      <c r="BP57" s="6"/>
      <c r="BQ57" s="6"/>
      <c r="BR57" s="6"/>
      <c r="BU57" s="22">
        <f t="shared" ref="BU57:DE57" si="99">IF(BU19&gt;0,FORECAST(BU19,BU$9:BV$9,BU$7:BV$7),0)</f>
        <v>0</v>
      </c>
      <c r="BV57" s="22">
        <f t="shared" si="99"/>
        <v>0</v>
      </c>
      <c r="BW57" s="22">
        <f t="shared" si="99"/>
        <v>0</v>
      </c>
      <c r="BX57" s="22">
        <f t="shared" si="99"/>
        <v>0</v>
      </c>
      <c r="BY57" s="22">
        <f t="shared" si="99"/>
        <v>0.20455781380549665</v>
      </c>
      <c r="BZ57" s="22">
        <f t="shared" si="99"/>
        <v>0</v>
      </c>
      <c r="CA57" s="22">
        <f t="shared" si="99"/>
        <v>0</v>
      </c>
      <c r="CB57" s="22">
        <f t="shared" si="99"/>
        <v>0</v>
      </c>
      <c r="CC57" s="22">
        <f t="shared" si="99"/>
        <v>0</v>
      </c>
      <c r="CD57" s="22">
        <f t="shared" si="99"/>
        <v>0</v>
      </c>
      <c r="CE57" s="22">
        <f t="shared" si="99"/>
        <v>0</v>
      </c>
      <c r="CF57" s="22">
        <f t="shared" si="99"/>
        <v>0</v>
      </c>
      <c r="CG57" s="22">
        <f t="shared" si="99"/>
        <v>0</v>
      </c>
      <c r="CH57" s="22">
        <f t="shared" si="99"/>
        <v>0</v>
      </c>
      <c r="CI57" s="22">
        <f t="shared" si="99"/>
        <v>0</v>
      </c>
      <c r="CJ57" s="22">
        <f t="shared" si="99"/>
        <v>0</v>
      </c>
      <c r="CK57" s="22">
        <f t="shared" si="99"/>
        <v>0</v>
      </c>
      <c r="CL57" s="22">
        <f t="shared" si="99"/>
        <v>0</v>
      </c>
      <c r="CM57" s="22">
        <f t="shared" si="99"/>
        <v>0</v>
      </c>
      <c r="CN57" s="22">
        <f t="shared" si="99"/>
        <v>0</v>
      </c>
      <c r="CO57" s="22">
        <f t="shared" si="99"/>
        <v>0</v>
      </c>
      <c r="CP57" s="22">
        <f t="shared" si="99"/>
        <v>0</v>
      </c>
      <c r="CQ57" s="22">
        <f t="shared" si="99"/>
        <v>0</v>
      </c>
      <c r="CR57" s="22">
        <f t="shared" si="99"/>
        <v>0</v>
      </c>
      <c r="CS57" s="22">
        <f t="shared" si="99"/>
        <v>0</v>
      </c>
      <c r="CT57" s="22">
        <f t="shared" si="99"/>
        <v>0</v>
      </c>
      <c r="CU57" s="22">
        <f t="shared" si="99"/>
        <v>0</v>
      </c>
      <c r="CV57" s="22">
        <f t="shared" si="99"/>
        <v>0</v>
      </c>
      <c r="CW57" s="22">
        <f t="shared" si="99"/>
        <v>0</v>
      </c>
      <c r="CX57" s="22">
        <f t="shared" si="99"/>
        <v>0</v>
      </c>
      <c r="CY57" s="22">
        <f t="shared" si="99"/>
        <v>0</v>
      </c>
      <c r="CZ57" s="22">
        <f t="shared" si="99"/>
        <v>0</v>
      </c>
      <c r="DA57" s="22">
        <f t="shared" si="99"/>
        <v>0</v>
      </c>
      <c r="DB57" s="22">
        <f t="shared" si="99"/>
        <v>0</v>
      </c>
      <c r="DC57" s="22">
        <f t="shared" si="99"/>
        <v>0</v>
      </c>
      <c r="DD57" s="22">
        <f t="shared" si="99"/>
        <v>0</v>
      </c>
      <c r="DE57" s="22">
        <f t="shared" si="99"/>
        <v>0</v>
      </c>
      <c r="DF57" s="22">
        <f t="shared" si="94"/>
        <v>0.20455781380549665</v>
      </c>
    </row>
    <row r="58" spans="7:110" x14ac:dyDescent="0.25">
      <c r="AB58" s="23"/>
      <c r="AC58" s="23"/>
      <c r="AG58" s="6"/>
      <c r="AH58" s="6"/>
      <c r="AI58" s="6"/>
      <c r="AJ58" s="6"/>
      <c r="AK58" s="6"/>
      <c r="AL58" s="6"/>
      <c r="AM58" s="6"/>
      <c r="AN58" s="6"/>
      <c r="AO58" s="249"/>
      <c r="AP58" s="195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J58" s="6"/>
      <c r="BK58" s="6"/>
      <c r="BL58" s="6"/>
      <c r="BM58" s="6"/>
      <c r="BN58" s="6"/>
      <c r="BO58" s="6"/>
      <c r="BP58" s="6"/>
      <c r="BQ58" s="6"/>
      <c r="BR58" s="6"/>
      <c r="BU58" s="22">
        <f t="shared" ref="BU58:DE58" si="100">IF(BU20&gt;0,FORECAST(BU20,BU$9:BV$9,BU$7:BV$7),0)</f>
        <v>0</v>
      </c>
      <c r="BV58" s="22">
        <f t="shared" si="100"/>
        <v>0</v>
      </c>
      <c r="BW58" s="22">
        <f t="shared" si="100"/>
        <v>0</v>
      </c>
      <c r="BX58" s="22">
        <f t="shared" si="100"/>
        <v>0</v>
      </c>
      <c r="BY58" s="22">
        <f t="shared" si="100"/>
        <v>0.19693166637370194</v>
      </c>
      <c r="BZ58" s="22">
        <f t="shared" si="100"/>
        <v>0</v>
      </c>
      <c r="CA58" s="22">
        <f t="shared" si="100"/>
        <v>0</v>
      </c>
      <c r="CB58" s="22">
        <f t="shared" si="100"/>
        <v>0</v>
      </c>
      <c r="CC58" s="22">
        <f t="shared" si="100"/>
        <v>0</v>
      </c>
      <c r="CD58" s="22">
        <f t="shared" si="100"/>
        <v>0</v>
      </c>
      <c r="CE58" s="22">
        <f t="shared" si="100"/>
        <v>0</v>
      </c>
      <c r="CF58" s="22">
        <f t="shared" si="100"/>
        <v>0</v>
      </c>
      <c r="CG58" s="22">
        <f t="shared" si="100"/>
        <v>0</v>
      </c>
      <c r="CH58" s="22">
        <f t="shared" si="100"/>
        <v>0</v>
      </c>
      <c r="CI58" s="22">
        <f t="shared" si="100"/>
        <v>0</v>
      </c>
      <c r="CJ58" s="22">
        <f t="shared" si="100"/>
        <v>0</v>
      </c>
      <c r="CK58" s="22">
        <f t="shared" si="100"/>
        <v>0</v>
      </c>
      <c r="CL58" s="22">
        <f t="shared" si="100"/>
        <v>0</v>
      </c>
      <c r="CM58" s="22">
        <f t="shared" si="100"/>
        <v>0</v>
      </c>
      <c r="CN58" s="22">
        <f t="shared" si="100"/>
        <v>0</v>
      </c>
      <c r="CO58" s="22">
        <f t="shared" si="100"/>
        <v>0</v>
      </c>
      <c r="CP58" s="22">
        <f t="shared" si="100"/>
        <v>0</v>
      </c>
      <c r="CQ58" s="22">
        <f t="shared" si="100"/>
        <v>0</v>
      </c>
      <c r="CR58" s="22">
        <f t="shared" si="100"/>
        <v>0</v>
      </c>
      <c r="CS58" s="22">
        <f t="shared" si="100"/>
        <v>0</v>
      </c>
      <c r="CT58" s="22">
        <f t="shared" si="100"/>
        <v>0</v>
      </c>
      <c r="CU58" s="22">
        <f t="shared" si="100"/>
        <v>0</v>
      </c>
      <c r="CV58" s="22">
        <f t="shared" si="100"/>
        <v>0</v>
      </c>
      <c r="CW58" s="22">
        <f t="shared" si="100"/>
        <v>0</v>
      </c>
      <c r="CX58" s="22">
        <f t="shared" si="100"/>
        <v>0</v>
      </c>
      <c r="CY58" s="22">
        <f t="shared" si="100"/>
        <v>0</v>
      </c>
      <c r="CZ58" s="22">
        <f t="shared" si="100"/>
        <v>0</v>
      </c>
      <c r="DA58" s="22">
        <f t="shared" si="100"/>
        <v>0</v>
      </c>
      <c r="DB58" s="22">
        <f t="shared" si="100"/>
        <v>0</v>
      </c>
      <c r="DC58" s="22">
        <f t="shared" si="100"/>
        <v>0</v>
      </c>
      <c r="DD58" s="22">
        <f t="shared" si="100"/>
        <v>0</v>
      </c>
      <c r="DE58" s="22">
        <f t="shared" si="100"/>
        <v>0</v>
      </c>
      <c r="DF58" s="22">
        <f t="shared" si="94"/>
        <v>0.19693166637370194</v>
      </c>
    </row>
    <row r="59" spans="7:110" ht="14.4" x14ac:dyDescent="0.3">
      <c r="AB59" s="24"/>
      <c r="AC59" s="24"/>
      <c r="AG59" s="6"/>
      <c r="AH59" s="25"/>
      <c r="AI59" s="6"/>
      <c r="AJ59" s="6"/>
      <c r="AK59" s="6"/>
      <c r="AL59" s="6"/>
      <c r="AM59" s="6"/>
      <c r="AN59" s="6"/>
      <c r="AO59" s="249"/>
      <c r="AP59" s="195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J59" s="6"/>
      <c r="BK59" s="6"/>
      <c r="BL59" s="6"/>
      <c r="BM59" s="6"/>
      <c r="BN59" s="6"/>
      <c r="BO59" s="6"/>
      <c r="BP59" s="6"/>
      <c r="BQ59" s="6"/>
      <c r="BR59" s="6"/>
      <c r="BU59" s="22">
        <f t="shared" ref="BU59:DE59" si="101">IF(BU21&gt;0,FORECAST(BU21,BU$9:BV$9,BU$7:BV$7),0)</f>
        <v>0</v>
      </c>
      <c r="BV59" s="22">
        <f t="shared" si="101"/>
        <v>0</v>
      </c>
      <c r="BW59" s="22">
        <f t="shared" si="101"/>
        <v>0</v>
      </c>
      <c r="BX59" s="22">
        <f t="shared" si="101"/>
        <v>0</v>
      </c>
      <c r="BY59" s="22">
        <f t="shared" si="101"/>
        <v>0</v>
      </c>
      <c r="BZ59" s="22">
        <f t="shared" si="101"/>
        <v>0.19077000543800476</v>
      </c>
      <c r="CA59" s="22">
        <f t="shared" si="101"/>
        <v>0</v>
      </c>
      <c r="CB59" s="22">
        <f t="shared" si="101"/>
        <v>0</v>
      </c>
      <c r="CC59" s="22">
        <f t="shared" si="101"/>
        <v>0</v>
      </c>
      <c r="CD59" s="22">
        <f t="shared" si="101"/>
        <v>0</v>
      </c>
      <c r="CE59" s="22">
        <f t="shared" si="101"/>
        <v>0</v>
      </c>
      <c r="CF59" s="22">
        <f t="shared" si="101"/>
        <v>0</v>
      </c>
      <c r="CG59" s="22">
        <f t="shared" si="101"/>
        <v>0</v>
      </c>
      <c r="CH59" s="22">
        <f t="shared" si="101"/>
        <v>0</v>
      </c>
      <c r="CI59" s="22">
        <f t="shared" si="101"/>
        <v>0</v>
      </c>
      <c r="CJ59" s="22">
        <f t="shared" si="101"/>
        <v>0</v>
      </c>
      <c r="CK59" s="22">
        <f t="shared" si="101"/>
        <v>0</v>
      </c>
      <c r="CL59" s="22">
        <f t="shared" si="101"/>
        <v>0</v>
      </c>
      <c r="CM59" s="22">
        <f t="shared" si="101"/>
        <v>0</v>
      </c>
      <c r="CN59" s="22">
        <f t="shared" si="101"/>
        <v>0</v>
      </c>
      <c r="CO59" s="22">
        <f t="shared" si="101"/>
        <v>0</v>
      </c>
      <c r="CP59" s="22">
        <f t="shared" si="101"/>
        <v>0</v>
      </c>
      <c r="CQ59" s="22">
        <f t="shared" si="101"/>
        <v>0</v>
      </c>
      <c r="CR59" s="22">
        <f t="shared" si="101"/>
        <v>0</v>
      </c>
      <c r="CS59" s="22">
        <f t="shared" si="101"/>
        <v>0</v>
      </c>
      <c r="CT59" s="22">
        <f t="shared" si="101"/>
        <v>0</v>
      </c>
      <c r="CU59" s="22">
        <f t="shared" si="101"/>
        <v>0</v>
      </c>
      <c r="CV59" s="22">
        <f t="shared" si="101"/>
        <v>0</v>
      </c>
      <c r="CW59" s="22">
        <f t="shared" si="101"/>
        <v>0</v>
      </c>
      <c r="CX59" s="22">
        <f t="shared" si="101"/>
        <v>0</v>
      </c>
      <c r="CY59" s="22">
        <f t="shared" si="101"/>
        <v>0</v>
      </c>
      <c r="CZ59" s="22">
        <f t="shared" si="101"/>
        <v>0</v>
      </c>
      <c r="DA59" s="22">
        <f t="shared" si="101"/>
        <v>0</v>
      </c>
      <c r="DB59" s="22">
        <f t="shared" si="101"/>
        <v>0</v>
      </c>
      <c r="DC59" s="22">
        <f t="shared" si="101"/>
        <v>0</v>
      </c>
      <c r="DD59" s="22">
        <f t="shared" si="101"/>
        <v>0</v>
      </c>
      <c r="DE59" s="22">
        <f t="shared" si="101"/>
        <v>0</v>
      </c>
      <c r="DF59" s="22">
        <f t="shared" si="94"/>
        <v>0.19077000543800476</v>
      </c>
    </row>
    <row r="60" spans="7:110" x14ac:dyDescent="0.25">
      <c r="AB60" s="23"/>
      <c r="AC60" s="23"/>
      <c r="AG60" s="6"/>
      <c r="AH60" s="6"/>
      <c r="AI60" s="6"/>
      <c r="AJ60" s="6"/>
      <c r="AK60" s="6"/>
      <c r="AL60" s="6"/>
      <c r="AM60" s="6"/>
      <c r="AN60" s="6"/>
      <c r="AO60" s="249"/>
      <c r="AP60" s="195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J60" s="6"/>
      <c r="BK60" s="6"/>
      <c r="BL60" s="6"/>
      <c r="BM60" s="6"/>
      <c r="BN60" s="6"/>
      <c r="BO60" s="6"/>
      <c r="BP60" s="6"/>
      <c r="BQ60" s="6"/>
      <c r="BR60" s="6"/>
      <c r="BU60" s="22">
        <f t="shared" ref="BU60:DE60" si="102">IF(BU22&gt;0,FORECAST(BU22,BU$9:BV$9,BU$7:BV$7),0)</f>
        <v>0</v>
      </c>
      <c r="BV60" s="22">
        <f t="shared" si="102"/>
        <v>0</v>
      </c>
      <c r="BW60" s="22">
        <f t="shared" si="102"/>
        <v>0</v>
      </c>
      <c r="BX60" s="22">
        <f t="shared" si="102"/>
        <v>0</v>
      </c>
      <c r="BY60" s="22">
        <f t="shared" si="102"/>
        <v>0</v>
      </c>
      <c r="BZ60" s="22">
        <f t="shared" si="102"/>
        <v>0.18625476929833071</v>
      </c>
      <c r="CA60" s="22">
        <f t="shared" si="102"/>
        <v>0</v>
      </c>
      <c r="CB60" s="22">
        <f t="shared" si="102"/>
        <v>0</v>
      </c>
      <c r="CC60" s="22">
        <f t="shared" si="102"/>
        <v>0</v>
      </c>
      <c r="CD60" s="22">
        <f t="shared" si="102"/>
        <v>0</v>
      </c>
      <c r="CE60" s="22">
        <f t="shared" si="102"/>
        <v>0</v>
      </c>
      <c r="CF60" s="22">
        <f t="shared" si="102"/>
        <v>0</v>
      </c>
      <c r="CG60" s="22">
        <f t="shared" si="102"/>
        <v>0</v>
      </c>
      <c r="CH60" s="22">
        <f t="shared" si="102"/>
        <v>0</v>
      </c>
      <c r="CI60" s="22">
        <f t="shared" si="102"/>
        <v>0</v>
      </c>
      <c r="CJ60" s="22">
        <f t="shared" si="102"/>
        <v>0</v>
      </c>
      <c r="CK60" s="22">
        <f t="shared" si="102"/>
        <v>0</v>
      </c>
      <c r="CL60" s="22">
        <f t="shared" si="102"/>
        <v>0</v>
      </c>
      <c r="CM60" s="22">
        <f t="shared" si="102"/>
        <v>0</v>
      </c>
      <c r="CN60" s="22">
        <f t="shared" si="102"/>
        <v>0</v>
      </c>
      <c r="CO60" s="22">
        <f t="shared" si="102"/>
        <v>0</v>
      </c>
      <c r="CP60" s="22">
        <f t="shared" si="102"/>
        <v>0</v>
      </c>
      <c r="CQ60" s="22">
        <f t="shared" si="102"/>
        <v>0</v>
      </c>
      <c r="CR60" s="22">
        <f t="shared" si="102"/>
        <v>0</v>
      </c>
      <c r="CS60" s="22">
        <f t="shared" si="102"/>
        <v>0</v>
      </c>
      <c r="CT60" s="22">
        <f t="shared" si="102"/>
        <v>0</v>
      </c>
      <c r="CU60" s="22">
        <f t="shared" si="102"/>
        <v>0</v>
      </c>
      <c r="CV60" s="22">
        <f t="shared" si="102"/>
        <v>0</v>
      </c>
      <c r="CW60" s="22">
        <f t="shared" si="102"/>
        <v>0</v>
      </c>
      <c r="CX60" s="22">
        <f t="shared" si="102"/>
        <v>0</v>
      </c>
      <c r="CY60" s="22">
        <f t="shared" si="102"/>
        <v>0</v>
      </c>
      <c r="CZ60" s="22">
        <f t="shared" si="102"/>
        <v>0</v>
      </c>
      <c r="DA60" s="22">
        <f t="shared" si="102"/>
        <v>0</v>
      </c>
      <c r="DB60" s="22">
        <f t="shared" si="102"/>
        <v>0</v>
      </c>
      <c r="DC60" s="22">
        <f t="shared" si="102"/>
        <v>0</v>
      </c>
      <c r="DD60" s="22">
        <f t="shared" si="102"/>
        <v>0</v>
      </c>
      <c r="DE60" s="22">
        <f t="shared" si="102"/>
        <v>0</v>
      </c>
      <c r="DF60" s="22">
        <f t="shared" si="94"/>
        <v>0.18625476929833071</v>
      </c>
    </row>
    <row r="61" spans="7:110" x14ac:dyDescent="0.25">
      <c r="AB61" s="23"/>
      <c r="AC61" s="23"/>
      <c r="AG61" s="6"/>
      <c r="AH61" s="6"/>
      <c r="AI61" s="6"/>
      <c r="AJ61" s="6"/>
      <c r="AK61" s="6"/>
      <c r="AL61" s="6"/>
      <c r="AM61" s="6"/>
      <c r="AN61" s="6"/>
      <c r="AO61" s="249"/>
      <c r="AP61" s="195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J61" s="6"/>
      <c r="BK61" s="6"/>
      <c r="BL61" s="6"/>
      <c r="BM61" s="6"/>
      <c r="BN61" s="6"/>
      <c r="BO61" s="6"/>
      <c r="BP61" s="6"/>
      <c r="BQ61" s="6"/>
      <c r="BR61" s="6"/>
      <c r="BU61" s="22">
        <f t="shared" ref="BU61:DE61" si="103">IF(BU23&gt;0,FORECAST(BU23,BU$9:BV$9,BU$7:BV$7),0)</f>
        <v>0</v>
      </c>
      <c r="BV61" s="22">
        <f t="shared" si="103"/>
        <v>0</v>
      </c>
      <c r="BW61" s="22">
        <f t="shared" si="103"/>
        <v>0</v>
      </c>
      <c r="BX61" s="22">
        <f t="shared" si="103"/>
        <v>0</v>
      </c>
      <c r="BY61" s="22">
        <f t="shared" si="103"/>
        <v>0</v>
      </c>
      <c r="BZ61" s="22">
        <f t="shared" si="103"/>
        <v>0.18209013940638677</v>
      </c>
      <c r="CA61" s="22">
        <f t="shared" si="103"/>
        <v>0</v>
      </c>
      <c r="CB61" s="22">
        <f t="shared" si="103"/>
        <v>0</v>
      </c>
      <c r="CC61" s="22">
        <f t="shared" si="103"/>
        <v>0</v>
      </c>
      <c r="CD61" s="22">
        <f t="shared" si="103"/>
        <v>0</v>
      </c>
      <c r="CE61" s="22">
        <f t="shared" si="103"/>
        <v>0</v>
      </c>
      <c r="CF61" s="22">
        <f t="shared" si="103"/>
        <v>0</v>
      </c>
      <c r="CG61" s="22">
        <f t="shared" si="103"/>
        <v>0</v>
      </c>
      <c r="CH61" s="22">
        <f t="shared" si="103"/>
        <v>0</v>
      </c>
      <c r="CI61" s="22">
        <f t="shared" si="103"/>
        <v>0</v>
      </c>
      <c r="CJ61" s="22">
        <f t="shared" si="103"/>
        <v>0</v>
      </c>
      <c r="CK61" s="22">
        <f t="shared" si="103"/>
        <v>0</v>
      </c>
      <c r="CL61" s="22">
        <f t="shared" si="103"/>
        <v>0</v>
      </c>
      <c r="CM61" s="22">
        <f t="shared" si="103"/>
        <v>0</v>
      </c>
      <c r="CN61" s="22">
        <f t="shared" si="103"/>
        <v>0</v>
      </c>
      <c r="CO61" s="22">
        <f t="shared" si="103"/>
        <v>0</v>
      </c>
      <c r="CP61" s="22">
        <f t="shared" si="103"/>
        <v>0</v>
      </c>
      <c r="CQ61" s="22">
        <f t="shared" si="103"/>
        <v>0</v>
      </c>
      <c r="CR61" s="22">
        <f t="shared" si="103"/>
        <v>0</v>
      </c>
      <c r="CS61" s="22">
        <f t="shared" si="103"/>
        <v>0</v>
      </c>
      <c r="CT61" s="22">
        <f t="shared" si="103"/>
        <v>0</v>
      </c>
      <c r="CU61" s="22">
        <f t="shared" si="103"/>
        <v>0</v>
      </c>
      <c r="CV61" s="22">
        <f t="shared" si="103"/>
        <v>0</v>
      </c>
      <c r="CW61" s="22">
        <f t="shared" si="103"/>
        <v>0</v>
      </c>
      <c r="CX61" s="22">
        <f t="shared" si="103"/>
        <v>0</v>
      </c>
      <c r="CY61" s="22">
        <f t="shared" si="103"/>
        <v>0</v>
      </c>
      <c r="CZ61" s="22">
        <f t="shared" si="103"/>
        <v>0</v>
      </c>
      <c r="DA61" s="22">
        <f t="shared" si="103"/>
        <v>0</v>
      </c>
      <c r="DB61" s="22">
        <f t="shared" si="103"/>
        <v>0</v>
      </c>
      <c r="DC61" s="22">
        <f t="shared" si="103"/>
        <v>0</v>
      </c>
      <c r="DD61" s="22">
        <f t="shared" si="103"/>
        <v>0</v>
      </c>
      <c r="DE61" s="22">
        <f t="shared" si="103"/>
        <v>0</v>
      </c>
      <c r="DF61" s="22">
        <f t="shared" si="94"/>
        <v>0.18209013940638677</v>
      </c>
    </row>
    <row r="62" spans="7:110" x14ac:dyDescent="0.25">
      <c r="AB62" s="23"/>
      <c r="AC62" s="23"/>
      <c r="AG62" s="6"/>
      <c r="AH62" s="6"/>
      <c r="AI62" s="6"/>
      <c r="AJ62" s="6"/>
      <c r="AK62" s="6"/>
      <c r="AL62" s="6"/>
      <c r="AM62" s="6"/>
      <c r="AN62" s="6"/>
      <c r="AO62" s="249"/>
      <c r="AP62" s="195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J62" s="6"/>
      <c r="BK62" s="6"/>
      <c r="BL62" s="6"/>
      <c r="BM62" s="6"/>
      <c r="BN62" s="6"/>
      <c r="BO62" s="6"/>
      <c r="BP62" s="6"/>
      <c r="BQ62" s="6"/>
      <c r="BR62" s="6"/>
      <c r="BU62" s="22">
        <f t="shared" ref="BU62:DE62" si="104">IF(BU24&gt;0,FORECAST(BU24,BU$9:BV$9,BU$7:BV$7),0)</f>
        <v>0</v>
      </c>
      <c r="BV62" s="22">
        <f t="shared" si="104"/>
        <v>0</v>
      </c>
      <c r="BW62" s="22">
        <f t="shared" si="104"/>
        <v>0</v>
      </c>
      <c r="BX62" s="22">
        <f t="shared" si="104"/>
        <v>0</v>
      </c>
      <c r="BY62" s="22">
        <f t="shared" si="104"/>
        <v>0</v>
      </c>
      <c r="BZ62" s="22">
        <f t="shared" si="104"/>
        <v>0.17823680533301733</v>
      </c>
      <c r="CA62" s="22">
        <f t="shared" si="104"/>
        <v>0</v>
      </c>
      <c r="CB62" s="22">
        <f t="shared" si="104"/>
        <v>0</v>
      </c>
      <c r="CC62" s="22">
        <f t="shared" si="104"/>
        <v>0</v>
      </c>
      <c r="CD62" s="22">
        <f t="shared" si="104"/>
        <v>0</v>
      </c>
      <c r="CE62" s="22">
        <f t="shared" si="104"/>
        <v>0</v>
      </c>
      <c r="CF62" s="22">
        <f t="shared" si="104"/>
        <v>0</v>
      </c>
      <c r="CG62" s="22">
        <f t="shared" si="104"/>
        <v>0</v>
      </c>
      <c r="CH62" s="22">
        <f t="shared" si="104"/>
        <v>0</v>
      </c>
      <c r="CI62" s="22">
        <f t="shared" si="104"/>
        <v>0</v>
      </c>
      <c r="CJ62" s="22">
        <f t="shared" si="104"/>
        <v>0</v>
      </c>
      <c r="CK62" s="22">
        <f t="shared" si="104"/>
        <v>0</v>
      </c>
      <c r="CL62" s="22">
        <f t="shared" si="104"/>
        <v>0</v>
      </c>
      <c r="CM62" s="22">
        <f t="shared" si="104"/>
        <v>0</v>
      </c>
      <c r="CN62" s="22">
        <f t="shared" si="104"/>
        <v>0</v>
      </c>
      <c r="CO62" s="22">
        <f t="shared" si="104"/>
        <v>0</v>
      </c>
      <c r="CP62" s="22">
        <f t="shared" si="104"/>
        <v>0</v>
      </c>
      <c r="CQ62" s="22">
        <f t="shared" si="104"/>
        <v>0</v>
      </c>
      <c r="CR62" s="22">
        <f t="shared" si="104"/>
        <v>0</v>
      </c>
      <c r="CS62" s="22">
        <f t="shared" si="104"/>
        <v>0</v>
      </c>
      <c r="CT62" s="22">
        <f t="shared" si="104"/>
        <v>0</v>
      </c>
      <c r="CU62" s="22">
        <f t="shared" si="104"/>
        <v>0</v>
      </c>
      <c r="CV62" s="22">
        <f t="shared" si="104"/>
        <v>0</v>
      </c>
      <c r="CW62" s="22">
        <f t="shared" si="104"/>
        <v>0</v>
      </c>
      <c r="CX62" s="22">
        <f t="shared" si="104"/>
        <v>0</v>
      </c>
      <c r="CY62" s="22">
        <f t="shared" si="104"/>
        <v>0</v>
      </c>
      <c r="CZ62" s="22">
        <f t="shared" si="104"/>
        <v>0</v>
      </c>
      <c r="DA62" s="22">
        <f t="shared" si="104"/>
        <v>0</v>
      </c>
      <c r="DB62" s="22">
        <f t="shared" si="104"/>
        <v>0</v>
      </c>
      <c r="DC62" s="22">
        <f t="shared" si="104"/>
        <v>0</v>
      </c>
      <c r="DD62" s="22">
        <f t="shared" si="104"/>
        <v>0</v>
      </c>
      <c r="DE62" s="22">
        <f t="shared" si="104"/>
        <v>0</v>
      </c>
      <c r="DF62" s="22">
        <f t="shared" si="94"/>
        <v>0.17823680533301733</v>
      </c>
    </row>
    <row r="63" spans="7:110" x14ac:dyDescent="0.25">
      <c r="AB63" s="23"/>
      <c r="AC63" s="23"/>
      <c r="AG63" s="6"/>
      <c r="AH63" s="6"/>
      <c r="AI63" s="6"/>
      <c r="AJ63" s="6"/>
      <c r="AK63" s="6"/>
      <c r="AL63" s="6"/>
      <c r="AM63" s="6"/>
      <c r="AN63" s="6"/>
      <c r="AO63" s="249"/>
      <c r="AP63" s="195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J63" s="6"/>
      <c r="BK63" s="6"/>
      <c r="BL63" s="6"/>
      <c r="BM63" s="6"/>
      <c r="BN63" s="6"/>
      <c r="BO63" s="6"/>
      <c r="BP63" s="6"/>
      <c r="BQ63" s="6"/>
      <c r="BR63" s="6"/>
      <c r="BU63" s="22">
        <f t="shared" ref="BU63:DE63" si="105">IF(BU25&gt;0,FORECAST(BU25,BU$9:BV$9,BU$7:BV$7),0)</f>
        <v>0</v>
      </c>
      <c r="BV63" s="22">
        <f t="shared" si="105"/>
        <v>0</v>
      </c>
      <c r="BW63" s="22">
        <f t="shared" si="105"/>
        <v>0</v>
      </c>
      <c r="BX63" s="22">
        <f t="shared" si="105"/>
        <v>0</v>
      </c>
      <c r="BY63" s="22">
        <f t="shared" si="105"/>
        <v>0</v>
      </c>
      <c r="BZ63" s="22">
        <f t="shared" si="105"/>
        <v>0.17474285542390072</v>
      </c>
      <c r="CA63" s="22">
        <f t="shared" si="105"/>
        <v>0</v>
      </c>
      <c r="CB63" s="22">
        <f t="shared" si="105"/>
        <v>0</v>
      </c>
      <c r="CC63" s="22">
        <f t="shared" si="105"/>
        <v>0</v>
      </c>
      <c r="CD63" s="22">
        <f t="shared" si="105"/>
        <v>0</v>
      </c>
      <c r="CE63" s="22">
        <f t="shared" si="105"/>
        <v>0</v>
      </c>
      <c r="CF63" s="22">
        <f t="shared" si="105"/>
        <v>0</v>
      </c>
      <c r="CG63" s="22">
        <f t="shared" si="105"/>
        <v>0</v>
      </c>
      <c r="CH63" s="22">
        <f t="shared" si="105"/>
        <v>0</v>
      </c>
      <c r="CI63" s="22">
        <f t="shared" si="105"/>
        <v>0</v>
      </c>
      <c r="CJ63" s="22">
        <f t="shared" si="105"/>
        <v>0</v>
      </c>
      <c r="CK63" s="22">
        <f t="shared" si="105"/>
        <v>0</v>
      </c>
      <c r="CL63" s="22">
        <f t="shared" si="105"/>
        <v>0</v>
      </c>
      <c r="CM63" s="22">
        <f t="shared" si="105"/>
        <v>0</v>
      </c>
      <c r="CN63" s="22">
        <f t="shared" si="105"/>
        <v>0</v>
      </c>
      <c r="CO63" s="22">
        <f t="shared" si="105"/>
        <v>0</v>
      </c>
      <c r="CP63" s="22">
        <f t="shared" si="105"/>
        <v>0</v>
      </c>
      <c r="CQ63" s="22">
        <f t="shared" si="105"/>
        <v>0</v>
      </c>
      <c r="CR63" s="22">
        <f t="shared" si="105"/>
        <v>0</v>
      </c>
      <c r="CS63" s="22">
        <f t="shared" si="105"/>
        <v>0</v>
      </c>
      <c r="CT63" s="22">
        <f t="shared" si="105"/>
        <v>0</v>
      </c>
      <c r="CU63" s="22">
        <f t="shared" si="105"/>
        <v>0</v>
      </c>
      <c r="CV63" s="22">
        <f t="shared" si="105"/>
        <v>0</v>
      </c>
      <c r="CW63" s="22">
        <f t="shared" si="105"/>
        <v>0</v>
      </c>
      <c r="CX63" s="22">
        <f t="shared" si="105"/>
        <v>0</v>
      </c>
      <c r="CY63" s="22">
        <f t="shared" si="105"/>
        <v>0</v>
      </c>
      <c r="CZ63" s="22">
        <f t="shared" si="105"/>
        <v>0</v>
      </c>
      <c r="DA63" s="22">
        <f t="shared" si="105"/>
        <v>0</v>
      </c>
      <c r="DB63" s="22">
        <f t="shared" si="105"/>
        <v>0</v>
      </c>
      <c r="DC63" s="22">
        <f t="shared" si="105"/>
        <v>0</v>
      </c>
      <c r="DD63" s="22">
        <f t="shared" si="105"/>
        <v>0</v>
      </c>
      <c r="DE63" s="22">
        <f t="shared" si="105"/>
        <v>0</v>
      </c>
      <c r="DF63" s="22">
        <f t="shared" si="94"/>
        <v>0.17474285542390072</v>
      </c>
    </row>
    <row r="64" spans="7:110" x14ac:dyDescent="0.25">
      <c r="AB64" s="23"/>
      <c r="AC64" s="23"/>
      <c r="AG64" s="6"/>
      <c r="AH64" s="6"/>
      <c r="AI64" s="6"/>
      <c r="AJ64" s="6"/>
      <c r="AK64" s="6"/>
      <c r="AL64" s="6"/>
      <c r="AM64" s="6"/>
      <c r="AN64" s="6"/>
      <c r="AO64" s="249"/>
      <c r="AP64" s="195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J64" s="6"/>
      <c r="BK64" s="6"/>
      <c r="BL64" s="6"/>
      <c r="BM64" s="6"/>
      <c r="BN64" s="6"/>
      <c r="BO64" s="6"/>
      <c r="BP64" s="6"/>
      <c r="BQ64" s="6"/>
      <c r="BR64" s="6"/>
      <c r="BU64" s="22">
        <f t="shared" ref="BU64:DE64" si="106">IF(BU26&gt;0,FORECAST(BU26,BU$9:BV$9,BU$7:BV$7),0)</f>
        <v>0</v>
      </c>
      <c r="BV64" s="22">
        <f t="shared" si="106"/>
        <v>0</v>
      </c>
      <c r="BW64" s="22">
        <f t="shared" si="106"/>
        <v>0</v>
      </c>
      <c r="BX64" s="22">
        <f t="shared" si="106"/>
        <v>0</v>
      </c>
      <c r="BY64" s="22">
        <f t="shared" si="106"/>
        <v>0</v>
      </c>
      <c r="BZ64" s="22">
        <f t="shared" si="106"/>
        <v>0.17517676166536825</v>
      </c>
      <c r="CA64" s="22">
        <f t="shared" si="106"/>
        <v>0</v>
      </c>
      <c r="CB64" s="22">
        <f t="shared" si="106"/>
        <v>0</v>
      </c>
      <c r="CC64" s="22">
        <f t="shared" si="106"/>
        <v>0</v>
      </c>
      <c r="CD64" s="22">
        <f t="shared" si="106"/>
        <v>0</v>
      </c>
      <c r="CE64" s="22">
        <f t="shared" si="106"/>
        <v>0</v>
      </c>
      <c r="CF64" s="22">
        <f t="shared" si="106"/>
        <v>0</v>
      </c>
      <c r="CG64" s="22">
        <f t="shared" si="106"/>
        <v>0</v>
      </c>
      <c r="CH64" s="22">
        <f t="shared" si="106"/>
        <v>0</v>
      </c>
      <c r="CI64" s="22">
        <f t="shared" si="106"/>
        <v>0</v>
      </c>
      <c r="CJ64" s="22">
        <f t="shared" si="106"/>
        <v>0</v>
      </c>
      <c r="CK64" s="22">
        <f t="shared" si="106"/>
        <v>0</v>
      </c>
      <c r="CL64" s="22">
        <f t="shared" si="106"/>
        <v>0</v>
      </c>
      <c r="CM64" s="22">
        <f t="shared" si="106"/>
        <v>0</v>
      </c>
      <c r="CN64" s="22">
        <f t="shared" si="106"/>
        <v>0</v>
      </c>
      <c r="CO64" s="22">
        <f t="shared" si="106"/>
        <v>0</v>
      </c>
      <c r="CP64" s="22">
        <f t="shared" si="106"/>
        <v>0</v>
      </c>
      <c r="CQ64" s="22">
        <f t="shared" si="106"/>
        <v>0</v>
      </c>
      <c r="CR64" s="22">
        <f t="shared" si="106"/>
        <v>0</v>
      </c>
      <c r="CS64" s="22">
        <f t="shared" si="106"/>
        <v>0</v>
      </c>
      <c r="CT64" s="22">
        <f t="shared" si="106"/>
        <v>0</v>
      </c>
      <c r="CU64" s="22">
        <f t="shared" si="106"/>
        <v>0</v>
      </c>
      <c r="CV64" s="22">
        <f t="shared" si="106"/>
        <v>0</v>
      </c>
      <c r="CW64" s="22">
        <f t="shared" si="106"/>
        <v>0</v>
      </c>
      <c r="CX64" s="22">
        <f t="shared" si="106"/>
        <v>0</v>
      </c>
      <c r="CY64" s="22">
        <f t="shared" si="106"/>
        <v>0</v>
      </c>
      <c r="CZ64" s="22">
        <f t="shared" si="106"/>
        <v>0</v>
      </c>
      <c r="DA64" s="22">
        <f t="shared" si="106"/>
        <v>0</v>
      </c>
      <c r="DB64" s="22">
        <f t="shared" si="106"/>
        <v>0</v>
      </c>
      <c r="DC64" s="22">
        <f t="shared" si="106"/>
        <v>0</v>
      </c>
      <c r="DD64" s="22">
        <f t="shared" si="106"/>
        <v>0</v>
      </c>
      <c r="DE64" s="22">
        <f t="shared" si="106"/>
        <v>0</v>
      </c>
      <c r="DF64" s="22">
        <f t="shared" si="94"/>
        <v>0.17517676166536825</v>
      </c>
    </row>
    <row r="65" spans="28:110" x14ac:dyDescent="0.25">
      <c r="AB65" s="23"/>
      <c r="AC65" s="23"/>
      <c r="AG65" s="6"/>
      <c r="AH65" s="6"/>
      <c r="AI65" s="6"/>
      <c r="AJ65" s="6"/>
      <c r="AK65" s="6"/>
      <c r="AL65" s="6"/>
      <c r="AM65" s="6"/>
      <c r="AN65" s="6"/>
      <c r="AO65" s="249"/>
      <c r="AP65" s="195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J65" s="6"/>
      <c r="BK65" s="6"/>
      <c r="BL65" s="6"/>
      <c r="BM65" s="6"/>
      <c r="BN65" s="6"/>
      <c r="BO65" s="6"/>
      <c r="BP65" s="6"/>
      <c r="BQ65" s="6"/>
      <c r="BR65" s="6"/>
      <c r="BU65" s="22">
        <f t="shared" ref="BU65:DE65" si="107">IF(BU27&gt;0,FORECAST(BU27,BU$9:BV$9,BU$7:BV$7),0)</f>
        <v>0</v>
      </c>
      <c r="BV65" s="22">
        <f t="shared" si="107"/>
        <v>0</v>
      </c>
      <c r="BW65" s="22">
        <f t="shared" si="107"/>
        <v>0</v>
      </c>
      <c r="BX65" s="22">
        <f t="shared" si="107"/>
        <v>0</v>
      </c>
      <c r="BY65" s="22">
        <f t="shared" si="107"/>
        <v>0</v>
      </c>
      <c r="BZ65" s="22">
        <f t="shared" si="107"/>
        <v>0.17506979046536256</v>
      </c>
      <c r="CA65" s="22">
        <f t="shared" si="107"/>
        <v>0</v>
      </c>
      <c r="CB65" s="22">
        <f t="shared" si="107"/>
        <v>0</v>
      </c>
      <c r="CC65" s="22">
        <f t="shared" si="107"/>
        <v>0</v>
      </c>
      <c r="CD65" s="22">
        <f t="shared" si="107"/>
        <v>0</v>
      </c>
      <c r="CE65" s="22">
        <f t="shared" si="107"/>
        <v>0</v>
      </c>
      <c r="CF65" s="22">
        <f t="shared" si="107"/>
        <v>0</v>
      </c>
      <c r="CG65" s="22">
        <f t="shared" si="107"/>
        <v>0</v>
      </c>
      <c r="CH65" s="22">
        <f t="shared" si="107"/>
        <v>0</v>
      </c>
      <c r="CI65" s="22">
        <f t="shared" si="107"/>
        <v>0</v>
      </c>
      <c r="CJ65" s="22">
        <f t="shared" si="107"/>
        <v>0</v>
      </c>
      <c r="CK65" s="22">
        <f t="shared" si="107"/>
        <v>0</v>
      </c>
      <c r="CL65" s="22">
        <f t="shared" si="107"/>
        <v>0</v>
      </c>
      <c r="CM65" s="22">
        <f t="shared" si="107"/>
        <v>0</v>
      </c>
      <c r="CN65" s="22">
        <f t="shared" si="107"/>
        <v>0</v>
      </c>
      <c r="CO65" s="22">
        <f t="shared" si="107"/>
        <v>0</v>
      </c>
      <c r="CP65" s="22">
        <f t="shared" si="107"/>
        <v>0</v>
      </c>
      <c r="CQ65" s="22">
        <f t="shared" si="107"/>
        <v>0</v>
      </c>
      <c r="CR65" s="22">
        <f t="shared" si="107"/>
        <v>0</v>
      </c>
      <c r="CS65" s="22">
        <f t="shared" si="107"/>
        <v>0</v>
      </c>
      <c r="CT65" s="22">
        <f t="shared" si="107"/>
        <v>0</v>
      </c>
      <c r="CU65" s="22">
        <f t="shared" si="107"/>
        <v>0</v>
      </c>
      <c r="CV65" s="22">
        <f t="shared" si="107"/>
        <v>0</v>
      </c>
      <c r="CW65" s="22">
        <f t="shared" si="107"/>
        <v>0</v>
      </c>
      <c r="CX65" s="22">
        <f t="shared" si="107"/>
        <v>0</v>
      </c>
      <c r="CY65" s="22">
        <f t="shared" si="107"/>
        <v>0</v>
      </c>
      <c r="CZ65" s="22">
        <f t="shared" si="107"/>
        <v>0</v>
      </c>
      <c r="DA65" s="22">
        <f t="shared" si="107"/>
        <v>0</v>
      </c>
      <c r="DB65" s="22">
        <f t="shared" si="107"/>
        <v>0</v>
      </c>
      <c r="DC65" s="22">
        <f t="shared" si="107"/>
        <v>0</v>
      </c>
      <c r="DD65" s="22">
        <f t="shared" si="107"/>
        <v>0</v>
      </c>
      <c r="DE65" s="22">
        <f t="shared" si="107"/>
        <v>0</v>
      </c>
      <c r="DF65" s="22">
        <f t="shared" si="94"/>
        <v>0.17506979046536256</v>
      </c>
    </row>
    <row r="66" spans="28:110" x14ac:dyDescent="0.25">
      <c r="AB66" s="23"/>
      <c r="AC66" s="23"/>
      <c r="AG66" s="6"/>
      <c r="AH66" s="6"/>
      <c r="AI66" s="6"/>
      <c r="AJ66" s="6"/>
      <c r="AK66" s="6"/>
      <c r="AL66" s="6"/>
      <c r="AM66" s="6"/>
      <c r="AN66" s="6"/>
      <c r="AO66" s="249"/>
      <c r="AP66" s="195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J66" s="6"/>
      <c r="BK66" s="6"/>
      <c r="BL66" s="6"/>
      <c r="BM66" s="6"/>
      <c r="BN66" s="6"/>
      <c r="BO66" s="6"/>
      <c r="BP66" s="6"/>
      <c r="BQ66" s="6"/>
      <c r="BR66" s="6"/>
      <c r="BU66" s="22">
        <f t="shared" ref="BU66:DE66" si="108">IF(BU28&gt;0,FORECAST(BU28,BU$9:BV$9,BU$7:BV$7),0)</f>
        <v>0</v>
      </c>
      <c r="BV66" s="22">
        <f t="shared" si="108"/>
        <v>0</v>
      </c>
      <c r="BW66" s="22">
        <f t="shared" si="108"/>
        <v>0</v>
      </c>
      <c r="BX66" s="22">
        <f t="shared" si="108"/>
        <v>0</v>
      </c>
      <c r="BY66" s="22">
        <f t="shared" si="108"/>
        <v>0</v>
      </c>
      <c r="BZ66" s="22">
        <f t="shared" si="108"/>
        <v>0.17396195581614995</v>
      </c>
      <c r="CA66" s="22">
        <f t="shared" si="108"/>
        <v>0</v>
      </c>
      <c r="CB66" s="22">
        <f t="shared" si="108"/>
        <v>0</v>
      </c>
      <c r="CC66" s="22">
        <f t="shared" si="108"/>
        <v>0</v>
      </c>
      <c r="CD66" s="22">
        <f t="shared" si="108"/>
        <v>0</v>
      </c>
      <c r="CE66" s="22">
        <f t="shared" si="108"/>
        <v>0</v>
      </c>
      <c r="CF66" s="22">
        <f t="shared" si="108"/>
        <v>0</v>
      </c>
      <c r="CG66" s="22">
        <f t="shared" si="108"/>
        <v>0</v>
      </c>
      <c r="CH66" s="22">
        <f t="shared" si="108"/>
        <v>0</v>
      </c>
      <c r="CI66" s="22">
        <f t="shared" si="108"/>
        <v>0</v>
      </c>
      <c r="CJ66" s="22">
        <f t="shared" si="108"/>
        <v>0</v>
      </c>
      <c r="CK66" s="22">
        <f t="shared" si="108"/>
        <v>0</v>
      </c>
      <c r="CL66" s="22">
        <f t="shared" si="108"/>
        <v>0</v>
      </c>
      <c r="CM66" s="22">
        <f t="shared" si="108"/>
        <v>0</v>
      </c>
      <c r="CN66" s="22">
        <f t="shared" si="108"/>
        <v>0</v>
      </c>
      <c r="CO66" s="22">
        <f t="shared" si="108"/>
        <v>0</v>
      </c>
      <c r="CP66" s="22">
        <f t="shared" si="108"/>
        <v>0</v>
      </c>
      <c r="CQ66" s="22">
        <f t="shared" si="108"/>
        <v>0</v>
      </c>
      <c r="CR66" s="22">
        <f t="shared" si="108"/>
        <v>0</v>
      </c>
      <c r="CS66" s="22">
        <f t="shared" si="108"/>
        <v>0</v>
      </c>
      <c r="CT66" s="22">
        <f t="shared" si="108"/>
        <v>0</v>
      </c>
      <c r="CU66" s="22">
        <f t="shared" si="108"/>
        <v>0</v>
      </c>
      <c r="CV66" s="22">
        <f t="shared" si="108"/>
        <v>0</v>
      </c>
      <c r="CW66" s="22">
        <f t="shared" si="108"/>
        <v>0</v>
      </c>
      <c r="CX66" s="22">
        <f t="shared" si="108"/>
        <v>0</v>
      </c>
      <c r="CY66" s="22">
        <f t="shared" si="108"/>
        <v>0</v>
      </c>
      <c r="CZ66" s="22">
        <f t="shared" si="108"/>
        <v>0</v>
      </c>
      <c r="DA66" s="22">
        <f t="shared" si="108"/>
        <v>0</v>
      </c>
      <c r="DB66" s="22">
        <f t="shared" si="108"/>
        <v>0</v>
      </c>
      <c r="DC66" s="22">
        <f t="shared" si="108"/>
        <v>0</v>
      </c>
      <c r="DD66" s="22">
        <f t="shared" si="108"/>
        <v>0</v>
      </c>
      <c r="DE66" s="22">
        <f t="shared" si="108"/>
        <v>0</v>
      </c>
      <c r="DF66" s="22">
        <f t="shared" si="94"/>
        <v>0.17396195581614995</v>
      </c>
    </row>
    <row r="67" spans="28:110" x14ac:dyDescent="0.25">
      <c r="AB67" s="23"/>
      <c r="AC67" s="23"/>
      <c r="AG67" s="6"/>
      <c r="AH67" s="6"/>
      <c r="AI67" s="6"/>
      <c r="AJ67" s="6"/>
      <c r="AK67" s="6"/>
      <c r="AL67" s="6"/>
      <c r="AM67" s="6"/>
      <c r="AN67" s="6"/>
      <c r="AO67" s="249"/>
      <c r="AP67" s="195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J67" s="6"/>
      <c r="BK67" s="6"/>
      <c r="BL67" s="6"/>
      <c r="BM67" s="6"/>
      <c r="BN67" s="6"/>
      <c r="BO67" s="6"/>
      <c r="BP67" s="6"/>
      <c r="BQ67" s="6"/>
      <c r="BR67" s="6"/>
      <c r="BU67" s="22">
        <f t="shared" ref="BU67:DE67" si="109">IF(BU29&gt;0,FORECAST(BU29,BU$9:BV$9,BU$7:BV$7),0)</f>
        <v>0</v>
      </c>
      <c r="BV67" s="22">
        <f t="shared" si="109"/>
        <v>0</v>
      </c>
      <c r="BW67" s="22">
        <f t="shared" si="109"/>
        <v>0</v>
      </c>
      <c r="BX67" s="22">
        <f t="shared" si="109"/>
        <v>0</v>
      </c>
      <c r="BY67" s="22">
        <f t="shared" si="109"/>
        <v>0</v>
      </c>
      <c r="BZ67" s="22">
        <f t="shared" si="109"/>
        <v>0.17275884168425837</v>
      </c>
      <c r="CA67" s="22">
        <f t="shared" si="109"/>
        <v>0</v>
      </c>
      <c r="CB67" s="22">
        <f t="shared" si="109"/>
        <v>0</v>
      </c>
      <c r="CC67" s="22">
        <f t="shared" si="109"/>
        <v>0</v>
      </c>
      <c r="CD67" s="22">
        <f t="shared" si="109"/>
        <v>0</v>
      </c>
      <c r="CE67" s="22">
        <f t="shared" si="109"/>
        <v>0</v>
      </c>
      <c r="CF67" s="22">
        <f t="shared" si="109"/>
        <v>0</v>
      </c>
      <c r="CG67" s="22">
        <f t="shared" si="109"/>
        <v>0</v>
      </c>
      <c r="CH67" s="22">
        <f t="shared" si="109"/>
        <v>0</v>
      </c>
      <c r="CI67" s="22">
        <f t="shared" si="109"/>
        <v>0</v>
      </c>
      <c r="CJ67" s="22">
        <f t="shared" si="109"/>
        <v>0</v>
      </c>
      <c r="CK67" s="22">
        <f t="shared" si="109"/>
        <v>0</v>
      </c>
      <c r="CL67" s="22">
        <f t="shared" si="109"/>
        <v>0</v>
      </c>
      <c r="CM67" s="22">
        <f t="shared" si="109"/>
        <v>0</v>
      </c>
      <c r="CN67" s="22">
        <f t="shared" si="109"/>
        <v>0</v>
      </c>
      <c r="CO67" s="22">
        <f t="shared" si="109"/>
        <v>0</v>
      </c>
      <c r="CP67" s="22">
        <f t="shared" si="109"/>
        <v>0</v>
      </c>
      <c r="CQ67" s="22">
        <f t="shared" si="109"/>
        <v>0</v>
      </c>
      <c r="CR67" s="22">
        <f t="shared" si="109"/>
        <v>0</v>
      </c>
      <c r="CS67" s="22">
        <f t="shared" si="109"/>
        <v>0</v>
      </c>
      <c r="CT67" s="22">
        <f t="shared" si="109"/>
        <v>0</v>
      </c>
      <c r="CU67" s="22">
        <f t="shared" si="109"/>
        <v>0</v>
      </c>
      <c r="CV67" s="22">
        <f t="shared" si="109"/>
        <v>0</v>
      </c>
      <c r="CW67" s="22">
        <f t="shared" si="109"/>
        <v>0</v>
      </c>
      <c r="CX67" s="22">
        <f t="shared" si="109"/>
        <v>0</v>
      </c>
      <c r="CY67" s="22">
        <f t="shared" si="109"/>
        <v>0</v>
      </c>
      <c r="CZ67" s="22">
        <f t="shared" si="109"/>
        <v>0</v>
      </c>
      <c r="DA67" s="22">
        <f t="shared" si="109"/>
        <v>0</v>
      </c>
      <c r="DB67" s="22">
        <f t="shared" si="109"/>
        <v>0</v>
      </c>
      <c r="DC67" s="22">
        <f t="shared" si="109"/>
        <v>0</v>
      </c>
      <c r="DD67" s="22">
        <f t="shared" si="109"/>
        <v>0</v>
      </c>
      <c r="DE67" s="22">
        <f t="shared" si="109"/>
        <v>0</v>
      </c>
      <c r="DF67" s="22">
        <f t="shared" si="94"/>
        <v>0.17275884168425837</v>
      </c>
    </row>
    <row r="68" spans="28:110" x14ac:dyDescent="0.25">
      <c r="AB68" s="23"/>
      <c r="AC68" s="23"/>
      <c r="AG68" s="6"/>
      <c r="AH68" s="6"/>
      <c r="AI68" s="6"/>
      <c r="AJ68" s="6"/>
      <c r="AK68" s="6"/>
      <c r="AL68" s="6"/>
      <c r="AM68" s="6"/>
      <c r="AN68" s="6"/>
      <c r="AO68" s="249"/>
      <c r="AP68" s="195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J68" s="6"/>
      <c r="BK68" s="6"/>
      <c r="BL68" s="6"/>
      <c r="BM68" s="6"/>
      <c r="BN68" s="6"/>
      <c r="BO68" s="6"/>
      <c r="BP68" s="6"/>
      <c r="BQ68" s="6"/>
      <c r="BR68" s="6"/>
      <c r="BU68" s="22">
        <f t="shared" ref="BU68:DE68" si="110">IF(BU30&gt;0,FORECAST(BU30,BU$9:BV$9,BU$7:BV$7),0)</f>
        <v>0</v>
      </c>
      <c r="BV68" s="22">
        <f t="shared" si="110"/>
        <v>0</v>
      </c>
      <c r="BW68" s="22">
        <f t="shared" si="110"/>
        <v>0</v>
      </c>
      <c r="BX68" s="22">
        <f t="shared" si="110"/>
        <v>0</v>
      </c>
      <c r="BY68" s="22">
        <f t="shared" si="110"/>
        <v>0</v>
      </c>
      <c r="BZ68" s="22">
        <f t="shared" si="110"/>
        <v>0.17163219064830826</v>
      </c>
      <c r="CA68" s="22">
        <f t="shared" si="110"/>
        <v>0</v>
      </c>
      <c r="CB68" s="22">
        <f t="shared" si="110"/>
        <v>0</v>
      </c>
      <c r="CC68" s="22">
        <f t="shared" si="110"/>
        <v>0</v>
      </c>
      <c r="CD68" s="22">
        <f t="shared" si="110"/>
        <v>0</v>
      </c>
      <c r="CE68" s="22">
        <f t="shared" si="110"/>
        <v>0</v>
      </c>
      <c r="CF68" s="22">
        <f t="shared" si="110"/>
        <v>0</v>
      </c>
      <c r="CG68" s="22">
        <f t="shared" si="110"/>
        <v>0</v>
      </c>
      <c r="CH68" s="22">
        <f t="shared" si="110"/>
        <v>0</v>
      </c>
      <c r="CI68" s="22">
        <f t="shared" si="110"/>
        <v>0</v>
      </c>
      <c r="CJ68" s="22">
        <f t="shared" si="110"/>
        <v>0</v>
      </c>
      <c r="CK68" s="22">
        <f t="shared" si="110"/>
        <v>0</v>
      </c>
      <c r="CL68" s="22">
        <f t="shared" si="110"/>
        <v>0</v>
      </c>
      <c r="CM68" s="22">
        <f t="shared" si="110"/>
        <v>0</v>
      </c>
      <c r="CN68" s="22">
        <f t="shared" si="110"/>
        <v>0</v>
      </c>
      <c r="CO68" s="22">
        <f t="shared" si="110"/>
        <v>0</v>
      </c>
      <c r="CP68" s="22">
        <f t="shared" si="110"/>
        <v>0</v>
      </c>
      <c r="CQ68" s="22">
        <f t="shared" si="110"/>
        <v>0</v>
      </c>
      <c r="CR68" s="22">
        <f t="shared" si="110"/>
        <v>0</v>
      </c>
      <c r="CS68" s="22">
        <f t="shared" si="110"/>
        <v>0</v>
      </c>
      <c r="CT68" s="22">
        <f t="shared" si="110"/>
        <v>0</v>
      </c>
      <c r="CU68" s="22">
        <f t="shared" si="110"/>
        <v>0</v>
      </c>
      <c r="CV68" s="22">
        <f t="shared" si="110"/>
        <v>0</v>
      </c>
      <c r="CW68" s="22">
        <f t="shared" si="110"/>
        <v>0</v>
      </c>
      <c r="CX68" s="22">
        <f t="shared" si="110"/>
        <v>0</v>
      </c>
      <c r="CY68" s="22">
        <f t="shared" si="110"/>
        <v>0</v>
      </c>
      <c r="CZ68" s="22">
        <f t="shared" si="110"/>
        <v>0</v>
      </c>
      <c r="DA68" s="22">
        <f t="shared" si="110"/>
        <v>0</v>
      </c>
      <c r="DB68" s="22">
        <f t="shared" si="110"/>
        <v>0</v>
      </c>
      <c r="DC68" s="22">
        <f t="shared" si="110"/>
        <v>0</v>
      </c>
      <c r="DD68" s="22">
        <f t="shared" si="110"/>
        <v>0</v>
      </c>
      <c r="DE68" s="22">
        <f t="shared" si="110"/>
        <v>0</v>
      </c>
      <c r="DF68" s="22">
        <f t="shared" si="94"/>
        <v>0.17163219064830826</v>
      </c>
    </row>
    <row r="69" spans="28:110" x14ac:dyDescent="0.25">
      <c r="AB69" s="23"/>
      <c r="AC69" s="23"/>
      <c r="AG69" s="6"/>
      <c r="AH69" s="6"/>
      <c r="AI69" s="6"/>
      <c r="AJ69" s="6"/>
      <c r="AK69" s="6"/>
      <c r="AL69" s="6"/>
      <c r="AM69" s="6"/>
      <c r="AN69" s="6"/>
      <c r="AO69" s="249"/>
      <c r="AP69" s="195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J69" s="6"/>
      <c r="BK69" s="6"/>
      <c r="BL69" s="6"/>
      <c r="BM69" s="6"/>
      <c r="BN69" s="6"/>
      <c r="BO69" s="6"/>
      <c r="BP69" s="6"/>
      <c r="BQ69" s="6"/>
      <c r="BR69" s="6"/>
      <c r="BU69" s="22">
        <f t="shared" ref="BU69:DE69" si="111">IF(BU31&gt;0,FORECAST(BU31,BU$9:BV$9,BU$7:BV$7),0)</f>
        <v>0</v>
      </c>
      <c r="BV69" s="22">
        <f t="shared" si="111"/>
        <v>0</v>
      </c>
      <c r="BW69" s="22">
        <f t="shared" si="111"/>
        <v>0</v>
      </c>
      <c r="BX69" s="22">
        <f t="shared" si="111"/>
        <v>0</v>
      </c>
      <c r="BY69" s="22">
        <f t="shared" si="111"/>
        <v>0</v>
      </c>
      <c r="BZ69" s="22">
        <f t="shared" si="111"/>
        <v>0.1704530242411213</v>
      </c>
      <c r="CA69" s="22">
        <f t="shared" si="111"/>
        <v>0</v>
      </c>
      <c r="CB69" s="22">
        <f t="shared" si="111"/>
        <v>0</v>
      </c>
      <c r="CC69" s="22">
        <f t="shared" si="111"/>
        <v>0</v>
      </c>
      <c r="CD69" s="22">
        <f t="shared" si="111"/>
        <v>0</v>
      </c>
      <c r="CE69" s="22">
        <f t="shared" si="111"/>
        <v>0</v>
      </c>
      <c r="CF69" s="22">
        <f t="shared" si="111"/>
        <v>0</v>
      </c>
      <c r="CG69" s="22">
        <f t="shared" si="111"/>
        <v>0</v>
      </c>
      <c r="CH69" s="22">
        <f t="shared" si="111"/>
        <v>0</v>
      </c>
      <c r="CI69" s="22">
        <f t="shared" si="111"/>
        <v>0</v>
      </c>
      <c r="CJ69" s="22">
        <f t="shared" si="111"/>
        <v>0</v>
      </c>
      <c r="CK69" s="22">
        <f t="shared" si="111"/>
        <v>0</v>
      </c>
      <c r="CL69" s="22">
        <f t="shared" si="111"/>
        <v>0</v>
      </c>
      <c r="CM69" s="22">
        <f t="shared" si="111"/>
        <v>0</v>
      </c>
      <c r="CN69" s="22">
        <f t="shared" si="111"/>
        <v>0</v>
      </c>
      <c r="CO69" s="22">
        <f t="shared" si="111"/>
        <v>0</v>
      </c>
      <c r="CP69" s="22">
        <f t="shared" si="111"/>
        <v>0</v>
      </c>
      <c r="CQ69" s="22">
        <f t="shared" si="111"/>
        <v>0</v>
      </c>
      <c r="CR69" s="22">
        <f t="shared" si="111"/>
        <v>0</v>
      </c>
      <c r="CS69" s="22">
        <f t="shared" si="111"/>
        <v>0</v>
      </c>
      <c r="CT69" s="22">
        <f t="shared" si="111"/>
        <v>0</v>
      </c>
      <c r="CU69" s="22">
        <f t="shared" si="111"/>
        <v>0</v>
      </c>
      <c r="CV69" s="22">
        <f t="shared" si="111"/>
        <v>0</v>
      </c>
      <c r="CW69" s="22">
        <f t="shared" si="111"/>
        <v>0</v>
      </c>
      <c r="CX69" s="22">
        <f t="shared" si="111"/>
        <v>0</v>
      </c>
      <c r="CY69" s="22">
        <f t="shared" si="111"/>
        <v>0</v>
      </c>
      <c r="CZ69" s="22">
        <f t="shared" si="111"/>
        <v>0</v>
      </c>
      <c r="DA69" s="22">
        <f t="shared" si="111"/>
        <v>0</v>
      </c>
      <c r="DB69" s="22">
        <f t="shared" si="111"/>
        <v>0</v>
      </c>
      <c r="DC69" s="22">
        <f t="shared" si="111"/>
        <v>0</v>
      </c>
      <c r="DD69" s="22">
        <f t="shared" si="111"/>
        <v>0</v>
      </c>
      <c r="DE69" s="22">
        <f t="shared" si="111"/>
        <v>0</v>
      </c>
      <c r="DF69" s="22">
        <f t="shared" si="94"/>
        <v>0.1704530242411213</v>
      </c>
    </row>
    <row r="70" spans="28:110" x14ac:dyDescent="0.25">
      <c r="AB70" s="23"/>
      <c r="AC70" s="23"/>
      <c r="AG70" s="6"/>
      <c r="AH70" s="6"/>
      <c r="AI70" s="6"/>
      <c r="AJ70" s="6"/>
      <c r="AK70" s="6"/>
      <c r="AL70" s="6"/>
      <c r="AM70" s="6"/>
      <c r="AN70" s="6"/>
      <c r="AO70" s="249"/>
      <c r="AP70" s="195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J70" s="6"/>
      <c r="BK70" s="6"/>
      <c r="BL70" s="6"/>
      <c r="BM70" s="6"/>
      <c r="BN70" s="6"/>
      <c r="BO70" s="6"/>
      <c r="BP70" s="6"/>
      <c r="BQ70" s="6"/>
      <c r="BR70" s="6"/>
      <c r="BU70" s="22">
        <f t="shared" ref="BU70:DE70" si="112">IF(BU32&gt;0,FORECAST(BU32,BU$9:BV$9,BU$7:BV$7),0)</f>
        <v>0</v>
      </c>
      <c r="BV70" s="22">
        <f t="shared" si="112"/>
        <v>0</v>
      </c>
      <c r="BW70" s="22">
        <f t="shared" si="112"/>
        <v>0</v>
      </c>
      <c r="BX70" s="22">
        <f t="shared" si="112"/>
        <v>0</v>
      </c>
      <c r="BY70" s="22">
        <f t="shared" si="112"/>
        <v>0</v>
      </c>
      <c r="BZ70" s="22">
        <f t="shared" si="112"/>
        <v>0.16955954143005797</v>
      </c>
      <c r="CA70" s="22">
        <f t="shared" si="112"/>
        <v>0</v>
      </c>
      <c r="CB70" s="22">
        <f t="shared" si="112"/>
        <v>0</v>
      </c>
      <c r="CC70" s="22">
        <f t="shared" si="112"/>
        <v>0</v>
      </c>
      <c r="CD70" s="22">
        <f t="shared" si="112"/>
        <v>0</v>
      </c>
      <c r="CE70" s="22">
        <f t="shared" si="112"/>
        <v>0</v>
      </c>
      <c r="CF70" s="22">
        <f t="shared" si="112"/>
        <v>0</v>
      </c>
      <c r="CG70" s="22">
        <f t="shared" si="112"/>
        <v>0</v>
      </c>
      <c r="CH70" s="22">
        <f t="shared" si="112"/>
        <v>0</v>
      </c>
      <c r="CI70" s="22">
        <f t="shared" si="112"/>
        <v>0</v>
      </c>
      <c r="CJ70" s="22">
        <f t="shared" si="112"/>
        <v>0</v>
      </c>
      <c r="CK70" s="22">
        <f t="shared" si="112"/>
        <v>0</v>
      </c>
      <c r="CL70" s="22">
        <f t="shared" si="112"/>
        <v>0</v>
      </c>
      <c r="CM70" s="22">
        <f t="shared" si="112"/>
        <v>0</v>
      </c>
      <c r="CN70" s="22">
        <f t="shared" si="112"/>
        <v>0</v>
      </c>
      <c r="CO70" s="22">
        <f t="shared" si="112"/>
        <v>0</v>
      </c>
      <c r="CP70" s="22">
        <f t="shared" si="112"/>
        <v>0</v>
      </c>
      <c r="CQ70" s="22">
        <f t="shared" si="112"/>
        <v>0</v>
      </c>
      <c r="CR70" s="22">
        <f t="shared" si="112"/>
        <v>0</v>
      </c>
      <c r="CS70" s="22">
        <f t="shared" si="112"/>
        <v>0</v>
      </c>
      <c r="CT70" s="22">
        <f t="shared" si="112"/>
        <v>0</v>
      </c>
      <c r="CU70" s="22">
        <f t="shared" si="112"/>
        <v>0</v>
      </c>
      <c r="CV70" s="22">
        <f t="shared" si="112"/>
        <v>0</v>
      </c>
      <c r="CW70" s="22">
        <f t="shared" si="112"/>
        <v>0</v>
      </c>
      <c r="CX70" s="22">
        <f t="shared" si="112"/>
        <v>0</v>
      </c>
      <c r="CY70" s="22">
        <f t="shared" si="112"/>
        <v>0</v>
      </c>
      <c r="CZ70" s="22">
        <f t="shared" si="112"/>
        <v>0</v>
      </c>
      <c r="DA70" s="22">
        <f t="shared" si="112"/>
        <v>0</v>
      </c>
      <c r="DB70" s="22">
        <f t="shared" si="112"/>
        <v>0</v>
      </c>
      <c r="DC70" s="22">
        <f t="shared" si="112"/>
        <v>0</v>
      </c>
      <c r="DD70" s="22">
        <f t="shared" si="112"/>
        <v>0</v>
      </c>
      <c r="DE70" s="22">
        <f t="shared" si="112"/>
        <v>0</v>
      </c>
      <c r="DF70" s="22">
        <f t="shared" si="94"/>
        <v>0.16955954143005797</v>
      </c>
    </row>
    <row r="71" spans="28:110" x14ac:dyDescent="0.25">
      <c r="AB71" s="23"/>
      <c r="AC71" s="23"/>
      <c r="AG71" s="6"/>
      <c r="AH71" s="6"/>
      <c r="AI71" s="6"/>
      <c r="AJ71" s="6"/>
      <c r="AK71" s="6"/>
      <c r="AL71" s="6"/>
      <c r="AM71" s="6"/>
      <c r="AN71" s="6"/>
      <c r="AO71" s="249"/>
      <c r="AP71" s="195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J71" s="6"/>
      <c r="BK71" s="6"/>
      <c r="BL71" s="6"/>
      <c r="BM71" s="6"/>
      <c r="BN71" s="6"/>
      <c r="BO71" s="6"/>
      <c r="BP71" s="6"/>
      <c r="BQ71" s="6"/>
      <c r="BR71" s="6"/>
      <c r="BU71" s="22">
        <f t="shared" ref="BU71:DE71" si="113">IF(BU33&gt;0,FORECAST(BU33,BU$9:BV$9,BU$7:BV$7),0)</f>
        <v>0</v>
      </c>
      <c r="BV71" s="22">
        <f t="shared" si="113"/>
        <v>0</v>
      </c>
      <c r="BW71" s="22">
        <f t="shared" si="113"/>
        <v>0</v>
      </c>
      <c r="BX71" s="22">
        <f t="shared" si="113"/>
        <v>0</v>
      </c>
      <c r="BY71" s="22">
        <f t="shared" si="113"/>
        <v>0</v>
      </c>
      <c r="BZ71" s="22">
        <f t="shared" si="113"/>
        <v>0.16861934471949447</v>
      </c>
      <c r="CA71" s="22">
        <f t="shared" si="113"/>
        <v>0</v>
      </c>
      <c r="CB71" s="22">
        <f t="shared" si="113"/>
        <v>0</v>
      </c>
      <c r="CC71" s="22">
        <f t="shared" si="113"/>
        <v>0</v>
      </c>
      <c r="CD71" s="22">
        <f t="shared" si="113"/>
        <v>0</v>
      </c>
      <c r="CE71" s="22">
        <f t="shared" si="113"/>
        <v>0</v>
      </c>
      <c r="CF71" s="22">
        <f t="shared" si="113"/>
        <v>0</v>
      </c>
      <c r="CG71" s="22">
        <f t="shared" si="113"/>
        <v>0</v>
      </c>
      <c r="CH71" s="22">
        <f t="shared" si="113"/>
        <v>0</v>
      </c>
      <c r="CI71" s="22">
        <f t="shared" si="113"/>
        <v>0</v>
      </c>
      <c r="CJ71" s="22">
        <f t="shared" si="113"/>
        <v>0</v>
      </c>
      <c r="CK71" s="22">
        <f t="shared" si="113"/>
        <v>0</v>
      </c>
      <c r="CL71" s="22">
        <f t="shared" si="113"/>
        <v>0</v>
      </c>
      <c r="CM71" s="22">
        <f t="shared" si="113"/>
        <v>0</v>
      </c>
      <c r="CN71" s="22">
        <f t="shared" si="113"/>
        <v>0</v>
      </c>
      <c r="CO71" s="22">
        <f t="shared" si="113"/>
        <v>0</v>
      </c>
      <c r="CP71" s="22">
        <f t="shared" si="113"/>
        <v>0</v>
      </c>
      <c r="CQ71" s="22">
        <f t="shared" si="113"/>
        <v>0</v>
      </c>
      <c r="CR71" s="22">
        <f t="shared" si="113"/>
        <v>0</v>
      </c>
      <c r="CS71" s="22">
        <f t="shared" si="113"/>
        <v>0</v>
      </c>
      <c r="CT71" s="22">
        <f t="shared" si="113"/>
        <v>0</v>
      </c>
      <c r="CU71" s="22">
        <f t="shared" si="113"/>
        <v>0</v>
      </c>
      <c r="CV71" s="22">
        <f t="shared" si="113"/>
        <v>0</v>
      </c>
      <c r="CW71" s="22">
        <f t="shared" si="113"/>
        <v>0</v>
      </c>
      <c r="CX71" s="22">
        <f t="shared" si="113"/>
        <v>0</v>
      </c>
      <c r="CY71" s="22">
        <f t="shared" si="113"/>
        <v>0</v>
      </c>
      <c r="CZ71" s="22">
        <f t="shared" si="113"/>
        <v>0</v>
      </c>
      <c r="DA71" s="22">
        <f t="shared" si="113"/>
        <v>0</v>
      </c>
      <c r="DB71" s="22">
        <f t="shared" si="113"/>
        <v>0</v>
      </c>
      <c r="DC71" s="22">
        <f t="shared" si="113"/>
        <v>0</v>
      </c>
      <c r="DD71" s="22">
        <f t="shared" si="113"/>
        <v>0</v>
      </c>
      <c r="DE71" s="22">
        <f t="shared" si="113"/>
        <v>0</v>
      </c>
      <c r="DF71" s="22">
        <f t="shared" si="94"/>
        <v>0.16861934471949447</v>
      </c>
    </row>
    <row r="72" spans="28:110" x14ac:dyDescent="0.25">
      <c r="AB72" s="23"/>
      <c r="AC72" s="23"/>
      <c r="AG72" s="6"/>
      <c r="AH72" s="6"/>
      <c r="AI72" s="6"/>
      <c r="AJ72" s="6"/>
      <c r="AK72" s="6"/>
      <c r="AL72" s="6"/>
      <c r="AM72" s="6"/>
      <c r="AN72" s="6"/>
      <c r="AO72" s="249"/>
      <c r="AP72" s="195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J72" s="6"/>
      <c r="BK72" s="6"/>
      <c r="BL72" s="6"/>
      <c r="BM72" s="6"/>
      <c r="BN72" s="6"/>
      <c r="BO72" s="6"/>
      <c r="BP72" s="6"/>
      <c r="BQ72" s="6"/>
      <c r="BR72" s="6"/>
      <c r="BU72" s="22">
        <f t="shared" ref="BU72:DE72" si="114">IF(BU34&gt;0,FORECAST(BU34,BU$9:BV$9,BU$7:BV$7),0)</f>
        <v>0</v>
      </c>
      <c r="BV72" s="22">
        <f t="shared" si="114"/>
        <v>0</v>
      </c>
      <c r="BW72" s="22">
        <f t="shared" si="114"/>
        <v>0</v>
      </c>
      <c r="BX72" s="22">
        <f t="shared" si="114"/>
        <v>0</v>
      </c>
      <c r="BY72" s="22">
        <f t="shared" si="114"/>
        <v>0</v>
      </c>
      <c r="BZ72" s="22">
        <f t="shared" si="114"/>
        <v>0</v>
      </c>
      <c r="CA72" s="22">
        <f t="shared" si="114"/>
        <v>0.16781360956175873</v>
      </c>
      <c r="CB72" s="22">
        <f t="shared" si="114"/>
        <v>0</v>
      </c>
      <c r="CC72" s="22">
        <f t="shared" si="114"/>
        <v>0</v>
      </c>
      <c r="CD72" s="22">
        <f t="shared" si="114"/>
        <v>0</v>
      </c>
      <c r="CE72" s="22">
        <f t="shared" si="114"/>
        <v>0</v>
      </c>
      <c r="CF72" s="22">
        <f t="shared" si="114"/>
        <v>0</v>
      </c>
      <c r="CG72" s="22">
        <f t="shared" si="114"/>
        <v>0</v>
      </c>
      <c r="CH72" s="22">
        <f t="shared" si="114"/>
        <v>0</v>
      </c>
      <c r="CI72" s="22">
        <f t="shared" si="114"/>
        <v>0</v>
      </c>
      <c r="CJ72" s="22">
        <f t="shared" si="114"/>
        <v>0</v>
      </c>
      <c r="CK72" s="22">
        <f t="shared" si="114"/>
        <v>0</v>
      </c>
      <c r="CL72" s="22">
        <f t="shared" si="114"/>
        <v>0</v>
      </c>
      <c r="CM72" s="22">
        <f t="shared" si="114"/>
        <v>0</v>
      </c>
      <c r="CN72" s="22">
        <f t="shared" si="114"/>
        <v>0</v>
      </c>
      <c r="CO72" s="22">
        <f t="shared" si="114"/>
        <v>0</v>
      </c>
      <c r="CP72" s="22">
        <f t="shared" si="114"/>
        <v>0</v>
      </c>
      <c r="CQ72" s="22">
        <f t="shared" si="114"/>
        <v>0</v>
      </c>
      <c r="CR72" s="22">
        <f t="shared" si="114"/>
        <v>0</v>
      </c>
      <c r="CS72" s="22">
        <f t="shared" si="114"/>
        <v>0</v>
      </c>
      <c r="CT72" s="22">
        <f t="shared" si="114"/>
        <v>0</v>
      </c>
      <c r="CU72" s="22">
        <f t="shared" si="114"/>
        <v>0</v>
      </c>
      <c r="CV72" s="22">
        <f t="shared" si="114"/>
        <v>0</v>
      </c>
      <c r="CW72" s="22">
        <f t="shared" si="114"/>
        <v>0</v>
      </c>
      <c r="CX72" s="22">
        <f t="shared" si="114"/>
        <v>0</v>
      </c>
      <c r="CY72" s="22">
        <f t="shared" si="114"/>
        <v>0</v>
      </c>
      <c r="CZ72" s="22">
        <f t="shared" si="114"/>
        <v>0</v>
      </c>
      <c r="DA72" s="22">
        <f t="shared" si="114"/>
        <v>0</v>
      </c>
      <c r="DB72" s="22">
        <f t="shared" si="114"/>
        <v>0</v>
      </c>
      <c r="DC72" s="22">
        <f t="shared" si="114"/>
        <v>0</v>
      </c>
      <c r="DD72" s="22">
        <f t="shared" si="114"/>
        <v>0</v>
      </c>
      <c r="DE72" s="22">
        <f t="shared" si="114"/>
        <v>0</v>
      </c>
      <c r="DF72" s="22">
        <f t="shared" si="94"/>
        <v>0.16781360956175873</v>
      </c>
    </row>
    <row r="73" spans="28:110" x14ac:dyDescent="0.25">
      <c r="AB73" s="23"/>
      <c r="AC73" s="23"/>
      <c r="AG73" s="6"/>
      <c r="AH73" s="6"/>
      <c r="AI73" s="6"/>
      <c r="AJ73" s="6"/>
      <c r="AK73" s="6"/>
      <c r="AL73" s="6"/>
      <c r="AM73" s="6"/>
      <c r="AN73" s="6"/>
      <c r="AO73" s="249"/>
      <c r="AP73" s="195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J73" s="6"/>
      <c r="BK73" s="6"/>
      <c r="BL73" s="6"/>
      <c r="BM73" s="6"/>
      <c r="BN73" s="6"/>
      <c r="BO73" s="6"/>
      <c r="BP73" s="6"/>
      <c r="BQ73" s="6"/>
      <c r="BR73" s="6"/>
      <c r="BU73" s="22">
        <f t="shared" ref="BU73:DE73" si="115">IF(BU35&gt;0,FORECAST(BU35,BU$9:BV$9,BU$7:BV$7),0)</f>
        <v>0</v>
      </c>
      <c r="BV73" s="22">
        <f t="shared" si="115"/>
        <v>0</v>
      </c>
      <c r="BW73" s="22">
        <f t="shared" si="115"/>
        <v>0</v>
      </c>
      <c r="BX73" s="22">
        <f t="shared" si="115"/>
        <v>0</v>
      </c>
      <c r="BY73" s="22">
        <f t="shared" si="115"/>
        <v>0</v>
      </c>
      <c r="BZ73" s="22">
        <f t="shared" si="115"/>
        <v>0</v>
      </c>
      <c r="CA73" s="22">
        <f t="shared" si="115"/>
        <v>0.16665472863900804</v>
      </c>
      <c r="CB73" s="22">
        <f t="shared" si="115"/>
        <v>0</v>
      </c>
      <c r="CC73" s="22">
        <f t="shared" si="115"/>
        <v>0</v>
      </c>
      <c r="CD73" s="22">
        <f t="shared" si="115"/>
        <v>0</v>
      </c>
      <c r="CE73" s="22">
        <f t="shared" si="115"/>
        <v>0</v>
      </c>
      <c r="CF73" s="22">
        <f t="shared" si="115"/>
        <v>0</v>
      </c>
      <c r="CG73" s="22">
        <f t="shared" si="115"/>
        <v>0</v>
      </c>
      <c r="CH73" s="22">
        <f t="shared" si="115"/>
        <v>0</v>
      </c>
      <c r="CI73" s="22">
        <f t="shared" si="115"/>
        <v>0</v>
      </c>
      <c r="CJ73" s="22">
        <f t="shared" si="115"/>
        <v>0</v>
      </c>
      <c r="CK73" s="22">
        <f t="shared" si="115"/>
        <v>0</v>
      </c>
      <c r="CL73" s="22">
        <f t="shared" si="115"/>
        <v>0</v>
      </c>
      <c r="CM73" s="22">
        <f t="shared" si="115"/>
        <v>0</v>
      </c>
      <c r="CN73" s="22">
        <f t="shared" si="115"/>
        <v>0</v>
      </c>
      <c r="CO73" s="22">
        <f t="shared" si="115"/>
        <v>0</v>
      </c>
      <c r="CP73" s="22">
        <f t="shared" si="115"/>
        <v>0</v>
      </c>
      <c r="CQ73" s="22">
        <f t="shared" si="115"/>
        <v>0</v>
      </c>
      <c r="CR73" s="22">
        <f t="shared" si="115"/>
        <v>0</v>
      </c>
      <c r="CS73" s="22">
        <f t="shared" si="115"/>
        <v>0</v>
      </c>
      <c r="CT73" s="22">
        <f t="shared" si="115"/>
        <v>0</v>
      </c>
      <c r="CU73" s="22">
        <f t="shared" si="115"/>
        <v>0</v>
      </c>
      <c r="CV73" s="22">
        <f t="shared" si="115"/>
        <v>0</v>
      </c>
      <c r="CW73" s="22">
        <f t="shared" si="115"/>
        <v>0</v>
      </c>
      <c r="CX73" s="22">
        <f t="shared" si="115"/>
        <v>0</v>
      </c>
      <c r="CY73" s="22">
        <f t="shared" si="115"/>
        <v>0</v>
      </c>
      <c r="CZ73" s="22">
        <f t="shared" si="115"/>
        <v>0</v>
      </c>
      <c r="DA73" s="22">
        <f t="shared" si="115"/>
        <v>0</v>
      </c>
      <c r="DB73" s="22">
        <f t="shared" si="115"/>
        <v>0</v>
      </c>
      <c r="DC73" s="22">
        <f t="shared" si="115"/>
        <v>0</v>
      </c>
      <c r="DD73" s="22">
        <f t="shared" si="115"/>
        <v>0</v>
      </c>
      <c r="DE73" s="22">
        <f t="shared" si="115"/>
        <v>0</v>
      </c>
      <c r="DF73" s="22">
        <f t="shared" si="94"/>
        <v>0.16665472863900804</v>
      </c>
    </row>
    <row r="74" spans="28:110" x14ac:dyDescent="0.25">
      <c r="AB74" s="23"/>
      <c r="AC74" s="23"/>
      <c r="AG74" s="6"/>
      <c r="AH74" s="6"/>
      <c r="AI74" s="6"/>
      <c r="AJ74" s="6"/>
      <c r="AK74" s="6"/>
      <c r="AL74" s="6"/>
      <c r="AM74" s="6"/>
      <c r="AN74" s="6"/>
      <c r="AO74" s="249"/>
      <c r="AP74" s="195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J74" s="6"/>
      <c r="BK74" s="6"/>
      <c r="BL74" s="6"/>
      <c r="BM74" s="6"/>
      <c r="BN74" s="6"/>
      <c r="BO74" s="6"/>
      <c r="BP74" s="6"/>
      <c r="BQ74" s="6"/>
      <c r="BR74" s="6"/>
      <c r="BU74" s="22">
        <f t="shared" ref="BU74:DE74" si="116">IF(BU36&gt;0,FORECAST(BU36,BU$9:BV$9,BU$7:BV$7),0)</f>
        <v>0</v>
      </c>
      <c r="BV74" s="22">
        <f t="shared" si="116"/>
        <v>0</v>
      </c>
      <c r="BW74" s="22">
        <f t="shared" si="116"/>
        <v>0</v>
      </c>
      <c r="BX74" s="22">
        <f t="shared" si="116"/>
        <v>0</v>
      </c>
      <c r="BY74" s="22">
        <f t="shared" si="116"/>
        <v>0</v>
      </c>
      <c r="BZ74" s="22">
        <f t="shared" si="116"/>
        <v>0</v>
      </c>
      <c r="CA74" s="22">
        <f t="shared" si="116"/>
        <v>0.16581947545135417</v>
      </c>
      <c r="CB74" s="22">
        <f t="shared" si="116"/>
        <v>0</v>
      </c>
      <c r="CC74" s="22">
        <f t="shared" si="116"/>
        <v>0</v>
      </c>
      <c r="CD74" s="22">
        <f t="shared" si="116"/>
        <v>0</v>
      </c>
      <c r="CE74" s="22">
        <f t="shared" si="116"/>
        <v>0</v>
      </c>
      <c r="CF74" s="22">
        <f t="shared" si="116"/>
        <v>0</v>
      </c>
      <c r="CG74" s="22">
        <f t="shared" si="116"/>
        <v>0</v>
      </c>
      <c r="CH74" s="22">
        <f t="shared" si="116"/>
        <v>0</v>
      </c>
      <c r="CI74" s="22">
        <f t="shared" si="116"/>
        <v>0</v>
      </c>
      <c r="CJ74" s="22">
        <f t="shared" si="116"/>
        <v>0</v>
      </c>
      <c r="CK74" s="22">
        <f t="shared" si="116"/>
        <v>0</v>
      </c>
      <c r="CL74" s="22">
        <f t="shared" si="116"/>
        <v>0</v>
      </c>
      <c r="CM74" s="22">
        <f t="shared" si="116"/>
        <v>0</v>
      </c>
      <c r="CN74" s="22">
        <f t="shared" si="116"/>
        <v>0</v>
      </c>
      <c r="CO74" s="22">
        <f t="shared" si="116"/>
        <v>0</v>
      </c>
      <c r="CP74" s="22">
        <f t="shared" si="116"/>
        <v>0</v>
      </c>
      <c r="CQ74" s="22">
        <f t="shared" si="116"/>
        <v>0</v>
      </c>
      <c r="CR74" s="22">
        <f t="shared" si="116"/>
        <v>0</v>
      </c>
      <c r="CS74" s="22">
        <f t="shared" si="116"/>
        <v>0</v>
      </c>
      <c r="CT74" s="22">
        <f t="shared" si="116"/>
        <v>0</v>
      </c>
      <c r="CU74" s="22">
        <f t="shared" si="116"/>
        <v>0</v>
      </c>
      <c r="CV74" s="22">
        <f t="shared" si="116"/>
        <v>0</v>
      </c>
      <c r="CW74" s="22">
        <f t="shared" si="116"/>
        <v>0</v>
      </c>
      <c r="CX74" s="22">
        <f t="shared" si="116"/>
        <v>0</v>
      </c>
      <c r="CY74" s="22">
        <f t="shared" si="116"/>
        <v>0</v>
      </c>
      <c r="CZ74" s="22">
        <f t="shared" si="116"/>
        <v>0</v>
      </c>
      <c r="DA74" s="22">
        <f t="shared" si="116"/>
        <v>0</v>
      </c>
      <c r="DB74" s="22">
        <f t="shared" si="116"/>
        <v>0</v>
      </c>
      <c r="DC74" s="22">
        <f t="shared" si="116"/>
        <v>0</v>
      </c>
      <c r="DD74" s="22">
        <f t="shared" si="116"/>
        <v>0</v>
      </c>
      <c r="DE74" s="22">
        <f t="shared" si="116"/>
        <v>0</v>
      </c>
      <c r="DF74" s="22">
        <f t="shared" si="94"/>
        <v>0.16581947545135417</v>
      </c>
    </row>
    <row r="75" spans="28:110" x14ac:dyDescent="0.25">
      <c r="AB75" s="23"/>
      <c r="AC75" s="23"/>
      <c r="AG75" s="6"/>
      <c r="AH75" s="6"/>
      <c r="AI75" s="6"/>
      <c r="AJ75" s="6"/>
      <c r="AK75" s="6"/>
      <c r="AL75" s="6"/>
      <c r="AM75" s="6"/>
      <c r="AN75" s="6"/>
      <c r="AO75" s="249"/>
      <c r="AP75" s="195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J75" s="6"/>
      <c r="BK75" s="6"/>
      <c r="BL75" s="6"/>
      <c r="BM75" s="6"/>
      <c r="BN75" s="6"/>
      <c r="BO75" s="6"/>
      <c r="BP75" s="6"/>
      <c r="BQ75" s="6"/>
      <c r="BR75" s="6"/>
      <c r="BU75" s="22">
        <f t="shared" ref="BU75:DE75" si="117">IF(BU37&gt;0,FORECAST(BU37,BU$9:BV$9,BU$7:BV$7),0)</f>
        <v>0</v>
      </c>
      <c r="BV75" s="22">
        <f t="shared" si="117"/>
        <v>0</v>
      </c>
      <c r="BW75" s="22">
        <f t="shared" si="117"/>
        <v>0</v>
      </c>
      <c r="BX75" s="22">
        <f t="shared" si="117"/>
        <v>0</v>
      </c>
      <c r="BY75" s="22">
        <f t="shared" si="117"/>
        <v>0</v>
      </c>
      <c r="BZ75" s="22">
        <f t="shared" si="117"/>
        <v>0</v>
      </c>
      <c r="CA75" s="22">
        <f t="shared" si="117"/>
        <v>0.16488372320730083</v>
      </c>
      <c r="CB75" s="22">
        <f t="shared" si="117"/>
        <v>0</v>
      </c>
      <c r="CC75" s="22">
        <f t="shared" si="117"/>
        <v>0</v>
      </c>
      <c r="CD75" s="22">
        <f t="shared" si="117"/>
        <v>0</v>
      </c>
      <c r="CE75" s="22">
        <f t="shared" si="117"/>
        <v>0</v>
      </c>
      <c r="CF75" s="22">
        <f t="shared" si="117"/>
        <v>0</v>
      </c>
      <c r="CG75" s="22">
        <f t="shared" si="117"/>
        <v>0</v>
      </c>
      <c r="CH75" s="22">
        <f t="shared" si="117"/>
        <v>0</v>
      </c>
      <c r="CI75" s="22">
        <f t="shared" si="117"/>
        <v>0</v>
      </c>
      <c r="CJ75" s="22">
        <f t="shared" si="117"/>
        <v>0</v>
      </c>
      <c r="CK75" s="22">
        <f t="shared" si="117"/>
        <v>0</v>
      </c>
      <c r="CL75" s="22">
        <f t="shared" si="117"/>
        <v>0</v>
      </c>
      <c r="CM75" s="22">
        <f t="shared" si="117"/>
        <v>0</v>
      </c>
      <c r="CN75" s="22">
        <f t="shared" si="117"/>
        <v>0</v>
      </c>
      <c r="CO75" s="22">
        <f t="shared" si="117"/>
        <v>0</v>
      </c>
      <c r="CP75" s="22">
        <f t="shared" si="117"/>
        <v>0</v>
      </c>
      <c r="CQ75" s="22">
        <f t="shared" si="117"/>
        <v>0</v>
      </c>
      <c r="CR75" s="22">
        <f t="shared" si="117"/>
        <v>0</v>
      </c>
      <c r="CS75" s="22">
        <f t="shared" si="117"/>
        <v>0</v>
      </c>
      <c r="CT75" s="22">
        <f t="shared" si="117"/>
        <v>0</v>
      </c>
      <c r="CU75" s="22">
        <f t="shared" si="117"/>
        <v>0</v>
      </c>
      <c r="CV75" s="22">
        <f t="shared" si="117"/>
        <v>0</v>
      </c>
      <c r="CW75" s="22">
        <f t="shared" si="117"/>
        <v>0</v>
      </c>
      <c r="CX75" s="22">
        <f t="shared" si="117"/>
        <v>0</v>
      </c>
      <c r="CY75" s="22">
        <f t="shared" si="117"/>
        <v>0</v>
      </c>
      <c r="CZ75" s="22">
        <f t="shared" si="117"/>
        <v>0</v>
      </c>
      <c r="DA75" s="22">
        <f t="shared" si="117"/>
        <v>0</v>
      </c>
      <c r="DB75" s="22">
        <f t="shared" si="117"/>
        <v>0</v>
      </c>
      <c r="DC75" s="22">
        <f t="shared" si="117"/>
        <v>0</v>
      </c>
      <c r="DD75" s="22">
        <f t="shared" si="117"/>
        <v>0</v>
      </c>
      <c r="DE75" s="22">
        <f t="shared" si="117"/>
        <v>0</v>
      </c>
      <c r="DF75" s="22">
        <f t="shared" si="94"/>
        <v>0.16488372320730083</v>
      </c>
    </row>
    <row r="76" spans="28:110" x14ac:dyDescent="0.25">
      <c r="AB76" s="23"/>
      <c r="AC76" s="23"/>
      <c r="AG76" s="6"/>
      <c r="AH76" s="6"/>
      <c r="AI76" s="6"/>
      <c r="AJ76" s="6"/>
      <c r="AK76" s="6"/>
      <c r="AL76" s="6"/>
      <c r="AM76" s="6"/>
      <c r="AN76" s="6"/>
      <c r="AO76" s="249"/>
      <c r="AP76" s="195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J76" s="6"/>
      <c r="BK76" s="6"/>
      <c r="BL76" s="6"/>
      <c r="BM76" s="6"/>
      <c r="BN76" s="6"/>
      <c r="BO76" s="6"/>
      <c r="BP76" s="6"/>
      <c r="BQ76" s="6"/>
      <c r="BR76" s="6"/>
      <c r="BU76" s="22">
        <f t="shared" ref="BU76:DE76" si="118">IF(BU38&gt;0,FORECAST(BU38,BU$9:BV$9,BU$7:BV$7),0)</f>
        <v>0</v>
      </c>
      <c r="BV76" s="22">
        <f t="shared" si="118"/>
        <v>0</v>
      </c>
      <c r="BW76" s="22">
        <f t="shared" si="118"/>
        <v>0</v>
      </c>
      <c r="BX76" s="22">
        <f t="shared" si="118"/>
        <v>0</v>
      </c>
      <c r="BY76" s="22">
        <f t="shared" si="118"/>
        <v>0</v>
      </c>
      <c r="BZ76" s="22">
        <f t="shared" si="118"/>
        <v>0</v>
      </c>
      <c r="CA76" s="22">
        <f t="shared" si="118"/>
        <v>0.16218622508854003</v>
      </c>
      <c r="CB76" s="22">
        <f t="shared" si="118"/>
        <v>0</v>
      </c>
      <c r="CC76" s="22">
        <f t="shared" si="118"/>
        <v>0</v>
      </c>
      <c r="CD76" s="22">
        <f t="shared" si="118"/>
        <v>0</v>
      </c>
      <c r="CE76" s="22">
        <f t="shared" si="118"/>
        <v>0</v>
      </c>
      <c r="CF76" s="22">
        <f t="shared" si="118"/>
        <v>0</v>
      </c>
      <c r="CG76" s="22">
        <f t="shared" si="118"/>
        <v>0</v>
      </c>
      <c r="CH76" s="22">
        <f t="shared" si="118"/>
        <v>0</v>
      </c>
      <c r="CI76" s="22">
        <f t="shared" si="118"/>
        <v>0</v>
      </c>
      <c r="CJ76" s="22">
        <f t="shared" si="118"/>
        <v>0</v>
      </c>
      <c r="CK76" s="22">
        <f t="shared" si="118"/>
        <v>0</v>
      </c>
      <c r="CL76" s="22">
        <f t="shared" si="118"/>
        <v>0</v>
      </c>
      <c r="CM76" s="22">
        <f t="shared" si="118"/>
        <v>0</v>
      </c>
      <c r="CN76" s="22">
        <f t="shared" si="118"/>
        <v>0</v>
      </c>
      <c r="CO76" s="22">
        <f t="shared" si="118"/>
        <v>0</v>
      </c>
      <c r="CP76" s="22">
        <f t="shared" si="118"/>
        <v>0</v>
      </c>
      <c r="CQ76" s="22">
        <f t="shared" si="118"/>
        <v>0</v>
      </c>
      <c r="CR76" s="22">
        <f t="shared" si="118"/>
        <v>0</v>
      </c>
      <c r="CS76" s="22">
        <f t="shared" si="118"/>
        <v>0</v>
      </c>
      <c r="CT76" s="22">
        <f t="shared" si="118"/>
        <v>0</v>
      </c>
      <c r="CU76" s="22">
        <f t="shared" si="118"/>
        <v>0</v>
      </c>
      <c r="CV76" s="22">
        <f t="shared" si="118"/>
        <v>0</v>
      </c>
      <c r="CW76" s="22">
        <f t="shared" si="118"/>
        <v>0</v>
      </c>
      <c r="CX76" s="22">
        <f t="shared" si="118"/>
        <v>0</v>
      </c>
      <c r="CY76" s="22">
        <f t="shared" si="118"/>
        <v>0</v>
      </c>
      <c r="CZ76" s="22">
        <f t="shared" si="118"/>
        <v>0</v>
      </c>
      <c r="DA76" s="22">
        <f t="shared" si="118"/>
        <v>0</v>
      </c>
      <c r="DB76" s="22">
        <f t="shared" si="118"/>
        <v>0</v>
      </c>
      <c r="DC76" s="22">
        <f t="shared" si="118"/>
        <v>0</v>
      </c>
      <c r="DD76" s="22">
        <f t="shared" si="118"/>
        <v>0</v>
      </c>
      <c r="DE76" s="22">
        <f t="shared" si="118"/>
        <v>0</v>
      </c>
      <c r="DF76" s="22">
        <f t="shared" si="94"/>
        <v>0.16218622508854003</v>
      </c>
    </row>
    <row r="77" spans="28:110" x14ac:dyDescent="0.25">
      <c r="AB77" s="23"/>
      <c r="AC77" s="23"/>
      <c r="AG77" s="6"/>
      <c r="AH77" s="6"/>
      <c r="AI77" s="6"/>
      <c r="AJ77" s="6"/>
      <c r="AK77" s="6"/>
      <c r="AL77" s="6"/>
      <c r="AM77" s="6"/>
      <c r="AN77" s="6"/>
      <c r="AO77" s="249"/>
      <c r="AP77" s="195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J77" s="6"/>
      <c r="BK77" s="6"/>
      <c r="BL77" s="6"/>
      <c r="BM77" s="6"/>
      <c r="BN77" s="6"/>
      <c r="BO77" s="6"/>
      <c r="BP77" s="6"/>
      <c r="BQ77" s="6"/>
      <c r="BR77" s="6"/>
      <c r="BU77" s="22">
        <f t="shared" ref="BU77:DE77" si="119">IF(BU39&gt;0,FORECAST(BU39,BU$9:BV$9,BU$7:BV$7),0)</f>
        <v>0</v>
      </c>
      <c r="BV77" s="22">
        <f t="shared" si="119"/>
        <v>0</v>
      </c>
      <c r="BW77" s="22">
        <f t="shared" si="119"/>
        <v>0</v>
      </c>
      <c r="BX77" s="22">
        <f t="shared" si="119"/>
        <v>0</v>
      </c>
      <c r="BY77" s="22">
        <f t="shared" si="119"/>
        <v>0</v>
      </c>
      <c r="BZ77" s="22">
        <f t="shared" si="119"/>
        <v>0</v>
      </c>
      <c r="CA77" s="22">
        <f t="shared" si="119"/>
        <v>0.15960294880809195</v>
      </c>
      <c r="CB77" s="22">
        <f t="shared" si="119"/>
        <v>0</v>
      </c>
      <c r="CC77" s="22">
        <f t="shared" si="119"/>
        <v>0</v>
      </c>
      <c r="CD77" s="22">
        <f t="shared" si="119"/>
        <v>0</v>
      </c>
      <c r="CE77" s="22">
        <f t="shared" si="119"/>
        <v>0</v>
      </c>
      <c r="CF77" s="22">
        <f t="shared" si="119"/>
        <v>0</v>
      </c>
      <c r="CG77" s="22">
        <f t="shared" si="119"/>
        <v>0</v>
      </c>
      <c r="CH77" s="22">
        <f t="shared" si="119"/>
        <v>0</v>
      </c>
      <c r="CI77" s="22">
        <f t="shared" si="119"/>
        <v>0</v>
      </c>
      <c r="CJ77" s="22">
        <f t="shared" si="119"/>
        <v>0</v>
      </c>
      <c r="CK77" s="22">
        <f t="shared" si="119"/>
        <v>0</v>
      </c>
      <c r="CL77" s="22">
        <f t="shared" si="119"/>
        <v>0</v>
      </c>
      <c r="CM77" s="22">
        <f t="shared" si="119"/>
        <v>0</v>
      </c>
      <c r="CN77" s="22">
        <f t="shared" si="119"/>
        <v>0</v>
      </c>
      <c r="CO77" s="22">
        <f t="shared" si="119"/>
        <v>0</v>
      </c>
      <c r="CP77" s="22">
        <f t="shared" si="119"/>
        <v>0</v>
      </c>
      <c r="CQ77" s="22">
        <f t="shared" si="119"/>
        <v>0</v>
      </c>
      <c r="CR77" s="22">
        <f t="shared" si="119"/>
        <v>0</v>
      </c>
      <c r="CS77" s="22">
        <f t="shared" si="119"/>
        <v>0</v>
      </c>
      <c r="CT77" s="22">
        <f t="shared" si="119"/>
        <v>0</v>
      </c>
      <c r="CU77" s="22">
        <f t="shared" si="119"/>
        <v>0</v>
      </c>
      <c r="CV77" s="22">
        <f t="shared" si="119"/>
        <v>0</v>
      </c>
      <c r="CW77" s="22">
        <f t="shared" si="119"/>
        <v>0</v>
      </c>
      <c r="CX77" s="22">
        <f t="shared" si="119"/>
        <v>0</v>
      </c>
      <c r="CY77" s="22">
        <f t="shared" si="119"/>
        <v>0</v>
      </c>
      <c r="CZ77" s="22">
        <f t="shared" si="119"/>
        <v>0</v>
      </c>
      <c r="DA77" s="22">
        <f t="shared" si="119"/>
        <v>0</v>
      </c>
      <c r="DB77" s="22">
        <f t="shared" si="119"/>
        <v>0</v>
      </c>
      <c r="DC77" s="22">
        <f t="shared" si="119"/>
        <v>0</v>
      </c>
      <c r="DD77" s="22">
        <f t="shared" si="119"/>
        <v>0</v>
      </c>
      <c r="DE77" s="22">
        <f t="shared" si="119"/>
        <v>0</v>
      </c>
      <c r="DF77" s="22">
        <f t="shared" si="94"/>
        <v>0.15960294880809195</v>
      </c>
    </row>
    <row r="78" spans="28:110" x14ac:dyDescent="0.25">
      <c r="AB78" s="23"/>
      <c r="AC78" s="23"/>
      <c r="AG78" s="6"/>
      <c r="AH78" s="6"/>
      <c r="AI78" s="6"/>
      <c r="AJ78" s="6"/>
      <c r="AK78" s="6"/>
      <c r="AL78" s="6"/>
      <c r="AM78" s="6"/>
      <c r="AN78" s="6"/>
      <c r="AO78" s="249"/>
      <c r="AP78" s="195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J78" s="6"/>
      <c r="BK78" s="6"/>
      <c r="BL78" s="6"/>
      <c r="BM78" s="6"/>
      <c r="BN78" s="6"/>
      <c r="BO78" s="6"/>
      <c r="BP78" s="6"/>
      <c r="BQ78" s="6"/>
      <c r="BR78" s="6"/>
      <c r="BU78" s="22">
        <f t="shared" ref="BU78:DE78" si="120">IF(BU40&gt;0,FORECAST(BU40,BU$9:BV$9,BU$7:BV$7),0)</f>
        <v>0</v>
      </c>
      <c r="BV78" s="22">
        <f t="shared" si="120"/>
        <v>0</v>
      </c>
      <c r="BW78" s="22">
        <f t="shared" si="120"/>
        <v>0</v>
      </c>
      <c r="BX78" s="22">
        <f t="shared" si="120"/>
        <v>0</v>
      </c>
      <c r="BY78" s="22">
        <f t="shared" si="120"/>
        <v>0</v>
      </c>
      <c r="BZ78" s="22">
        <f t="shared" si="120"/>
        <v>0</v>
      </c>
      <c r="CA78" s="22">
        <f t="shared" si="120"/>
        <v>0.15712866659637809</v>
      </c>
      <c r="CB78" s="22">
        <f t="shared" si="120"/>
        <v>0</v>
      </c>
      <c r="CC78" s="22">
        <f t="shared" si="120"/>
        <v>0</v>
      </c>
      <c r="CD78" s="22">
        <f t="shared" si="120"/>
        <v>0</v>
      </c>
      <c r="CE78" s="22">
        <f t="shared" si="120"/>
        <v>0</v>
      </c>
      <c r="CF78" s="22">
        <f t="shared" si="120"/>
        <v>0</v>
      </c>
      <c r="CG78" s="22">
        <f t="shared" si="120"/>
        <v>0</v>
      </c>
      <c r="CH78" s="22">
        <f t="shared" si="120"/>
        <v>0</v>
      </c>
      <c r="CI78" s="22">
        <f t="shared" si="120"/>
        <v>0</v>
      </c>
      <c r="CJ78" s="22">
        <f t="shared" si="120"/>
        <v>0</v>
      </c>
      <c r="CK78" s="22">
        <f t="shared" si="120"/>
        <v>0</v>
      </c>
      <c r="CL78" s="22">
        <f t="shared" si="120"/>
        <v>0</v>
      </c>
      <c r="CM78" s="22">
        <f t="shared" si="120"/>
        <v>0</v>
      </c>
      <c r="CN78" s="22">
        <f t="shared" si="120"/>
        <v>0</v>
      </c>
      <c r="CO78" s="22">
        <f t="shared" si="120"/>
        <v>0</v>
      </c>
      <c r="CP78" s="22">
        <f t="shared" si="120"/>
        <v>0</v>
      </c>
      <c r="CQ78" s="22">
        <f t="shared" si="120"/>
        <v>0</v>
      </c>
      <c r="CR78" s="22">
        <f t="shared" si="120"/>
        <v>0</v>
      </c>
      <c r="CS78" s="22">
        <f t="shared" si="120"/>
        <v>0</v>
      </c>
      <c r="CT78" s="22">
        <f t="shared" si="120"/>
        <v>0</v>
      </c>
      <c r="CU78" s="22">
        <f t="shared" si="120"/>
        <v>0</v>
      </c>
      <c r="CV78" s="22">
        <f t="shared" si="120"/>
        <v>0</v>
      </c>
      <c r="CW78" s="22">
        <f t="shared" si="120"/>
        <v>0</v>
      </c>
      <c r="CX78" s="22">
        <f t="shared" si="120"/>
        <v>0</v>
      </c>
      <c r="CY78" s="22">
        <f t="shared" si="120"/>
        <v>0</v>
      </c>
      <c r="CZ78" s="22">
        <f t="shared" si="120"/>
        <v>0</v>
      </c>
      <c r="DA78" s="22">
        <f t="shared" si="120"/>
        <v>0</v>
      </c>
      <c r="DB78" s="22">
        <f t="shared" si="120"/>
        <v>0</v>
      </c>
      <c r="DC78" s="22">
        <f t="shared" si="120"/>
        <v>0</v>
      </c>
      <c r="DD78" s="22">
        <f t="shared" si="120"/>
        <v>0</v>
      </c>
      <c r="DE78" s="22">
        <f t="shared" si="120"/>
        <v>0</v>
      </c>
      <c r="DF78" s="22">
        <f t="shared" si="94"/>
        <v>0.15712866659637809</v>
      </c>
    </row>
    <row r="79" spans="28:110" x14ac:dyDescent="0.25">
      <c r="AB79" s="23"/>
      <c r="AC79" s="23"/>
      <c r="AG79" s="6"/>
      <c r="AH79" s="6"/>
      <c r="AI79" s="6"/>
      <c r="AJ79" s="6"/>
      <c r="AK79" s="6"/>
      <c r="AL79" s="6"/>
      <c r="AM79" s="6"/>
      <c r="AN79" s="6"/>
      <c r="AO79" s="249"/>
      <c r="AP79" s="195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J79" s="6"/>
      <c r="BK79" s="6"/>
      <c r="BL79" s="6"/>
      <c r="BM79" s="6"/>
      <c r="BN79" s="6"/>
      <c r="BO79" s="6"/>
      <c r="BP79" s="6"/>
      <c r="BQ79" s="6"/>
      <c r="BR79" s="6"/>
      <c r="BU79" s="22">
        <f t="shared" ref="BU79:DE79" si="121">IF(BU41&gt;0,FORECAST(BU41,BU$9:BV$9,BU$7:BV$7),0)</f>
        <v>0</v>
      </c>
      <c r="BV79" s="22">
        <f t="shared" si="121"/>
        <v>0</v>
      </c>
      <c r="BW79" s="22">
        <f t="shared" si="121"/>
        <v>0</v>
      </c>
      <c r="BX79" s="22">
        <f t="shared" si="121"/>
        <v>0</v>
      </c>
      <c r="BY79" s="22">
        <f t="shared" si="121"/>
        <v>0</v>
      </c>
      <c r="BZ79" s="22">
        <f t="shared" si="121"/>
        <v>0</v>
      </c>
      <c r="CA79" s="22">
        <f t="shared" si="121"/>
        <v>0.15475662292197034</v>
      </c>
      <c r="CB79" s="22">
        <f t="shared" si="121"/>
        <v>0</v>
      </c>
      <c r="CC79" s="22">
        <f t="shared" si="121"/>
        <v>0</v>
      </c>
      <c r="CD79" s="22">
        <f t="shared" si="121"/>
        <v>0</v>
      </c>
      <c r="CE79" s="22">
        <f t="shared" si="121"/>
        <v>0</v>
      </c>
      <c r="CF79" s="22">
        <f t="shared" si="121"/>
        <v>0</v>
      </c>
      <c r="CG79" s="22">
        <f t="shared" si="121"/>
        <v>0</v>
      </c>
      <c r="CH79" s="22">
        <f t="shared" si="121"/>
        <v>0</v>
      </c>
      <c r="CI79" s="22">
        <f t="shared" si="121"/>
        <v>0</v>
      </c>
      <c r="CJ79" s="22">
        <f t="shared" si="121"/>
        <v>0</v>
      </c>
      <c r="CK79" s="22">
        <f t="shared" si="121"/>
        <v>0</v>
      </c>
      <c r="CL79" s="22">
        <f t="shared" si="121"/>
        <v>0</v>
      </c>
      <c r="CM79" s="22">
        <f t="shared" si="121"/>
        <v>0</v>
      </c>
      <c r="CN79" s="22">
        <f t="shared" si="121"/>
        <v>0</v>
      </c>
      <c r="CO79" s="22">
        <f t="shared" si="121"/>
        <v>0</v>
      </c>
      <c r="CP79" s="22">
        <f t="shared" si="121"/>
        <v>0</v>
      </c>
      <c r="CQ79" s="22">
        <f t="shared" si="121"/>
        <v>0</v>
      </c>
      <c r="CR79" s="22">
        <f t="shared" si="121"/>
        <v>0</v>
      </c>
      <c r="CS79" s="22">
        <f t="shared" si="121"/>
        <v>0</v>
      </c>
      <c r="CT79" s="22">
        <f t="shared" si="121"/>
        <v>0</v>
      </c>
      <c r="CU79" s="22">
        <f t="shared" si="121"/>
        <v>0</v>
      </c>
      <c r="CV79" s="22">
        <f t="shared" si="121"/>
        <v>0</v>
      </c>
      <c r="CW79" s="22">
        <f t="shared" si="121"/>
        <v>0</v>
      </c>
      <c r="CX79" s="22">
        <f t="shared" si="121"/>
        <v>0</v>
      </c>
      <c r="CY79" s="22">
        <f t="shared" si="121"/>
        <v>0</v>
      </c>
      <c r="CZ79" s="22">
        <f t="shared" si="121"/>
        <v>0</v>
      </c>
      <c r="DA79" s="22">
        <f t="shared" si="121"/>
        <v>0</v>
      </c>
      <c r="DB79" s="22">
        <f t="shared" si="121"/>
        <v>0</v>
      </c>
      <c r="DC79" s="22">
        <f t="shared" si="121"/>
        <v>0</v>
      </c>
      <c r="DD79" s="22">
        <f t="shared" si="121"/>
        <v>0</v>
      </c>
      <c r="DE79" s="22">
        <f t="shared" si="121"/>
        <v>0</v>
      </c>
      <c r="DF79" s="22">
        <f t="shared" si="94"/>
        <v>0.15475662292197034</v>
      </c>
    </row>
    <row r="80" spans="28:110" x14ac:dyDescent="0.25">
      <c r="AB80" s="6"/>
      <c r="AC80" s="6"/>
      <c r="AG80" s="6"/>
      <c r="AH80" s="6"/>
      <c r="AI80" s="6"/>
      <c r="AJ80" s="6"/>
      <c r="AK80" s="6"/>
      <c r="AL80" s="6"/>
      <c r="AM80" s="6"/>
      <c r="AN80" s="6"/>
      <c r="AO80" s="249"/>
      <c r="AP80" s="195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J80" s="6"/>
      <c r="BK80" s="6"/>
      <c r="BL80" s="6"/>
      <c r="BM80" s="6"/>
      <c r="BN80" s="6"/>
      <c r="BO80" s="6"/>
      <c r="BP80" s="6"/>
      <c r="BQ80" s="6"/>
      <c r="BR80" s="6"/>
      <c r="BU80" s="22">
        <f t="shared" ref="BU80:DE80" si="122">IF(BU42&gt;0,FORECAST(BU42,BU$9:BV$9,BU$7:BV$7),0)</f>
        <v>0</v>
      </c>
      <c r="BV80" s="22">
        <f t="shared" si="122"/>
        <v>0</v>
      </c>
      <c r="BW80" s="22">
        <f t="shared" si="122"/>
        <v>0</v>
      </c>
      <c r="BX80" s="22">
        <f t="shared" si="122"/>
        <v>0</v>
      </c>
      <c r="BY80" s="22">
        <f t="shared" si="122"/>
        <v>0</v>
      </c>
      <c r="BZ80" s="22">
        <f t="shared" si="122"/>
        <v>0</v>
      </c>
      <c r="CA80" s="22">
        <f t="shared" si="122"/>
        <v>0.15248060923629214</v>
      </c>
      <c r="CB80" s="22">
        <f t="shared" si="122"/>
        <v>0</v>
      </c>
      <c r="CC80" s="22">
        <f t="shared" si="122"/>
        <v>0</v>
      </c>
      <c r="CD80" s="22">
        <f t="shared" si="122"/>
        <v>0</v>
      </c>
      <c r="CE80" s="22">
        <f t="shared" si="122"/>
        <v>0</v>
      </c>
      <c r="CF80" s="22">
        <f t="shared" si="122"/>
        <v>0</v>
      </c>
      <c r="CG80" s="22">
        <f t="shared" si="122"/>
        <v>0</v>
      </c>
      <c r="CH80" s="22">
        <f t="shared" si="122"/>
        <v>0</v>
      </c>
      <c r="CI80" s="22">
        <f t="shared" si="122"/>
        <v>0</v>
      </c>
      <c r="CJ80" s="22">
        <f t="shared" si="122"/>
        <v>0</v>
      </c>
      <c r="CK80" s="22">
        <f t="shared" si="122"/>
        <v>0</v>
      </c>
      <c r="CL80" s="22">
        <f t="shared" si="122"/>
        <v>0</v>
      </c>
      <c r="CM80" s="22">
        <f t="shared" si="122"/>
        <v>0</v>
      </c>
      <c r="CN80" s="22">
        <f t="shared" si="122"/>
        <v>0</v>
      </c>
      <c r="CO80" s="22">
        <f t="shared" si="122"/>
        <v>0</v>
      </c>
      <c r="CP80" s="22">
        <f t="shared" si="122"/>
        <v>0</v>
      </c>
      <c r="CQ80" s="22">
        <f t="shared" si="122"/>
        <v>0</v>
      </c>
      <c r="CR80" s="22">
        <f t="shared" si="122"/>
        <v>0</v>
      </c>
      <c r="CS80" s="22">
        <f t="shared" si="122"/>
        <v>0</v>
      </c>
      <c r="CT80" s="22">
        <f t="shared" si="122"/>
        <v>0</v>
      </c>
      <c r="CU80" s="22">
        <f t="shared" si="122"/>
        <v>0</v>
      </c>
      <c r="CV80" s="22">
        <f t="shared" si="122"/>
        <v>0</v>
      </c>
      <c r="CW80" s="22">
        <f t="shared" si="122"/>
        <v>0</v>
      </c>
      <c r="CX80" s="22">
        <f t="shared" si="122"/>
        <v>0</v>
      </c>
      <c r="CY80" s="22">
        <f t="shared" si="122"/>
        <v>0</v>
      </c>
      <c r="CZ80" s="22">
        <f t="shared" si="122"/>
        <v>0</v>
      </c>
      <c r="DA80" s="22">
        <f t="shared" si="122"/>
        <v>0</v>
      </c>
      <c r="DB80" s="22">
        <f t="shared" si="122"/>
        <v>0</v>
      </c>
      <c r="DC80" s="22">
        <f t="shared" si="122"/>
        <v>0</v>
      </c>
      <c r="DD80" s="22">
        <f t="shared" si="122"/>
        <v>0</v>
      </c>
      <c r="DE80" s="22">
        <f t="shared" si="122"/>
        <v>0</v>
      </c>
      <c r="DF80" s="22">
        <f t="shared" si="94"/>
        <v>0.15248060923629214</v>
      </c>
    </row>
    <row r="81" spans="27:110" x14ac:dyDescent="0.25">
      <c r="AB81" s="6"/>
      <c r="AC81" s="6"/>
      <c r="AG81" s="6"/>
      <c r="AH81" s="6"/>
      <c r="AI81" s="6"/>
      <c r="AJ81" s="6"/>
      <c r="AK81" s="6"/>
      <c r="AL81" s="6"/>
      <c r="AM81" s="6"/>
      <c r="AN81" s="6"/>
      <c r="AO81" s="249"/>
      <c r="AP81" s="195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J81" s="6"/>
      <c r="BK81" s="6"/>
      <c r="BL81" s="6"/>
      <c r="BM81" s="6"/>
      <c r="BN81" s="6"/>
      <c r="BO81" s="6"/>
      <c r="BP81" s="6"/>
      <c r="BQ81" s="6"/>
      <c r="BR81" s="6"/>
      <c r="BU81" s="22">
        <f t="shared" ref="BU81:DE81" si="123">IF(BU43&gt;0,FORECAST(BU43,BU$9:BV$9,BU$7:BV$7),0)</f>
        <v>0</v>
      </c>
      <c r="BV81" s="22">
        <f t="shared" si="123"/>
        <v>0</v>
      </c>
      <c r="BW81" s="22">
        <f t="shared" si="123"/>
        <v>0</v>
      </c>
      <c r="BX81" s="22">
        <f t="shared" si="123"/>
        <v>0</v>
      </c>
      <c r="BY81" s="22">
        <f t="shared" si="123"/>
        <v>0</v>
      </c>
      <c r="BZ81" s="22">
        <f t="shared" si="123"/>
        <v>0</v>
      </c>
      <c r="CA81" s="22">
        <f t="shared" si="123"/>
        <v>0.15029490971175574</v>
      </c>
      <c r="CB81" s="22">
        <f t="shared" si="123"/>
        <v>0</v>
      </c>
      <c r="CC81" s="22">
        <f t="shared" si="123"/>
        <v>0</v>
      </c>
      <c r="CD81" s="22">
        <f t="shared" si="123"/>
        <v>0</v>
      </c>
      <c r="CE81" s="22">
        <f t="shared" si="123"/>
        <v>0</v>
      </c>
      <c r="CF81" s="22">
        <f t="shared" si="123"/>
        <v>0</v>
      </c>
      <c r="CG81" s="22">
        <f t="shared" si="123"/>
        <v>0</v>
      </c>
      <c r="CH81" s="22">
        <f t="shared" si="123"/>
        <v>0</v>
      </c>
      <c r="CI81" s="22">
        <f t="shared" si="123"/>
        <v>0</v>
      </c>
      <c r="CJ81" s="22">
        <f t="shared" si="123"/>
        <v>0</v>
      </c>
      <c r="CK81" s="22">
        <f t="shared" si="123"/>
        <v>0</v>
      </c>
      <c r="CL81" s="22">
        <f t="shared" si="123"/>
        <v>0</v>
      </c>
      <c r="CM81" s="22">
        <f t="shared" si="123"/>
        <v>0</v>
      </c>
      <c r="CN81" s="22">
        <f t="shared" si="123"/>
        <v>0</v>
      </c>
      <c r="CO81" s="22">
        <f t="shared" si="123"/>
        <v>0</v>
      </c>
      <c r="CP81" s="22">
        <f t="shared" si="123"/>
        <v>0</v>
      </c>
      <c r="CQ81" s="22">
        <f t="shared" si="123"/>
        <v>0</v>
      </c>
      <c r="CR81" s="22">
        <f t="shared" si="123"/>
        <v>0</v>
      </c>
      <c r="CS81" s="22">
        <f t="shared" si="123"/>
        <v>0</v>
      </c>
      <c r="CT81" s="22">
        <f t="shared" si="123"/>
        <v>0</v>
      </c>
      <c r="CU81" s="22">
        <f t="shared" si="123"/>
        <v>0</v>
      </c>
      <c r="CV81" s="22">
        <f t="shared" si="123"/>
        <v>0</v>
      </c>
      <c r="CW81" s="22">
        <f t="shared" si="123"/>
        <v>0</v>
      </c>
      <c r="CX81" s="22">
        <f t="shared" si="123"/>
        <v>0</v>
      </c>
      <c r="CY81" s="22">
        <f t="shared" si="123"/>
        <v>0</v>
      </c>
      <c r="CZ81" s="22">
        <f t="shared" si="123"/>
        <v>0</v>
      </c>
      <c r="DA81" s="22">
        <f t="shared" si="123"/>
        <v>0</v>
      </c>
      <c r="DB81" s="22">
        <f t="shared" si="123"/>
        <v>0</v>
      </c>
      <c r="DC81" s="22">
        <f t="shared" si="123"/>
        <v>0</v>
      </c>
      <c r="DD81" s="22">
        <f t="shared" si="123"/>
        <v>0</v>
      </c>
      <c r="DE81" s="22">
        <f t="shared" si="123"/>
        <v>0</v>
      </c>
      <c r="DF81" s="22">
        <f t="shared" si="94"/>
        <v>0.15029490971175574</v>
      </c>
    </row>
    <row r="82" spans="27:110" x14ac:dyDescent="0.25">
      <c r="AB82" s="6"/>
      <c r="AC82" s="6"/>
      <c r="AG82" s="6"/>
      <c r="AH82" s="6"/>
      <c r="AI82" s="6"/>
      <c r="AJ82" s="6"/>
      <c r="AK82" s="6"/>
      <c r="AL82" s="6"/>
      <c r="AM82" s="6"/>
      <c r="AN82" s="6"/>
      <c r="AO82" s="249"/>
      <c r="AP82" s="195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J82" s="6"/>
      <c r="BK82" s="6"/>
      <c r="BL82" s="6"/>
      <c r="BM82" s="6"/>
      <c r="BN82" s="6"/>
      <c r="BO82" s="6"/>
      <c r="BP82" s="6"/>
      <c r="BQ82" s="6"/>
      <c r="BR82" s="6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</row>
    <row r="83" spans="27:110" x14ac:dyDescent="0.25">
      <c r="AB83" s="6"/>
      <c r="AC83" s="6"/>
      <c r="AG83" s="6"/>
      <c r="AH83" s="6"/>
      <c r="AI83" s="6"/>
      <c r="AJ83" s="6"/>
      <c r="AK83" s="6"/>
      <c r="AL83" s="6"/>
      <c r="AM83" s="6"/>
      <c r="AN83" s="6"/>
      <c r="AO83" s="249"/>
      <c r="AP83" s="195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J83" s="6"/>
      <c r="BK83" s="6"/>
      <c r="BL83" s="6"/>
      <c r="BM83" s="6"/>
      <c r="BN83" s="6"/>
      <c r="BO83" s="6"/>
      <c r="BP83" s="6"/>
      <c r="BQ83" s="6"/>
      <c r="BR83" s="6"/>
      <c r="BU83" s="22">
        <f t="shared" ref="BU83:DE83" si="124">IF(BU45&gt;0,FORECAST(BU45,BU$9:BV$9,BU$7:BV$7),0)</f>
        <v>0</v>
      </c>
      <c r="BV83" s="22">
        <f t="shared" si="124"/>
        <v>0</v>
      </c>
      <c r="BW83" s="22">
        <f t="shared" si="124"/>
        <v>0</v>
      </c>
      <c r="BX83" s="22">
        <f t="shared" si="124"/>
        <v>0</v>
      </c>
      <c r="BY83" s="22">
        <f t="shared" si="124"/>
        <v>0</v>
      </c>
      <c r="BZ83" s="22">
        <f t="shared" si="124"/>
        <v>0.17276833804448258</v>
      </c>
      <c r="CA83" s="22">
        <f t="shared" si="124"/>
        <v>0</v>
      </c>
      <c r="CB83" s="22">
        <f t="shared" si="124"/>
        <v>0</v>
      </c>
      <c r="CC83" s="22">
        <f t="shared" si="124"/>
        <v>0</v>
      </c>
      <c r="CD83" s="22">
        <f t="shared" si="124"/>
        <v>0</v>
      </c>
      <c r="CE83" s="22">
        <f t="shared" si="124"/>
        <v>0</v>
      </c>
      <c r="CF83" s="22">
        <f t="shared" si="124"/>
        <v>0</v>
      </c>
      <c r="CG83" s="22">
        <f t="shared" si="124"/>
        <v>0</v>
      </c>
      <c r="CH83" s="22">
        <f t="shared" si="124"/>
        <v>0</v>
      </c>
      <c r="CI83" s="22">
        <f t="shared" si="124"/>
        <v>0</v>
      </c>
      <c r="CJ83" s="22">
        <f t="shared" si="124"/>
        <v>0</v>
      </c>
      <c r="CK83" s="22">
        <f t="shared" si="124"/>
        <v>0</v>
      </c>
      <c r="CL83" s="22">
        <f t="shared" si="124"/>
        <v>0</v>
      </c>
      <c r="CM83" s="22">
        <f t="shared" si="124"/>
        <v>0</v>
      </c>
      <c r="CN83" s="22">
        <f t="shared" si="124"/>
        <v>0</v>
      </c>
      <c r="CO83" s="22">
        <f t="shared" si="124"/>
        <v>0</v>
      </c>
      <c r="CP83" s="22">
        <f t="shared" si="124"/>
        <v>0</v>
      </c>
      <c r="CQ83" s="22">
        <f t="shared" si="124"/>
        <v>0</v>
      </c>
      <c r="CR83" s="22">
        <f t="shared" si="124"/>
        <v>0</v>
      </c>
      <c r="CS83" s="22">
        <f t="shared" si="124"/>
        <v>0</v>
      </c>
      <c r="CT83" s="22">
        <f t="shared" si="124"/>
        <v>0</v>
      </c>
      <c r="CU83" s="22">
        <f t="shared" si="124"/>
        <v>0</v>
      </c>
      <c r="CV83" s="22">
        <f t="shared" si="124"/>
        <v>0</v>
      </c>
      <c r="CW83" s="22">
        <f t="shared" si="124"/>
        <v>0</v>
      </c>
      <c r="CX83" s="22">
        <f t="shared" si="124"/>
        <v>0</v>
      </c>
      <c r="CY83" s="22">
        <f t="shared" si="124"/>
        <v>0</v>
      </c>
      <c r="CZ83" s="22">
        <f t="shared" si="124"/>
        <v>0</v>
      </c>
      <c r="DA83" s="22">
        <f t="shared" si="124"/>
        <v>0</v>
      </c>
      <c r="DB83" s="22">
        <f t="shared" si="124"/>
        <v>0</v>
      </c>
      <c r="DC83" s="22">
        <f t="shared" si="124"/>
        <v>0</v>
      </c>
      <c r="DD83" s="22">
        <f t="shared" si="124"/>
        <v>0</v>
      </c>
      <c r="DE83" s="22">
        <f t="shared" si="124"/>
        <v>0</v>
      </c>
      <c r="DF83" s="22">
        <f>SUM(BU83:DE83)</f>
        <v>0.17276833804448258</v>
      </c>
    </row>
    <row r="84" spans="27:110" x14ac:dyDescent="0.25">
      <c r="AB84" s="6"/>
      <c r="AC84" s="6"/>
      <c r="AG84" s="6"/>
      <c r="AH84" s="6"/>
      <c r="AI84" s="6"/>
      <c r="AJ84" s="6"/>
      <c r="AK84" s="6"/>
      <c r="AL84" s="6"/>
      <c r="AM84" s="6"/>
      <c r="AN84" s="6"/>
      <c r="AO84" s="249"/>
      <c r="AP84" s="195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J84" s="6"/>
      <c r="BK84" s="6"/>
      <c r="BL84" s="6"/>
      <c r="BM84" s="6"/>
      <c r="BN84" s="6"/>
      <c r="BO84" s="6"/>
      <c r="BP84" s="6"/>
      <c r="BQ84" s="6"/>
      <c r="BR84" s="6"/>
      <c r="BU84" s="22">
        <f t="shared" ref="BU84:DE84" si="125">IF(BU46&gt;0,FORECAST(BU46,BU$9:BV$9,BU$7:BV$7),0)</f>
        <v>0</v>
      </c>
      <c r="BV84" s="22">
        <f t="shared" si="125"/>
        <v>0</v>
      </c>
      <c r="BW84" s="22">
        <f t="shared" si="125"/>
        <v>0</v>
      </c>
      <c r="BX84" s="22">
        <f t="shared" si="125"/>
        <v>0</v>
      </c>
      <c r="BY84" s="22">
        <f t="shared" si="125"/>
        <v>0</v>
      </c>
      <c r="BZ84" s="22">
        <f t="shared" si="125"/>
        <v>0</v>
      </c>
      <c r="CA84" s="22">
        <f t="shared" si="125"/>
        <v>0.16715265755094483</v>
      </c>
      <c r="CB84" s="22">
        <f t="shared" si="125"/>
        <v>0</v>
      </c>
      <c r="CC84" s="22">
        <f t="shared" si="125"/>
        <v>0</v>
      </c>
      <c r="CD84" s="22">
        <f t="shared" si="125"/>
        <v>0</v>
      </c>
      <c r="CE84" s="22">
        <f t="shared" si="125"/>
        <v>0</v>
      </c>
      <c r="CF84" s="22">
        <f t="shared" si="125"/>
        <v>0</v>
      </c>
      <c r="CG84" s="22">
        <f t="shared" si="125"/>
        <v>0</v>
      </c>
      <c r="CH84" s="22">
        <f t="shared" si="125"/>
        <v>0</v>
      </c>
      <c r="CI84" s="22">
        <f t="shared" si="125"/>
        <v>0</v>
      </c>
      <c r="CJ84" s="22">
        <f t="shared" si="125"/>
        <v>0</v>
      </c>
      <c r="CK84" s="22">
        <f t="shared" si="125"/>
        <v>0</v>
      </c>
      <c r="CL84" s="22">
        <f t="shared" si="125"/>
        <v>0</v>
      </c>
      <c r="CM84" s="22">
        <f t="shared" si="125"/>
        <v>0</v>
      </c>
      <c r="CN84" s="22">
        <f t="shared" si="125"/>
        <v>0</v>
      </c>
      <c r="CO84" s="22">
        <f t="shared" si="125"/>
        <v>0</v>
      </c>
      <c r="CP84" s="22">
        <f t="shared" si="125"/>
        <v>0</v>
      </c>
      <c r="CQ84" s="22">
        <f t="shared" si="125"/>
        <v>0</v>
      </c>
      <c r="CR84" s="22">
        <f t="shared" si="125"/>
        <v>0</v>
      </c>
      <c r="CS84" s="22">
        <f t="shared" si="125"/>
        <v>0</v>
      </c>
      <c r="CT84" s="22">
        <f t="shared" si="125"/>
        <v>0</v>
      </c>
      <c r="CU84" s="22">
        <f t="shared" si="125"/>
        <v>0</v>
      </c>
      <c r="CV84" s="22">
        <f t="shared" si="125"/>
        <v>0</v>
      </c>
      <c r="CW84" s="22">
        <f t="shared" si="125"/>
        <v>0</v>
      </c>
      <c r="CX84" s="22">
        <f t="shared" si="125"/>
        <v>0</v>
      </c>
      <c r="CY84" s="22">
        <f t="shared" si="125"/>
        <v>0</v>
      </c>
      <c r="CZ84" s="22">
        <f t="shared" si="125"/>
        <v>0</v>
      </c>
      <c r="DA84" s="22">
        <f t="shared" si="125"/>
        <v>0</v>
      </c>
      <c r="DB84" s="22">
        <f t="shared" si="125"/>
        <v>0</v>
      </c>
      <c r="DC84" s="22">
        <f t="shared" si="125"/>
        <v>0</v>
      </c>
      <c r="DD84" s="22">
        <f t="shared" si="125"/>
        <v>0</v>
      </c>
      <c r="DE84" s="22">
        <f t="shared" si="125"/>
        <v>0</v>
      </c>
      <c r="DF84" s="22">
        <f>SUM(BU84:DE84)</f>
        <v>0.16715265755094483</v>
      </c>
    </row>
    <row r="85" spans="27:110" x14ac:dyDescent="0.25">
      <c r="AB85" s="6"/>
      <c r="AC85" s="6"/>
      <c r="AG85" s="6"/>
      <c r="AH85" s="6"/>
      <c r="AI85" s="6"/>
      <c r="AJ85" s="6"/>
      <c r="AK85" s="6"/>
      <c r="AL85" s="6"/>
      <c r="AM85" s="6"/>
      <c r="AN85" s="6"/>
      <c r="AO85" s="249"/>
      <c r="AP85" s="195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J85" s="6"/>
      <c r="BK85" s="6"/>
      <c r="BL85" s="6"/>
      <c r="BM85" s="6"/>
      <c r="BN85" s="6"/>
      <c r="BO85" s="6"/>
      <c r="BP85" s="6"/>
      <c r="BQ85" s="6"/>
      <c r="BR85" s="6"/>
      <c r="BW85" s="12"/>
    </row>
    <row r="86" spans="27:110" x14ac:dyDescent="0.25">
      <c r="AB86" s="6"/>
      <c r="AC86" s="6"/>
      <c r="AG86" s="6"/>
      <c r="AH86" s="6"/>
      <c r="AI86" s="6"/>
      <c r="AJ86" s="6"/>
      <c r="AK86" s="6"/>
      <c r="AL86" s="6"/>
      <c r="AM86" s="6"/>
      <c r="AN86" s="6"/>
      <c r="AO86" s="249"/>
      <c r="AP86" s="195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J86" s="6"/>
      <c r="BK86" s="6"/>
      <c r="BL86" s="6"/>
      <c r="BM86" s="6"/>
      <c r="BN86" s="6"/>
      <c r="BO86" s="6"/>
      <c r="BP86" s="6"/>
      <c r="BU86" s="12"/>
    </row>
    <row r="87" spans="27:110" x14ac:dyDescent="0.25">
      <c r="AB87" s="6"/>
      <c r="AC87" s="6"/>
      <c r="AG87" s="6"/>
      <c r="AH87" s="6"/>
      <c r="AI87" s="6"/>
      <c r="AJ87" s="6"/>
      <c r="AK87" s="6"/>
      <c r="AL87" s="6"/>
      <c r="AM87" s="6"/>
      <c r="AN87" s="6"/>
      <c r="AO87" s="249"/>
      <c r="AP87" s="195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J87" s="6"/>
      <c r="BK87" s="6"/>
      <c r="BL87" s="6"/>
      <c r="BM87" s="6"/>
      <c r="BN87" s="6"/>
      <c r="BO87" s="6"/>
      <c r="BP87" s="6"/>
      <c r="BU87" s="12"/>
    </row>
    <row r="88" spans="27:110" x14ac:dyDescent="0.25">
      <c r="AB88" s="6"/>
      <c r="AC88" s="6"/>
      <c r="AG88" s="6"/>
      <c r="AH88" s="6"/>
      <c r="AI88" s="6"/>
      <c r="AJ88" s="6"/>
      <c r="AK88" s="6"/>
      <c r="AL88" s="6"/>
      <c r="AM88" s="6"/>
      <c r="AN88" s="6"/>
      <c r="AO88" s="249"/>
      <c r="AP88" s="195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J88" s="6"/>
      <c r="BK88" s="6"/>
      <c r="BL88" s="6"/>
      <c r="BM88" s="6"/>
      <c r="BN88" s="6"/>
      <c r="BO88" s="6"/>
      <c r="BP88" s="6"/>
      <c r="BU88" s="12"/>
    </row>
    <row r="89" spans="27:110" x14ac:dyDescent="0.25">
      <c r="AA89" s="6"/>
      <c r="AB89" s="6"/>
      <c r="AC89" s="6"/>
      <c r="AD89" s="6"/>
      <c r="AE89" s="6"/>
      <c r="AF89" s="6"/>
      <c r="AG89" s="6"/>
      <c r="BQ89" s="12"/>
    </row>
    <row r="90" spans="27:110" x14ac:dyDescent="0.25">
      <c r="AA90" s="6"/>
      <c r="AB90" s="6"/>
      <c r="AC90" s="6"/>
      <c r="AD90" s="6"/>
      <c r="AE90" s="6"/>
      <c r="AF90" s="6"/>
      <c r="AG90" s="6"/>
      <c r="BQ90" s="12"/>
    </row>
    <row r="91" spans="27:110" x14ac:dyDescent="0.25">
      <c r="AA91" s="6"/>
      <c r="AB91" s="6"/>
      <c r="AC91" s="6"/>
      <c r="AD91" s="6"/>
      <c r="AE91" s="6"/>
      <c r="AF91" s="6"/>
      <c r="AG91" s="6"/>
      <c r="BQ91" s="12"/>
    </row>
    <row r="92" spans="27:110" x14ac:dyDescent="0.25">
      <c r="AA92" s="6"/>
      <c r="AB92" s="16"/>
      <c r="AC92" s="16"/>
      <c r="AD92" s="6"/>
      <c r="AE92" s="6"/>
      <c r="AF92" s="6"/>
      <c r="AG92" s="6"/>
      <c r="AH92" s="1"/>
      <c r="AI92" s="1"/>
      <c r="AJ92" s="1"/>
      <c r="AK92" s="1"/>
      <c r="AL92" s="1"/>
      <c r="AM92" s="1"/>
      <c r="AN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J92" s="1"/>
      <c r="BK92" s="1"/>
      <c r="BL92" s="1"/>
      <c r="BM92" s="1"/>
      <c r="BN92" s="1"/>
      <c r="BO92" s="1"/>
      <c r="BP92" s="1"/>
      <c r="BQ92" s="12"/>
    </row>
    <row r="93" spans="27:110" x14ac:dyDescent="0.25">
      <c r="AA93" s="6"/>
      <c r="AB93" s="16"/>
      <c r="AC93" s="16"/>
      <c r="AD93" s="6"/>
      <c r="AE93" s="6"/>
      <c r="AF93" s="6"/>
      <c r="AG93" s="6"/>
      <c r="AH93" s="1"/>
      <c r="AI93" s="1"/>
      <c r="AJ93" s="1"/>
      <c r="AK93" s="1"/>
      <c r="AL93" s="1"/>
      <c r="AM93" s="1"/>
      <c r="AN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J93" s="1"/>
      <c r="BK93" s="1"/>
      <c r="BL93" s="1"/>
      <c r="BM93" s="1"/>
      <c r="BN93" s="1"/>
      <c r="BO93" s="1"/>
      <c r="BP93" s="1"/>
      <c r="BQ93" s="12"/>
    </row>
    <row r="94" spans="27:110" x14ac:dyDescent="0.25">
      <c r="AA94" s="6"/>
      <c r="AB94" s="16"/>
      <c r="AC94" s="16"/>
      <c r="AD94" s="6"/>
      <c r="AE94" s="6"/>
      <c r="AF94" s="6"/>
      <c r="AG94" s="6"/>
      <c r="AH94" s="1"/>
      <c r="AI94" s="1"/>
      <c r="AJ94" s="1"/>
      <c r="AK94" s="1"/>
      <c r="AL94" s="1"/>
      <c r="AM94" s="1"/>
      <c r="AN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J94" s="1"/>
      <c r="BK94" s="1"/>
      <c r="BL94" s="1"/>
      <c r="BM94" s="1"/>
      <c r="BN94" s="1"/>
      <c r="BO94" s="1"/>
      <c r="BP94" s="1"/>
      <c r="BQ94" s="12"/>
    </row>
    <row r="95" spans="27:110" x14ac:dyDescent="0.25">
      <c r="AA95" s="6"/>
      <c r="AB95" s="16"/>
      <c r="AC95" s="16"/>
      <c r="AD95" s="6"/>
      <c r="AE95" s="6"/>
      <c r="AF95" s="6"/>
      <c r="AG95" s="6"/>
      <c r="AH95" s="1"/>
      <c r="AI95" s="1"/>
      <c r="AJ95" s="1"/>
      <c r="AK95" s="1"/>
      <c r="AL95" s="1"/>
      <c r="AM95" s="1"/>
      <c r="AN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J95" s="1"/>
      <c r="BK95" s="1"/>
      <c r="BL95" s="1"/>
      <c r="BM95" s="1"/>
      <c r="BN95" s="1"/>
      <c r="BO95" s="1"/>
      <c r="BP95" s="1"/>
      <c r="BQ95" s="12"/>
    </row>
    <row r="96" spans="27:110" x14ac:dyDescent="0.25">
      <c r="AA96" s="6"/>
      <c r="AB96" s="16"/>
      <c r="AC96" s="16"/>
      <c r="AD96" s="6"/>
      <c r="AE96" s="6"/>
      <c r="AF96" s="6"/>
      <c r="AG96" s="6"/>
      <c r="AH96" s="1"/>
      <c r="AI96" s="1"/>
      <c r="AJ96" s="1"/>
      <c r="AK96" s="1"/>
      <c r="AL96" s="1"/>
      <c r="AM96" s="1"/>
      <c r="AN96" s="1"/>
      <c r="AQ96" s="1"/>
      <c r="AR96" s="1"/>
      <c r="AS96" s="1"/>
      <c r="AT96" s="1"/>
      <c r="AU96" s="1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J96" s="12"/>
      <c r="BK96" s="12"/>
      <c r="BL96" s="12"/>
      <c r="BM96" s="12"/>
    </row>
    <row r="97" spans="27:65" x14ac:dyDescent="0.25">
      <c r="AA97" s="6"/>
      <c r="AB97" s="16"/>
      <c r="AC97" s="16"/>
      <c r="AD97" s="6"/>
      <c r="AE97" s="6"/>
      <c r="AF97" s="6"/>
      <c r="AG97" s="6"/>
      <c r="AH97" s="1"/>
      <c r="AI97" s="1"/>
      <c r="AJ97" s="1"/>
      <c r="AK97" s="1"/>
      <c r="AL97" s="1"/>
      <c r="AM97" s="1"/>
      <c r="AN97" s="1"/>
      <c r="AQ97" s="1"/>
      <c r="AR97" s="1"/>
      <c r="AS97" s="1"/>
      <c r="AT97" s="1"/>
      <c r="AU97" s="1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J97" s="12"/>
      <c r="BK97" s="12"/>
      <c r="BL97" s="12"/>
      <c r="BM97" s="12"/>
    </row>
    <row r="98" spans="27:65" x14ac:dyDescent="0.25">
      <c r="AA98" s="6"/>
      <c r="AB98" s="16"/>
      <c r="AC98" s="16"/>
      <c r="AD98" s="6"/>
      <c r="AE98" s="6"/>
      <c r="AF98" s="6"/>
      <c r="AG98" s="6"/>
      <c r="AH98" s="1"/>
      <c r="AI98" s="1"/>
      <c r="AJ98" s="1"/>
      <c r="AK98" s="1"/>
      <c r="AL98" s="1"/>
      <c r="AM98" s="1"/>
      <c r="AN98" s="1"/>
      <c r="AQ98" s="1"/>
      <c r="AR98" s="1"/>
      <c r="AS98" s="1"/>
      <c r="AT98" s="1"/>
      <c r="AU98" s="1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J98" s="12"/>
      <c r="BK98" s="12"/>
      <c r="BL98" s="12"/>
      <c r="BM98" s="12"/>
    </row>
    <row r="99" spans="27:65" x14ac:dyDescent="0.25">
      <c r="AA99" s="6"/>
      <c r="AB99" s="16"/>
      <c r="AC99" s="16"/>
      <c r="AD99" s="6"/>
      <c r="AE99" s="6"/>
      <c r="AF99" s="6"/>
      <c r="AG99" s="6"/>
      <c r="AH99" s="1"/>
      <c r="AI99" s="1"/>
      <c r="AJ99" s="1"/>
      <c r="AK99" s="1"/>
      <c r="AL99" s="1"/>
      <c r="AM99" s="1"/>
      <c r="AN99" s="1"/>
      <c r="AQ99" s="1"/>
      <c r="AR99" s="1"/>
      <c r="AS99" s="1"/>
      <c r="AT99" s="1"/>
      <c r="AU99" s="1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J99" s="12"/>
      <c r="BK99" s="12"/>
      <c r="BL99" s="12"/>
      <c r="BM99" s="12"/>
    </row>
    <row r="100" spans="27:65" x14ac:dyDescent="0.25">
      <c r="AA100" s="6"/>
      <c r="AB100" s="16"/>
      <c r="AC100" s="16"/>
      <c r="AD100" s="6"/>
      <c r="AE100" s="6"/>
      <c r="AF100" s="6"/>
      <c r="AG100" s="6"/>
      <c r="AH100" s="1"/>
      <c r="AI100" s="1"/>
      <c r="AJ100" s="1"/>
      <c r="AK100" s="1"/>
      <c r="AL100" s="1"/>
      <c r="AM100" s="1"/>
      <c r="AN100" s="1"/>
      <c r="AQ100" s="1"/>
      <c r="AR100" s="1"/>
      <c r="AS100" s="1"/>
      <c r="AT100" s="1"/>
      <c r="AU100" s="1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J100" s="12"/>
      <c r="BK100" s="12"/>
      <c r="BL100" s="12"/>
      <c r="BM100" s="12"/>
    </row>
    <row r="101" spans="27:65" x14ac:dyDescent="0.25">
      <c r="AA101" s="6"/>
      <c r="AB101" s="16"/>
      <c r="AC101" s="16"/>
      <c r="AD101" s="6"/>
      <c r="AE101" s="6"/>
      <c r="AF101" s="6"/>
      <c r="AG101" s="6"/>
      <c r="AH101" s="1"/>
      <c r="AI101" s="1"/>
      <c r="AJ101" s="1"/>
      <c r="AK101" s="1"/>
      <c r="AL101" s="1"/>
      <c r="AM101" s="1"/>
      <c r="AN101" s="1"/>
      <c r="AQ101" s="1"/>
      <c r="AR101" s="1"/>
      <c r="AS101" s="1"/>
      <c r="AT101" s="1"/>
      <c r="AU101" s="1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J101" s="12"/>
      <c r="BK101" s="12"/>
      <c r="BL101" s="12"/>
      <c r="BM101" s="12"/>
    </row>
    <row r="102" spans="27:65" x14ac:dyDescent="0.25">
      <c r="AA102" s="6"/>
      <c r="AB102" s="16"/>
      <c r="AC102" s="16"/>
      <c r="AD102" s="6"/>
      <c r="AE102" s="6"/>
      <c r="AF102" s="6"/>
      <c r="AG102" s="6"/>
      <c r="AH102" s="1"/>
      <c r="AI102" s="1"/>
      <c r="AJ102" s="1"/>
      <c r="AK102" s="1"/>
      <c r="AL102" s="1"/>
      <c r="AM102" s="1"/>
      <c r="AN102" s="1"/>
      <c r="AQ102" s="1"/>
      <c r="AR102" s="1"/>
      <c r="AS102" s="1"/>
      <c r="AT102" s="1"/>
      <c r="AU102" s="1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J102" s="12"/>
      <c r="BK102" s="12"/>
      <c r="BL102" s="12"/>
      <c r="BM102" s="12"/>
    </row>
    <row r="103" spans="27:65" x14ac:dyDescent="0.25">
      <c r="AA103" s="6"/>
      <c r="AB103" s="16"/>
      <c r="AC103" s="16"/>
      <c r="AD103" s="6"/>
      <c r="AE103" s="6"/>
      <c r="AF103" s="6"/>
      <c r="AG103" s="6"/>
      <c r="AH103" s="1"/>
      <c r="AI103" s="1"/>
      <c r="AJ103" s="1"/>
      <c r="AK103" s="1"/>
      <c r="AL103" s="1"/>
      <c r="AM103" s="1"/>
      <c r="AN103" s="1"/>
      <c r="AQ103" s="1"/>
      <c r="AR103" s="1"/>
      <c r="AS103" s="1"/>
      <c r="AT103" s="1"/>
      <c r="AU103" s="1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J103" s="12"/>
      <c r="BK103" s="12"/>
      <c r="BL103" s="12"/>
      <c r="BM103" s="12"/>
    </row>
    <row r="104" spans="27:65" x14ac:dyDescent="0.25">
      <c r="AA104" s="6"/>
      <c r="AB104" s="6"/>
      <c r="AC104" s="6"/>
      <c r="AD104" s="6"/>
      <c r="AE104" s="6"/>
      <c r="AF104" s="6"/>
      <c r="AG104" s="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J104" s="12"/>
      <c r="BK104" s="12"/>
      <c r="BL104" s="12"/>
      <c r="BM104" s="12"/>
    </row>
    <row r="105" spans="27:65" x14ac:dyDescent="0.25">
      <c r="AA105" s="6"/>
      <c r="AB105" s="6"/>
      <c r="AC105" s="6"/>
      <c r="AD105" s="6"/>
      <c r="AE105" s="6"/>
      <c r="AF105" s="6"/>
      <c r="AG105" s="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J105" s="12"/>
      <c r="BK105" s="12"/>
      <c r="BL105" s="12"/>
      <c r="BM105" s="12"/>
    </row>
    <row r="106" spans="27:65" x14ac:dyDescent="0.25">
      <c r="AA106" s="6"/>
      <c r="AB106" s="6"/>
      <c r="AC106" s="6"/>
      <c r="AD106" s="6"/>
      <c r="AE106" s="6"/>
      <c r="AF106" s="6"/>
      <c r="AG106" s="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J106" s="12"/>
      <c r="BK106" s="12"/>
      <c r="BL106" s="12"/>
      <c r="BM106" s="12"/>
    </row>
    <row r="107" spans="27:65" x14ac:dyDescent="0.25">
      <c r="AA107" s="6"/>
      <c r="AB107" s="6"/>
      <c r="AC107" s="6"/>
      <c r="AD107" s="6"/>
      <c r="AE107" s="6"/>
      <c r="AF107" s="6"/>
      <c r="AG107" s="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J107" s="12"/>
      <c r="BK107" s="12"/>
      <c r="BL107" s="12"/>
      <c r="BM107" s="12"/>
    </row>
    <row r="108" spans="27:65" x14ac:dyDescent="0.25">
      <c r="AA108" s="6"/>
      <c r="AB108" s="6"/>
      <c r="AC108" s="6"/>
      <c r="AD108" s="6"/>
      <c r="AE108" s="6"/>
      <c r="AF108" s="6"/>
      <c r="AG108" s="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J108" s="12"/>
      <c r="BK108" s="12"/>
      <c r="BL108" s="12"/>
      <c r="BM108" s="12"/>
    </row>
    <row r="109" spans="27:65" x14ac:dyDescent="0.25">
      <c r="AA109" s="6"/>
      <c r="AB109" s="6"/>
      <c r="AC109" s="6"/>
      <c r="AD109" s="6"/>
      <c r="AE109" s="6"/>
      <c r="AF109" s="6"/>
      <c r="AG109" s="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J109" s="12"/>
      <c r="BK109" s="12"/>
      <c r="BL109" s="12"/>
      <c r="BM109" s="12"/>
    </row>
    <row r="110" spans="27:65" x14ac:dyDescent="0.25">
      <c r="AA110" s="6"/>
      <c r="AB110" s="6"/>
      <c r="AC110" s="6"/>
      <c r="AD110" s="6"/>
      <c r="AE110" s="6"/>
      <c r="AF110" s="6"/>
      <c r="AG110" s="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J110" s="12"/>
      <c r="BK110" s="12"/>
      <c r="BL110" s="12"/>
      <c r="BM110" s="12"/>
    </row>
    <row r="111" spans="27:65" x14ac:dyDescent="0.25">
      <c r="AA111" s="6"/>
      <c r="AB111" s="6"/>
      <c r="AC111" s="6"/>
      <c r="AD111" s="6"/>
      <c r="AE111" s="6"/>
      <c r="AF111" s="6"/>
      <c r="AG111" s="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J111" s="12"/>
      <c r="BK111" s="12"/>
      <c r="BL111" s="12"/>
      <c r="BM111" s="12"/>
    </row>
    <row r="112" spans="27:65" x14ac:dyDescent="0.25">
      <c r="AA112" s="6"/>
      <c r="AB112" s="6"/>
      <c r="AC112" s="6"/>
      <c r="AD112" s="6"/>
      <c r="AE112" s="6"/>
      <c r="AF112" s="6"/>
      <c r="AG112" s="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J112" s="12"/>
      <c r="BK112" s="12"/>
      <c r="BL112" s="12"/>
      <c r="BM112" s="12"/>
    </row>
    <row r="113" spans="27:65" x14ac:dyDescent="0.25">
      <c r="AA113" s="6"/>
      <c r="AB113" s="6"/>
      <c r="AC113" s="6"/>
      <c r="AD113" s="6"/>
      <c r="AE113" s="6"/>
      <c r="AF113" s="6"/>
      <c r="AG113" s="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J113" s="12"/>
      <c r="BK113" s="12"/>
      <c r="BL113" s="12"/>
      <c r="BM113" s="12"/>
    </row>
    <row r="114" spans="27:65" x14ac:dyDescent="0.25">
      <c r="AA114" s="6"/>
      <c r="AB114" s="6"/>
      <c r="AC114" s="6"/>
      <c r="AD114" s="6"/>
      <c r="AE114" s="6"/>
      <c r="AF114" s="6"/>
      <c r="AG114" s="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J114" s="12"/>
      <c r="BK114" s="12"/>
      <c r="BL114" s="12"/>
      <c r="BM114" s="12"/>
    </row>
    <row r="115" spans="27:65" x14ac:dyDescent="0.25">
      <c r="AA115" s="6"/>
      <c r="AB115" s="6"/>
      <c r="AC115" s="6"/>
      <c r="AD115" s="6"/>
      <c r="AE115" s="26"/>
      <c r="AF115" s="6"/>
      <c r="AG115" s="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J115" s="12"/>
      <c r="BK115" s="12"/>
      <c r="BL115" s="12"/>
      <c r="BM115" s="12"/>
    </row>
    <row r="116" spans="27:65" x14ac:dyDescent="0.25">
      <c r="AA116" s="6"/>
      <c r="AB116" s="6"/>
      <c r="AC116" s="6"/>
      <c r="AD116" s="6"/>
      <c r="AE116" s="6"/>
      <c r="AF116" s="6"/>
      <c r="AG116" s="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J116" s="12"/>
      <c r="BK116" s="12"/>
      <c r="BL116" s="12"/>
      <c r="BM116" s="12"/>
    </row>
    <row r="117" spans="27:65" x14ac:dyDescent="0.25">
      <c r="AA117" s="6"/>
      <c r="AB117" s="6"/>
      <c r="AC117" s="6"/>
      <c r="AD117" s="6"/>
      <c r="AE117" s="6"/>
      <c r="AF117" s="6"/>
      <c r="AG117" s="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J117" s="12"/>
      <c r="BK117" s="12"/>
      <c r="BL117" s="12"/>
      <c r="BM117" s="12"/>
    </row>
    <row r="118" spans="27:65" x14ac:dyDescent="0.25">
      <c r="AA118" s="6"/>
      <c r="AB118" s="6"/>
      <c r="AC118" s="6"/>
      <c r="AD118" s="6"/>
      <c r="AE118" s="6"/>
      <c r="AF118" s="6"/>
      <c r="AG118" s="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J118" s="12"/>
      <c r="BK118" s="12"/>
      <c r="BL118" s="12"/>
      <c r="BM118" s="12"/>
    </row>
    <row r="119" spans="27:65" x14ac:dyDescent="0.25">
      <c r="AA119" s="6"/>
      <c r="AB119" s="6"/>
      <c r="AC119" s="6"/>
      <c r="AD119" s="6"/>
      <c r="AE119" s="6"/>
      <c r="AF119" s="6"/>
      <c r="AG119" s="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J119" s="12"/>
      <c r="BK119" s="12"/>
      <c r="BL119" s="12"/>
      <c r="BM119" s="12"/>
    </row>
    <row r="120" spans="27:65" x14ac:dyDescent="0.25">
      <c r="AA120" s="6"/>
      <c r="AB120" s="6"/>
      <c r="AC120" s="6"/>
      <c r="AD120" s="6"/>
      <c r="AE120" s="6"/>
      <c r="AF120" s="6"/>
      <c r="AG120" s="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J120" s="12"/>
      <c r="BK120" s="12"/>
      <c r="BL120" s="12"/>
      <c r="BM120" s="12"/>
    </row>
    <row r="121" spans="27:65" x14ac:dyDescent="0.25">
      <c r="AA121" s="6"/>
      <c r="AB121" s="6"/>
      <c r="AC121" s="6"/>
      <c r="AD121" s="6"/>
      <c r="AE121" s="6"/>
      <c r="AF121" s="6"/>
      <c r="AG121" s="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J121" s="12"/>
      <c r="BK121" s="12"/>
      <c r="BL121" s="12"/>
      <c r="BM121" s="12"/>
    </row>
    <row r="122" spans="27:65" x14ac:dyDescent="0.25">
      <c r="AA122" s="6"/>
      <c r="AB122" s="6"/>
      <c r="AC122" s="6"/>
      <c r="AD122" s="6"/>
      <c r="AE122" s="6"/>
      <c r="AF122" s="6"/>
      <c r="AG122" s="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J122" s="12"/>
      <c r="BK122" s="12"/>
      <c r="BL122" s="12"/>
      <c r="BM122" s="12"/>
    </row>
    <row r="123" spans="27:65" x14ac:dyDescent="0.25">
      <c r="AA123" s="6"/>
      <c r="AB123" s="16"/>
      <c r="AC123" s="16"/>
      <c r="AD123" s="6"/>
      <c r="AE123" s="6"/>
      <c r="AF123" s="6"/>
      <c r="AG123" s="6"/>
      <c r="AH123" s="1"/>
      <c r="AI123" s="1"/>
      <c r="AJ123" s="1"/>
      <c r="AK123" s="1"/>
      <c r="AL123" s="1"/>
      <c r="AM123" s="1"/>
      <c r="AN123" s="1"/>
      <c r="AQ123" s="1"/>
      <c r="AR123" s="1"/>
      <c r="AS123" s="1"/>
      <c r="AT123" s="1"/>
      <c r="AU123" s="1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J123" s="12"/>
      <c r="BK123" s="12"/>
      <c r="BL123" s="12"/>
      <c r="BM123" s="12"/>
    </row>
    <row r="124" spans="27:65" x14ac:dyDescent="0.25">
      <c r="AA124" s="6"/>
      <c r="AB124" s="16"/>
      <c r="AC124" s="16"/>
      <c r="AD124" s="6"/>
      <c r="AE124" s="6"/>
      <c r="AF124" s="6"/>
      <c r="AG124" s="6"/>
      <c r="AH124" s="1"/>
      <c r="AI124" s="1"/>
      <c r="AJ124" s="1"/>
      <c r="AK124" s="1"/>
      <c r="AL124" s="1"/>
      <c r="AM124" s="1"/>
      <c r="AN124" s="1"/>
      <c r="AQ124" s="1"/>
      <c r="AR124" s="1"/>
      <c r="AS124" s="1"/>
      <c r="AT124" s="1"/>
      <c r="AU124" s="1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J124" s="12"/>
      <c r="BK124" s="12"/>
      <c r="BL124" s="12"/>
      <c r="BM124" s="12"/>
    </row>
    <row r="125" spans="27:65" x14ac:dyDescent="0.25">
      <c r="AA125" s="6"/>
      <c r="AB125" s="16"/>
      <c r="AC125" s="16"/>
      <c r="AD125" s="6"/>
      <c r="AE125" s="6"/>
      <c r="AF125" s="6"/>
      <c r="AG125" s="6"/>
      <c r="AH125" s="1"/>
      <c r="AI125" s="1"/>
      <c r="AJ125" s="1"/>
      <c r="AK125" s="1"/>
      <c r="AL125" s="1"/>
      <c r="AM125" s="1"/>
      <c r="AN125" s="1"/>
      <c r="AQ125" s="1"/>
      <c r="AR125" s="1"/>
      <c r="AS125" s="1"/>
      <c r="AT125" s="1"/>
      <c r="AU125" s="1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J125" s="12"/>
      <c r="BK125" s="12"/>
      <c r="BL125" s="12"/>
      <c r="BM125" s="12"/>
    </row>
    <row r="126" spans="27:65" x14ac:dyDescent="0.25">
      <c r="AA126" s="6"/>
      <c r="AB126" s="16"/>
      <c r="AC126" s="16"/>
      <c r="AD126" s="6"/>
      <c r="AE126" s="6"/>
      <c r="AF126" s="6"/>
      <c r="AG126" s="6"/>
      <c r="AH126" s="1"/>
      <c r="AI126" s="1"/>
      <c r="AJ126" s="1"/>
      <c r="AK126" s="1"/>
      <c r="AL126" s="1"/>
      <c r="AM126" s="1"/>
      <c r="AN126" s="1"/>
      <c r="AQ126" s="1"/>
      <c r="AR126" s="1"/>
      <c r="AS126" s="1"/>
      <c r="AT126" s="1"/>
      <c r="AU126" s="1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J126" s="12"/>
      <c r="BK126" s="12"/>
      <c r="BL126" s="12"/>
      <c r="BM126" s="12"/>
    </row>
    <row r="127" spans="27:65" x14ac:dyDescent="0.25">
      <c r="AA127" s="6"/>
      <c r="AB127" s="16"/>
      <c r="AC127" s="16"/>
      <c r="AD127" s="6"/>
      <c r="AE127" s="6"/>
      <c r="AF127" s="6"/>
      <c r="AG127" s="6"/>
      <c r="AH127" s="1"/>
      <c r="AI127" s="1"/>
      <c r="AJ127" s="1"/>
      <c r="AK127" s="1"/>
      <c r="AL127" s="1"/>
      <c r="AM127" s="1"/>
      <c r="AN127" s="1"/>
      <c r="AQ127" s="1"/>
      <c r="AR127" s="1"/>
      <c r="AS127" s="1"/>
      <c r="AT127" s="1"/>
      <c r="AU127" s="1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J127" s="12"/>
      <c r="BK127" s="12"/>
      <c r="BL127" s="12"/>
      <c r="BM127" s="12"/>
    </row>
    <row r="128" spans="27:65" x14ac:dyDescent="0.25">
      <c r="AA128" s="6"/>
      <c r="AB128" s="16"/>
      <c r="AC128" s="16"/>
      <c r="AD128" s="6"/>
      <c r="AE128" s="6"/>
      <c r="AF128" s="6"/>
      <c r="AG128" s="6"/>
      <c r="AH128" s="1"/>
      <c r="AI128" s="1"/>
      <c r="AJ128" s="1"/>
      <c r="AK128" s="1"/>
      <c r="AL128" s="1"/>
      <c r="AM128" s="1"/>
      <c r="AN128" s="1"/>
      <c r="AQ128" s="1"/>
      <c r="AR128" s="1"/>
      <c r="AS128" s="1"/>
      <c r="AT128" s="1"/>
      <c r="AU128" s="1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J128" s="12"/>
      <c r="BK128" s="12"/>
      <c r="BL128" s="12"/>
      <c r="BM128" s="12"/>
    </row>
    <row r="129" spans="27:65" x14ac:dyDescent="0.25">
      <c r="AA129" s="6"/>
      <c r="AB129" s="16"/>
      <c r="AC129" s="16"/>
      <c r="AD129" s="6"/>
      <c r="AE129" s="6"/>
      <c r="AF129" s="6"/>
      <c r="AG129" s="6"/>
      <c r="AH129" s="1"/>
      <c r="AI129" s="1"/>
      <c r="AJ129" s="1"/>
      <c r="AK129" s="1"/>
      <c r="AL129" s="1"/>
      <c r="AM129" s="1"/>
      <c r="AN129" s="1"/>
      <c r="AQ129" s="1"/>
      <c r="AR129" s="1"/>
      <c r="AS129" s="1"/>
      <c r="AT129" s="1"/>
      <c r="AU129" s="1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J129" s="12"/>
      <c r="BK129" s="12"/>
      <c r="BL129" s="12"/>
      <c r="BM129" s="12"/>
    </row>
    <row r="130" spans="27:65" x14ac:dyDescent="0.25">
      <c r="AA130" s="6"/>
      <c r="AB130" s="16"/>
      <c r="AC130" s="16"/>
      <c r="AD130" s="6"/>
      <c r="AE130" s="6"/>
      <c r="AF130" s="6"/>
      <c r="AG130" s="6"/>
      <c r="AH130" s="1"/>
      <c r="AI130" s="1"/>
      <c r="AJ130" s="1"/>
      <c r="AK130" s="1"/>
      <c r="AL130" s="1"/>
      <c r="AM130" s="1"/>
      <c r="AN130" s="1"/>
      <c r="AQ130" s="1"/>
      <c r="AR130" s="1"/>
      <c r="AS130" s="1"/>
      <c r="AT130" s="1"/>
      <c r="AU130" s="1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J130" s="12"/>
      <c r="BK130" s="12"/>
      <c r="BL130" s="12"/>
      <c r="BM130" s="12"/>
    </row>
    <row r="131" spans="27:65" x14ac:dyDescent="0.25">
      <c r="AA131" s="6"/>
      <c r="AB131" s="16"/>
      <c r="AC131" s="16"/>
      <c r="AD131" s="6"/>
      <c r="AE131" s="6"/>
      <c r="AF131" s="6"/>
      <c r="AG131" s="6"/>
      <c r="AH131" s="1"/>
      <c r="AI131" s="1"/>
      <c r="AJ131" s="1"/>
      <c r="AK131" s="1"/>
      <c r="AL131" s="1"/>
      <c r="AM131" s="1"/>
      <c r="AN131" s="1"/>
      <c r="AQ131" s="1"/>
      <c r="AR131" s="1"/>
      <c r="AS131" s="1"/>
      <c r="AT131" s="1"/>
      <c r="AU131" s="1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J131" s="12"/>
      <c r="BK131" s="12"/>
      <c r="BL131" s="12"/>
      <c r="BM131" s="12"/>
    </row>
    <row r="132" spans="27:65" x14ac:dyDescent="0.25">
      <c r="AA132" s="6"/>
      <c r="AB132" s="16"/>
      <c r="AC132" s="16"/>
      <c r="AD132" s="6"/>
      <c r="AE132" s="6"/>
      <c r="AF132" s="6"/>
      <c r="AG132" s="6"/>
      <c r="AH132" s="1"/>
      <c r="AI132" s="1"/>
      <c r="AJ132" s="1"/>
      <c r="AK132" s="1"/>
      <c r="AL132" s="1"/>
      <c r="AM132" s="1"/>
      <c r="AN132" s="1"/>
      <c r="AQ132" s="1"/>
      <c r="AR132" s="1"/>
      <c r="AS132" s="1"/>
      <c r="AT132" s="1"/>
      <c r="AU132" s="1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J132" s="12"/>
      <c r="BK132" s="12"/>
      <c r="BL132" s="12"/>
      <c r="BM132" s="12"/>
    </row>
    <row r="133" spans="27:65" x14ac:dyDescent="0.25">
      <c r="AA133" s="6"/>
      <c r="AB133" s="16"/>
      <c r="AC133" s="16"/>
      <c r="AD133" s="6"/>
      <c r="AE133" s="6"/>
      <c r="AF133" s="6"/>
      <c r="AG133" s="6"/>
      <c r="AH133" s="1"/>
      <c r="AI133" s="1"/>
      <c r="AJ133" s="1"/>
      <c r="AK133" s="1"/>
      <c r="AL133" s="1"/>
      <c r="AM133" s="1"/>
      <c r="AN133" s="1"/>
      <c r="AQ133" s="1"/>
      <c r="AR133" s="1"/>
      <c r="AS133" s="1"/>
      <c r="AT133" s="1"/>
      <c r="AU133" s="1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J133" s="12"/>
      <c r="BK133" s="12"/>
      <c r="BL133" s="12"/>
      <c r="BM133" s="12"/>
    </row>
    <row r="134" spans="27:65" x14ac:dyDescent="0.25">
      <c r="AA134" s="6"/>
      <c r="AB134" s="16"/>
      <c r="AC134" s="16"/>
      <c r="AD134" s="6"/>
      <c r="AE134" s="6"/>
      <c r="AF134" s="6"/>
      <c r="AG134" s="6"/>
      <c r="AH134" s="1"/>
      <c r="AI134" s="1"/>
      <c r="AJ134" s="1"/>
      <c r="AK134" s="1"/>
      <c r="AL134" s="1"/>
      <c r="AM134" s="1"/>
      <c r="AN134" s="1"/>
      <c r="AQ134" s="1"/>
      <c r="AR134" s="1"/>
      <c r="AS134" s="1"/>
      <c r="AT134" s="1"/>
      <c r="AU134" s="1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J134" s="12"/>
      <c r="BK134" s="12"/>
      <c r="BL134" s="12"/>
      <c r="BM134" s="12"/>
    </row>
    <row r="135" spans="27:65" x14ac:dyDescent="0.25">
      <c r="AA135" s="6"/>
      <c r="AB135" s="6"/>
      <c r="AC135" s="6"/>
      <c r="AD135" s="6"/>
      <c r="AE135" s="6"/>
      <c r="AF135" s="6"/>
      <c r="AG135" s="6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J135" s="1"/>
      <c r="BK135" s="1"/>
      <c r="BL135" s="1"/>
      <c r="BM135" s="1"/>
    </row>
    <row r="136" spans="27:65" x14ac:dyDescent="0.25">
      <c r="AA136" s="6"/>
      <c r="AB136" s="6"/>
      <c r="AC136" s="6"/>
      <c r="AD136" s="6"/>
      <c r="AE136" s="6"/>
      <c r="AF136" s="6"/>
      <c r="AG136" s="6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J136" s="1"/>
      <c r="BK136" s="1"/>
      <c r="BL136" s="1"/>
      <c r="BM136" s="1"/>
    </row>
    <row r="137" spans="27:65" x14ac:dyDescent="0.25">
      <c r="AA137" s="6"/>
      <c r="AB137" s="6"/>
      <c r="AC137" s="6"/>
      <c r="AD137" s="6"/>
      <c r="AE137" s="6"/>
      <c r="AF137" s="6"/>
      <c r="AG137" s="6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J137" s="1"/>
      <c r="BK137" s="1"/>
      <c r="BL137" s="1"/>
      <c r="BM137" s="1"/>
    </row>
    <row r="138" spans="27:65" x14ac:dyDescent="0.25">
      <c r="AA138" s="6"/>
      <c r="AB138" s="6"/>
      <c r="AC138" s="6"/>
      <c r="AD138" s="6"/>
      <c r="AE138" s="6"/>
      <c r="AF138" s="6"/>
      <c r="AG138" s="6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J138" s="1"/>
      <c r="BK138" s="1"/>
      <c r="BL138" s="1"/>
      <c r="BM138" s="1"/>
    </row>
    <row r="139" spans="27:65" x14ac:dyDescent="0.25">
      <c r="AA139" s="6"/>
      <c r="AB139" s="6"/>
      <c r="AC139" s="6"/>
      <c r="AD139" s="6"/>
      <c r="AE139" s="6"/>
      <c r="AF139" s="6"/>
      <c r="AG139" s="6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J139" s="1"/>
      <c r="BK139" s="1"/>
      <c r="BL139" s="1"/>
      <c r="BM139" s="1"/>
    </row>
    <row r="140" spans="27:65" x14ac:dyDescent="0.25">
      <c r="AA140" s="6"/>
      <c r="AB140" s="6"/>
      <c r="AC140" s="6"/>
      <c r="AD140" s="6"/>
      <c r="AE140" s="6"/>
      <c r="AF140" s="6"/>
      <c r="AG140" s="6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J140" s="1"/>
      <c r="BK140" s="1"/>
      <c r="BL140" s="1"/>
      <c r="BM140" s="1"/>
    </row>
    <row r="141" spans="27:65" x14ac:dyDescent="0.25">
      <c r="AA141" s="6"/>
      <c r="AB141" s="6"/>
      <c r="AC141" s="6"/>
      <c r="AD141" s="6"/>
      <c r="AE141" s="6"/>
      <c r="AF141" s="6"/>
      <c r="AG141" s="6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J141" s="1"/>
      <c r="BK141" s="1"/>
      <c r="BL141" s="1"/>
      <c r="BM141" s="1"/>
    </row>
    <row r="142" spans="27:65" x14ac:dyDescent="0.25">
      <c r="AA142" s="6"/>
      <c r="AB142" s="6"/>
      <c r="AC142" s="6"/>
      <c r="AD142" s="6"/>
      <c r="AE142" s="6"/>
      <c r="AF142" s="6"/>
      <c r="AG142" s="6"/>
    </row>
    <row r="143" spans="27:65" x14ac:dyDescent="0.25">
      <c r="AA143" s="6"/>
      <c r="AB143" s="6"/>
      <c r="AC143" s="6"/>
      <c r="AD143" s="6"/>
      <c r="AE143" s="6"/>
      <c r="AF143" s="6"/>
      <c r="AG143" s="6"/>
    </row>
    <row r="144" spans="27:65" x14ac:dyDescent="0.25">
      <c r="AB144" s="6"/>
      <c r="AC144" s="6"/>
      <c r="AG144" s="6"/>
      <c r="AH144" s="6"/>
      <c r="AI144" s="6"/>
      <c r="AJ144" s="6"/>
      <c r="AK144" s="6"/>
      <c r="AL144" s="6"/>
      <c r="AM144" s="6"/>
      <c r="AN144" s="6"/>
      <c r="AO144" s="249"/>
      <c r="AP144" s="195"/>
      <c r="AQ144" s="6"/>
      <c r="AR144" s="6"/>
      <c r="AS144" s="6"/>
      <c r="AT144" s="6"/>
      <c r="AU144" s="6"/>
    </row>
    <row r="145" spans="28:47" x14ac:dyDescent="0.25">
      <c r="AB145" s="6"/>
      <c r="AC145" s="6"/>
      <c r="AG145" s="6"/>
      <c r="AH145" s="6"/>
      <c r="AI145" s="6"/>
      <c r="AJ145" s="6"/>
      <c r="AK145" s="6"/>
      <c r="AL145" s="6"/>
      <c r="AM145" s="6"/>
      <c r="AN145" s="6"/>
      <c r="AO145" s="249"/>
      <c r="AP145" s="195"/>
      <c r="AQ145" s="6"/>
      <c r="AR145" s="6"/>
      <c r="AS145" s="6"/>
      <c r="AT145" s="6"/>
      <c r="AU145" s="6"/>
    </row>
    <row r="146" spans="28:47" x14ac:dyDescent="0.25">
      <c r="AB146" s="6"/>
      <c r="AC146" s="6"/>
      <c r="AG146" s="6"/>
      <c r="AH146" s="6"/>
      <c r="AI146" s="6"/>
      <c r="AJ146" s="6"/>
      <c r="AK146" s="6"/>
      <c r="AL146" s="6"/>
      <c r="AM146" s="6"/>
      <c r="AN146" s="6"/>
      <c r="AO146" s="249"/>
      <c r="AP146" s="195"/>
      <c r="AQ146" s="6"/>
      <c r="AR146" s="6"/>
      <c r="AS146" s="6"/>
      <c r="AT146" s="6"/>
      <c r="AU146" s="6"/>
    </row>
    <row r="147" spans="28:47" x14ac:dyDescent="0.25">
      <c r="AB147" s="6"/>
      <c r="AC147" s="6"/>
      <c r="AG147" s="6"/>
      <c r="AH147" s="6"/>
      <c r="AI147" s="6"/>
      <c r="AJ147" s="6"/>
      <c r="AK147" s="6"/>
      <c r="AL147" s="6"/>
      <c r="AM147" s="6"/>
      <c r="AN147" s="6"/>
      <c r="AO147" s="249"/>
      <c r="AP147" s="195"/>
      <c r="AQ147" s="6"/>
      <c r="AR147" s="6"/>
      <c r="AS147" s="6"/>
      <c r="AT147" s="6"/>
      <c r="AU147" s="6"/>
    </row>
    <row r="148" spans="28:47" x14ac:dyDescent="0.25">
      <c r="AB148" s="6"/>
      <c r="AC148" s="6"/>
      <c r="AG148" s="6"/>
      <c r="AH148" s="6"/>
      <c r="AI148" s="6"/>
      <c r="AJ148" s="6"/>
      <c r="AK148" s="6"/>
      <c r="AL148" s="6"/>
      <c r="AM148" s="6"/>
      <c r="AN148" s="6"/>
      <c r="AO148" s="249"/>
      <c r="AP148" s="195"/>
      <c r="AQ148" s="6"/>
      <c r="AR148" s="6"/>
      <c r="AS148" s="6"/>
      <c r="AT148" s="6"/>
      <c r="AU148" s="6"/>
    </row>
    <row r="149" spans="28:47" x14ac:dyDescent="0.25">
      <c r="AB149" s="6"/>
      <c r="AC149" s="6"/>
      <c r="AG149" s="6"/>
      <c r="AH149" s="6"/>
      <c r="AI149" s="6"/>
      <c r="AJ149" s="6"/>
      <c r="AK149" s="6"/>
      <c r="AL149" s="6"/>
      <c r="AM149" s="6"/>
      <c r="AN149" s="6"/>
      <c r="AO149" s="249"/>
      <c r="AP149" s="195"/>
      <c r="AQ149" s="6"/>
      <c r="AR149" s="6"/>
      <c r="AS149" s="6"/>
      <c r="AT149" s="6"/>
      <c r="AU149" s="6"/>
    </row>
    <row r="150" spans="28:47" x14ac:dyDescent="0.25">
      <c r="AB150" s="6"/>
      <c r="AC150" s="6"/>
      <c r="AG150" s="6"/>
      <c r="AH150" s="6"/>
      <c r="AI150" s="6"/>
      <c r="AJ150" s="6"/>
      <c r="AK150" s="6"/>
      <c r="AL150" s="6"/>
      <c r="AM150" s="6"/>
      <c r="AN150" s="6"/>
      <c r="AO150" s="249"/>
      <c r="AP150" s="195"/>
      <c r="AQ150" s="6"/>
      <c r="AR150" s="6"/>
      <c r="AS150" s="6"/>
      <c r="AT150" s="6"/>
      <c r="AU150" s="6"/>
    </row>
    <row r="151" spans="28:47" x14ac:dyDescent="0.25">
      <c r="AB151" s="6"/>
      <c r="AC151" s="6"/>
      <c r="AG151" s="6"/>
      <c r="AH151" s="6"/>
      <c r="AI151" s="6"/>
      <c r="AJ151" s="6"/>
      <c r="AK151" s="6"/>
      <c r="AL151" s="6"/>
      <c r="AM151" s="6"/>
      <c r="AN151" s="6"/>
      <c r="AO151" s="249"/>
      <c r="AP151" s="195"/>
      <c r="AQ151" s="6"/>
      <c r="AR151" s="6"/>
      <c r="AS151" s="6"/>
      <c r="AT151" s="6"/>
      <c r="AU151" s="6"/>
    </row>
    <row r="152" spans="28:47" x14ac:dyDescent="0.25">
      <c r="AB152" s="6"/>
      <c r="AC152" s="6"/>
      <c r="AG152" s="6"/>
      <c r="AH152" s="6"/>
      <c r="AI152" s="6"/>
      <c r="AJ152" s="6"/>
      <c r="AK152" s="6"/>
      <c r="AL152" s="6"/>
      <c r="AM152" s="6"/>
      <c r="AN152" s="6"/>
      <c r="AO152" s="249"/>
      <c r="AP152" s="195"/>
      <c r="AQ152" s="6"/>
      <c r="AR152" s="6"/>
      <c r="AS152" s="6"/>
      <c r="AT152" s="6"/>
      <c r="AU152" s="6"/>
    </row>
    <row r="153" spans="28:47" x14ac:dyDescent="0.25">
      <c r="AB153" s="6"/>
      <c r="AC153" s="6"/>
      <c r="AG153" s="6"/>
      <c r="AH153" s="6"/>
      <c r="AI153" s="6"/>
      <c r="AJ153" s="6"/>
      <c r="AK153" s="6"/>
      <c r="AL153" s="6"/>
      <c r="AM153" s="6"/>
      <c r="AN153" s="6"/>
      <c r="AO153" s="249"/>
      <c r="AP153" s="195"/>
      <c r="AQ153" s="6"/>
      <c r="AR153" s="6"/>
      <c r="AS153" s="6"/>
      <c r="AT153" s="6"/>
      <c r="AU153" s="6"/>
    </row>
    <row r="154" spans="28:47" x14ac:dyDescent="0.25">
      <c r="AB154" s="6"/>
      <c r="AC154" s="6"/>
      <c r="AG154" s="6"/>
      <c r="AH154" s="6"/>
      <c r="AI154" s="6"/>
      <c r="AJ154" s="6"/>
      <c r="AK154" s="6"/>
      <c r="AL154" s="6"/>
      <c r="AM154" s="6"/>
      <c r="AN154" s="6"/>
      <c r="AO154" s="249"/>
      <c r="AP154" s="195"/>
      <c r="AQ154" s="6"/>
      <c r="AR154" s="6"/>
      <c r="AS154" s="6"/>
      <c r="AT154" s="6"/>
      <c r="AU154" s="6"/>
    </row>
    <row r="155" spans="28:47" x14ac:dyDescent="0.25">
      <c r="AB155" s="6"/>
      <c r="AC155" s="6"/>
      <c r="AG155" s="6"/>
      <c r="AH155" s="6"/>
      <c r="AI155" s="6"/>
      <c r="AJ155" s="6"/>
      <c r="AK155" s="6"/>
      <c r="AL155" s="6"/>
      <c r="AM155" s="6"/>
      <c r="AN155" s="6"/>
      <c r="AO155" s="249"/>
      <c r="AP155" s="195"/>
      <c r="AQ155" s="6"/>
      <c r="AR155" s="6"/>
      <c r="AS155" s="6"/>
      <c r="AT155" s="6"/>
      <c r="AU155" s="6"/>
    </row>
    <row r="156" spans="28:47" x14ac:dyDescent="0.25">
      <c r="AB156" s="6"/>
      <c r="AC156" s="6"/>
      <c r="AG156" s="6"/>
      <c r="AH156" s="6"/>
      <c r="AI156" s="6"/>
      <c r="AJ156" s="6"/>
      <c r="AK156" s="6"/>
      <c r="AL156" s="6"/>
      <c r="AM156" s="6"/>
      <c r="AN156" s="6"/>
      <c r="AO156" s="249"/>
      <c r="AP156" s="195"/>
      <c r="AQ156" s="6"/>
      <c r="AR156" s="6"/>
      <c r="AS156" s="6"/>
      <c r="AT156" s="6"/>
      <c r="AU156" s="6"/>
    </row>
    <row r="157" spans="28:47" x14ac:dyDescent="0.25">
      <c r="AB157" s="6"/>
      <c r="AC157" s="6"/>
      <c r="AG157" s="6"/>
      <c r="AH157" s="6"/>
      <c r="AI157" s="6"/>
      <c r="AJ157" s="6"/>
      <c r="AK157" s="6"/>
      <c r="AL157" s="6"/>
      <c r="AM157" s="6"/>
      <c r="AN157" s="6"/>
      <c r="AO157" s="249"/>
      <c r="AP157" s="195"/>
      <c r="AQ157" s="6"/>
      <c r="AR157" s="6"/>
      <c r="AS157" s="6"/>
      <c r="AT157" s="6"/>
      <c r="AU157" s="6"/>
    </row>
    <row r="158" spans="28:47" x14ac:dyDescent="0.25">
      <c r="AB158" s="6"/>
      <c r="AC158" s="6"/>
      <c r="AG158" s="6"/>
      <c r="AH158" s="6"/>
      <c r="AI158" s="6"/>
      <c r="AJ158" s="6"/>
      <c r="AK158" s="6"/>
      <c r="AL158" s="6"/>
      <c r="AM158" s="6"/>
      <c r="AN158" s="6"/>
      <c r="AO158" s="249"/>
      <c r="AP158" s="195"/>
      <c r="AQ158" s="6"/>
      <c r="AR158" s="6"/>
      <c r="AS158" s="6"/>
      <c r="AT158" s="6"/>
      <c r="AU158" s="6"/>
    </row>
    <row r="159" spans="28:47" x14ac:dyDescent="0.25">
      <c r="AB159" s="6"/>
      <c r="AC159" s="6"/>
      <c r="AG159" s="6"/>
      <c r="AH159" s="6"/>
      <c r="AI159" s="6"/>
      <c r="AJ159" s="6"/>
      <c r="AK159" s="6"/>
      <c r="AL159" s="6"/>
      <c r="AM159" s="6"/>
      <c r="AN159" s="6"/>
      <c r="AO159" s="249"/>
      <c r="AP159" s="195"/>
      <c r="AQ159" s="6"/>
      <c r="AR159" s="6"/>
      <c r="AS159" s="6"/>
      <c r="AT159" s="6"/>
      <c r="AU159" s="6"/>
    </row>
    <row r="160" spans="28:47" x14ac:dyDescent="0.25">
      <c r="AG160" s="6"/>
    </row>
    <row r="161" spans="28:47" x14ac:dyDescent="0.25">
      <c r="AB161" s="6"/>
      <c r="AC161" s="6"/>
      <c r="AG161" s="6"/>
      <c r="AH161" s="6"/>
      <c r="AI161" s="6"/>
      <c r="AJ161" s="6"/>
      <c r="AK161" s="6"/>
      <c r="AL161" s="6"/>
      <c r="AM161" s="6"/>
      <c r="AN161" s="6"/>
      <c r="AO161" s="249"/>
      <c r="AP161" s="195"/>
      <c r="AQ161" s="6"/>
      <c r="AR161" s="6"/>
      <c r="AS161" s="6"/>
      <c r="AT161" s="6"/>
      <c r="AU161" s="6"/>
    </row>
    <row r="162" spans="28:47" x14ac:dyDescent="0.25">
      <c r="AB162" s="6"/>
      <c r="AC162" s="6"/>
      <c r="AG162" s="6"/>
      <c r="AH162" s="6"/>
      <c r="AI162" s="6"/>
      <c r="AJ162" s="6"/>
      <c r="AK162" s="6"/>
      <c r="AL162" s="6"/>
      <c r="AM162" s="6"/>
      <c r="AN162" s="6"/>
      <c r="AO162" s="249"/>
      <c r="AP162" s="195"/>
      <c r="AQ162" s="6"/>
      <c r="AR162" s="6"/>
      <c r="AS162" s="6"/>
      <c r="AT162" s="6"/>
      <c r="AU162" s="6"/>
    </row>
    <row r="163" spans="28:47" x14ac:dyDescent="0.25">
      <c r="AB163" s="6"/>
      <c r="AC163" s="6"/>
      <c r="AG163" s="6"/>
      <c r="AH163" s="6"/>
      <c r="AI163" s="6"/>
      <c r="AJ163" s="6"/>
      <c r="AK163" s="6"/>
      <c r="AL163" s="6"/>
      <c r="AM163" s="6"/>
      <c r="AN163" s="6"/>
      <c r="AO163" s="249"/>
      <c r="AP163" s="195"/>
      <c r="AQ163" s="6"/>
      <c r="AR163" s="6"/>
      <c r="AS163" s="6"/>
      <c r="AT163" s="6"/>
      <c r="AU163" s="6"/>
    </row>
    <row r="164" spans="28:47" x14ac:dyDescent="0.25">
      <c r="AB164" s="6"/>
      <c r="AC164" s="6"/>
      <c r="AG164" s="6"/>
      <c r="AH164" s="6"/>
      <c r="AI164" s="6"/>
      <c r="AJ164" s="6"/>
      <c r="AK164" s="6"/>
      <c r="AL164" s="6"/>
      <c r="AM164" s="6"/>
      <c r="AN164" s="6"/>
      <c r="AO164" s="249"/>
      <c r="AP164" s="195"/>
      <c r="AQ164" s="6"/>
      <c r="AR164" s="6"/>
      <c r="AS164" s="6"/>
      <c r="AT164" s="6"/>
      <c r="AU164" s="6"/>
    </row>
    <row r="165" spans="28:47" x14ac:dyDescent="0.25">
      <c r="AB165" s="6"/>
      <c r="AC165" s="6"/>
      <c r="AG165" s="6"/>
      <c r="AH165" s="6"/>
      <c r="AI165" s="6"/>
      <c r="AJ165" s="6"/>
      <c r="AK165" s="6"/>
      <c r="AL165" s="6"/>
      <c r="AM165" s="6"/>
      <c r="AN165" s="6"/>
      <c r="AO165" s="249"/>
      <c r="AP165" s="195"/>
      <c r="AQ165" s="6"/>
      <c r="AR165" s="6"/>
      <c r="AS165" s="6"/>
      <c r="AT165" s="6"/>
      <c r="AU165" s="6"/>
    </row>
    <row r="166" spans="28:47" x14ac:dyDescent="0.25">
      <c r="AB166" s="6"/>
      <c r="AC166" s="6"/>
      <c r="AG166" s="6"/>
      <c r="AH166" s="6"/>
      <c r="AI166" s="6"/>
      <c r="AJ166" s="6"/>
      <c r="AK166" s="6"/>
      <c r="AL166" s="6"/>
      <c r="AM166" s="6"/>
      <c r="AN166" s="6"/>
      <c r="AO166" s="249"/>
      <c r="AP166" s="195"/>
      <c r="AQ166" s="6"/>
      <c r="AR166" s="6"/>
      <c r="AS166" s="6"/>
      <c r="AT166" s="6"/>
      <c r="AU166" s="6"/>
    </row>
    <row r="167" spans="28:47" x14ac:dyDescent="0.25">
      <c r="AB167" s="6"/>
      <c r="AC167" s="6"/>
      <c r="AG167" s="6"/>
      <c r="AH167" s="6"/>
      <c r="AI167" s="6"/>
      <c r="AJ167" s="6"/>
      <c r="AK167" s="6"/>
      <c r="AL167" s="6"/>
      <c r="AM167" s="6"/>
      <c r="AN167" s="6"/>
      <c r="AO167" s="249"/>
      <c r="AP167" s="195"/>
      <c r="AQ167" s="6"/>
      <c r="AR167" s="6"/>
      <c r="AS167" s="6"/>
      <c r="AT167" s="6"/>
      <c r="AU167" s="6"/>
    </row>
    <row r="168" spans="28:47" x14ac:dyDescent="0.25">
      <c r="AB168" s="6"/>
      <c r="AC168" s="6"/>
      <c r="AG168" s="6"/>
      <c r="AH168" s="6"/>
      <c r="AI168" s="6"/>
      <c r="AJ168" s="6"/>
      <c r="AK168" s="6"/>
      <c r="AL168" s="6"/>
      <c r="AM168" s="6"/>
      <c r="AN168" s="6"/>
      <c r="AO168" s="249"/>
      <c r="AP168" s="195"/>
      <c r="AQ168" s="6"/>
      <c r="AR168" s="6"/>
      <c r="AS168" s="6"/>
      <c r="AT168" s="6"/>
      <c r="AU168" s="6"/>
    </row>
    <row r="169" spans="28:47" x14ac:dyDescent="0.25">
      <c r="AB169" s="6"/>
      <c r="AC169" s="6"/>
      <c r="AG169" s="6"/>
      <c r="AH169" s="6"/>
      <c r="AI169" s="6"/>
      <c r="AJ169" s="6"/>
      <c r="AK169" s="6"/>
      <c r="AL169" s="6"/>
      <c r="AM169" s="6"/>
      <c r="AN169" s="6"/>
      <c r="AO169" s="249"/>
      <c r="AP169" s="195"/>
      <c r="AQ169" s="6"/>
      <c r="AR169" s="6"/>
      <c r="AS169" s="6"/>
      <c r="AT169" s="6"/>
      <c r="AU169" s="6"/>
    </row>
    <row r="170" spans="28:47" x14ac:dyDescent="0.25">
      <c r="AB170" s="6"/>
      <c r="AC170" s="6"/>
      <c r="AG170" s="6"/>
      <c r="AH170" s="6"/>
      <c r="AI170" s="6"/>
      <c r="AJ170" s="6"/>
      <c r="AK170" s="6"/>
      <c r="AL170" s="6"/>
      <c r="AM170" s="6"/>
      <c r="AN170" s="6"/>
      <c r="AO170" s="249"/>
      <c r="AP170" s="195"/>
      <c r="AQ170" s="6"/>
      <c r="AR170" s="6"/>
      <c r="AS170" s="6"/>
      <c r="AT170" s="6"/>
      <c r="AU170" s="6"/>
    </row>
    <row r="171" spans="28:47" x14ac:dyDescent="0.25">
      <c r="AB171" s="6"/>
      <c r="AC171" s="6"/>
      <c r="AG171" s="6"/>
      <c r="AH171" s="6"/>
      <c r="AI171" s="6"/>
      <c r="AJ171" s="6"/>
      <c r="AK171" s="6"/>
      <c r="AL171" s="6"/>
      <c r="AM171" s="6"/>
      <c r="AN171" s="6"/>
      <c r="AO171" s="249"/>
      <c r="AP171" s="195"/>
      <c r="AQ171" s="6"/>
      <c r="AR171" s="6"/>
      <c r="AS171" s="6"/>
      <c r="AT171" s="6"/>
      <c r="AU171" s="6"/>
    </row>
    <row r="172" spans="28:47" x14ac:dyDescent="0.25">
      <c r="AB172" s="6"/>
      <c r="AC172" s="6"/>
      <c r="AG172" s="6"/>
      <c r="AH172" s="6"/>
      <c r="AI172" s="6"/>
      <c r="AJ172" s="6"/>
      <c r="AK172" s="6"/>
      <c r="AL172" s="6"/>
      <c r="AM172" s="6"/>
      <c r="AN172" s="6"/>
      <c r="AO172" s="249"/>
      <c r="AP172" s="195"/>
      <c r="AQ172" s="6"/>
      <c r="AR172" s="6"/>
      <c r="AS172" s="6"/>
      <c r="AT172" s="6"/>
      <c r="AU172" s="6"/>
    </row>
    <row r="173" spans="28:47" x14ac:dyDescent="0.25">
      <c r="AB173" s="6"/>
      <c r="AC173" s="6"/>
      <c r="AG173" s="6"/>
      <c r="AH173" s="6"/>
      <c r="AI173" s="6"/>
      <c r="AJ173" s="6"/>
      <c r="AK173" s="6"/>
      <c r="AL173" s="6"/>
      <c r="AM173" s="6"/>
      <c r="AN173" s="6"/>
      <c r="AO173" s="249"/>
      <c r="AP173" s="195"/>
      <c r="AQ173" s="6"/>
      <c r="AR173" s="6"/>
      <c r="AS173" s="6"/>
      <c r="AT173" s="6"/>
      <c r="AU173" s="6"/>
    </row>
    <row r="174" spans="28:47" x14ac:dyDescent="0.25">
      <c r="AB174" s="6"/>
      <c r="AC174" s="6"/>
      <c r="AG174" s="6"/>
      <c r="AH174" s="6"/>
      <c r="AI174" s="6"/>
      <c r="AJ174" s="6"/>
      <c r="AK174" s="6"/>
      <c r="AL174" s="6"/>
      <c r="AM174" s="6"/>
      <c r="AN174" s="6"/>
      <c r="AO174" s="249"/>
      <c r="AP174" s="195"/>
      <c r="AQ174" s="6"/>
      <c r="AR174" s="6"/>
      <c r="AS174" s="6"/>
      <c r="AT174" s="6"/>
      <c r="AU174" s="6"/>
    </row>
    <row r="175" spans="28:47" x14ac:dyDescent="0.25">
      <c r="AB175" s="6"/>
      <c r="AC175" s="6"/>
      <c r="AG175" s="6"/>
      <c r="AH175" s="6"/>
      <c r="AI175" s="6"/>
      <c r="AJ175" s="6"/>
      <c r="AK175" s="6"/>
      <c r="AL175" s="6"/>
      <c r="AM175" s="6"/>
      <c r="AN175" s="6"/>
      <c r="AO175" s="249"/>
      <c r="AP175" s="195"/>
      <c r="AQ175" s="6"/>
      <c r="AR175" s="6"/>
      <c r="AS175" s="6"/>
      <c r="AT175" s="6"/>
      <c r="AU175" s="6"/>
    </row>
    <row r="176" spans="28:47" x14ac:dyDescent="0.25">
      <c r="AB176" s="6"/>
      <c r="AC176" s="6"/>
      <c r="AG176" s="6"/>
      <c r="AH176" s="6"/>
      <c r="AI176" s="6"/>
      <c r="AJ176" s="6"/>
      <c r="AK176" s="6"/>
      <c r="AL176" s="6"/>
      <c r="AM176" s="6"/>
      <c r="AN176" s="6"/>
      <c r="AO176" s="249"/>
      <c r="AP176" s="195"/>
      <c r="AQ176" s="6"/>
      <c r="AR176" s="6"/>
      <c r="AS176" s="6"/>
      <c r="AT176" s="6"/>
      <c r="AU176" s="6"/>
    </row>
    <row r="177" spans="28:47" x14ac:dyDescent="0.25">
      <c r="AB177" s="6"/>
      <c r="AC177" s="6"/>
      <c r="AG177" s="6"/>
      <c r="AH177" s="6"/>
      <c r="AI177" s="6"/>
      <c r="AJ177" s="6"/>
      <c r="AK177" s="6"/>
      <c r="AL177" s="6"/>
      <c r="AM177" s="6"/>
      <c r="AN177" s="6"/>
      <c r="AO177" s="249"/>
      <c r="AP177" s="195"/>
      <c r="AQ177" s="6"/>
      <c r="AR177" s="6"/>
      <c r="AS177" s="6"/>
      <c r="AT177" s="6"/>
      <c r="AU177" s="6"/>
    </row>
    <row r="178" spans="28:47" x14ac:dyDescent="0.25">
      <c r="AB178" s="6"/>
      <c r="AC178" s="6"/>
      <c r="AG178" s="6"/>
      <c r="AH178" s="6"/>
      <c r="AI178" s="6"/>
      <c r="AJ178" s="6"/>
      <c r="AK178" s="6"/>
      <c r="AL178" s="6"/>
      <c r="AM178" s="6"/>
      <c r="AN178" s="6"/>
      <c r="AO178" s="249"/>
      <c r="AP178" s="195"/>
      <c r="AQ178" s="6"/>
      <c r="AR178" s="6"/>
      <c r="AS178" s="6"/>
      <c r="AT178" s="6"/>
      <c r="AU178" s="6"/>
    </row>
    <row r="179" spans="28:47" x14ac:dyDescent="0.25">
      <c r="AB179" s="6"/>
      <c r="AC179" s="6"/>
      <c r="AG179" s="6"/>
      <c r="AH179" s="6"/>
      <c r="AI179" s="6"/>
      <c r="AJ179" s="6"/>
      <c r="AK179" s="6"/>
      <c r="AL179" s="6"/>
      <c r="AM179" s="6"/>
      <c r="AN179" s="6"/>
      <c r="AO179" s="249"/>
      <c r="AP179" s="195"/>
      <c r="AQ179" s="6"/>
      <c r="AR179" s="6"/>
      <c r="AS179" s="6"/>
      <c r="AT179" s="6"/>
      <c r="AU179" s="6"/>
    </row>
    <row r="180" spans="28:47" x14ac:dyDescent="0.25">
      <c r="AB180" s="6"/>
      <c r="AC180" s="6"/>
      <c r="AG180" s="6"/>
      <c r="AH180" s="6"/>
      <c r="AI180" s="6"/>
      <c r="AJ180" s="6"/>
      <c r="AK180" s="6"/>
      <c r="AL180" s="6"/>
      <c r="AM180" s="6"/>
      <c r="AN180" s="6"/>
      <c r="AO180" s="249"/>
      <c r="AP180" s="195"/>
      <c r="AQ180" s="6"/>
      <c r="AR180" s="6"/>
      <c r="AS180" s="6"/>
      <c r="AT180" s="6"/>
      <c r="AU180" s="6"/>
    </row>
    <row r="181" spans="28:47" x14ac:dyDescent="0.25">
      <c r="AB181" s="6"/>
      <c r="AC181" s="6"/>
      <c r="AG181" s="6"/>
      <c r="AH181" s="6"/>
      <c r="AI181" s="6"/>
      <c r="AJ181" s="6"/>
      <c r="AK181" s="6"/>
      <c r="AL181" s="6"/>
      <c r="AM181" s="6"/>
      <c r="AN181" s="6"/>
      <c r="AO181" s="249"/>
      <c r="AP181" s="195"/>
      <c r="AQ181" s="6"/>
      <c r="AR181" s="6"/>
      <c r="AS181" s="6"/>
      <c r="AT181" s="6"/>
      <c r="AU181" s="6"/>
    </row>
    <row r="182" spans="28:47" x14ac:dyDescent="0.25">
      <c r="AB182" s="6"/>
      <c r="AC182" s="6"/>
      <c r="AG182" s="6"/>
      <c r="AH182" s="6"/>
      <c r="AI182" s="6"/>
      <c r="AJ182" s="6"/>
      <c r="AK182" s="6"/>
      <c r="AL182" s="6"/>
      <c r="AM182" s="6"/>
      <c r="AN182" s="6"/>
      <c r="AO182" s="249"/>
      <c r="AP182" s="195"/>
      <c r="AQ182" s="6"/>
      <c r="AR182" s="6"/>
      <c r="AS182" s="6"/>
      <c r="AT182" s="6"/>
      <c r="AU182" s="6"/>
    </row>
    <row r="183" spans="28:47" x14ac:dyDescent="0.25">
      <c r="AB183" s="6"/>
      <c r="AC183" s="6"/>
      <c r="AG183" s="6"/>
      <c r="AH183" s="6"/>
      <c r="AI183" s="6"/>
      <c r="AJ183" s="6"/>
      <c r="AK183" s="6"/>
      <c r="AL183" s="6"/>
      <c r="AM183" s="6"/>
      <c r="AN183" s="6"/>
      <c r="AO183" s="249"/>
      <c r="AP183" s="195"/>
      <c r="AQ183" s="6"/>
      <c r="AR183" s="6"/>
      <c r="AS183" s="6"/>
      <c r="AT183" s="6"/>
      <c r="AU183" s="6"/>
    </row>
    <row r="184" spans="28:47" x14ac:dyDescent="0.25">
      <c r="AB184" s="6"/>
      <c r="AC184" s="6"/>
      <c r="AG184" s="6"/>
      <c r="AH184" s="6"/>
      <c r="AI184" s="6"/>
      <c r="AJ184" s="6"/>
      <c r="AK184" s="6"/>
      <c r="AL184" s="6"/>
      <c r="AM184" s="6"/>
      <c r="AN184" s="6"/>
      <c r="AO184" s="249"/>
      <c r="AP184" s="195"/>
      <c r="AQ184" s="6"/>
      <c r="AR184" s="6"/>
      <c r="AS184" s="6"/>
      <c r="AT184" s="6"/>
      <c r="AU184" s="6"/>
    </row>
    <row r="185" spans="28:47" x14ac:dyDescent="0.25">
      <c r="AB185" s="6"/>
      <c r="AC185" s="6"/>
      <c r="AG185" s="6"/>
      <c r="AH185" s="6"/>
      <c r="AI185" s="6"/>
      <c r="AJ185" s="6"/>
      <c r="AK185" s="6"/>
      <c r="AL185" s="6"/>
      <c r="AM185" s="6"/>
      <c r="AN185" s="6"/>
      <c r="AO185" s="249"/>
      <c r="AP185" s="195"/>
      <c r="AQ185" s="6"/>
      <c r="AR185" s="6"/>
      <c r="AS185" s="6"/>
      <c r="AT185" s="6"/>
      <c r="AU185" s="6"/>
    </row>
    <row r="186" spans="28:47" x14ac:dyDescent="0.25">
      <c r="AB186" s="6"/>
      <c r="AC186" s="6"/>
      <c r="AG186" s="6"/>
      <c r="AH186" s="6"/>
      <c r="AI186" s="6"/>
      <c r="AJ186" s="6"/>
      <c r="AK186" s="6"/>
      <c r="AL186" s="6"/>
      <c r="AM186" s="6"/>
      <c r="AN186" s="6"/>
      <c r="AO186" s="249"/>
      <c r="AP186" s="195"/>
      <c r="AQ186" s="6"/>
      <c r="AR186" s="6"/>
      <c r="AS186" s="6"/>
      <c r="AT186" s="6"/>
      <c r="AU186" s="6"/>
    </row>
    <row r="187" spans="28:47" x14ac:dyDescent="0.25">
      <c r="AB187" s="6"/>
      <c r="AC187" s="6"/>
      <c r="AG187" s="6"/>
      <c r="AH187" s="6"/>
      <c r="AI187" s="6"/>
      <c r="AJ187" s="6"/>
      <c r="AK187" s="6"/>
      <c r="AL187" s="6"/>
      <c r="AM187" s="6"/>
      <c r="AN187" s="6"/>
      <c r="AO187" s="249"/>
      <c r="AP187" s="195"/>
      <c r="AQ187" s="6"/>
      <c r="AR187" s="6"/>
      <c r="AS187" s="6"/>
      <c r="AT187" s="6"/>
      <c r="AU187" s="6"/>
    </row>
    <row r="188" spans="28:47" x14ac:dyDescent="0.25">
      <c r="AB188" s="6"/>
      <c r="AC188" s="6"/>
      <c r="AG188" s="6"/>
      <c r="AH188" s="6"/>
      <c r="AI188" s="6"/>
      <c r="AJ188" s="6"/>
      <c r="AK188" s="6"/>
      <c r="AL188" s="6"/>
      <c r="AM188" s="6"/>
      <c r="AN188" s="6"/>
      <c r="AO188" s="249"/>
      <c r="AP188" s="195"/>
      <c r="AQ188" s="6"/>
      <c r="AR188" s="6"/>
      <c r="AS188" s="6"/>
      <c r="AT188" s="6"/>
      <c r="AU188" s="6"/>
    </row>
    <row r="189" spans="28:47" x14ac:dyDescent="0.25">
      <c r="AB189" s="6"/>
      <c r="AC189" s="6"/>
      <c r="AG189" s="6"/>
      <c r="AH189" s="6"/>
      <c r="AI189" s="6"/>
      <c r="AJ189" s="6"/>
      <c r="AK189" s="6"/>
      <c r="AL189" s="6"/>
      <c r="AM189" s="6"/>
      <c r="AN189" s="6"/>
      <c r="AO189" s="249"/>
      <c r="AP189" s="195"/>
      <c r="AQ189" s="6"/>
      <c r="AR189" s="6"/>
      <c r="AS189" s="6"/>
      <c r="AT189" s="6"/>
      <c r="AU189" s="6"/>
    </row>
    <row r="190" spans="28:47" x14ac:dyDescent="0.25">
      <c r="AB190" s="6"/>
      <c r="AC190" s="6"/>
      <c r="AG190" s="6"/>
      <c r="AH190" s="6"/>
      <c r="AI190" s="6"/>
      <c r="AJ190" s="6"/>
      <c r="AK190" s="6"/>
      <c r="AL190" s="6"/>
      <c r="AM190" s="6"/>
      <c r="AN190" s="6"/>
      <c r="AO190" s="249"/>
      <c r="AP190" s="195"/>
      <c r="AQ190" s="6"/>
      <c r="AR190" s="6"/>
      <c r="AS190" s="6"/>
      <c r="AT190" s="6"/>
      <c r="AU190" s="6"/>
    </row>
    <row r="191" spans="28:47" x14ac:dyDescent="0.25">
      <c r="AB191" s="6"/>
      <c r="AC191" s="6"/>
      <c r="AG191" s="6"/>
      <c r="AH191" s="6"/>
      <c r="AI191" s="6"/>
      <c r="AJ191" s="6"/>
      <c r="AK191" s="6"/>
      <c r="AL191" s="6"/>
      <c r="AM191" s="6"/>
      <c r="AN191" s="6"/>
      <c r="AO191" s="249"/>
      <c r="AP191" s="195"/>
      <c r="AQ191" s="6"/>
      <c r="AR191" s="6"/>
      <c r="AS191" s="6"/>
      <c r="AT191" s="6"/>
      <c r="AU191" s="6"/>
    </row>
    <row r="192" spans="28:47" x14ac:dyDescent="0.25">
      <c r="AB192" s="6"/>
      <c r="AC192" s="6"/>
      <c r="AG192" s="6"/>
      <c r="AH192" s="6"/>
      <c r="AI192" s="6"/>
      <c r="AJ192" s="6"/>
      <c r="AK192" s="6"/>
      <c r="AL192" s="6"/>
      <c r="AM192" s="6"/>
      <c r="AN192" s="6"/>
      <c r="AO192" s="249"/>
      <c r="AP192" s="195"/>
      <c r="AQ192" s="6"/>
      <c r="AR192" s="6"/>
      <c r="AS192" s="6"/>
      <c r="AT192" s="6"/>
      <c r="AU192" s="6"/>
    </row>
    <row r="193" spans="28:47" x14ac:dyDescent="0.25">
      <c r="AB193" s="6"/>
      <c r="AC193" s="6"/>
      <c r="AG193" s="6"/>
      <c r="AH193" s="6"/>
      <c r="AI193" s="6"/>
      <c r="AJ193" s="6"/>
      <c r="AK193" s="6"/>
      <c r="AL193" s="6"/>
      <c r="AM193" s="6"/>
      <c r="AN193" s="6"/>
      <c r="AO193" s="249"/>
      <c r="AP193" s="195"/>
      <c r="AQ193" s="6"/>
      <c r="AR193" s="6"/>
      <c r="AS193" s="6"/>
      <c r="AT193" s="6"/>
      <c r="AU193" s="6"/>
    </row>
    <row r="194" spans="28:47" x14ac:dyDescent="0.25">
      <c r="AB194" s="6"/>
      <c r="AC194" s="6"/>
      <c r="AG194" s="6"/>
      <c r="AH194" s="6"/>
      <c r="AI194" s="6"/>
      <c r="AJ194" s="6"/>
      <c r="AK194" s="6"/>
      <c r="AL194" s="6"/>
      <c r="AM194" s="6"/>
      <c r="AN194" s="6"/>
      <c r="AO194" s="249"/>
      <c r="AP194" s="195"/>
      <c r="AQ194" s="6"/>
      <c r="AR194" s="6"/>
      <c r="AS194" s="6"/>
      <c r="AT194" s="6"/>
      <c r="AU194" s="6"/>
    </row>
    <row r="195" spans="28:47" x14ac:dyDescent="0.25">
      <c r="AB195" s="6"/>
      <c r="AC195" s="6"/>
      <c r="AG195" s="6"/>
      <c r="AH195" s="6"/>
      <c r="AI195" s="6"/>
      <c r="AJ195" s="6"/>
      <c r="AK195" s="6"/>
      <c r="AL195" s="6"/>
      <c r="AM195" s="6"/>
      <c r="AN195" s="6"/>
      <c r="AO195" s="249"/>
      <c r="AP195" s="195"/>
      <c r="AQ195" s="6"/>
      <c r="AR195" s="6"/>
      <c r="AS195" s="6"/>
      <c r="AT195" s="6"/>
      <c r="AU195" s="6"/>
    </row>
    <row r="196" spans="28:47" x14ac:dyDescent="0.25">
      <c r="AB196" s="6"/>
      <c r="AC196" s="6"/>
      <c r="AG196" s="6"/>
      <c r="AH196" s="6"/>
      <c r="AI196" s="6"/>
      <c r="AJ196" s="6"/>
      <c r="AK196" s="6"/>
      <c r="AL196" s="6"/>
      <c r="AM196" s="6"/>
      <c r="AN196" s="6"/>
      <c r="AO196" s="249"/>
      <c r="AP196" s="195"/>
      <c r="AQ196" s="6"/>
      <c r="AR196" s="6"/>
      <c r="AS196" s="6"/>
      <c r="AT196" s="6"/>
      <c r="AU196" s="6"/>
    </row>
    <row r="197" spans="28:47" x14ac:dyDescent="0.25">
      <c r="AB197" s="6"/>
      <c r="AC197" s="6"/>
      <c r="AG197" s="6"/>
      <c r="AH197" s="6"/>
      <c r="AI197" s="6"/>
      <c r="AJ197" s="6"/>
      <c r="AK197" s="6"/>
      <c r="AL197" s="6"/>
      <c r="AM197" s="6"/>
      <c r="AN197" s="6"/>
      <c r="AO197" s="249"/>
      <c r="AP197" s="195"/>
      <c r="AQ197" s="6"/>
      <c r="AR197" s="6"/>
      <c r="AS197" s="6"/>
      <c r="AT197" s="6"/>
      <c r="AU197" s="6"/>
    </row>
    <row r="198" spans="28:47" x14ac:dyDescent="0.25">
      <c r="AB198" s="6"/>
      <c r="AC198" s="6"/>
      <c r="AG198" s="6"/>
      <c r="AH198" s="6"/>
      <c r="AI198" s="6"/>
      <c r="AJ198" s="6"/>
      <c r="AK198" s="6"/>
      <c r="AL198" s="6"/>
      <c r="AM198" s="6"/>
      <c r="AN198" s="6"/>
      <c r="AO198" s="249"/>
      <c r="AP198" s="195"/>
      <c r="AQ198" s="6"/>
      <c r="AR198" s="6"/>
      <c r="AS198" s="6"/>
      <c r="AT198" s="6"/>
      <c r="AU198" s="6"/>
    </row>
    <row r="199" spans="28:47" x14ac:dyDescent="0.25">
      <c r="AB199" s="6"/>
      <c r="AC199" s="6"/>
      <c r="AG199" s="6"/>
      <c r="AH199" s="6"/>
      <c r="AI199" s="6"/>
      <c r="AJ199" s="6"/>
      <c r="AK199" s="6"/>
      <c r="AL199" s="6"/>
      <c r="AM199" s="6"/>
      <c r="AN199" s="6"/>
      <c r="AO199" s="249"/>
      <c r="AP199" s="195"/>
      <c r="AQ199" s="6"/>
      <c r="AR199" s="6"/>
      <c r="AS199" s="6"/>
      <c r="AT199" s="6"/>
      <c r="AU199" s="6"/>
    </row>
    <row r="200" spans="28:47" x14ac:dyDescent="0.25">
      <c r="AB200" s="6"/>
      <c r="AC200" s="6"/>
      <c r="AG200" s="6"/>
      <c r="AH200" s="6"/>
      <c r="AI200" s="6"/>
      <c r="AJ200" s="6"/>
      <c r="AK200" s="6"/>
      <c r="AL200" s="6"/>
      <c r="AM200" s="6"/>
      <c r="AN200" s="6"/>
      <c r="AO200" s="249"/>
      <c r="AP200" s="195"/>
      <c r="AQ200" s="6"/>
      <c r="AR200" s="6"/>
      <c r="AS200" s="6"/>
      <c r="AT200" s="6"/>
      <c r="AU200" s="6"/>
    </row>
    <row r="201" spans="28:47" x14ac:dyDescent="0.25">
      <c r="AB201" s="6"/>
      <c r="AC201" s="6"/>
      <c r="AG201" s="6"/>
      <c r="AH201" s="6"/>
      <c r="AI201" s="6"/>
      <c r="AJ201" s="6"/>
      <c r="AK201" s="6"/>
      <c r="AL201" s="6"/>
      <c r="AM201" s="6"/>
      <c r="AN201" s="6"/>
      <c r="AO201" s="249"/>
      <c r="AP201" s="195"/>
      <c r="AQ201" s="6"/>
      <c r="AR201" s="6"/>
      <c r="AS201" s="6"/>
      <c r="AT201" s="6"/>
      <c r="AU201" s="6"/>
    </row>
    <row r="202" spans="28:47" x14ac:dyDescent="0.25">
      <c r="AB202" s="6"/>
      <c r="AC202" s="6"/>
      <c r="AG202" s="6"/>
      <c r="AH202" s="6"/>
      <c r="AI202" s="6"/>
      <c r="AJ202" s="6"/>
      <c r="AK202" s="6"/>
      <c r="AL202" s="6"/>
      <c r="AM202" s="6"/>
      <c r="AN202" s="6"/>
      <c r="AO202" s="249"/>
      <c r="AP202" s="195"/>
      <c r="AQ202" s="6"/>
      <c r="AR202" s="6"/>
      <c r="AS202" s="6"/>
      <c r="AT202" s="6"/>
      <c r="AU202" s="6"/>
    </row>
    <row r="203" spans="28:47" x14ac:dyDescent="0.25">
      <c r="AB203" s="6"/>
      <c r="AC203" s="6"/>
      <c r="AG203" s="6"/>
      <c r="AH203" s="6"/>
      <c r="AI203" s="6"/>
      <c r="AJ203" s="6"/>
      <c r="AK203" s="6"/>
      <c r="AL203" s="6"/>
      <c r="AM203" s="6"/>
      <c r="AN203" s="6"/>
      <c r="AO203" s="249"/>
      <c r="AP203" s="195"/>
      <c r="AQ203" s="6"/>
      <c r="AR203" s="6"/>
      <c r="AS203" s="6"/>
      <c r="AT203" s="6"/>
      <c r="AU203" s="6"/>
    </row>
    <row r="204" spans="28:47" x14ac:dyDescent="0.25">
      <c r="AB204" s="6"/>
      <c r="AC204" s="6"/>
      <c r="AG204" s="6"/>
      <c r="AH204" s="6"/>
      <c r="AI204" s="6"/>
      <c r="AJ204" s="6"/>
      <c r="AK204" s="6"/>
      <c r="AL204" s="6"/>
      <c r="AM204" s="6"/>
      <c r="AN204" s="6"/>
      <c r="AO204" s="249"/>
      <c r="AP204" s="195"/>
      <c r="AQ204" s="6"/>
      <c r="AR204" s="6"/>
      <c r="AS204" s="6"/>
      <c r="AT204" s="6"/>
      <c r="AU204" s="6"/>
    </row>
    <row r="205" spans="28:47" x14ac:dyDescent="0.25">
      <c r="AB205" s="6"/>
      <c r="AC205" s="6"/>
      <c r="AG205" s="6"/>
      <c r="AH205" s="6"/>
      <c r="AI205" s="6"/>
      <c r="AJ205" s="6"/>
      <c r="AK205" s="6"/>
      <c r="AL205" s="6"/>
      <c r="AM205" s="6"/>
      <c r="AN205" s="6"/>
      <c r="AO205" s="249"/>
      <c r="AP205" s="195"/>
      <c r="AQ205" s="6"/>
      <c r="AR205" s="6"/>
      <c r="AS205" s="6"/>
      <c r="AT205" s="6"/>
      <c r="AU205" s="6"/>
    </row>
    <row r="206" spans="28:47" x14ac:dyDescent="0.25">
      <c r="AB206" s="6"/>
      <c r="AC206" s="6"/>
      <c r="AG206" s="6"/>
      <c r="AH206" s="6"/>
      <c r="AI206" s="6"/>
      <c r="AJ206" s="6"/>
      <c r="AK206" s="6"/>
      <c r="AL206" s="6"/>
      <c r="AM206" s="6"/>
      <c r="AN206" s="6"/>
      <c r="AO206" s="249"/>
      <c r="AP206" s="195"/>
      <c r="AQ206" s="6"/>
      <c r="AR206" s="6"/>
      <c r="AS206" s="6"/>
      <c r="AT206" s="6"/>
      <c r="AU206" s="6"/>
    </row>
    <row r="207" spans="28:47" x14ac:dyDescent="0.25">
      <c r="AB207" s="6"/>
      <c r="AC207" s="6"/>
      <c r="AG207" s="6"/>
      <c r="AH207" s="6"/>
      <c r="AI207" s="6"/>
      <c r="AJ207" s="6"/>
      <c r="AK207" s="6"/>
      <c r="AL207" s="6"/>
      <c r="AM207" s="6"/>
      <c r="AN207" s="6"/>
      <c r="AO207" s="249"/>
      <c r="AP207" s="195"/>
      <c r="AQ207" s="6"/>
      <c r="AR207" s="6"/>
      <c r="AS207" s="6"/>
      <c r="AT207" s="6"/>
      <c r="AU207" s="6"/>
    </row>
    <row r="208" spans="28:47" x14ac:dyDescent="0.25">
      <c r="AB208" s="6"/>
      <c r="AC208" s="6"/>
      <c r="AG208" s="6"/>
      <c r="AH208" s="6"/>
      <c r="AI208" s="6"/>
      <c r="AJ208" s="6"/>
      <c r="AK208" s="6"/>
      <c r="AL208" s="6"/>
      <c r="AM208" s="6"/>
      <c r="AN208" s="6"/>
      <c r="AO208" s="249"/>
      <c r="AP208" s="195"/>
      <c r="AQ208" s="6"/>
      <c r="AR208" s="6"/>
      <c r="AS208" s="6"/>
      <c r="AT208" s="6"/>
      <c r="AU208" s="6"/>
    </row>
    <row r="209" spans="28:47" x14ac:dyDescent="0.25">
      <c r="AB209" s="6"/>
      <c r="AC209" s="6"/>
      <c r="AG209" s="6"/>
      <c r="AH209" s="6"/>
      <c r="AI209" s="6"/>
      <c r="AJ209" s="6"/>
      <c r="AK209" s="6"/>
      <c r="AL209" s="6"/>
      <c r="AM209" s="6"/>
      <c r="AN209" s="6"/>
      <c r="AO209" s="249"/>
      <c r="AP209" s="195"/>
      <c r="AQ209" s="6"/>
      <c r="AR209" s="6"/>
      <c r="AS209" s="6"/>
      <c r="AT209" s="6"/>
      <c r="AU209" s="6"/>
    </row>
    <row r="210" spans="28:47" x14ac:dyDescent="0.25">
      <c r="AB210" s="6"/>
      <c r="AC210" s="6"/>
      <c r="AG210" s="6"/>
      <c r="AH210" s="6"/>
      <c r="AI210" s="6"/>
      <c r="AJ210" s="6"/>
      <c r="AK210" s="6"/>
      <c r="AL210" s="6"/>
      <c r="AM210" s="6"/>
      <c r="AN210" s="6"/>
      <c r="AO210" s="249"/>
      <c r="AP210" s="195"/>
      <c r="AQ210" s="6"/>
      <c r="AR210" s="6"/>
      <c r="AS210" s="6"/>
      <c r="AT210" s="6"/>
      <c r="AU210" s="6"/>
    </row>
    <row r="211" spans="28:47" x14ac:dyDescent="0.25">
      <c r="AB211" s="6"/>
      <c r="AC211" s="6"/>
      <c r="AG211" s="6"/>
      <c r="AH211" s="6"/>
      <c r="AI211" s="6"/>
      <c r="AJ211" s="6"/>
      <c r="AK211" s="6"/>
      <c r="AL211" s="6"/>
      <c r="AM211" s="6"/>
      <c r="AN211" s="6"/>
      <c r="AO211" s="249"/>
      <c r="AP211" s="195"/>
      <c r="AQ211" s="6"/>
      <c r="AR211" s="6"/>
      <c r="AS211" s="6"/>
      <c r="AT211" s="6"/>
      <c r="AU211" s="6"/>
    </row>
    <row r="212" spans="28:47" x14ac:dyDescent="0.25">
      <c r="AB212" s="6"/>
      <c r="AC212" s="6"/>
      <c r="AG212" s="6"/>
      <c r="AH212" s="6"/>
      <c r="AI212" s="6"/>
      <c r="AJ212" s="6"/>
      <c r="AK212" s="6"/>
      <c r="AL212" s="6"/>
      <c r="AM212" s="6"/>
      <c r="AN212" s="6"/>
      <c r="AO212" s="249"/>
      <c r="AP212" s="195"/>
      <c r="AQ212" s="6"/>
      <c r="AR212" s="6"/>
      <c r="AS212" s="6"/>
      <c r="AT212" s="6"/>
      <c r="AU212" s="6"/>
    </row>
    <row r="213" spans="28:47" x14ac:dyDescent="0.25">
      <c r="AB213" s="6"/>
      <c r="AC213" s="6"/>
      <c r="AG213" s="6"/>
      <c r="AH213" s="6"/>
      <c r="AI213" s="6"/>
      <c r="AJ213" s="6"/>
      <c r="AK213" s="6"/>
      <c r="AL213" s="6"/>
      <c r="AM213" s="6"/>
      <c r="AN213" s="6"/>
      <c r="AO213" s="249"/>
      <c r="AP213" s="195"/>
      <c r="AQ213" s="6"/>
      <c r="AR213" s="6"/>
      <c r="AS213" s="6"/>
      <c r="AT213" s="6"/>
      <c r="AU213" s="6"/>
    </row>
    <row r="214" spans="28:47" x14ac:dyDescent="0.25">
      <c r="AB214" s="6"/>
      <c r="AC214" s="6"/>
      <c r="AG214" s="6"/>
      <c r="AH214" s="6"/>
      <c r="AI214" s="6"/>
      <c r="AJ214" s="6"/>
      <c r="AK214" s="6"/>
      <c r="AL214" s="6"/>
      <c r="AM214" s="6"/>
      <c r="AN214" s="6"/>
      <c r="AO214" s="249"/>
      <c r="AP214" s="195"/>
      <c r="AQ214" s="6"/>
      <c r="AR214" s="6"/>
      <c r="AS214" s="6"/>
      <c r="AT214" s="6"/>
      <c r="AU214" s="6"/>
    </row>
    <row r="215" spans="28:47" x14ac:dyDescent="0.25">
      <c r="AB215" s="6"/>
      <c r="AC215" s="6"/>
      <c r="AG215" s="6"/>
      <c r="AH215" s="6"/>
      <c r="AI215" s="6"/>
      <c r="AJ215" s="6"/>
      <c r="AK215" s="6"/>
      <c r="AL215" s="6"/>
      <c r="AM215" s="6"/>
      <c r="AN215" s="6"/>
      <c r="AO215" s="249"/>
      <c r="AP215" s="195"/>
      <c r="AQ215" s="6"/>
      <c r="AR215" s="6"/>
      <c r="AS215" s="6"/>
      <c r="AT215" s="6"/>
      <c r="AU215" s="6"/>
    </row>
    <row r="216" spans="28:47" x14ac:dyDescent="0.25">
      <c r="AB216" s="6"/>
      <c r="AC216" s="6"/>
      <c r="AG216" s="6"/>
      <c r="AH216" s="6"/>
      <c r="AI216" s="6"/>
      <c r="AJ216" s="6"/>
      <c r="AK216" s="6"/>
      <c r="AL216" s="6"/>
      <c r="AM216" s="6"/>
      <c r="AN216" s="6"/>
      <c r="AO216" s="249"/>
      <c r="AP216" s="195"/>
      <c r="AQ216" s="6"/>
      <c r="AR216" s="6"/>
      <c r="AS216" s="6"/>
      <c r="AT216" s="6"/>
      <c r="AU216" s="6"/>
    </row>
    <row r="217" spans="28:47" x14ac:dyDescent="0.25">
      <c r="AB217" s="6"/>
      <c r="AC217" s="6"/>
      <c r="AG217" s="6"/>
      <c r="AH217" s="6"/>
      <c r="AI217" s="6"/>
      <c r="AJ217" s="6"/>
      <c r="AK217" s="6"/>
      <c r="AL217" s="6"/>
      <c r="AM217" s="6"/>
      <c r="AN217" s="6"/>
      <c r="AO217" s="249"/>
      <c r="AP217" s="195"/>
      <c r="AQ217" s="6"/>
      <c r="AR217" s="6"/>
      <c r="AS217" s="6"/>
      <c r="AT217" s="6"/>
      <c r="AU217" s="6"/>
    </row>
    <row r="218" spans="28:47" x14ac:dyDescent="0.25">
      <c r="AB218" s="6"/>
      <c r="AC218" s="6"/>
      <c r="AG218" s="6"/>
      <c r="AH218" s="6"/>
      <c r="AI218" s="6"/>
      <c r="AJ218" s="6"/>
      <c r="AK218" s="6"/>
      <c r="AL218" s="6"/>
      <c r="AM218" s="6"/>
      <c r="AN218" s="6"/>
      <c r="AO218" s="249"/>
      <c r="AP218" s="195"/>
      <c r="AQ218" s="6"/>
      <c r="AR218" s="6"/>
      <c r="AS218" s="6"/>
      <c r="AT218" s="6"/>
      <c r="AU218" s="6"/>
    </row>
    <row r="219" spans="28:47" x14ac:dyDescent="0.25">
      <c r="AB219" s="6"/>
      <c r="AC219" s="6"/>
      <c r="AG219" s="6"/>
      <c r="AH219" s="6"/>
      <c r="AI219" s="6"/>
      <c r="AJ219" s="6"/>
      <c r="AK219" s="6"/>
      <c r="AL219" s="6"/>
      <c r="AM219" s="6"/>
      <c r="AN219" s="6"/>
      <c r="AO219" s="249"/>
      <c r="AP219" s="195"/>
      <c r="AQ219" s="6"/>
      <c r="AR219" s="6"/>
      <c r="AS219" s="6"/>
      <c r="AT219" s="6"/>
      <c r="AU219" s="6"/>
    </row>
    <row r="220" spans="28:47" x14ac:dyDescent="0.25">
      <c r="AB220" s="6"/>
      <c r="AC220" s="6"/>
      <c r="AG220" s="6"/>
      <c r="AH220" s="6"/>
      <c r="AI220" s="6"/>
      <c r="AJ220" s="6"/>
      <c r="AK220" s="6"/>
      <c r="AL220" s="6"/>
      <c r="AM220" s="6"/>
      <c r="AN220" s="6"/>
      <c r="AO220" s="249"/>
      <c r="AP220" s="195"/>
      <c r="AQ220" s="6"/>
      <c r="AR220" s="6"/>
      <c r="AS220" s="6"/>
      <c r="AT220" s="6"/>
      <c r="AU220" s="6"/>
    </row>
    <row r="221" spans="28:47" x14ac:dyDescent="0.25">
      <c r="AB221" s="6"/>
      <c r="AC221" s="6"/>
      <c r="AG221" s="6"/>
      <c r="AH221" s="6"/>
      <c r="AI221" s="6"/>
      <c r="AJ221" s="6"/>
      <c r="AK221" s="6"/>
      <c r="AL221" s="6"/>
      <c r="AM221" s="6"/>
      <c r="AN221" s="6"/>
      <c r="AO221" s="249"/>
      <c r="AP221" s="195"/>
      <c r="AQ221" s="6"/>
      <c r="AR221" s="6"/>
      <c r="AS221" s="6"/>
      <c r="AT221" s="6"/>
      <c r="AU221" s="6"/>
    </row>
    <row r="222" spans="28:47" x14ac:dyDescent="0.25">
      <c r="AB222" s="6"/>
      <c r="AC222" s="6"/>
      <c r="AG222" s="6"/>
      <c r="AH222" s="6"/>
      <c r="AI222" s="6"/>
      <c r="AJ222" s="6"/>
      <c r="AK222" s="6"/>
      <c r="AL222" s="6"/>
      <c r="AM222" s="6"/>
      <c r="AN222" s="6"/>
      <c r="AO222" s="249"/>
      <c r="AP222" s="195"/>
      <c r="AQ222" s="6"/>
      <c r="AR222" s="6"/>
      <c r="AS222" s="6"/>
      <c r="AT222" s="6"/>
      <c r="AU222" s="6"/>
    </row>
    <row r="223" spans="28:47" x14ac:dyDescent="0.25">
      <c r="AB223" s="6"/>
      <c r="AC223" s="6"/>
      <c r="AG223" s="6"/>
      <c r="AH223" s="6"/>
      <c r="AI223" s="6"/>
      <c r="AJ223" s="6"/>
      <c r="AK223" s="6"/>
      <c r="AL223" s="6"/>
      <c r="AM223" s="6"/>
      <c r="AN223" s="6"/>
      <c r="AO223" s="249"/>
      <c r="AP223" s="195"/>
      <c r="AQ223" s="6"/>
      <c r="AR223" s="6"/>
      <c r="AS223" s="6"/>
      <c r="AT223" s="6"/>
      <c r="AU223" s="6"/>
    </row>
    <row r="224" spans="28:47" x14ac:dyDescent="0.25">
      <c r="AB224" s="6"/>
      <c r="AC224" s="6"/>
      <c r="AG224" s="6"/>
      <c r="AH224" s="6"/>
      <c r="AI224" s="6"/>
      <c r="AJ224" s="6"/>
      <c r="AK224" s="6"/>
      <c r="AL224" s="6"/>
      <c r="AM224" s="6"/>
      <c r="AN224" s="6"/>
      <c r="AO224" s="249"/>
      <c r="AP224" s="195"/>
      <c r="AQ224" s="6"/>
      <c r="AR224" s="6"/>
      <c r="AS224" s="6"/>
      <c r="AT224" s="6"/>
      <c r="AU224" s="6"/>
    </row>
    <row r="225" spans="28:47" x14ac:dyDescent="0.25">
      <c r="AB225" s="6"/>
      <c r="AC225" s="6"/>
      <c r="AG225" s="6"/>
      <c r="AH225" s="6"/>
      <c r="AI225" s="6"/>
      <c r="AJ225" s="6"/>
      <c r="AK225" s="6"/>
      <c r="AL225" s="6"/>
      <c r="AM225" s="6"/>
      <c r="AN225" s="6"/>
      <c r="AO225" s="249"/>
      <c r="AP225" s="195"/>
      <c r="AQ225" s="6"/>
      <c r="AR225" s="6"/>
      <c r="AS225" s="6"/>
      <c r="AT225" s="6"/>
      <c r="AU225" s="6"/>
    </row>
    <row r="226" spans="28:47" x14ac:dyDescent="0.25">
      <c r="AB226" s="6"/>
      <c r="AC226" s="6"/>
      <c r="AG226" s="6"/>
      <c r="AH226" s="6"/>
      <c r="AI226" s="6"/>
      <c r="AJ226" s="6"/>
      <c r="AK226" s="6"/>
      <c r="AL226" s="6"/>
      <c r="AM226" s="6"/>
      <c r="AN226" s="6"/>
      <c r="AO226" s="249"/>
      <c r="AP226" s="195"/>
      <c r="AQ226" s="6"/>
      <c r="AR226" s="6"/>
      <c r="AS226" s="6"/>
      <c r="AT226" s="6"/>
      <c r="AU226" s="6"/>
    </row>
    <row r="227" spans="28:47" x14ac:dyDescent="0.25">
      <c r="AB227" s="6"/>
      <c r="AC227" s="6"/>
      <c r="AG227" s="6"/>
      <c r="AH227" s="6"/>
      <c r="AI227" s="6"/>
      <c r="AJ227" s="6"/>
      <c r="AK227" s="6"/>
      <c r="AL227" s="6"/>
      <c r="AM227" s="6"/>
      <c r="AN227" s="6"/>
      <c r="AO227" s="249"/>
      <c r="AP227" s="195"/>
      <c r="AQ227" s="6"/>
      <c r="AR227" s="6"/>
      <c r="AS227" s="6"/>
      <c r="AT227" s="6"/>
      <c r="AU227" s="6"/>
    </row>
    <row r="228" spans="28:47" x14ac:dyDescent="0.25">
      <c r="AB228" s="6"/>
      <c r="AC228" s="6"/>
      <c r="AG228" s="6"/>
      <c r="AH228" s="6"/>
      <c r="AI228" s="6"/>
      <c r="AJ228" s="6"/>
      <c r="AK228" s="6"/>
      <c r="AL228" s="6"/>
      <c r="AM228" s="6"/>
      <c r="AN228" s="6"/>
      <c r="AO228" s="249"/>
      <c r="AP228" s="195"/>
      <c r="AQ228" s="6"/>
      <c r="AR228" s="6"/>
      <c r="AS228" s="6"/>
      <c r="AT228" s="6"/>
      <c r="AU228" s="6"/>
    </row>
    <row r="229" spans="28:47" x14ac:dyDescent="0.25">
      <c r="AB229" s="6"/>
      <c r="AC229" s="6"/>
      <c r="AG229" s="6"/>
      <c r="AH229" s="6"/>
      <c r="AI229" s="6"/>
      <c r="AJ229" s="6"/>
      <c r="AK229" s="6"/>
      <c r="AL229" s="6"/>
      <c r="AM229" s="6"/>
      <c r="AN229" s="6"/>
      <c r="AO229" s="249"/>
      <c r="AP229" s="195"/>
      <c r="AQ229" s="6"/>
      <c r="AR229" s="6"/>
      <c r="AS229" s="6"/>
      <c r="AT229" s="6"/>
      <c r="AU229" s="6"/>
    </row>
    <row r="230" spans="28:47" x14ac:dyDescent="0.25">
      <c r="AB230" s="6"/>
      <c r="AC230" s="6"/>
      <c r="AG230" s="6"/>
      <c r="AH230" s="6"/>
      <c r="AI230" s="6"/>
      <c r="AJ230" s="6"/>
      <c r="AK230" s="6"/>
      <c r="AL230" s="6"/>
      <c r="AM230" s="6"/>
      <c r="AN230" s="6"/>
      <c r="AO230" s="249"/>
      <c r="AP230" s="195"/>
      <c r="AQ230" s="6"/>
      <c r="AR230" s="6"/>
      <c r="AS230" s="6"/>
      <c r="AT230" s="6"/>
      <c r="AU230" s="6"/>
    </row>
    <row r="231" spans="28:47" x14ac:dyDescent="0.25">
      <c r="AB231" s="6"/>
      <c r="AC231" s="6"/>
      <c r="AG231" s="6"/>
      <c r="AH231" s="6"/>
      <c r="AI231" s="6"/>
      <c r="AJ231" s="6"/>
      <c r="AK231" s="6"/>
      <c r="AL231" s="6"/>
      <c r="AM231" s="6"/>
      <c r="AN231" s="6"/>
      <c r="AO231" s="249"/>
      <c r="AP231" s="195"/>
      <c r="AQ231" s="6"/>
      <c r="AR231" s="6"/>
      <c r="AS231" s="6"/>
      <c r="AT231" s="6"/>
      <c r="AU231" s="6"/>
    </row>
    <row r="232" spans="28:47" x14ac:dyDescent="0.25">
      <c r="AB232" s="6"/>
      <c r="AC232" s="6"/>
      <c r="AG232" s="6"/>
      <c r="AH232" s="6"/>
      <c r="AI232" s="6"/>
      <c r="AJ232" s="6"/>
      <c r="AK232" s="6"/>
      <c r="AL232" s="6"/>
      <c r="AM232" s="6"/>
      <c r="AN232" s="6"/>
      <c r="AO232" s="249"/>
      <c r="AP232" s="195"/>
      <c r="AQ232" s="6"/>
      <c r="AR232" s="6"/>
      <c r="AS232" s="6"/>
      <c r="AT232" s="6"/>
      <c r="AU232" s="6"/>
    </row>
    <row r="233" spans="28:47" x14ac:dyDescent="0.25">
      <c r="AB233" s="6"/>
      <c r="AC233" s="6"/>
      <c r="AG233" s="6"/>
      <c r="AH233" s="6"/>
      <c r="AI233" s="6"/>
      <c r="AJ233" s="6"/>
      <c r="AK233" s="6"/>
      <c r="AL233" s="6"/>
      <c r="AM233" s="6"/>
      <c r="AN233" s="6"/>
      <c r="AO233" s="249"/>
      <c r="AP233" s="195"/>
      <c r="AQ233" s="6"/>
      <c r="AR233" s="6"/>
      <c r="AS233" s="6"/>
      <c r="AT233" s="6"/>
      <c r="AU233" s="6"/>
    </row>
    <row r="234" spans="28:47" x14ac:dyDescent="0.25">
      <c r="AB234" s="6"/>
      <c r="AC234" s="6"/>
      <c r="AG234" s="6"/>
      <c r="AH234" s="6"/>
      <c r="AI234" s="6"/>
      <c r="AJ234" s="6"/>
      <c r="AK234" s="6"/>
      <c r="AL234" s="6"/>
      <c r="AM234" s="6"/>
      <c r="AN234" s="6"/>
      <c r="AO234" s="249"/>
      <c r="AP234" s="195"/>
      <c r="AQ234" s="6"/>
      <c r="AR234" s="6"/>
      <c r="AS234" s="6"/>
      <c r="AT234" s="6"/>
      <c r="AU234" s="6"/>
    </row>
    <row r="235" spans="28:47" x14ac:dyDescent="0.25">
      <c r="AB235" s="6"/>
      <c r="AC235" s="6"/>
      <c r="AG235" s="6"/>
      <c r="AH235" s="6"/>
      <c r="AI235" s="6"/>
      <c r="AJ235" s="6"/>
      <c r="AK235" s="6"/>
      <c r="AL235" s="6"/>
      <c r="AM235" s="6"/>
      <c r="AN235" s="6"/>
      <c r="AO235" s="249"/>
      <c r="AP235" s="195"/>
      <c r="AQ235" s="6"/>
      <c r="AR235" s="6"/>
      <c r="AS235" s="6"/>
      <c r="AT235" s="6"/>
      <c r="AU235" s="6"/>
    </row>
    <row r="236" spans="28:47" x14ac:dyDescent="0.25">
      <c r="AB236" s="6"/>
      <c r="AC236" s="6"/>
      <c r="AG236" s="6"/>
      <c r="AH236" s="6"/>
      <c r="AI236" s="6"/>
      <c r="AJ236" s="6"/>
      <c r="AK236" s="6"/>
      <c r="AL236" s="6"/>
      <c r="AM236" s="6"/>
      <c r="AN236" s="6"/>
      <c r="AO236" s="249"/>
      <c r="AP236" s="195"/>
      <c r="AQ236" s="6"/>
      <c r="AR236" s="6"/>
      <c r="AS236" s="6"/>
      <c r="AT236" s="6"/>
      <c r="AU236" s="6"/>
    </row>
    <row r="237" spans="28:47" x14ac:dyDescent="0.25">
      <c r="AB237" s="6"/>
      <c r="AC237" s="6"/>
      <c r="AG237" s="6"/>
      <c r="AH237" s="6"/>
      <c r="AI237" s="6"/>
      <c r="AJ237" s="6"/>
      <c r="AK237" s="6"/>
      <c r="AL237" s="6"/>
      <c r="AM237" s="6"/>
      <c r="AN237" s="6"/>
      <c r="AO237" s="249"/>
      <c r="AP237" s="195"/>
      <c r="AQ237" s="6"/>
      <c r="AR237" s="6"/>
      <c r="AS237" s="6"/>
      <c r="AT237" s="6"/>
      <c r="AU237" s="6"/>
    </row>
    <row r="238" spans="28:47" x14ac:dyDescent="0.25">
      <c r="AB238" s="6"/>
      <c r="AC238" s="6"/>
      <c r="AG238" s="6"/>
      <c r="AH238" s="6"/>
      <c r="AI238" s="6"/>
      <c r="AJ238" s="6"/>
      <c r="AK238" s="6"/>
      <c r="AL238" s="6"/>
      <c r="AM238" s="6"/>
      <c r="AN238" s="6"/>
      <c r="AO238" s="249"/>
      <c r="AP238" s="195"/>
      <c r="AQ238" s="6"/>
      <c r="AR238" s="6"/>
      <c r="AS238" s="6"/>
      <c r="AT238" s="6"/>
      <c r="AU238" s="6"/>
    </row>
    <row r="239" spans="28:47" x14ac:dyDescent="0.25">
      <c r="AB239" s="6"/>
      <c r="AC239" s="6"/>
      <c r="AG239" s="6"/>
      <c r="AH239" s="6"/>
      <c r="AI239" s="6"/>
      <c r="AJ239" s="6"/>
      <c r="AK239" s="6"/>
      <c r="AL239" s="6"/>
      <c r="AM239" s="6"/>
      <c r="AN239" s="6"/>
      <c r="AO239" s="249"/>
      <c r="AP239" s="195"/>
      <c r="AQ239" s="6"/>
      <c r="AR239" s="6"/>
      <c r="AS239" s="6"/>
      <c r="AT239" s="6"/>
      <c r="AU239" s="6"/>
    </row>
    <row r="240" spans="28:47" x14ac:dyDescent="0.25">
      <c r="AB240" s="6"/>
      <c r="AC240" s="6"/>
      <c r="AG240" s="6"/>
      <c r="AH240" s="6"/>
      <c r="AI240" s="6"/>
      <c r="AJ240" s="6"/>
      <c r="AK240" s="6"/>
      <c r="AL240" s="6"/>
      <c r="AM240" s="6"/>
      <c r="AN240" s="6"/>
      <c r="AO240" s="249"/>
      <c r="AP240" s="195"/>
      <c r="AQ240" s="6"/>
      <c r="AR240" s="6"/>
      <c r="AS240" s="6"/>
      <c r="AT240" s="6"/>
      <c r="AU240" s="6"/>
    </row>
    <row r="241" spans="28:47" x14ac:dyDescent="0.25">
      <c r="AB241" s="6"/>
      <c r="AC241" s="6"/>
      <c r="AG241" s="6"/>
      <c r="AH241" s="6"/>
      <c r="AI241" s="6"/>
      <c r="AJ241" s="6"/>
      <c r="AK241" s="6"/>
      <c r="AL241" s="6"/>
      <c r="AM241" s="6"/>
      <c r="AN241" s="6"/>
      <c r="AO241" s="249"/>
      <c r="AP241" s="195"/>
      <c r="AQ241" s="6"/>
      <c r="AR241" s="6"/>
      <c r="AS241" s="6"/>
      <c r="AT241" s="6"/>
      <c r="AU241" s="6"/>
    </row>
    <row r="242" spans="28:47" x14ac:dyDescent="0.25">
      <c r="AB242" s="6"/>
      <c r="AC242" s="6"/>
      <c r="AG242" s="6"/>
      <c r="AH242" s="6"/>
      <c r="AI242" s="6"/>
      <c r="AJ242" s="6"/>
      <c r="AK242" s="6"/>
      <c r="AL242" s="6"/>
      <c r="AM242" s="6"/>
      <c r="AN242" s="6"/>
      <c r="AO242" s="249"/>
      <c r="AP242" s="195"/>
      <c r="AQ242" s="6"/>
      <c r="AR242" s="6"/>
      <c r="AS242" s="6"/>
      <c r="AT242" s="6"/>
      <c r="AU242" s="6"/>
    </row>
    <row r="243" spans="28:47" x14ac:dyDescent="0.25">
      <c r="AB243" s="6"/>
      <c r="AC243" s="6"/>
      <c r="AG243" s="6"/>
      <c r="AH243" s="6"/>
      <c r="AI243" s="6"/>
      <c r="AJ243" s="6"/>
      <c r="AK243" s="6"/>
      <c r="AL243" s="6"/>
      <c r="AM243" s="6"/>
      <c r="AN243" s="6"/>
      <c r="AO243" s="249"/>
      <c r="AP243" s="195"/>
      <c r="AQ243" s="6"/>
      <c r="AR243" s="6"/>
      <c r="AS243" s="6"/>
      <c r="AT243" s="6"/>
      <c r="AU243" s="6"/>
    </row>
    <row r="244" spans="28:47" x14ac:dyDescent="0.25">
      <c r="AB244" s="6"/>
      <c r="AC244" s="6"/>
      <c r="AG244" s="6"/>
      <c r="AH244" s="6"/>
      <c r="AI244" s="6"/>
      <c r="AJ244" s="6"/>
      <c r="AK244" s="6"/>
      <c r="AL244" s="6"/>
      <c r="AM244" s="6"/>
      <c r="AN244" s="6"/>
      <c r="AO244" s="249"/>
      <c r="AP244" s="195"/>
      <c r="AQ244" s="6"/>
      <c r="AR244" s="6"/>
      <c r="AS244" s="6"/>
      <c r="AT244" s="6"/>
      <c r="AU244" s="6"/>
    </row>
    <row r="245" spans="28:47" x14ac:dyDescent="0.25">
      <c r="AB245" s="6"/>
      <c r="AC245" s="6"/>
      <c r="AG245" s="6"/>
      <c r="AH245" s="6"/>
      <c r="AI245" s="6"/>
      <c r="AJ245" s="6"/>
      <c r="AK245" s="6"/>
      <c r="AL245" s="6"/>
      <c r="AM245" s="6"/>
      <c r="AN245" s="6"/>
      <c r="AO245" s="249"/>
      <c r="AP245" s="195"/>
      <c r="AQ245" s="6"/>
      <c r="AR245" s="6"/>
      <c r="AS245" s="6"/>
      <c r="AT245" s="6"/>
      <c r="AU245" s="6"/>
    </row>
    <row r="246" spans="28:47" x14ac:dyDescent="0.25">
      <c r="AB246" s="6"/>
      <c r="AC246" s="6"/>
      <c r="AG246" s="6"/>
      <c r="AH246" s="6"/>
      <c r="AI246" s="6"/>
      <c r="AJ246" s="6"/>
      <c r="AK246" s="6"/>
      <c r="AL246" s="6"/>
      <c r="AM246" s="6"/>
      <c r="AN246" s="6"/>
      <c r="AO246" s="249"/>
      <c r="AP246" s="195"/>
      <c r="AQ246" s="6"/>
      <c r="AR246" s="6"/>
      <c r="AS246" s="6"/>
      <c r="AT246" s="6"/>
      <c r="AU246" s="6"/>
    </row>
    <row r="247" spans="28:47" x14ac:dyDescent="0.25">
      <c r="AB247" s="6"/>
      <c r="AC247" s="6"/>
      <c r="AG247" s="6"/>
      <c r="AH247" s="6"/>
      <c r="AI247" s="6"/>
      <c r="AJ247" s="6"/>
      <c r="AK247" s="6"/>
      <c r="AL247" s="6"/>
      <c r="AM247" s="6"/>
      <c r="AN247" s="6"/>
      <c r="AO247" s="249"/>
      <c r="AP247" s="195"/>
      <c r="AQ247" s="6"/>
      <c r="AR247" s="6"/>
      <c r="AS247" s="6"/>
      <c r="AT247" s="6"/>
      <c r="AU247" s="6"/>
    </row>
    <row r="248" spans="28:47" x14ac:dyDescent="0.25">
      <c r="AB248" s="6"/>
      <c r="AC248" s="6"/>
      <c r="AG248" s="6"/>
      <c r="AH248" s="6"/>
      <c r="AI248" s="6"/>
      <c r="AJ248" s="6"/>
      <c r="AK248" s="6"/>
      <c r="AL248" s="6"/>
      <c r="AM248" s="6"/>
      <c r="AN248" s="6"/>
      <c r="AO248" s="249"/>
      <c r="AP248" s="195"/>
      <c r="AQ248" s="6"/>
      <c r="AR248" s="6"/>
      <c r="AS248" s="6"/>
      <c r="AT248" s="6"/>
      <c r="AU248" s="6"/>
    </row>
    <row r="249" spans="28:47" x14ac:dyDescent="0.25">
      <c r="AB249" s="6"/>
      <c r="AC249" s="6"/>
      <c r="AG249" s="6"/>
      <c r="AH249" s="6"/>
      <c r="AI249" s="6"/>
      <c r="AJ249" s="6"/>
      <c r="AK249" s="6"/>
      <c r="AL249" s="6"/>
      <c r="AM249" s="6"/>
      <c r="AN249" s="6"/>
      <c r="AO249" s="249"/>
      <c r="AP249" s="195"/>
      <c r="AQ249" s="6"/>
      <c r="AR249" s="6"/>
      <c r="AS249" s="6"/>
      <c r="AT249" s="6"/>
      <c r="AU249" s="6"/>
    </row>
    <row r="250" spans="28:47" x14ac:dyDescent="0.25">
      <c r="AB250" s="6"/>
      <c r="AC250" s="6"/>
      <c r="AG250" s="6"/>
      <c r="AH250" s="6"/>
      <c r="AI250" s="6"/>
      <c r="AJ250" s="6"/>
      <c r="AK250" s="6"/>
      <c r="AL250" s="6"/>
      <c r="AM250" s="6"/>
      <c r="AN250" s="6"/>
      <c r="AO250" s="249"/>
      <c r="AP250" s="195"/>
      <c r="AQ250" s="6"/>
      <c r="AR250" s="6"/>
      <c r="AS250" s="6"/>
      <c r="AT250" s="6"/>
      <c r="AU250" s="6"/>
    </row>
    <row r="251" spans="28:47" x14ac:dyDescent="0.25">
      <c r="AB251" s="6"/>
      <c r="AC251" s="6"/>
      <c r="AG251" s="6"/>
      <c r="AH251" s="6"/>
      <c r="AI251" s="6"/>
      <c r="AJ251" s="6"/>
      <c r="AK251" s="6"/>
      <c r="AL251" s="6"/>
      <c r="AM251" s="6"/>
      <c r="AN251" s="6"/>
      <c r="AO251" s="249"/>
      <c r="AP251" s="195"/>
      <c r="AQ251" s="6"/>
      <c r="AR251" s="6"/>
      <c r="AS251" s="6"/>
      <c r="AT251" s="6"/>
      <c r="AU251" s="6"/>
    </row>
    <row r="252" spans="28:47" x14ac:dyDescent="0.25">
      <c r="AB252" s="6"/>
      <c r="AC252" s="6"/>
      <c r="AG252" s="6"/>
      <c r="AH252" s="6"/>
      <c r="AI252" s="6"/>
      <c r="AJ252" s="6"/>
      <c r="AK252" s="6"/>
      <c r="AL252" s="6"/>
      <c r="AM252" s="6"/>
      <c r="AN252" s="6"/>
      <c r="AO252" s="249"/>
      <c r="AP252" s="195"/>
      <c r="AQ252" s="6"/>
      <c r="AR252" s="6"/>
      <c r="AS252" s="6"/>
      <c r="AT252" s="6"/>
      <c r="AU252" s="6"/>
    </row>
    <row r="253" spans="28:47" x14ac:dyDescent="0.25">
      <c r="AB253" s="6"/>
      <c r="AC253" s="6"/>
      <c r="AG253" s="6"/>
      <c r="AH253" s="6"/>
      <c r="AI253" s="6"/>
      <c r="AJ253" s="6"/>
      <c r="AK253" s="6"/>
      <c r="AL253" s="6"/>
      <c r="AM253" s="6"/>
      <c r="AN253" s="6"/>
      <c r="AO253" s="249"/>
      <c r="AP253" s="195"/>
      <c r="AQ253" s="6"/>
      <c r="AR253" s="6"/>
      <c r="AS253" s="6"/>
      <c r="AT253" s="6"/>
      <c r="AU253" s="6"/>
    </row>
    <row r="254" spans="28:47" x14ac:dyDescent="0.25">
      <c r="AB254" s="6"/>
      <c r="AC254" s="6"/>
      <c r="AG254" s="6"/>
      <c r="AH254" s="6"/>
      <c r="AI254" s="6"/>
      <c r="AJ254" s="6"/>
      <c r="AK254" s="6"/>
      <c r="AL254" s="6"/>
      <c r="AM254" s="6"/>
      <c r="AN254" s="6"/>
      <c r="AO254" s="249"/>
      <c r="AP254" s="195"/>
      <c r="AQ254" s="6"/>
      <c r="AR254" s="6"/>
      <c r="AS254" s="6"/>
      <c r="AT254" s="6"/>
      <c r="AU254" s="6"/>
    </row>
    <row r="255" spans="28:47" x14ac:dyDescent="0.25">
      <c r="AB255" s="6"/>
      <c r="AC255" s="6"/>
      <c r="AG255" s="6"/>
      <c r="AH255" s="6"/>
      <c r="AI255" s="6"/>
      <c r="AJ255" s="6"/>
      <c r="AK255" s="6"/>
      <c r="AL255" s="6"/>
      <c r="AM255" s="6"/>
      <c r="AN255" s="6"/>
      <c r="AO255" s="249"/>
      <c r="AP255" s="195"/>
      <c r="AQ255" s="6"/>
      <c r="AR255" s="6"/>
      <c r="AS255" s="6"/>
      <c r="AT255" s="6"/>
      <c r="AU255" s="6"/>
    </row>
    <row r="256" spans="28:47" x14ac:dyDescent="0.25">
      <c r="AB256" s="6"/>
      <c r="AC256" s="6"/>
      <c r="AG256" s="6"/>
      <c r="AH256" s="6"/>
      <c r="AI256" s="6"/>
      <c r="AJ256" s="6"/>
      <c r="AK256" s="6"/>
      <c r="AL256" s="6"/>
      <c r="AM256" s="6"/>
      <c r="AN256" s="6"/>
      <c r="AO256" s="249"/>
      <c r="AP256" s="195"/>
      <c r="AQ256" s="6"/>
      <c r="AR256" s="6"/>
      <c r="AS256" s="6"/>
      <c r="AT256" s="6"/>
      <c r="AU256" s="6"/>
    </row>
    <row r="257" spans="28:47" x14ac:dyDescent="0.25">
      <c r="AB257" s="6"/>
      <c r="AC257" s="6"/>
      <c r="AG257" s="6"/>
      <c r="AH257" s="6"/>
      <c r="AI257" s="6"/>
      <c r="AJ257" s="6"/>
      <c r="AK257" s="6"/>
      <c r="AL257" s="6"/>
      <c r="AM257" s="6"/>
      <c r="AN257" s="6"/>
      <c r="AO257" s="249"/>
      <c r="AP257" s="195"/>
      <c r="AQ257" s="6"/>
      <c r="AR257" s="6"/>
      <c r="AS257" s="6"/>
      <c r="AT257" s="6"/>
      <c r="AU257" s="6"/>
    </row>
    <row r="258" spans="28:47" x14ac:dyDescent="0.25">
      <c r="AB258" s="6"/>
      <c r="AC258" s="6"/>
      <c r="AG258" s="6"/>
      <c r="AH258" s="6"/>
      <c r="AI258" s="6"/>
      <c r="AJ258" s="6"/>
      <c r="AK258" s="6"/>
      <c r="AL258" s="6"/>
      <c r="AM258" s="6"/>
      <c r="AN258" s="6"/>
      <c r="AO258" s="249"/>
      <c r="AP258" s="195"/>
      <c r="AQ258" s="6"/>
      <c r="AR258" s="6"/>
      <c r="AS258" s="6"/>
      <c r="AT258" s="6"/>
      <c r="AU258" s="6"/>
    </row>
    <row r="259" spans="28:47" x14ac:dyDescent="0.25">
      <c r="AB259" s="6"/>
      <c r="AC259" s="6"/>
      <c r="AG259" s="6"/>
      <c r="AH259" s="6"/>
      <c r="AI259" s="6"/>
      <c r="AJ259" s="6"/>
      <c r="AK259" s="6"/>
      <c r="AL259" s="6"/>
      <c r="AM259" s="6"/>
      <c r="AN259" s="6"/>
      <c r="AO259" s="249"/>
      <c r="AP259" s="195"/>
      <c r="AQ259" s="6"/>
      <c r="AR259" s="6"/>
      <c r="AS259" s="6"/>
      <c r="AT259" s="6"/>
      <c r="AU259" s="6"/>
    </row>
    <row r="260" spans="28:47" x14ac:dyDescent="0.25">
      <c r="AB260" s="6"/>
      <c r="AC260" s="6"/>
      <c r="AG260" s="6"/>
      <c r="AH260" s="6"/>
      <c r="AI260" s="6"/>
      <c r="AJ260" s="6"/>
      <c r="AK260" s="6"/>
      <c r="AL260" s="6"/>
      <c r="AM260" s="6"/>
      <c r="AN260" s="6"/>
      <c r="AO260" s="249"/>
      <c r="AP260" s="195"/>
      <c r="AQ260" s="6"/>
      <c r="AR260" s="6"/>
      <c r="AS260" s="6"/>
      <c r="AT260" s="6"/>
      <c r="AU260" s="6"/>
    </row>
    <row r="261" spans="28:47" x14ac:dyDescent="0.25">
      <c r="AB261" s="6"/>
      <c r="AC261" s="6"/>
      <c r="AG261" s="6"/>
      <c r="AH261" s="6"/>
      <c r="AI261" s="6"/>
      <c r="AJ261" s="6"/>
      <c r="AK261" s="6"/>
      <c r="AL261" s="6"/>
      <c r="AM261" s="6"/>
      <c r="AN261" s="6"/>
      <c r="AO261" s="249"/>
      <c r="AP261" s="195"/>
      <c r="AQ261" s="6"/>
      <c r="AR261" s="6"/>
      <c r="AS261" s="6"/>
      <c r="AT261" s="6"/>
      <c r="AU261" s="6"/>
    </row>
    <row r="262" spans="28:47" x14ac:dyDescent="0.25">
      <c r="AB262" s="6"/>
      <c r="AC262" s="6"/>
      <c r="AG262" s="6"/>
      <c r="AH262" s="6"/>
      <c r="AI262" s="6"/>
      <c r="AJ262" s="6"/>
      <c r="AK262" s="6"/>
      <c r="AL262" s="6"/>
      <c r="AM262" s="6"/>
      <c r="AN262" s="6"/>
      <c r="AO262" s="249"/>
      <c r="AP262" s="195"/>
      <c r="AQ262" s="6"/>
      <c r="AR262" s="6"/>
      <c r="AS262" s="6"/>
      <c r="AT262" s="6"/>
      <c r="AU262" s="6"/>
    </row>
    <row r="263" spans="28:47" x14ac:dyDescent="0.25">
      <c r="AB263" s="6"/>
      <c r="AC263" s="6"/>
      <c r="AG263" s="6"/>
      <c r="AH263" s="6"/>
      <c r="AI263" s="6"/>
      <c r="AJ263" s="6"/>
      <c r="AK263" s="6"/>
      <c r="AL263" s="6"/>
      <c r="AM263" s="6"/>
      <c r="AN263" s="6"/>
      <c r="AO263" s="249"/>
      <c r="AP263" s="195"/>
      <c r="AQ263" s="6"/>
      <c r="AR263" s="6"/>
      <c r="AS263" s="6"/>
      <c r="AT263" s="6"/>
      <c r="AU263" s="6"/>
    </row>
    <row r="264" spans="28:47" x14ac:dyDescent="0.25">
      <c r="AB264" s="6"/>
      <c r="AC264" s="6"/>
      <c r="AG264" s="6"/>
      <c r="AH264" s="6"/>
      <c r="AI264" s="6"/>
      <c r="AJ264" s="6"/>
      <c r="AK264" s="6"/>
      <c r="AL264" s="6"/>
      <c r="AM264" s="6"/>
      <c r="AN264" s="6"/>
      <c r="AO264" s="249"/>
      <c r="AP264" s="195"/>
      <c r="AQ264" s="6"/>
      <c r="AR264" s="6"/>
      <c r="AS264" s="6"/>
      <c r="AT264" s="6"/>
      <c r="AU264" s="6"/>
    </row>
    <row r="265" spans="28:47" x14ac:dyDescent="0.25">
      <c r="AB265" s="6"/>
      <c r="AC265" s="6"/>
      <c r="AG265" s="6"/>
      <c r="AH265" s="6"/>
      <c r="AI265" s="6"/>
      <c r="AJ265" s="6"/>
      <c r="AK265" s="6"/>
      <c r="AL265" s="6"/>
      <c r="AM265" s="6"/>
      <c r="AN265" s="6"/>
      <c r="AO265" s="249"/>
      <c r="AP265" s="195"/>
      <c r="AQ265" s="6"/>
      <c r="AR265" s="6"/>
      <c r="AS265" s="6"/>
      <c r="AT265" s="6"/>
      <c r="AU265" s="6"/>
    </row>
    <row r="266" spans="28:47" x14ac:dyDescent="0.25">
      <c r="AB266" s="6"/>
      <c r="AC266" s="6"/>
      <c r="AG266" s="6"/>
      <c r="AH266" s="6"/>
      <c r="AI266" s="6"/>
      <c r="AJ266" s="6"/>
      <c r="AK266" s="6"/>
      <c r="AL266" s="6"/>
      <c r="AM266" s="6"/>
      <c r="AN266" s="6"/>
      <c r="AO266" s="249"/>
      <c r="AP266" s="195"/>
      <c r="AQ266" s="6"/>
      <c r="AR266" s="6"/>
      <c r="AS266" s="6"/>
      <c r="AT266" s="6"/>
      <c r="AU266" s="6"/>
    </row>
    <row r="267" spans="28:47" x14ac:dyDescent="0.25">
      <c r="AB267" s="6"/>
      <c r="AC267" s="6"/>
      <c r="AG267" s="6"/>
      <c r="AH267" s="6"/>
      <c r="AI267" s="6"/>
      <c r="AJ267" s="6"/>
      <c r="AK267" s="6"/>
      <c r="AL267" s="6"/>
      <c r="AM267" s="6"/>
      <c r="AN267" s="6"/>
      <c r="AO267" s="249"/>
      <c r="AP267" s="195"/>
      <c r="AQ267" s="6"/>
      <c r="AR267" s="6"/>
      <c r="AS267" s="6"/>
      <c r="AT267" s="6"/>
      <c r="AU267" s="6"/>
    </row>
    <row r="268" spans="28:47" x14ac:dyDescent="0.25">
      <c r="AB268" s="6"/>
      <c r="AC268" s="6"/>
      <c r="AG268" s="6"/>
      <c r="AH268" s="6"/>
      <c r="AI268" s="6"/>
      <c r="AJ268" s="6"/>
      <c r="AK268" s="6"/>
      <c r="AL268" s="6"/>
      <c r="AM268" s="6"/>
      <c r="AN268" s="6"/>
      <c r="AO268" s="249"/>
      <c r="AP268" s="195"/>
      <c r="AQ268" s="6"/>
      <c r="AR268" s="6"/>
      <c r="AS268" s="6"/>
      <c r="AT268" s="6"/>
      <c r="AU268" s="6"/>
    </row>
    <row r="269" spans="28:47" x14ac:dyDescent="0.25">
      <c r="AB269" s="6"/>
      <c r="AC269" s="6"/>
      <c r="AG269" s="6"/>
      <c r="AH269" s="6"/>
      <c r="AI269" s="6"/>
      <c r="AJ269" s="6"/>
      <c r="AK269" s="6"/>
      <c r="AL269" s="6"/>
      <c r="AM269" s="6"/>
      <c r="AN269" s="6"/>
      <c r="AO269" s="249"/>
      <c r="AP269" s="195"/>
      <c r="AQ269" s="6"/>
      <c r="AR269" s="6"/>
      <c r="AS269" s="6"/>
      <c r="AT269" s="6"/>
      <c r="AU269" s="6"/>
    </row>
    <row r="270" spans="28:47" x14ac:dyDescent="0.25">
      <c r="AB270" s="6"/>
      <c r="AC270" s="6"/>
      <c r="AG270" s="6"/>
      <c r="AH270" s="6"/>
      <c r="AI270" s="6"/>
      <c r="AJ270" s="6"/>
      <c r="AK270" s="6"/>
      <c r="AL270" s="6"/>
      <c r="AM270" s="6"/>
      <c r="AN270" s="6"/>
      <c r="AO270" s="249"/>
      <c r="AP270" s="195"/>
      <c r="AQ270" s="6"/>
      <c r="AR270" s="6"/>
      <c r="AS270" s="6"/>
      <c r="AT270" s="6"/>
      <c r="AU270" s="6"/>
    </row>
    <row r="271" spans="28:47" x14ac:dyDescent="0.25">
      <c r="AB271" s="6"/>
      <c r="AC271" s="6"/>
      <c r="AG271" s="6"/>
      <c r="AH271" s="6"/>
      <c r="AI271" s="6"/>
      <c r="AJ271" s="6"/>
      <c r="AK271" s="6"/>
      <c r="AL271" s="6"/>
      <c r="AM271" s="6"/>
      <c r="AN271" s="6"/>
      <c r="AO271" s="249"/>
      <c r="AP271" s="195"/>
      <c r="AQ271" s="6"/>
      <c r="AR271" s="6"/>
      <c r="AS271" s="6"/>
      <c r="AT271" s="6"/>
      <c r="AU271" s="6"/>
    </row>
    <row r="272" spans="28:47" x14ac:dyDescent="0.25">
      <c r="AB272" s="6"/>
      <c r="AC272" s="6"/>
      <c r="AG272" s="6"/>
      <c r="AH272" s="6"/>
      <c r="AI272" s="6"/>
      <c r="AJ272" s="6"/>
      <c r="AK272" s="6"/>
      <c r="AL272" s="6"/>
      <c r="AM272" s="6"/>
      <c r="AN272" s="6"/>
      <c r="AO272" s="249"/>
      <c r="AP272" s="195"/>
      <c r="AQ272" s="6"/>
      <c r="AR272" s="6"/>
      <c r="AS272" s="6"/>
      <c r="AT272" s="6"/>
      <c r="AU272" s="6"/>
    </row>
    <row r="273" spans="28:47" x14ac:dyDescent="0.25">
      <c r="AB273" s="6"/>
      <c r="AC273" s="6"/>
      <c r="AG273" s="6"/>
      <c r="AH273" s="6"/>
      <c r="AI273" s="6"/>
      <c r="AJ273" s="6"/>
      <c r="AK273" s="6"/>
      <c r="AL273" s="6"/>
      <c r="AM273" s="6"/>
      <c r="AN273" s="6"/>
      <c r="AO273" s="249"/>
      <c r="AP273" s="195"/>
      <c r="AQ273" s="6"/>
      <c r="AR273" s="6"/>
      <c r="AS273" s="6"/>
      <c r="AT273" s="6"/>
      <c r="AU273" s="6"/>
    </row>
    <row r="274" spans="28:47" x14ac:dyDescent="0.25">
      <c r="AB274" s="6"/>
      <c r="AC274" s="6"/>
      <c r="AG274" s="6"/>
      <c r="AH274" s="6"/>
      <c r="AI274" s="6"/>
      <c r="AJ274" s="6"/>
      <c r="AK274" s="6"/>
      <c r="AL274" s="6"/>
      <c r="AM274" s="6"/>
      <c r="AN274" s="6"/>
      <c r="AO274" s="249"/>
      <c r="AP274" s="195"/>
      <c r="AQ274" s="6"/>
      <c r="AR274" s="6"/>
      <c r="AS274" s="6"/>
      <c r="AT274" s="6"/>
      <c r="AU274" s="6"/>
    </row>
    <row r="275" spans="28:47" x14ac:dyDescent="0.25">
      <c r="AB275" s="6"/>
      <c r="AC275" s="6"/>
      <c r="AG275" s="6"/>
      <c r="AH275" s="6"/>
      <c r="AI275" s="6"/>
      <c r="AJ275" s="6"/>
      <c r="AK275" s="6"/>
      <c r="AL275" s="6"/>
      <c r="AM275" s="6"/>
      <c r="AN275" s="6"/>
      <c r="AO275" s="249"/>
      <c r="AP275" s="195"/>
      <c r="AQ275" s="6"/>
      <c r="AR275" s="6"/>
      <c r="AS275" s="6"/>
      <c r="AT275" s="6"/>
      <c r="AU275" s="6"/>
    </row>
    <row r="276" spans="28:47" x14ac:dyDescent="0.25">
      <c r="AB276" s="6"/>
      <c r="AC276" s="6"/>
      <c r="AG276" s="6"/>
      <c r="AH276" s="6"/>
      <c r="AI276" s="6"/>
      <c r="AJ276" s="6"/>
      <c r="AK276" s="6"/>
      <c r="AL276" s="6"/>
      <c r="AM276" s="6"/>
      <c r="AN276" s="6"/>
      <c r="AO276" s="249"/>
      <c r="AP276" s="195"/>
      <c r="AQ276" s="6"/>
      <c r="AR276" s="6"/>
      <c r="AS276" s="6"/>
      <c r="AT276" s="6"/>
      <c r="AU276" s="6"/>
    </row>
    <row r="277" spans="28:47" x14ac:dyDescent="0.25">
      <c r="AB277" s="6"/>
      <c r="AC277" s="6"/>
      <c r="AG277" s="6"/>
      <c r="AH277" s="6"/>
      <c r="AI277" s="6"/>
      <c r="AJ277" s="6"/>
      <c r="AK277" s="6"/>
      <c r="AL277" s="6"/>
      <c r="AM277" s="6"/>
      <c r="AN277" s="6"/>
      <c r="AO277" s="249"/>
      <c r="AP277" s="195"/>
      <c r="AQ277" s="6"/>
      <c r="AR277" s="6"/>
      <c r="AS277" s="6"/>
      <c r="AT277" s="6"/>
      <c r="AU277" s="6"/>
    </row>
    <row r="278" spans="28:47" x14ac:dyDescent="0.25">
      <c r="AB278" s="6"/>
      <c r="AC278" s="6"/>
      <c r="AG278" s="6"/>
      <c r="AH278" s="6"/>
      <c r="AI278" s="6"/>
      <c r="AJ278" s="6"/>
      <c r="AK278" s="6"/>
      <c r="AL278" s="6"/>
      <c r="AM278" s="6"/>
      <c r="AN278" s="6"/>
      <c r="AO278" s="249"/>
      <c r="AP278" s="195"/>
      <c r="AQ278" s="6"/>
      <c r="AR278" s="6"/>
      <c r="AS278" s="6"/>
      <c r="AT278" s="6"/>
      <c r="AU278" s="6"/>
    </row>
    <row r="279" spans="28:47" x14ac:dyDescent="0.25">
      <c r="AB279" s="6"/>
      <c r="AC279" s="6"/>
      <c r="AG279" s="6"/>
      <c r="AH279" s="6"/>
      <c r="AI279" s="6"/>
      <c r="AJ279" s="6"/>
      <c r="AK279" s="6"/>
      <c r="AL279" s="6"/>
      <c r="AM279" s="6"/>
      <c r="AN279" s="6"/>
      <c r="AO279" s="249"/>
      <c r="AP279" s="195"/>
      <c r="AQ279" s="6"/>
      <c r="AR279" s="6"/>
      <c r="AS279" s="6"/>
      <c r="AT279" s="6"/>
      <c r="AU279" s="6"/>
    </row>
    <row r="280" spans="28:47" x14ac:dyDescent="0.25">
      <c r="AB280" s="6"/>
      <c r="AC280" s="6"/>
      <c r="AG280" s="6"/>
      <c r="AH280" s="6"/>
      <c r="AI280" s="6"/>
      <c r="AJ280" s="6"/>
      <c r="AK280" s="6"/>
      <c r="AL280" s="6"/>
      <c r="AM280" s="6"/>
      <c r="AN280" s="6"/>
      <c r="AO280" s="249"/>
      <c r="AP280" s="195"/>
      <c r="AQ280" s="6"/>
      <c r="AR280" s="6"/>
      <c r="AS280" s="6"/>
      <c r="AT280" s="6"/>
      <c r="AU280" s="6"/>
    </row>
    <row r="281" spans="28:47" x14ac:dyDescent="0.25">
      <c r="AB281" s="6"/>
      <c r="AC281" s="6"/>
      <c r="AG281" s="6"/>
      <c r="AH281" s="6"/>
      <c r="AI281" s="6"/>
      <c r="AJ281" s="6"/>
      <c r="AK281" s="6"/>
      <c r="AL281" s="6"/>
      <c r="AM281" s="6"/>
      <c r="AN281" s="6"/>
      <c r="AO281" s="249"/>
      <c r="AP281" s="195"/>
      <c r="AQ281" s="6"/>
      <c r="AR281" s="6"/>
      <c r="AS281" s="6"/>
      <c r="AT281" s="6"/>
      <c r="AU281" s="6"/>
    </row>
    <row r="282" spans="28:47" x14ac:dyDescent="0.25">
      <c r="AB282" s="6"/>
      <c r="AC282" s="6"/>
      <c r="AG282" s="6"/>
      <c r="AH282" s="6"/>
      <c r="AI282" s="6"/>
      <c r="AJ282" s="6"/>
      <c r="AK282" s="6"/>
      <c r="AL282" s="6"/>
      <c r="AM282" s="6"/>
      <c r="AN282" s="6"/>
      <c r="AO282" s="249"/>
      <c r="AP282" s="195"/>
      <c r="AQ282" s="6"/>
      <c r="AR282" s="6"/>
      <c r="AS282" s="6"/>
      <c r="AT282" s="6"/>
      <c r="AU282" s="6"/>
    </row>
    <row r="283" spans="28:47" x14ac:dyDescent="0.25">
      <c r="AB283" s="6"/>
      <c r="AC283" s="6"/>
      <c r="AG283" s="6"/>
      <c r="AH283" s="6"/>
      <c r="AI283" s="6"/>
      <c r="AJ283" s="6"/>
      <c r="AK283" s="6"/>
      <c r="AL283" s="6"/>
      <c r="AM283" s="6"/>
      <c r="AN283" s="6"/>
      <c r="AO283" s="249"/>
      <c r="AP283" s="195"/>
      <c r="AQ283" s="6"/>
      <c r="AR283" s="6"/>
      <c r="AS283" s="6"/>
      <c r="AT283" s="6"/>
      <c r="AU283" s="6"/>
    </row>
    <row r="284" spans="28:47" x14ac:dyDescent="0.25">
      <c r="AB284" s="6"/>
      <c r="AC284" s="6"/>
      <c r="AG284" s="6"/>
      <c r="AH284" s="6"/>
      <c r="AI284" s="6"/>
      <c r="AJ284" s="6"/>
      <c r="AK284" s="6"/>
      <c r="AL284" s="6"/>
      <c r="AM284" s="6"/>
      <c r="AN284" s="6"/>
      <c r="AO284" s="249"/>
      <c r="AP284" s="195"/>
      <c r="AQ284" s="6"/>
      <c r="AR284" s="6"/>
      <c r="AS284" s="6"/>
      <c r="AT284" s="6"/>
      <c r="AU284" s="6"/>
    </row>
    <row r="285" spans="28:47" x14ac:dyDescent="0.25">
      <c r="AB285" s="6"/>
      <c r="AC285" s="6"/>
      <c r="AG285" s="6"/>
      <c r="AH285" s="6"/>
      <c r="AI285" s="6"/>
      <c r="AJ285" s="6"/>
      <c r="AK285" s="6"/>
      <c r="AL285" s="6"/>
      <c r="AM285" s="6"/>
      <c r="AN285" s="6"/>
      <c r="AO285" s="249"/>
      <c r="AP285" s="195"/>
      <c r="AQ285" s="6"/>
      <c r="AR285" s="6"/>
      <c r="AS285" s="6"/>
      <c r="AT285" s="6"/>
      <c r="AU285" s="6"/>
    </row>
    <row r="286" spans="28:47" x14ac:dyDescent="0.25">
      <c r="AB286" s="6"/>
      <c r="AC286" s="6"/>
      <c r="AG286" s="6"/>
      <c r="AH286" s="6"/>
      <c r="AI286" s="6"/>
      <c r="AJ286" s="6"/>
      <c r="AK286" s="6"/>
      <c r="AL286" s="6"/>
      <c r="AM286" s="6"/>
      <c r="AN286" s="6"/>
      <c r="AO286" s="249"/>
      <c r="AP286" s="195"/>
      <c r="AQ286" s="6"/>
      <c r="AR286" s="6"/>
      <c r="AS286" s="6"/>
      <c r="AT286" s="6"/>
      <c r="AU286" s="6"/>
    </row>
    <row r="287" spans="28:47" x14ac:dyDescent="0.25">
      <c r="AB287" s="6"/>
      <c r="AC287" s="6"/>
      <c r="AG287" s="6"/>
      <c r="AH287" s="6"/>
      <c r="AI287" s="6"/>
      <c r="AJ287" s="6"/>
      <c r="AK287" s="6"/>
      <c r="AL287" s="6"/>
      <c r="AM287" s="6"/>
      <c r="AN287" s="6"/>
      <c r="AO287" s="249"/>
      <c r="AP287" s="195"/>
      <c r="AQ287" s="6"/>
      <c r="AR287" s="6"/>
      <c r="AS287" s="6"/>
      <c r="AT287" s="6"/>
      <c r="AU287" s="6"/>
    </row>
    <row r="288" spans="28:47" x14ac:dyDescent="0.25">
      <c r="AB288" s="6"/>
      <c r="AC288" s="6"/>
      <c r="AG288" s="6"/>
      <c r="AH288" s="6"/>
      <c r="AI288" s="6"/>
      <c r="AJ288" s="6"/>
      <c r="AK288" s="6"/>
      <c r="AL288" s="6"/>
      <c r="AM288" s="6"/>
      <c r="AN288" s="6"/>
      <c r="AO288" s="249"/>
      <c r="AP288" s="195"/>
      <c r="AQ288" s="6"/>
      <c r="AR288" s="6"/>
      <c r="AS288" s="6"/>
      <c r="AT288" s="6"/>
      <c r="AU288" s="6"/>
    </row>
    <row r="289" spans="28:47" x14ac:dyDescent="0.25">
      <c r="AB289" s="6"/>
      <c r="AC289" s="6"/>
      <c r="AG289" s="6"/>
      <c r="AH289" s="6"/>
      <c r="AI289" s="6"/>
      <c r="AJ289" s="6"/>
      <c r="AK289" s="6"/>
      <c r="AL289" s="6"/>
      <c r="AM289" s="6"/>
      <c r="AN289" s="6"/>
      <c r="AO289" s="249"/>
      <c r="AP289" s="195"/>
      <c r="AQ289" s="6"/>
      <c r="AR289" s="6"/>
      <c r="AS289" s="6"/>
      <c r="AT289" s="6"/>
      <c r="AU289" s="6"/>
    </row>
    <row r="290" spans="28:47" x14ac:dyDescent="0.25">
      <c r="AB290" s="6"/>
      <c r="AC290" s="6"/>
      <c r="AG290" s="6"/>
      <c r="AH290" s="6"/>
      <c r="AI290" s="6"/>
      <c r="AJ290" s="6"/>
      <c r="AK290" s="6"/>
      <c r="AL290" s="6"/>
      <c r="AM290" s="6"/>
      <c r="AN290" s="6"/>
      <c r="AO290" s="249"/>
      <c r="AP290" s="195"/>
      <c r="AQ290" s="6"/>
      <c r="AR290" s="6"/>
      <c r="AS290" s="6"/>
      <c r="AT290" s="6"/>
      <c r="AU290" s="6"/>
    </row>
    <row r="291" spans="28:47" x14ac:dyDescent="0.25">
      <c r="AB291" s="6"/>
      <c r="AC291" s="6"/>
      <c r="AG291" s="6"/>
      <c r="AH291" s="6"/>
      <c r="AI291" s="6"/>
      <c r="AJ291" s="6"/>
      <c r="AK291" s="6"/>
      <c r="AL291" s="6"/>
      <c r="AM291" s="6"/>
      <c r="AN291" s="6"/>
      <c r="AO291" s="249"/>
      <c r="AP291" s="195"/>
      <c r="AQ291" s="6"/>
      <c r="AR291" s="6"/>
      <c r="AS291" s="6"/>
      <c r="AT291" s="6"/>
      <c r="AU291" s="6"/>
    </row>
    <row r="292" spans="28:47" x14ac:dyDescent="0.25">
      <c r="AB292" s="6"/>
      <c r="AC292" s="6"/>
      <c r="AG292" s="6"/>
      <c r="AH292" s="6"/>
      <c r="AI292" s="6"/>
      <c r="AJ292" s="6"/>
      <c r="AK292" s="6"/>
      <c r="AL292" s="6"/>
      <c r="AM292" s="6"/>
      <c r="AN292" s="6"/>
      <c r="AO292" s="249"/>
      <c r="AP292" s="195"/>
      <c r="AQ292" s="6"/>
      <c r="AR292" s="6"/>
      <c r="AS292" s="6"/>
      <c r="AT292" s="6"/>
      <c r="AU292" s="6"/>
    </row>
    <row r="293" spans="28:47" x14ac:dyDescent="0.25">
      <c r="AB293" s="6"/>
      <c r="AC293" s="6"/>
      <c r="AG293" s="6"/>
      <c r="AH293" s="6"/>
      <c r="AI293" s="6"/>
      <c r="AJ293" s="6"/>
      <c r="AK293" s="6"/>
      <c r="AL293" s="6"/>
      <c r="AM293" s="6"/>
      <c r="AN293" s="6"/>
      <c r="AO293" s="249"/>
      <c r="AP293" s="195"/>
      <c r="AQ293" s="6"/>
      <c r="AR293" s="6"/>
      <c r="AS293" s="6"/>
      <c r="AT293" s="6"/>
      <c r="AU293" s="6"/>
    </row>
    <row r="294" spans="28:47" x14ac:dyDescent="0.25">
      <c r="AB294" s="6"/>
      <c r="AC294" s="6"/>
      <c r="AG294" s="6"/>
      <c r="AH294" s="6"/>
      <c r="AI294" s="6"/>
      <c r="AJ294" s="6"/>
      <c r="AK294" s="6"/>
      <c r="AL294" s="6"/>
      <c r="AM294" s="6"/>
      <c r="AN294" s="6"/>
      <c r="AO294" s="249"/>
      <c r="AP294" s="195"/>
      <c r="AQ294" s="6"/>
      <c r="AR294" s="6"/>
      <c r="AS294" s="6"/>
      <c r="AT294" s="6"/>
      <c r="AU294" s="6"/>
    </row>
    <row r="295" spans="28:47" x14ac:dyDescent="0.25">
      <c r="AB295" s="6"/>
      <c r="AC295" s="6"/>
      <c r="AG295" s="6"/>
      <c r="AH295" s="6"/>
      <c r="AI295" s="6"/>
      <c r="AJ295" s="6"/>
      <c r="AK295" s="6"/>
      <c r="AL295" s="6"/>
      <c r="AM295" s="6"/>
      <c r="AN295" s="6"/>
      <c r="AO295" s="249"/>
      <c r="AP295" s="195"/>
      <c r="AQ295" s="6"/>
      <c r="AR295" s="6"/>
      <c r="AS295" s="6"/>
      <c r="AT295" s="6"/>
      <c r="AU295" s="6"/>
    </row>
    <row r="296" spans="28:47" x14ac:dyDescent="0.25">
      <c r="AB296" s="6"/>
      <c r="AC296" s="6"/>
      <c r="AG296" s="6"/>
      <c r="AH296" s="6"/>
      <c r="AI296" s="6"/>
      <c r="AJ296" s="6"/>
      <c r="AK296" s="6"/>
      <c r="AL296" s="6"/>
      <c r="AM296" s="6"/>
      <c r="AN296" s="6"/>
      <c r="AO296" s="249"/>
      <c r="AP296" s="195"/>
      <c r="AQ296" s="6"/>
      <c r="AR296" s="6"/>
      <c r="AS296" s="6"/>
      <c r="AT296" s="6"/>
      <c r="AU296" s="6"/>
    </row>
    <row r="297" spans="28:47" x14ac:dyDescent="0.25">
      <c r="AB297" s="6"/>
      <c r="AC297" s="6"/>
      <c r="AG297" s="6"/>
      <c r="AH297" s="6"/>
      <c r="AI297" s="6"/>
      <c r="AJ297" s="6"/>
      <c r="AK297" s="6"/>
      <c r="AL297" s="6"/>
      <c r="AM297" s="6"/>
      <c r="AN297" s="6"/>
      <c r="AO297" s="249"/>
      <c r="AP297" s="195"/>
      <c r="AQ297" s="6"/>
      <c r="AR297" s="6"/>
      <c r="AS297" s="6"/>
      <c r="AT297" s="6"/>
      <c r="AU297" s="6"/>
    </row>
    <row r="298" spans="28:47" x14ac:dyDescent="0.25">
      <c r="AB298" s="6"/>
      <c r="AC298" s="6"/>
      <c r="AG298" s="6"/>
      <c r="AH298" s="6"/>
      <c r="AI298" s="6"/>
      <c r="AJ298" s="6"/>
      <c r="AK298" s="6"/>
      <c r="AL298" s="6"/>
      <c r="AM298" s="6"/>
      <c r="AN298" s="6"/>
      <c r="AO298" s="249"/>
      <c r="AP298" s="195"/>
      <c r="AQ298" s="6"/>
      <c r="AR298" s="6"/>
      <c r="AS298" s="6"/>
      <c r="AT298" s="6"/>
      <c r="AU298" s="6"/>
    </row>
    <row r="299" spans="28:47" x14ac:dyDescent="0.25">
      <c r="AB299" s="6"/>
      <c r="AC299" s="6"/>
      <c r="AG299" s="6"/>
      <c r="AH299" s="6"/>
      <c r="AI299" s="6"/>
      <c r="AJ299" s="6"/>
      <c r="AK299" s="6"/>
      <c r="AL299" s="6"/>
      <c r="AM299" s="6"/>
      <c r="AN299" s="6"/>
      <c r="AO299" s="249"/>
      <c r="AP299" s="195"/>
      <c r="AQ299" s="6"/>
      <c r="AR299" s="6"/>
      <c r="AS299" s="6"/>
      <c r="AT299" s="6"/>
      <c r="AU299" s="6"/>
    </row>
    <row r="300" spans="28:47" x14ac:dyDescent="0.25">
      <c r="AB300" s="6"/>
      <c r="AC300" s="6"/>
      <c r="AG300" s="6"/>
      <c r="AH300" s="6"/>
      <c r="AI300" s="6"/>
      <c r="AJ300" s="6"/>
      <c r="AK300" s="6"/>
      <c r="AL300" s="6"/>
      <c r="AM300" s="6"/>
      <c r="AN300" s="6"/>
      <c r="AO300" s="249"/>
      <c r="AP300" s="195"/>
      <c r="AQ300" s="6"/>
      <c r="AR300" s="6"/>
      <c r="AS300" s="6"/>
      <c r="AT300" s="6"/>
      <c r="AU300" s="6"/>
    </row>
    <row r="301" spans="28:47" x14ac:dyDescent="0.25">
      <c r="AB301" s="6"/>
      <c r="AC301" s="6"/>
      <c r="AG301" s="6"/>
      <c r="AH301" s="6"/>
      <c r="AI301" s="6"/>
      <c r="AJ301" s="6"/>
      <c r="AK301" s="6"/>
      <c r="AL301" s="6"/>
      <c r="AM301" s="6"/>
      <c r="AN301" s="6"/>
      <c r="AO301" s="249"/>
      <c r="AP301" s="195"/>
      <c r="AQ301" s="6"/>
      <c r="AR301" s="6"/>
      <c r="AS301" s="6"/>
      <c r="AT301" s="6"/>
      <c r="AU301" s="6"/>
    </row>
    <row r="302" spans="28:47" x14ac:dyDescent="0.25">
      <c r="AB302" s="6"/>
      <c r="AC302" s="6"/>
      <c r="AG302" s="6"/>
      <c r="AH302" s="6"/>
      <c r="AI302" s="6"/>
      <c r="AJ302" s="6"/>
      <c r="AK302" s="6"/>
      <c r="AL302" s="6"/>
      <c r="AM302" s="6"/>
      <c r="AN302" s="6"/>
      <c r="AO302" s="249"/>
      <c r="AP302" s="195"/>
      <c r="AQ302" s="6"/>
      <c r="AR302" s="6"/>
      <c r="AS302" s="6"/>
      <c r="AT302" s="6"/>
      <c r="AU302" s="6"/>
    </row>
    <row r="303" spans="28:47" x14ac:dyDescent="0.25">
      <c r="AB303" s="6"/>
      <c r="AC303" s="6"/>
      <c r="AG303" s="6"/>
      <c r="AH303" s="6"/>
      <c r="AI303" s="6"/>
      <c r="AJ303" s="6"/>
      <c r="AK303" s="6"/>
      <c r="AL303" s="6"/>
      <c r="AM303" s="6"/>
      <c r="AN303" s="6"/>
      <c r="AO303" s="249"/>
      <c r="AP303" s="195"/>
      <c r="AQ303" s="6"/>
      <c r="AR303" s="6"/>
      <c r="AS303" s="6"/>
      <c r="AT303" s="6"/>
      <c r="AU303" s="6"/>
    </row>
    <row r="304" spans="28:47" x14ac:dyDescent="0.25">
      <c r="AB304" s="6"/>
      <c r="AC304" s="6"/>
      <c r="AG304" s="6"/>
      <c r="AH304" s="6"/>
      <c r="AI304" s="6"/>
      <c r="AJ304" s="6"/>
      <c r="AK304" s="6"/>
      <c r="AL304" s="6"/>
      <c r="AM304" s="6"/>
      <c r="AN304" s="6"/>
      <c r="AO304" s="249"/>
      <c r="AP304" s="195"/>
      <c r="AQ304" s="6"/>
      <c r="AR304" s="6"/>
      <c r="AS304" s="6"/>
      <c r="AT304" s="6"/>
      <c r="AU304" s="6"/>
    </row>
    <row r="305" spans="28:47" x14ac:dyDescent="0.25">
      <c r="AB305" s="6"/>
      <c r="AC305" s="6"/>
      <c r="AG305" s="6"/>
      <c r="AH305" s="6"/>
      <c r="AI305" s="6"/>
      <c r="AJ305" s="6"/>
      <c r="AK305" s="6"/>
      <c r="AL305" s="6"/>
      <c r="AM305" s="6"/>
      <c r="AN305" s="6"/>
      <c r="AO305" s="249"/>
      <c r="AP305" s="195"/>
      <c r="AQ305" s="6"/>
      <c r="AR305" s="6"/>
      <c r="AS305" s="6"/>
      <c r="AT305" s="6"/>
      <c r="AU305" s="6"/>
    </row>
    <row r="306" spans="28:47" x14ac:dyDescent="0.25">
      <c r="AB306" s="6"/>
      <c r="AC306" s="6"/>
      <c r="AG306" s="6"/>
      <c r="AH306" s="6"/>
      <c r="AI306" s="6"/>
      <c r="AJ306" s="6"/>
      <c r="AK306" s="6"/>
      <c r="AL306" s="6"/>
      <c r="AM306" s="6"/>
      <c r="AN306" s="6"/>
      <c r="AO306" s="249"/>
      <c r="AP306" s="195"/>
      <c r="AQ306" s="6"/>
      <c r="AR306" s="6"/>
      <c r="AS306" s="6"/>
      <c r="AT306" s="6"/>
      <c r="AU306" s="6"/>
    </row>
    <row r="307" spans="28:47" x14ac:dyDescent="0.25">
      <c r="AB307" s="6"/>
      <c r="AC307" s="6"/>
      <c r="AG307" s="6"/>
      <c r="AH307" s="6"/>
      <c r="AI307" s="6"/>
      <c r="AJ307" s="6"/>
      <c r="AK307" s="6"/>
      <c r="AL307" s="6"/>
      <c r="AM307" s="6"/>
      <c r="AN307" s="6"/>
      <c r="AO307" s="249"/>
      <c r="AP307" s="195"/>
      <c r="AQ307" s="6"/>
      <c r="AR307" s="6"/>
      <c r="AS307" s="6"/>
      <c r="AT307" s="6"/>
      <c r="AU307" s="6"/>
    </row>
  </sheetData>
  <mergeCells count="14">
    <mergeCell ref="B10:C10"/>
    <mergeCell ref="D10:H10"/>
    <mergeCell ref="K10:AA10"/>
    <mergeCell ref="B11:C11"/>
    <mergeCell ref="AV10:AW10"/>
    <mergeCell ref="AN10:AU10"/>
    <mergeCell ref="AJ6:AK6"/>
    <mergeCell ref="BU50:DE50"/>
    <mergeCell ref="AB10:AG10"/>
    <mergeCell ref="AH10:AK10"/>
    <mergeCell ref="AL10:AM10"/>
    <mergeCell ref="AX10:AY10"/>
    <mergeCell ref="AZ10:BH10"/>
    <mergeCell ref="AV7:AW7"/>
  </mergeCells>
  <phoneticPr fontId="30" type="noConversion"/>
  <conditionalFormatting sqref="N13:O46">
    <cfRule type="cellIs" dxfId="8" priority="5" stopIfTrue="1" operator="greaterThan">
      <formula>1800</formula>
    </cfRule>
  </conditionalFormatting>
  <conditionalFormatting sqref="BU13:DE46">
    <cfRule type="cellIs" dxfId="7" priority="4" operator="greaterThan">
      <formula>0</formula>
    </cfRule>
  </conditionalFormatting>
  <conditionalFormatting sqref="BU51:DE84">
    <cfRule type="cellIs" dxfId="6" priority="3" operator="greaterThan">
      <formula>0</formula>
    </cfRule>
  </conditionalFormatting>
  <conditionalFormatting sqref="BH13:BH46">
    <cfRule type="cellIs" dxfId="5" priority="1" operator="greaterThan">
      <formula>0</formula>
    </cfRule>
    <cfRule type="cellIs" dxfId="4" priority="2" operator="lessThan">
      <formula>0</formula>
    </cfRule>
  </conditionalFormatting>
  <hyperlinks>
    <hyperlink ref="H50" r:id="rId1" xr:uid="{2F5B2FA1-1C22-4583-B47D-EFB11A576786}"/>
    <hyperlink ref="H51" r:id="rId2" xr:uid="{5747306A-5615-4D88-9E77-BFD76A81D882}"/>
    <hyperlink ref="H52" r:id="rId3" xr:uid="{26828731-B185-4778-A5BB-AD89D58344E8}"/>
    <hyperlink ref="H53" r:id="rId4" xr:uid="{88C74B96-15D2-45EF-8484-9524C3F5CE89}"/>
  </hyperlinks>
  <pageMargins left="0.75" right="0.75" top="1" bottom="1" header="0.5" footer="0.5"/>
  <pageSetup paperSize="9" orientation="portrait" r:id="rId5"/>
  <headerFooter alignWithMargins="0"/>
  <ignoredErrors>
    <ignoredError sqref="AJ14 AJ16:AJ43" formula="1"/>
  </ignoredErrors>
  <drawing r:id="rId6"/>
  <legacyDrawing r:id="rId7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D5124AA-5B94-498A-8C86-AC613B6DA895}">
          <x14:formula1>
            <xm:f>'Solar Panels'!$G$6:$G$17</xm:f>
          </x14:formula1>
          <xm:sqref>AX7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Y13"/>
  <sheetViews>
    <sheetView zoomScale="80" zoomScaleNormal="80" workbookViewId="0">
      <selection activeCell="B35" sqref="B35"/>
    </sheetView>
  </sheetViews>
  <sheetFormatPr defaultRowHeight="13.2" x14ac:dyDescent="0.25"/>
  <sheetData>
    <row r="4" spans="1:25" x14ac:dyDescent="0.25"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</row>
    <row r="5" spans="1:25" ht="14.4" x14ac:dyDescent="0.25">
      <c r="A5" t="s">
        <v>84</v>
      </c>
      <c r="C5" s="33" t="s">
        <v>30</v>
      </c>
      <c r="D5" s="38">
        <v>0</v>
      </c>
      <c r="E5" s="38">
        <v>0.11700000000000001</v>
      </c>
      <c r="F5" s="38">
        <v>0.22800000000000001</v>
      </c>
      <c r="G5" s="38">
        <v>0.34699999999999998</v>
      </c>
      <c r="H5" s="38">
        <v>0.45900000000000002</v>
      </c>
      <c r="I5" s="38">
        <v>0.57399999999999995</v>
      </c>
      <c r="J5" s="38">
        <v>0.69</v>
      </c>
      <c r="K5" s="38">
        <v>0.80300000000000005</v>
      </c>
      <c r="L5" s="38">
        <v>0.91600000000000004</v>
      </c>
      <c r="M5" s="38">
        <v>1.032</v>
      </c>
      <c r="N5" s="38">
        <v>1.145</v>
      </c>
      <c r="O5" s="38">
        <v>1.2629999999999999</v>
      </c>
      <c r="P5" s="38">
        <v>1.375</v>
      </c>
      <c r="Q5" s="38">
        <v>1.4890000000000001</v>
      </c>
      <c r="R5" s="38">
        <v>1.6</v>
      </c>
      <c r="S5" s="38">
        <v>1.718</v>
      </c>
      <c r="T5" s="38">
        <v>1.829</v>
      </c>
      <c r="U5" s="38">
        <v>1.98</v>
      </c>
      <c r="V5" s="38">
        <v>2.0920000000000001</v>
      </c>
      <c r="W5" s="38">
        <v>2.2050000000000001</v>
      </c>
      <c r="X5" s="38">
        <v>2.319</v>
      </c>
      <c r="Y5" s="38">
        <v>2.431</v>
      </c>
    </row>
    <row r="6" spans="1:25" x14ac:dyDescent="0.25">
      <c r="C6" s="34" t="s">
        <v>32</v>
      </c>
      <c r="D6" s="38">
        <v>0.10920000000000001</v>
      </c>
      <c r="E6" s="38">
        <v>0.11559999999999999</v>
      </c>
      <c r="F6" s="38">
        <v>0.1191</v>
      </c>
      <c r="G6" s="38">
        <v>0.1207</v>
      </c>
      <c r="H6" s="38">
        <v>0.12239999999999999</v>
      </c>
      <c r="I6" s="38">
        <v>0.1197</v>
      </c>
      <c r="J6" s="38">
        <v>0.1143</v>
      </c>
      <c r="K6" s="38">
        <v>0.11550000000000001</v>
      </c>
      <c r="L6" s="38">
        <v>0.10730000000000001</v>
      </c>
      <c r="M6" s="38">
        <v>0.1053</v>
      </c>
      <c r="N6" s="38">
        <v>0.1026</v>
      </c>
      <c r="O6" s="38">
        <v>9.9500000000000005E-2</v>
      </c>
      <c r="P6" s="38">
        <v>9.5699999999999993E-2</v>
      </c>
      <c r="Q6" s="38">
        <v>9.1600000000000001E-2</v>
      </c>
      <c r="R6" s="38">
        <v>9.35E-2</v>
      </c>
      <c r="S6" s="38">
        <v>7.8299999999999995E-2</v>
      </c>
      <c r="T6" s="38">
        <v>6.8099999999999994E-2</v>
      </c>
      <c r="U6" s="38">
        <v>5.21E-2</v>
      </c>
      <c r="V6" s="38">
        <v>0.04</v>
      </c>
      <c r="W6" s="38">
        <v>2.5600000000000001E-2</v>
      </c>
      <c r="X6" s="38">
        <v>9.9000000000000008E-3</v>
      </c>
      <c r="Y6" s="38">
        <v>-5.3E-3</v>
      </c>
    </row>
    <row r="7" spans="1:25" x14ac:dyDescent="0.25">
      <c r="C7" s="34" t="s">
        <v>50</v>
      </c>
      <c r="D7" s="38">
        <v>0.25790000000000002</v>
      </c>
      <c r="E7" s="38">
        <v>0.26729999999999998</v>
      </c>
      <c r="F7" s="38">
        <v>0.26640000000000003</v>
      </c>
      <c r="G7" s="38">
        <v>0.25890000000000002</v>
      </c>
      <c r="H7" s="38">
        <v>0.2535</v>
      </c>
      <c r="I7" s="38">
        <v>0.25319999999999998</v>
      </c>
      <c r="J7" s="38">
        <v>0.25919999999999999</v>
      </c>
      <c r="K7" s="38">
        <v>0.26240000000000002</v>
      </c>
      <c r="L7" s="38">
        <v>0.26540000000000002</v>
      </c>
      <c r="M7" s="38">
        <v>0.26840000000000003</v>
      </c>
      <c r="N7" s="38">
        <v>0.27160000000000001</v>
      </c>
      <c r="O7" s="38">
        <v>0.27500000000000002</v>
      </c>
      <c r="P7" s="38">
        <v>0.27639999999999998</v>
      </c>
      <c r="Q7" s="38">
        <v>0.27579999999999999</v>
      </c>
      <c r="R7" s="38">
        <v>0.27850000000000003</v>
      </c>
      <c r="S7" s="38">
        <v>0.24809999999999999</v>
      </c>
      <c r="T7" s="38">
        <v>0.22819999999999999</v>
      </c>
      <c r="U7" s="38">
        <v>0.19239999999999999</v>
      </c>
      <c r="V7" s="38">
        <v>0.16439999999999999</v>
      </c>
      <c r="W7" s="38">
        <v>0.13300000000000001</v>
      </c>
      <c r="X7" s="38">
        <v>0.1003</v>
      </c>
      <c r="Y7" s="38">
        <v>6.9699999999999998E-2</v>
      </c>
    </row>
    <row r="8" spans="1:25" x14ac:dyDescent="0.25">
      <c r="D8">
        <f>D6*D5/((D7/10)*2*PI())</f>
        <v>0</v>
      </c>
      <c r="E8">
        <f t="shared" ref="E8:Y8" si="0">E6*E5/((E7/10)*2*PI())</f>
        <v>8.0531329454040512E-2</v>
      </c>
      <c r="F8">
        <f t="shared" si="0"/>
        <v>0.16223050483002249</v>
      </c>
      <c r="G8">
        <f t="shared" si="0"/>
        <v>0.25746892877649835</v>
      </c>
      <c r="H8">
        <f t="shared" si="0"/>
        <v>0.35272502370065589</v>
      </c>
      <c r="I8">
        <f t="shared" si="0"/>
        <v>0.43187938384555002</v>
      </c>
      <c r="J8">
        <f t="shared" si="0"/>
        <v>0.48426207163690238</v>
      </c>
      <c r="K8">
        <f t="shared" si="0"/>
        <v>0.56254054609270088</v>
      </c>
      <c r="L8">
        <f t="shared" si="0"/>
        <v>0.58940580484870009</v>
      </c>
      <c r="M8">
        <f t="shared" si="0"/>
        <v>0.64438539507522463</v>
      </c>
      <c r="N8">
        <f t="shared" si="0"/>
        <v>0.68840372789420423</v>
      </c>
      <c r="O8">
        <f t="shared" si="0"/>
        <v>0.72730047148886712</v>
      </c>
      <c r="P8">
        <f t="shared" si="0"/>
        <v>0.75769902583591819</v>
      </c>
      <c r="Q8">
        <f t="shared" si="0"/>
        <v>0.78707486077472899</v>
      </c>
      <c r="R8">
        <f t="shared" si="0"/>
        <v>0.85492206414892435</v>
      </c>
      <c r="S8">
        <f t="shared" si="0"/>
        <v>0.86293540716468775</v>
      </c>
      <c r="T8">
        <f t="shared" si="0"/>
        <v>0.86869097376497428</v>
      </c>
      <c r="U8">
        <f t="shared" si="0"/>
        <v>0.85333189290404055</v>
      </c>
      <c r="V8">
        <f t="shared" si="0"/>
        <v>0.81010253272079102</v>
      </c>
      <c r="W8">
        <f t="shared" si="0"/>
        <v>0.67548708478581265</v>
      </c>
      <c r="X8">
        <f t="shared" si="0"/>
        <v>0.36429662003968516</v>
      </c>
      <c r="Y8">
        <f t="shared" si="0"/>
        <v>-0.29420373504718894</v>
      </c>
    </row>
    <row r="10" spans="1:25" ht="14.4" x14ac:dyDescent="0.25">
      <c r="A10" t="s">
        <v>85</v>
      </c>
      <c r="C10" s="33" t="s">
        <v>30</v>
      </c>
      <c r="D10" s="62">
        <v>0</v>
      </c>
      <c r="E10" s="62">
        <v>0.19350000000000001</v>
      </c>
      <c r="F10" s="62">
        <v>0.36449999999999999</v>
      </c>
      <c r="G10" s="62">
        <v>0.54120000000000001</v>
      </c>
      <c r="H10" s="62">
        <v>0.71860000000000002</v>
      </c>
      <c r="I10" s="62">
        <v>0.8931</v>
      </c>
      <c r="J10" s="62">
        <v>1.0732999999999999</v>
      </c>
      <c r="K10" s="62">
        <v>1.1642999999999999</v>
      </c>
      <c r="L10" s="62">
        <v>1.2</v>
      </c>
      <c r="M10" s="62">
        <v>1.2771999999999999</v>
      </c>
      <c r="N10" s="62">
        <v>1.32</v>
      </c>
      <c r="O10" s="62">
        <v>1.35</v>
      </c>
      <c r="P10" s="62">
        <v>1.3976</v>
      </c>
      <c r="Q10" s="62">
        <v>1.43</v>
      </c>
      <c r="R10" s="62">
        <v>1.46</v>
      </c>
      <c r="S10" s="62">
        <v>1.49</v>
      </c>
      <c r="T10" s="62">
        <v>1.5124</v>
      </c>
      <c r="U10" s="38"/>
    </row>
    <row r="11" spans="1:25" x14ac:dyDescent="0.25">
      <c r="A11" t="s">
        <v>86</v>
      </c>
      <c r="C11" s="34" t="s">
        <v>32</v>
      </c>
      <c r="D11" s="62">
        <v>0.16750000000000001</v>
      </c>
      <c r="E11" s="62">
        <v>0.17249999999999999</v>
      </c>
      <c r="F11" s="62">
        <v>0.1608</v>
      </c>
      <c r="G11" s="62">
        <v>0.1472</v>
      </c>
      <c r="H11" s="62">
        <v>0.1265</v>
      </c>
      <c r="I11" s="62">
        <v>0.1043</v>
      </c>
      <c r="J11" s="62">
        <v>8.1900000000000001E-2</v>
      </c>
      <c r="K11" s="62">
        <v>6.5699999999999995E-2</v>
      </c>
      <c r="L11" s="62">
        <v>5.8500000000000003E-2</v>
      </c>
      <c r="M11" s="62">
        <v>4.0099999999999997E-2</v>
      </c>
      <c r="N11" s="62">
        <v>0.03</v>
      </c>
      <c r="O11" s="62">
        <v>2.3E-2</v>
      </c>
      <c r="P11" s="62">
        <v>1.34E-2</v>
      </c>
      <c r="Q11" s="62">
        <v>7.0000000000000001E-3</v>
      </c>
      <c r="R11" s="62">
        <v>0</v>
      </c>
      <c r="S11" s="62">
        <v>-5.0000000000000001E-3</v>
      </c>
      <c r="T11" s="62">
        <v>-1.32E-2</v>
      </c>
      <c r="U11" s="38"/>
    </row>
    <row r="12" spans="1:25" x14ac:dyDescent="0.25">
      <c r="C12" s="34" t="s">
        <v>50</v>
      </c>
      <c r="D12" s="62">
        <v>0.32740000000000002</v>
      </c>
      <c r="E12" s="62">
        <v>0.3342</v>
      </c>
      <c r="F12" s="62">
        <v>0.30299999999999999</v>
      </c>
      <c r="G12" s="62">
        <v>0.26550000000000001</v>
      </c>
      <c r="H12" s="62">
        <v>0.22189999999999999</v>
      </c>
      <c r="I12" s="62">
        <v>0.19259999999999999</v>
      </c>
      <c r="J12" s="62">
        <v>0.16819999999999999</v>
      </c>
      <c r="K12" s="62">
        <v>0.14330000000000001</v>
      </c>
      <c r="L12" s="62">
        <v>0.13100000000000001</v>
      </c>
      <c r="M12" s="62">
        <v>9.7299999999999998E-2</v>
      </c>
      <c r="N12" s="62">
        <v>7.9000000000000001E-2</v>
      </c>
      <c r="O12" s="62">
        <v>6.5000000000000002E-2</v>
      </c>
      <c r="P12" s="62">
        <v>4.4999999999999998E-2</v>
      </c>
      <c r="Q12" s="62">
        <v>0.03</v>
      </c>
      <c r="R12" s="62">
        <v>1.7999999999999999E-2</v>
      </c>
      <c r="S12" s="62">
        <v>5.0000000000000001E-3</v>
      </c>
      <c r="T12" s="62">
        <v>-1.3100000000000001E-2</v>
      </c>
      <c r="U12" s="38"/>
    </row>
    <row r="13" spans="1:25" x14ac:dyDescent="0.25">
      <c r="D13">
        <f>D11*D10/((D12/10)*2*PI())</f>
        <v>0</v>
      </c>
      <c r="E13">
        <f t="shared" ref="E13:T13" si="1">E11*E10/((E12/10)*2*PI())</f>
        <v>0.15895849960289055</v>
      </c>
      <c r="F13">
        <f t="shared" si="1"/>
        <v>0.30786554001732447</v>
      </c>
      <c r="G13">
        <f t="shared" si="1"/>
        <v>0.47755258928950389</v>
      </c>
      <c r="H13">
        <f t="shared" si="1"/>
        <v>0.6519894491387227</v>
      </c>
      <c r="I13">
        <f t="shared" si="1"/>
        <v>0.76974742835624466</v>
      </c>
      <c r="J13">
        <f t="shared" si="1"/>
        <v>0.83176218397393054</v>
      </c>
      <c r="K13">
        <f t="shared" si="1"/>
        <v>0.84957985944817982</v>
      </c>
      <c r="L13">
        <f t="shared" si="1"/>
        <v>0.85287610725580554</v>
      </c>
      <c r="M13">
        <f t="shared" si="1"/>
        <v>0.83774254902471179</v>
      </c>
      <c r="N13">
        <f t="shared" si="1"/>
        <v>0.79778933499228555</v>
      </c>
      <c r="O13">
        <f t="shared" si="1"/>
        <v>0.7602709204620538</v>
      </c>
      <c r="P13">
        <f t="shared" si="1"/>
        <v>0.6623618465409159</v>
      </c>
      <c r="Q13">
        <f t="shared" si="1"/>
        <v>0.53104699344995743</v>
      </c>
      <c r="R13">
        <f t="shared" si="1"/>
        <v>0</v>
      </c>
      <c r="S13">
        <f t="shared" si="1"/>
        <v>-2.3714086520692406</v>
      </c>
      <c r="T13">
        <f t="shared" si="1"/>
        <v>2.4254338582479464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FFD3-4E98-4FCD-97FB-DE9179433181}">
  <dimension ref="A1:K79"/>
  <sheetViews>
    <sheetView zoomScale="80" zoomScaleNormal="80" workbookViewId="0">
      <selection activeCell="T53" sqref="T53"/>
    </sheetView>
  </sheetViews>
  <sheetFormatPr defaultRowHeight="13.2" x14ac:dyDescent="0.25"/>
  <sheetData>
    <row r="1" spans="1:7" x14ac:dyDescent="0.25">
      <c r="A1" s="31" t="s">
        <v>116</v>
      </c>
    </row>
    <row r="2" spans="1:7" x14ac:dyDescent="0.25">
      <c r="A2" s="31" t="s">
        <v>125</v>
      </c>
      <c r="B2">
        <v>20</v>
      </c>
      <c r="C2" s="31" t="s">
        <v>37</v>
      </c>
    </row>
    <row r="3" spans="1:7" x14ac:dyDescent="0.25">
      <c r="A3" s="31" t="s">
        <v>117</v>
      </c>
      <c r="B3">
        <v>24</v>
      </c>
      <c r="C3">
        <v>36</v>
      </c>
      <c r="D3">
        <v>48</v>
      </c>
      <c r="E3">
        <v>60</v>
      </c>
      <c r="F3">
        <v>72</v>
      </c>
      <c r="G3" s="31" t="s">
        <v>107</v>
      </c>
    </row>
    <row r="4" spans="1:7" x14ac:dyDescent="0.25">
      <c r="A4" s="31" t="s">
        <v>118</v>
      </c>
      <c r="B4" s="31">
        <v>110</v>
      </c>
      <c r="C4" s="31">
        <v>110</v>
      </c>
      <c r="D4" s="31">
        <v>110</v>
      </c>
      <c r="E4" s="31">
        <v>110</v>
      </c>
      <c r="F4" s="31">
        <v>110</v>
      </c>
      <c r="G4" s="31" t="s">
        <v>109</v>
      </c>
    </row>
    <row r="5" spans="1:7" x14ac:dyDescent="0.25">
      <c r="A5" s="31" t="s">
        <v>119</v>
      </c>
      <c r="B5">
        <v>1080</v>
      </c>
      <c r="C5">
        <v>1700</v>
      </c>
      <c r="D5">
        <v>2300</v>
      </c>
      <c r="E5">
        <v>2870</v>
      </c>
      <c r="F5">
        <v>3480</v>
      </c>
      <c r="G5" s="31" t="s">
        <v>28</v>
      </c>
    </row>
    <row r="6" spans="1:7" x14ac:dyDescent="0.25">
      <c r="A6" s="31" t="s">
        <v>121</v>
      </c>
      <c r="B6" s="1">
        <f>B5/B3</f>
        <v>45</v>
      </c>
      <c r="C6" s="1">
        <f>C5/C3</f>
        <v>47.222222222222221</v>
      </c>
      <c r="D6" s="1">
        <f>D5/D3</f>
        <v>47.916666666666664</v>
      </c>
      <c r="E6" s="1">
        <f>E5/E3</f>
        <v>47.833333333333336</v>
      </c>
      <c r="F6" s="1">
        <f>F5/F3</f>
        <v>48.333333333333336</v>
      </c>
      <c r="G6" s="31" t="s">
        <v>120</v>
      </c>
    </row>
    <row r="7" spans="1:7" x14ac:dyDescent="0.25">
      <c r="A7" s="31" t="s">
        <v>113</v>
      </c>
      <c r="B7">
        <f>B3/(B5*2*PI()/60)</f>
        <v>0.21220659078919379</v>
      </c>
      <c r="C7">
        <f t="shared" ref="C7:F7" si="0">C3/(C5*2*PI()/60)</f>
        <v>0.20222039828146704</v>
      </c>
      <c r="D7">
        <f t="shared" si="0"/>
        <v>0.19928966787159069</v>
      </c>
      <c r="E7">
        <f t="shared" si="0"/>
        <v>0.19963686241492098</v>
      </c>
      <c r="F7">
        <f t="shared" si="0"/>
        <v>0.19757165349338732</v>
      </c>
      <c r="G7" s="31" t="s">
        <v>122</v>
      </c>
    </row>
    <row r="8" spans="1:7" x14ac:dyDescent="0.25">
      <c r="A8" s="31"/>
    </row>
    <row r="10" spans="1:7" x14ac:dyDescent="0.25">
      <c r="A10" s="31" t="s">
        <v>112</v>
      </c>
      <c r="B10" s="31" t="s">
        <v>124</v>
      </c>
      <c r="C10">
        <f>B2/B4</f>
        <v>0.18181818181818182</v>
      </c>
    </row>
    <row r="11" spans="1:7" x14ac:dyDescent="0.25">
      <c r="A11" s="31" t="s">
        <v>113</v>
      </c>
      <c r="B11" s="31" t="s">
        <v>212</v>
      </c>
      <c r="C11">
        <f>D7</f>
        <v>0.19928966787159069</v>
      </c>
    </row>
    <row r="78" spans="2:11" x14ac:dyDescent="0.25">
      <c r="B78" s="31" t="s">
        <v>248</v>
      </c>
      <c r="C78">
        <v>2335</v>
      </c>
      <c r="D78">
        <v>2302</v>
      </c>
      <c r="E78">
        <v>2269</v>
      </c>
      <c r="F78">
        <v>2236</v>
      </c>
      <c r="G78">
        <v>2203</v>
      </c>
      <c r="H78">
        <v>2170</v>
      </c>
      <c r="I78">
        <v>2137</v>
      </c>
      <c r="J78">
        <v>2104</v>
      </c>
      <c r="K78">
        <v>2084</v>
      </c>
    </row>
    <row r="79" spans="2:11" x14ac:dyDescent="0.25">
      <c r="B79" s="31" t="s">
        <v>249</v>
      </c>
      <c r="C79">
        <v>0</v>
      </c>
      <c r="D79">
        <v>5</v>
      </c>
      <c r="E79">
        <v>10</v>
      </c>
      <c r="F79">
        <v>15</v>
      </c>
      <c r="G79">
        <v>20</v>
      </c>
      <c r="H79">
        <v>25</v>
      </c>
      <c r="I79">
        <v>30</v>
      </c>
      <c r="J79">
        <v>35</v>
      </c>
      <c r="K79">
        <v>38</v>
      </c>
    </row>
  </sheetData>
  <phoneticPr fontId="30" type="noConversion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EDCD-DAED-4016-8650-69CBB7CE23C5}">
  <dimension ref="A1:J27"/>
  <sheetViews>
    <sheetView topLeftCell="A34" workbookViewId="0">
      <selection activeCell="F46" sqref="F46"/>
    </sheetView>
  </sheetViews>
  <sheetFormatPr defaultRowHeight="13.2" x14ac:dyDescent="0.25"/>
  <cols>
    <col min="1" max="1" width="10" bestFit="1" customWidth="1"/>
    <col min="2" max="4" width="13.6640625" customWidth="1"/>
    <col min="5" max="5" width="13.6640625" bestFit="1" customWidth="1"/>
    <col min="7" max="7" width="14.44140625" customWidth="1"/>
    <col min="8" max="8" width="19" bestFit="1" customWidth="1"/>
    <col min="9" max="9" width="107.6640625" customWidth="1"/>
  </cols>
  <sheetData>
    <row r="1" spans="1:10" x14ac:dyDescent="0.25">
      <c r="B1" s="178" t="s">
        <v>136</v>
      </c>
      <c r="C1" s="178" t="s">
        <v>136</v>
      </c>
      <c r="D1" s="178" t="s">
        <v>136</v>
      </c>
      <c r="E1" s="178" t="s">
        <v>137</v>
      </c>
      <c r="F1" s="178" t="s">
        <v>137</v>
      </c>
    </row>
    <row r="2" spans="1:10" ht="26.4" x14ac:dyDescent="0.25">
      <c r="A2" s="183" t="s">
        <v>141</v>
      </c>
      <c r="B2" s="183" t="s">
        <v>153</v>
      </c>
      <c r="C2" s="183" t="s">
        <v>145</v>
      </c>
      <c r="D2" s="183" t="s">
        <v>147</v>
      </c>
      <c r="E2" s="34" t="s">
        <v>146</v>
      </c>
      <c r="F2" s="34" t="s">
        <v>135</v>
      </c>
      <c r="G2" s="34"/>
      <c r="H2" s="34"/>
      <c r="I2" s="34"/>
    </row>
    <row r="3" spans="1:10" x14ac:dyDescent="0.25">
      <c r="A3" s="84">
        <v>0</v>
      </c>
      <c r="B3" s="84">
        <v>0</v>
      </c>
      <c r="C3" s="84">
        <v>0</v>
      </c>
      <c r="D3" s="84">
        <v>0</v>
      </c>
      <c r="E3" s="31">
        <f>C20</f>
        <v>1591.92</v>
      </c>
      <c r="F3" s="176">
        <v>1</v>
      </c>
      <c r="G3" s="34"/>
      <c r="H3" s="34"/>
      <c r="I3" s="85" t="s">
        <v>154</v>
      </c>
    </row>
    <row r="4" spans="1:10" ht="39.6" x14ac:dyDescent="0.25">
      <c r="A4" s="31">
        <v>0.2</v>
      </c>
      <c r="B4" s="1">
        <v>0.68</v>
      </c>
      <c r="C4" s="1">
        <f>B4*$C$14</f>
        <v>7.48</v>
      </c>
      <c r="D4" s="1">
        <f>C4*$C$17</f>
        <v>323.13600000000002</v>
      </c>
      <c r="E4" s="2">
        <f>$C$20*F4</f>
        <v>1591.92</v>
      </c>
      <c r="F4" s="176">
        <v>1</v>
      </c>
      <c r="G4" s="181"/>
      <c r="H4" s="182"/>
      <c r="I4" s="180" t="s">
        <v>151</v>
      </c>
    </row>
    <row r="5" spans="1:10" x14ac:dyDescent="0.25">
      <c r="A5">
        <v>1</v>
      </c>
      <c r="B5" s="1">
        <v>3.4</v>
      </c>
      <c r="C5" s="1">
        <f t="shared" ref="C5:C7" si="0">B5*$C$14</f>
        <v>37.4</v>
      </c>
      <c r="D5" s="1">
        <f t="shared" ref="D5:D7" si="1">C5*$C$17</f>
        <v>1615.68</v>
      </c>
      <c r="E5" s="2">
        <f t="shared" ref="E5:E7" si="2">$C$20*F5</f>
        <v>1544.1623999999999</v>
      </c>
      <c r="F5" s="176">
        <v>0.97</v>
      </c>
      <c r="G5" s="181"/>
      <c r="H5" s="182"/>
      <c r="J5" s="177"/>
    </row>
    <row r="6" spans="1:10" x14ac:dyDescent="0.25">
      <c r="A6">
        <v>2</v>
      </c>
      <c r="B6" s="1">
        <v>6.8</v>
      </c>
      <c r="C6" s="1">
        <f t="shared" si="0"/>
        <v>74.8</v>
      </c>
      <c r="D6" s="1">
        <f t="shared" si="1"/>
        <v>3231.36</v>
      </c>
      <c r="E6" s="2">
        <f t="shared" si="2"/>
        <v>1512.3240000000001</v>
      </c>
      <c r="F6" s="176">
        <v>0.95</v>
      </c>
      <c r="G6" s="181"/>
    </row>
    <row r="7" spans="1:10" x14ac:dyDescent="0.25">
      <c r="A7" s="12">
        <f>B7/C18</f>
        <v>2.3880597014925371</v>
      </c>
      <c r="B7" s="1">
        <v>8</v>
      </c>
      <c r="C7" s="1">
        <f t="shared" si="0"/>
        <v>88</v>
      </c>
      <c r="D7" s="1">
        <f t="shared" si="1"/>
        <v>3801.6000000000004</v>
      </c>
      <c r="E7" s="2">
        <f t="shared" si="2"/>
        <v>1464.5664000000002</v>
      </c>
      <c r="F7" s="176">
        <v>0.92</v>
      </c>
      <c r="J7" s="177"/>
    </row>
    <row r="8" spans="1:10" x14ac:dyDescent="0.25">
      <c r="H8" s="31"/>
      <c r="I8" s="32"/>
    </row>
    <row r="9" spans="1:10" x14ac:dyDescent="0.25">
      <c r="H9" s="31"/>
      <c r="I9" s="180"/>
    </row>
    <row r="10" spans="1:10" x14ac:dyDescent="0.25">
      <c r="H10" s="31"/>
      <c r="I10" s="179"/>
    </row>
    <row r="12" spans="1:10" x14ac:dyDescent="0.25">
      <c r="B12" s="378" t="s">
        <v>140</v>
      </c>
      <c r="C12" s="378"/>
      <c r="D12" s="378"/>
      <c r="E12" s="185"/>
    </row>
    <row r="13" spans="1:10" x14ac:dyDescent="0.25">
      <c r="B13" s="31" t="s">
        <v>138</v>
      </c>
      <c r="C13">
        <v>12</v>
      </c>
    </row>
    <row r="14" spans="1:10" x14ac:dyDescent="0.25">
      <c r="B14" s="31" t="s">
        <v>139</v>
      </c>
      <c r="C14">
        <v>11</v>
      </c>
    </row>
    <row r="15" spans="1:10" x14ac:dyDescent="0.25">
      <c r="B15" s="31" t="s">
        <v>142</v>
      </c>
      <c r="C15">
        <f>C13*C14</f>
        <v>132</v>
      </c>
    </row>
    <row r="16" spans="1:10" x14ac:dyDescent="0.25">
      <c r="B16" s="31" t="s">
        <v>144</v>
      </c>
      <c r="C16">
        <v>3.6</v>
      </c>
      <c r="D16" s="31" t="s">
        <v>107</v>
      </c>
    </row>
    <row r="17" spans="2:5" x14ac:dyDescent="0.25">
      <c r="B17" s="31" t="s">
        <v>148</v>
      </c>
      <c r="C17">
        <f>C16*C13</f>
        <v>43.2</v>
      </c>
      <c r="D17" s="31" t="s">
        <v>107</v>
      </c>
    </row>
    <row r="18" spans="2:5" x14ac:dyDescent="0.25">
      <c r="B18" s="31" t="s">
        <v>149</v>
      </c>
      <c r="C18" s="2">
        <v>3.35</v>
      </c>
      <c r="D18" s="31" t="s">
        <v>143</v>
      </c>
    </row>
    <row r="19" spans="2:5" x14ac:dyDescent="0.25">
      <c r="B19" s="31" t="s">
        <v>150</v>
      </c>
      <c r="C19">
        <f>C18*C14</f>
        <v>36.85</v>
      </c>
      <c r="D19" s="31" t="s">
        <v>143</v>
      </c>
    </row>
    <row r="20" spans="2:5" x14ac:dyDescent="0.25">
      <c r="B20" s="31" t="s">
        <v>150</v>
      </c>
      <c r="C20">
        <f>C19*C17</f>
        <v>1591.92</v>
      </c>
      <c r="D20" s="31" t="s">
        <v>129</v>
      </c>
    </row>
    <row r="21" spans="2:5" x14ac:dyDescent="0.25">
      <c r="D21" s="31"/>
    </row>
    <row r="22" spans="2:5" x14ac:dyDescent="0.25">
      <c r="E22" s="31"/>
    </row>
    <row r="23" spans="2:5" x14ac:dyDescent="0.25">
      <c r="E23" s="31"/>
    </row>
    <row r="24" spans="2:5" x14ac:dyDescent="0.25">
      <c r="E24" s="31"/>
    </row>
    <row r="25" spans="2:5" x14ac:dyDescent="0.25">
      <c r="E25" s="31"/>
    </row>
    <row r="26" spans="2:5" x14ac:dyDescent="0.25">
      <c r="E26" s="31"/>
    </row>
    <row r="27" spans="2:5" x14ac:dyDescent="0.25">
      <c r="E27" s="31"/>
    </row>
  </sheetData>
  <mergeCells count="1">
    <mergeCell ref="B12:D12"/>
  </mergeCells>
  <phoneticPr fontId="30" type="noConversion"/>
  <hyperlinks>
    <hyperlink ref="I3" r:id="rId1" xr:uid="{0E0618FE-98EE-488D-9E99-2E74AD9F18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B9CF-59B9-4173-977B-90B59B774495}">
  <dimension ref="A2:P20"/>
  <sheetViews>
    <sheetView workbookViewId="0">
      <selection activeCell="E7" sqref="E7"/>
    </sheetView>
  </sheetViews>
  <sheetFormatPr defaultRowHeight="13.2" x14ac:dyDescent="0.25"/>
  <cols>
    <col min="1" max="1" width="22.33203125" bestFit="1" customWidth="1"/>
    <col min="2" max="2" width="8.88671875" customWidth="1"/>
    <col min="7" max="7" width="15.6640625" bestFit="1" customWidth="1"/>
    <col min="8" max="9" width="15.6640625" customWidth="1"/>
    <col min="13" max="13" width="12.44140625" customWidth="1"/>
    <col min="14" max="14" width="12" bestFit="1" customWidth="1"/>
    <col min="15" max="15" width="10.6640625" customWidth="1"/>
    <col min="16" max="16" width="10" bestFit="1" customWidth="1"/>
  </cols>
  <sheetData>
    <row r="2" spans="1:16" x14ac:dyDescent="0.25">
      <c r="A2" s="34" t="s">
        <v>162</v>
      </c>
      <c r="B2" s="34" t="s">
        <v>165</v>
      </c>
      <c r="C2" s="34" t="s">
        <v>163</v>
      </c>
    </row>
    <row r="3" spans="1:16" x14ac:dyDescent="0.25">
      <c r="A3" s="31" t="s">
        <v>161</v>
      </c>
      <c r="B3" s="31" t="s">
        <v>16</v>
      </c>
      <c r="C3" s="58">
        <v>5</v>
      </c>
      <c r="G3" s="203"/>
      <c r="H3" s="204"/>
      <c r="I3" s="204"/>
      <c r="J3" s="204"/>
      <c r="K3" s="205" t="s">
        <v>132</v>
      </c>
      <c r="L3" s="71"/>
    </row>
    <row r="4" spans="1:16" ht="26.4" x14ac:dyDescent="0.25">
      <c r="A4" s="31"/>
      <c r="B4" s="31"/>
      <c r="C4" s="35"/>
      <c r="G4" s="206" t="s">
        <v>172</v>
      </c>
      <c r="H4" s="252" t="s">
        <v>209</v>
      </c>
      <c r="I4" s="207" t="s">
        <v>210</v>
      </c>
      <c r="J4" s="207" t="s">
        <v>173</v>
      </c>
      <c r="K4" s="208" t="str">
        <f>C3&amp;" "&amp;K3</f>
        <v>5 Panels</v>
      </c>
      <c r="L4" s="207"/>
      <c r="M4" s="183" t="s">
        <v>187</v>
      </c>
      <c r="N4" s="183" t="s">
        <v>191</v>
      </c>
      <c r="O4" s="183" t="s">
        <v>192</v>
      </c>
      <c r="P4" s="183" t="s">
        <v>193</v>
      </c>
    </row>
    <row r="5" spans="1:16" x14ac:dyDescent="0.25">
      <c r="A5" s="31" t="s">
        <v>164</v>
      </c>
      <c r="B5" s="31" t="s">
        <v>44</v>
      </c>
      <c r="C5" s="58">
        <v>390</v>
      </c>
      <c r="G5" s="209" t="s">
        <v>89</v>
      </c>
      <c r="H5" s="36" t="s">
        <v>44</v>
      </c>
      <c r="I5" s="36" t="s">
        <v>44</v>
      </c>
      <c r="J5" s="36" t="s">
        <v>44</v>
      </c>
      <c r="K5" s="210" t="s">
        <v>44</v>
      </c>
      <c r="L5" s="36"/>
      <c r="M5" s="84" t="s">
        <v>89</v>
      </c>
      <c r="N5" s="31" t="s">
        <v>44</v>
      </c>
      <c r="O5" s="31" t="s">
        <v>44</v>
      </c>
      <c r="P5" s="31" t="s">
        <v>44</v>
      </c>
    </row>
    <row r="6" spans="1:16" x14ac:dyDescent="0.25">
      <c r="A6" s="31"/>
      <c r="B6" s="31"/>
      <c r="C6" s="35"/>
      <c r="G6" s="211">
        <v>0</v>
      </c>
      <c r="H6" s="249">
        <f>IF(LOWER($C$7)="y",(G6*$C$9)/100,0)</f>
        <v>0</v>
      </c>
      <c r="I6" s="195">
        <f>IF(LOWER($C$7)="y",H6/($C$9/100)*$C$10,0)</f>
        <v>0</v>
      </c>
      <c r="J6" s="6">
        <f>G6*$C$5+I6</f>
        <v>0</v>
      </c>
      <c r="K6" s="3">
        <f>J6*$C$3</f>
        <v>0</v>
      </c>
      <c r="L6" s="6"/>
      <c r="M6">
        <f>IF($C$18&gt;$C$16,(100+(($C$18-$C$16)*$C$20))/100,1)</f>
        <v>0.98150000000000004</v>
      </c>
      <c r="N6">
        <f>M6*K6</f>
        <v>0</v>
      </c>
      <c r="O6">
        <f>K6-N6</f>
        <v>0</v>
      </c>
      <c r="P6">
        <f>O6/$C$3</f>
        <v>0</v>
      </c>
    </row>
    <row r="7" spans="1:16" x14ac:dyDescent="0.25">
      <c r="A7" s="31" t="s">
        <v>166</v>
      </c>
      <c r="B7" s="31" t="s">
        <v>167</v>
      </c>
      <c r="C7" s="199" t="s">
        <v>137</v>
      </c>
      <c r="G7" s="211">
        <v>0.1</v>
      </c>
      <c r="H7" s="249">
        <f t="shared" ref="H7:H9" si="0">IF(LOWER($C$7)="y",(G7*$C$9)/100,0)</f>
        <v>0.03</v>
      </c>
      <c r="I7" s="195">
        <f t="shared" ref="I7:I9" si="1">IF(LOWER($C$7)="y",H7/($C$9/100)*$C$10,0)</f>
        <v>11.700000000000001</v>
      </c>
      <c r="J7" s="6">
        <f t="shared" ref="J7:J17" si="2">G7*$C$5+I7</f>
        <v>50.7</v>
      </c>
      <c r="K7" s="3">
        <f t="shared" ref="K7:K9" si="3">J7*$C$3</f>
        <v>253.5</v>
      </c>
      <c r="L7" s="6"/>
      <c r="M7">
        <f t="shared" ref="M7:M17" si="4">IF($C$18&gt;$C$16,(100+(($C$18-$C$16)*$C$20))/100,1)</f>
        <v>0.98150000000000004</v>
      </c>
      <c r="N7">
        <f t="shared" ref="N7:N9" si="5">M7*K7</f>
        <v>248.81025</v>
      </c>
      <c r="O7">
        <f t="shared" ref="O7:O9" si="6">K7-N7</f>
        <v>4.6897500000000036</v>
      </c>
      <c r="P7">
        <f t="shared" ref="P7:P9" si="7">O7/$C$3</f>
        <v>0.93795000000000073</v>
      </c>
    </row>
    <row r="8" spans="1:16" x14ac:dyDescent="0.25">
      <c r="A8" s="31"/>
      <c r="B8" s="31"/>
      <c r="C8" s="200"/>
      <c r="G8" s="211">
        <v>0.2</v>
      </c>
      <c r="H8" s="249">
        <f t="shared" si="0"/>
        <v>0.06</v>
      </c>
      <c r="I8" s="195">
        <f t="shared" si="1"/>
        <v>23.400000000000002</v>
      </c>
      <c r="J8" s="6">
        <f t="shared" si="2"/>
        <v>101.4</v>
      </c>
      <c r="K8" s="3">
        <f>J8*$C$3</f>
        <v>507</v>
      </c>
      <c r="L8" s="6"/>
      <c r="M8">
        <f t="shared" si="4"/>
        <v>0.98150000000000004</v>
      </c>
      <c r="N8">
        <f t="shared" si="5"/>
        <v>497.62049999999999</v>
      </c>
      <c r="O8">
        <f t="shared" si="6"/>
        <v>9.3795000000000073</v>
      </c>
      <c r="P8">
        <f t="shared" si="7"/>
        <v>1.8759000000000015</v>
      </c>
    </row>
    <row r="9" spans="1:16" x14ac:dyDescent="0.25">
      <c r="A9" s="31" t="s">
        <v>168</v>
      </c>
      <c r="B9" s="31" t="s">
        <v>89</v>
      </c>
      <c r="C9" s="58">
        <v>30</v>
      </c>
      <c r="G9" s="211">
        <v>0.3</v>
      </c>
      <c r="H9" s="249">
        <f t="shared" si="0"/>
        <v>0.09</v>
      </c>
      <c r="I9" s="195">
        <f t="shared" si="1"/>
        <v>35.1</v>
      </c>
      <c r="J9" s="6">
        <f t="shared" si="2"/>
        <v>152.1</v>
      </c>
      <c r="K9" s="3">
        <f t="shared" si="3"/>
        <v>760.5</v>
      </c>
      <c r="L9" s="6"/>
      <c r="M9">
        <f t="shared" si="4"/>
        <v>0.98150000000000004</v>
      </c>
      <c r="N9">
        <f t="shared" si="5"/>
        <v>746.43074999999999</v>
      </c>
      <c r="O9">
        <f t="shared" si="6"/>
        <v>14.069250000000011</v>
      </c>
      <c r="P9">
        <f t="shared" si="7"/>
        <v>2.8138500000000022</v>
      </c>
    </row>
    <row r="10" spans="1:16" x14ac:dyDescent="0.25">
      <c r="A10" s="31" t="s">
        <v>168</v>
      </c>
      <c r="B10" s="31" t="s">
        <v>44</v>
      </c>
      <c r="C10" s="35">
        <f>$C$9/100*$C$5</f>
        <v>117</v>
      </c>
      <c r="G10" s="211">
        <v>0.4</v>
      </c>
      <c r="H10" s="249">
        <f t="shared" ref="H10:H17" si="8">IF(LOWER($C$7)="y",(G10*$C$9)/100,0)</f>
        <v>0.12</v>
      </c>
      <c r="I10" s="195">
        <f t="shared" ref="I10:I17" si="9">IF(LOWER($C$7)="y",H10/($C$9/100)*$C$10,0)</f>
        <v>46.800000000000004</v>
      </c>
      <c r="J10" s="6">
        <f t="shared" si="2"/>
        <v>202.8</v>
      </c>
      <c r="K10" s="3">
        <f t="shared" ref="K10:K17" si="10">J10*$C$3</f>
        <v>1014</v>
      </c>
      <c r="L10" s="6"/>
      <c r="M10">
        <f t="shared" si="4"/>
        <v>0.98150000000000004</v>
      </c>
      <c r="N10">
        <f t="shared" ref="N10:N17" si="11">M10*K10</f>
        <v>995.24099999999999</v>
      </c>
      <c r="O10">
        <f t="shared" ref="O10:O17" si="12">K10-N10</f>
        <v>18.759000000000015</v>
      </c>
      <c r="P10">
        <f t="shared" ref="P10:P17" si="13">O10/$C$3</f>
        <v>3.7518000000000029</v>
      </c>
    </row>
    <row r="11" spans="1:16" x14ac:dyDescent="0.25">
      <c r="A11" s="31"/>
      <c r="B11" s="31"/>
      <c r="C11" s="35"/>
      <c r="G11" s="211">
        <v>0.5</v>
      </c>
      <c r="H11" s="249">
        <f t="shared" si="8"/>
        <v>0.15</v>
      </c>
      <c r="I11" s="195">
        <f t="shared" si="9"/>
        <v>58.5</v>
      </c>
      <c r="J11" s="6">
        <f t="shared" si="2"/>
        <v>253.5</v>
      </c>
      <c r="K11" s="3">
        <f t="shared" si="10"/>
        <v>1267.5</v>
      </c>
      <c r="L11" s="6"/>
      <c r="M11">
        <f t="shared" si="4"/>
        <v>0.98150000000000004</v>
      </c>
      <c r="N11">
        <f t="shared" si="11"/>
        <v>1244.05125</v>
      </c>
      <c r="O11">
        <f t="shared" si="12"/>
        <v>23.448750000000018</v>
      </c>
      <c r="P11">
        <f t="shared" si="13"/>
        <v>4.6897500000000036</v>
      </c>
    </row>
    <row r="12" spans="1:16" x14ac:dyDescent="0.25">
      <c r="A12" s="31" t="s">
        <v>170</v>
      </c>
      <c r="B12" s="31" t="s">
        <v>44</v>
      </c>
      <c r="C12">
        <f>IF(LOWER($C$7)="y",((1+$C$9/100)*$C$5),$C$5)</f>
        <v>507</v>
      </c>
      <c r="G12" s="211">
        <v>0.6</v>
      </c>
      <c r="H12" s="249">
        <f t="shared" si="8"/>
        <v>0.18</v>
      </c>
      <c r="I12" s="195">
        <f t="shared" si="9"/>
        <v>70.2</v>
      </c>
      <c r="J12" s="6">
        <f t="shared" si="2"/>
        <v>304.2</v>
      </c>
      <c r="K12" s="3">
        <f t="shared" si="10"/>
        <v>1521</v>
      </c>
      <c r="L12" s="6"/>
      <c r="M12">
        <f t="shared" si="4"/>
        <v>0.98150000000000004</v>
      </c>
      <c r="N12">
        <f t="shared" si="11"/>
        <v>1492.8615</v>
      </c>
      <c r="O12">
        <f t="shared" si="12"/>
        <v>28.138500000000022</v>
      </c>
      <c r="P12">
        <f t="shared" si="13"/>
        <v>5.6277000000000044</v>
      </c>
    </row>
    <row r="13" spans="1:16" x14ac:dyDescent="0.25">
      <c r="G13" s="211">
        <v>0.7</v>
      </c>
      <c r="H13" s="249">
        <f t="shared" si="8"/>
        <v>0.21</v>
      </c>
      <c r="I13" s="195">
        <f t="shared" si="9"/>
        <v>81.899999999999991</v>
      </c>
      <c r="J13" s="6">
        <f t="shared" si="2"/>
        <v>354.9</v>
      </c>
      <c r="K13" s="3">
        <f t="shared" si="10"/>
        <v>1774.5</v>
      </c>
      <c r="L13" s="6"/>
      <c r="M13">
        <f t="shared" si="4"/>
        <v>0.98150000000000004</v>
      </c>
      <c r="N13">
        <f t="shared" si="11"/>
        <v>1741.67175</v>
      </c>
      <c r="O13">
        <f t="shared" si="12"/>
        <v>32.828250000000025</v>
      </c>
      <c r="P13">
        <f t="shared" si="13"/>
        <v>6.5656500000000051</v>
      </c>
    </row>
    <row r="14" spans="1:16" x14ac:dyDescent="0.25">
      <c r="A14" s="31" t="s">
        <v>171</v>
      </c>
      <c r="B14" s="31" t="s">
        <v>44</v>
      </c>
      <c r="C14">
        <f>$C$3*$C$12</f>
        <v>2535</v>
      </c>
      <c r="G14" s="211">
        <v>0.8</v>
      </c>
      <c r="H14" s="249">
        <f t="shared" si="8"/>
        <v>0.24</v>
      </c>
      <c r="I14" s="195">
        <f t="shared" si="9"/>
        <v>93.600000000000009</v>
      </c>
      <c r="J14" s="6">
        <f>G14*$C$5+I14</f>
        <v>405.6</v>
      </c>
      <c r="K14" s="3">
        <f t="shared" si="10"/>
        <v>2028</v>
      </c>
      <c r="L14" s="6"/>
      <c r="M14">
        <f t="shared" si="4"/>
        <v>0.98150000000000004</v>
      </c>
      <c r="N14">
        <f t="shared" si="11"/>
        <v>1990.482</v>
      </c>
      <c r="O14">
        <f t="shared" si="12"/>
        <v>37.518000000000029</v>
      </c>
      <c r="P14">
        <f t="shared" si="13"/>
        <v>7.5036000000000058</v>
      </c>
    </row>
    <row r="15" spans="1:16" x14ac:dyDescent="0.25">
      <c r="G15" s="211">
        <v>0.9</v>
      </c>
      <c r="H15" s="249">
        <f t="shared" si="8"/>
        <v>0.27</v>
      </c>
      <c r="I15" s="195">
        <f t="shared" si="9"/>
        <v>105.30000000000001</v>
      </c>
      <c r="J15" s="6">
        <f t="shared" si="2"/>
        <v>456.3</v>
      </c>
      <c r="K15" s="3">
        <f t="shared" si="10"/>
        <v>2281.5</v>
      </c>
      <c r="L15" s="6"/>
      <c r="M15">
        <f t="shared" si="4"/>
        <v>0.98150000000000004</v>
      </c>
      <c r="N15">
        <f t="shared" si="11"/>
        <v>2239.29225</v>
      </c>
      <c r="O15">
        <f t="shared" si="12"/>
        <v>42.207750000000033</v>
      </c>
      <c r="P15">
        <f t="shared" si="13"/>
        <v>8.4415500000000065</v>
      </c>
    </row>
    <row r="16" spans="1:16" x14ac:dyDescent="0.25">
      <c r="A16" s="31" t="s">
        <v>190</v>
      </c>
      <c r="B16" s="31" t="s">
        <v>186</v>
      </c>
      <c r="C16" s="58">
        <v>45</v>
      </c>
      <c r="G16" s="211">
        <v>1</v>
      </c>
      <c r="H16" s="249">
        <f t="shared" si="8"/>
        <v>0.3</v>
      </c>
      <c r="I16" s="195">
        <f t="shared" si="9"/>
        <v>117</v>
      </c>
      <c r="J16" s="6">
        <f t="shared" si="2"/>
        <v>507</v>
      </c>
      <c r="K16" s="3">
        <f t="shared" si="10"/>
        <v>2535</v>
      </c>
      <c r="L16" s="6"/>
      <c r="M16">
        <f t="shared" si="4"/>
        <v>0.98150000000000004</v>
      </c>
      <c r="N16">
        <f t="shared" si="11"/>
        <v>2488.1025</v>
      </c>
      <c r="O16">
        <f t="shared" si="12"/>
        <v>46.897500000000036</v>
      </c>
      <c r="P16">
        <f t="shared" si="13"/>
        <v>9.3795000000000073</v>
      </c>
    </row>
    <row r="17" spans="1:16" x14ac:dyDescent="0.25">
      <c r="G17" s="212">
        <v>0.32500000000000001</v>
      </c>
      <c r="H17" s="251">
        <f t="shared" si="8"/>
        <v>9.7500000000000003E-2</v>
      </c>
      <c r="I17" s="250">
        <f t="shared" si="9"/>
        <v>38.024999999999999</v>
      </c>
      <c r="J17" s="8">
        <f t="shared" si="2"/>
        <v>164.77500000000001</v>
      </c>
      <c r="K17" s="9">
        <f t="shared" si="10"/>
        <v>823.875</v>
      </c>
      <c r="L17" s="6"/>
      <c r="M17">
        <f t="shared" si="4"/>
        <v>0.98150000000000004</v>
      </c>
      <c r="N17">
        <f t="shared" si="11"/>
        <v>808.63331249999999</v>
      </c>
      <c r="O17">
        <f t="shared" si="12"/>
        <v>15.241687500000012</v>
      </c>
      <c r="P17">
        <f t="shared" si="13"/>
        <v>3.0483375000000024</v>
      </c>
    </row>
    <row r="18" spans="1:16" x14ac:dyDescent="0.25">
      <c r="A18" s="31" t="s">
        <v>185</v>
      </c>
      <c r="B18" s="31" t="s">
        <v>186</v>
      </c>
      <c r="C18" s="58">
        <v>50</v>
      </c>
      <c r="L18" s="6"/>
    </row>
    <row r="20" spans="1:16" x14ac:dyDescent="0.25">
      <c r="A20" s="31" t="s">
        <v>188</v>
      </c>
      <c r="B20" s="31" t="s">
        <v>189</v>
      </c>
      <c r="C20" s="58">
        <v>-0.37</v>
      </c>
    </row>
  </sheetData>
  <phoneticPr fontId="3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AD10-4CB5-46D8-BB82-B77F48A422E1}">
  <dimension ref="B2:K8"/>
  <sheetViews>
    <sheetView workbookViewId="0">
      <selection activeCell="I7" sqref="I7"/>
    </sheetView>
  </sheetViews>
  <sheetFormatPr defaultRowHeight="13.2" x14ac:dyDescent="0.25"/>
  <cols>
    <col min="2" max="2" width="14.6640625" bestFit="1" customWidth="1"/>
    <col min="6" max="6" width="15.5546875" customWidth="1"/>
    <col min="9" max="9" width="12.6640625" bestFit="1" customWidth="1"/>
  </cols>
  <sheetData>
    <row r="2" spans="2:11" ht="26.4" x14ac:dyDescent="0.25">
      <c r="B2" s="191"/>
      <c r="C2" s="246" t="s">
        <v>198</v>
      </c>
      <c r="D2" s="34" t="s">
        <v>199</v>
      </c>
      <c r="E2" s="34" t="s">
        <v>200</v>
      </c>
      <c r="F2" s="183" t="s">
        <v>203</v>
      </c>
      <c r="G2" s="183" t="s">
        <v>204</v>
      </c>
      <c r="I2" s="183" t="s">
        <v>205</v>
      </c>
      <c r="J2" s="183" t="s">
        <v>204</v>
      </c>
    </row>
    <row r="3" spans="2:11" x14ac:dyDescent="0.25">
      <c r="B3" s="245" t="s">
        <v>206</v>
      </c>
      <c r="C3" s="58">
        <v>24</v>
      </c>
      <c r="D3" s="58">
        <v>2.5</v>
      </c>
      <c r="E3">
        <f>C3*D3</f>
        <v>60</v>
      </c>
      <c r="F3" s="201">
        <v>0.9</v>
      </c>
      <c r="G3" s="11">
        <f>E3/F3</f>
        <v>66.666666666666671</v>
      </c>
      <c r="I3" s="58" t="s">
        <v>169</v>
      </c>
      <c r="J3">
        <f>IF(LOWER(I3)="y",G3,0)</f>
        <v>66.666666666666671</v>
      </c>
    </row>
    <row r="4" spans="2:11" x14ac:dyDescent="0.25">
      <c r="B4" s="245" t="s">
        <v>207</v>
      </c>
      <c r="C4" s="58">
        <v>24</v>
      </c>
      <c r="D4" s="58">
        <v>2.5</v>
      </c>
      <c r="E4">
        <f>C4*D4</f>
        <v>60</v>
      </c>
      <c r="F4" s="201">
        <v>0.9</v>
      </c>
      <c r="G4" s="11">
        <f>E4/F4</f>
        <v>66.666666666666671</v>
      </c>
      <c r="I4" s="58" t="s">
        <v>169</v>
      </c>
      <c r="J4">
        <f t="shared" ref="J4:J6" si="0">IF(LOWER(I4)="y",G4,0)</f>
        <v>66.666666666666671</v>
      </c>
    </row>
    <row r="5" spans="2:11" x14ac:dyDescent="0.25">
      <c r="B5" s="247" t="s">
        <v>201</v>
      </c>
      <c r="C5" s="244">
        <v>24</v>
      </c>
      <c r="D5" s="58">
        <v>0.1</v>
      </c>
      <c r="E5">
        <f>C5*D5</f>
        <v>2.4000000000000004</v>
      </c>
      <c r="F5" s="201">
        <v>0.9</v>
      </c>
      <c r="G5" s="11">
        <f t="shared" ref="G5:G6" si="1">E5/F5</f>
        <v>2.666666666666667</v>
      </c>
      <c r="I5" s="58" t="s">
        <v>169</v>
      </c>
      <c r="J5">
        <f t="shared" si="0"/>
        <v>2.666666666666667</v>
      </c>
    </row>
    <row r="6" spans="2:11" x14ac:dyDescent="0.25">
      <c r="B6" s="248" t="s">
        <v>202</v>
      </c>
      <c r="C6" s="244">
        <v>5</v>
      </c>
      <c r="D6" s="58">
        <v>2.5</v>
      </c>
      <c r="E6">
        <f>C6*D6</f>
        <v>12.5</v>
      </c>
      <c r="F6" s="201">
        <v>0.9</v>
      </c>
      <c r="G6" s="11">
        <f t="shared" si="1"/>
        <v>13.888888888888889</v>
      </c>
      <c r="I6" s="199" t="s">
        <v>169</v>
      </c>
      <c r="J6">
        <f t="shared" si="0"/>
        <v>13.888888888888889</v>
      </c>
    </row>
    <row r="8" spans="2:11" x14ac:dyDescent="0.25">
      <c r="I8" s="245" t="s">
        <v>208</v>
      </c>
      <c r="J8" s="34">
        <f>SUM(J3:J6)</f>
        <v>149.88888888888889</v>
      </c>
      <c r="K8" s="34" t="s">
        <v>44</v>
      </c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0646-33A7-4F4A-8B18-699E4A216CF0}">
  <dimension ref="A1:Q43"/>
  <sheetViews>
    <sheetView zoomScale="85" zoomScaleNormal="85" workbookViewId="0">
      <selection activeCell="W40" sqref="W40"/>
    </sheetView>
  </sheetViews>
  <sheetFormatPr defaultRowHeight="13.2" x14ac:dyDescent="0.25"/>
  <cols>
    <col min="4" max="4" width="12" bestFit="1" customWidth="1"/>
    <col min="6" max="6" width="10.6640625" bestFit="1" customWidth="1"/>
  </cols>
  <sheetData>
    <row r="1" spans="1:16" x14ac:dyDescent="0.25">
      <c r="A1" s="388" t="s">
        <v>213</v>
      </c>
      <c r="B1" s="388"/>
      <c r="C1" s="389" t="s">
        <v>33</v>
      </c>
      <c r="D1" s="389"/>
      <c r="E1" s="389"/>
      <c r="F1" s="389"/>
      <c r="G1" s="269" t="s">
        <v>215</v>
      </c>
      <c r="H1" s="390" t="s">
        <v>218</v>
      </c>
      <c r="I1" s="390"/>
      <c r="J1" s="390"/>
      <c r="K1" s="390"/>
      <c r="L1" s="390"/>
      <c r="M1" s="390"/>
      <c r="N1" s="390"/>
      <c r="O1" s="390"/>
    </row>
    <row r="2" spans="1:16" ht="39.6" x14ac:dyDescent="0.25">
      <c r="A2" s="270" t="s">
        <v>0</v>
      </c>
      <c r="B2" s="270" t="s">
        <v>0</v>
      </c>
      <c r="C2" s="34" t="s">
        <v>214</v>
      </c>
      <c r="D2" s="183" t="str">
        <f>'propulsion MAROF'!X11</f>
        <v>Power out (from prop. Eff.)</v>
      </c>
      <c r="E2" s="183" t="str">
        <f>'propulsion MAROF'!Z11</f>
        <v>propeller efficiency</v>
      </c>
      <c r="F2" s="34" t="str">
        <f>'propulsion MAROF'!AB11</f>
        <v>n,prop</v>
      </c>
      <c r="G2" s="34" t="str">
        <f>'propulsion MAROF'!AD11</f>
        <v>eta</v>
      </c>
      <c r="H2" s="34" t="str">
        <f>'propulsion MAROF'!AE11</f>
        <v>n,motor</v>
      </c>
      <c r="I2" s="183" t="str">
        <f>'propulsion MAROF'!AF11</f>
        <v>torque,motor</v>
      </c>
      <c r="J2" s="183" t="str">
        <f>'propulsion MAROF'!AG11</f>
        <v>P,motor, out</v>
      </c>
      <c r="K2" s="34" t="str">
        <f>'propulsion MAROF'!AH11</f>
        <v>eta</v>
      </c>
      <c r="L2" s="34" t="str">
        <f>K2</f>
        <v>eta</v>
      </c>
      <c r="M2" s="183" t="str">
        <f>'propulsion MAROF'!AI11</f>
        <v>P_in_elekt</v>
      </c>
      <c r="N2" s="270" t="str">
        <f>'propulsion MAROF'!AJ11</f>
        <v>current</v>
      </c>
      <c r="O2" s="270" t="str">
        <f>'propulsion MAROF'!AK11</f>
        <v>voltage</v>
      </c>
      <c r="P2" s="34" t="str">
        <f>B2</f>
        <v>Speed</v>
      </c>
    </row>
    <row r="3" spans="1:16" x14ac:dyDescent="0.25">
      <c r="A3" s="34" t="str">
        <f>'propulsion MAROF'!B12</f>
        <v>[m/s]</v>
      </c>
      <c r="B3" s="34" t="str">
        <f>'propulsion MAROF'!C12</f>
        <v>[km/h]</v>
      </c>
      <c r="C3" s="34" t="str">
        <f>'propulsion MAROF'!W12</f>
        <v>[Nm]</v>
      </c>
      <c r="D3" s="34" t="str">
        <f>'propulsion MAROF'!X12</f>
        <v>[W]</v>
      </c>
      <c r="E3" s="34" t="str">
        <f>'propulsion MAROF'!Z12</f>
        <v>[%]</v>
      </c>
      <c r="F3" s="34" t="str">
        <f>'propulsion MAROF'!AB12</f>
        <v>[RPM]</v>
      </c>
      <c r="G3" s="34" t="str">
        <f>'propulsion MAROF'!AD12</f>
        <v>[-]</v>
      </c>
      <c r="H3" s="34" t="str">
        <f>'propulsion MAROF'!AE12</f>
        <v>[RPM]</v>
      </c>
      <c r="I3" s="34" t="str">
        <f>'propulsion MAROF'!AF12</f>
        <v>[Nm]</v>
      </c>
      <c r="J3" s="34" t="str">
        <f>'propulsion MAROF'!AG12</f>
        <v>[W]</v>
      </c>
      <c r="K3" s="34" t="str">
        <f>'propulsion MAROF'!AH12</f>
        <v>[-]</v>
      </c>
      <c r="L3" s="34" t="str">
        <f>K3</f>
        <v>[-]</v>
      </c>
      <c r="M3" s="34" t="str">
        <f>'propulsion MAROF'!AI12</f>
        <v>[W]</v>
      </c>
      <c r="N3" s="34" t="str">
        <f>'propulsion MAROF'!AJ12</f>
        <v>[A]</v>
      </c>
      <c r="O3" s="34" t="str">
        <f>'propulsion MAROF'!AK12</f>
        <v>[V]</v>
      </c>
      <c r="P3" s="34" t="str">
        <f t="shared" ref="P3:P34" si="0">B3</f>
        <v>[km/h]</v>
      </c>
    </row>
    <row r="4" spans="1:16" x14ac:dyDescent="0.25">
      <c r="A4">
        <f>'propulsion MAROF'!B13</f>
        <v>0</v>
      </c>
      <c r="B4">
        <f>'propulsion MAROF'!C13</f>
        <v>0</v>
      </c>
      <c r="C4">
        <f>'propulsion MAROF'!W13</f>
        <v>0</v>
      </c>
      <c r="D4">
        <f>'propulsion MAROF'!X13</f>
        <v>0</v>
      </c>
      <c r="E4">
        <f>'propulsion MAROF'!Z13</f>
        <v>0</v>
      </c>
      <c r="F4">
        <f>'propulsion MAROF'!AB13</f>
        <v>0</v>
      </c>
      <c r="G4">
        <f>'propulsion MAROF'!AD13</f>
        <v>0.97</v>
      </c>
      <c r="H4">
        <f>'propulsion MAROF'!AE13</f>
        <v>0</v>
      </c>
      <c r="I4">
        <f>'propulsion MAROF'!AF13</f>
        <v>0</v>
      </c>
      <c r="J4">
        <f>'propulsion MAROF'!AG13</f>
        <v>0</v>
      </c>
      <c r="K4">
        <f>'propulsion MAROF'!AH13</f>
        <v>0.84</v>
      </c>
      <c r="L4">
        <f>K4*100</f>
        <v>84</v>
      </c>
      <c r="M4">
        <f>'propulsion MAROF'!AI13</f>
        <v>0</v>
      </c>
      <c r="N4">
        <f>'propulsion MAROF'!AJ13</f>
        <v>0</v>
      </c>
      <c r="O4">
        <f>'propulsion MAROF'!AK13</f>
        <v>0</v>
      </c>
      <c r="P4">
        <f t="shared" si="0"/>
        <v>0</v>
      </c>
    </row>
    <row r="5" spans="1:16" x14ac:dyDescent="0.25">
      <c r="A5">
        <f>'propulsion MAROF'!B14</f>
        <v>0.27777777777777779</v>
      </c>
      <c r="B5">
        <f>'propulsion MAROF'!C14</f>
        <v>1</v>
      </c>
      <c r="C5">
        <f>'propulsion MAROF'!W14</f>
        <v>0.68934818483160309</v>
      </c>
      <c r="D5">
        <f>'propulsion MAROF'!X14</f>
        <v>2.7647549920027985</v>
      </c>
      <c r="E5">
        <f>'propulsion MAROF'!Z14</f>
        <v>0.32558561724350005</v>
      </c>
      <c r="F5">
        <f>'propulsion MAROF'!AB14</f>
        <v>117.63164893044427</v>
      </c>
      <c r="G5">
        <f>'propulsion MAROF'!AD14</f>
        <v>0.97</v>
      </c>
      <c r="H5">
        <f>'propulsion MAROF'!AE14</f>
        <v>352.89494679133281</v>
      </c>
      <c r="I5">
        <f>'propulsion MAROF'!AF14</f>
        <v>0.23688941059505259</v>
      </c>
      <c r="J5">
        <f>'propulsion MAROF'!AG14</f>
        <v>9.0250157958023927</v>
      </c>
      <c r="K5">
        <f>'propulsion MAROF'!AH14</f>
        <v>0.84</v>
      </c>
      <c r="L5">
        <f t="shared" ref="L5:L34" si="1">K5*100</f>
        <v>84</v>
      </c>
      <c r="M5">
        <f>'propulsion MAROF'!AI14</f>
        <v>10.744066423574278</v>
      </c>
      <c r="N5">
        <f>'propulsion MAROF'!AJ14</f>
        <v>1.3028917582727892</v>
      </c>
      <c r="O5">
        <f>'propulsion MAROF'!AK14</f>
        <v>8.2463231157570718</v>
      </c>
      <c r="P5">
        <f t="shared" si="0"/>
        <v>1</v>
      </c>
    </row>
    <row r="6" spans="1:16" x14ac:dyDescent="0.25">
      <c r="A6">
        <f>'propulsion MAROF'!B15</f>
        <v>0.55555555555555558</v>
      </c>
      <c r="B6">
        <f>'propulsion MAROF'!C15</f>
        <v>2</v>
      </c>
      <c r="C6">
        <f>'propulsion MAROF'!W15</f>
        <v>1.2936191621969653</v>
      </c>
      <c r="D6">
        <f>'propulsion MAROF'!X15</f>
        <v>11.059019968011199</v>
      </c>
      <c r="E6">
        <f>'propulsion MAROF'!Z15</f>
        <v>0.47873201832554035</v>
      </c>
      <c r="F6">
        <f>'propulsion MAROF'!AB15</f>
        <v>170.52541276142992</v>
      </c>
      <c r="G6">
        <f>'propulsion MAROF'!AD15</f>
        <v>0.97</v>
      </c>
      <c r="H6">
        <f>'propulsion MAROF'!AE15</f>
        <v>511.57623828428973</v>
      </c>
      <c r="I6">
        <f>'propulsion MAROF'!AF15</f>
        <v>0.44454266742163751</v>
      </c>
      <c r="J6">
        <f>'propulsion MAROF'!AG15</f>
        <v>24.551650827837658</v>
      </c>
      <c r="K6">
        <f>'propulsion MAROF'!AH15</f>
        <v>0.84</v>
      </c>
      <c r="L6">
        <f t="shared" si="1"/>
        <v>84</v>
      </c>
      <c r="M6">
        <f>'propulsion MAROF'!AI15</f>
        <v>29.228155747425784</v>
      </c>
      <c r="N6">
        <f>'propulsion MAROF'!AJ15</f>
        <v>2.4449846708190064</v>
      </c>
      <c r="O6">
        <f>'propulsion MAROF'!AK15</f>
        <v>11.954330878334346</v>
      </c>
      <c r="P6">
        <f t="shared" si="0"/>
        <v>2</v>
      </c>
    </row>
    <row r="7" spans="1:16" x14ac:dyDescent="0.25">
      <c r="A7">
        <f>'propulsion MAROF'!B16</f>
        <v>0.83333333333333326</v>
      </c>
      <c r="B7">
        <f>'propulsion MAROF'!C16</f>
        <v>3</v>
      </c>
      <c r="C7">
        <f>'propulsion MAROF'!W16</f>
        <v>1.9500973451305157</v>
      </c>
      <c r="D7">
        <f>'propulsion MAROF'!X16</f>
        <v>24.882794928025181</v>
      </c>
      <c r="E7">
        <f>'propulsion MAROF'!Z16</f>
        <v>0.55670963830512532</v>
      </c>
      <c r="F7">
        <f>'propulsion MAROF'!AB16</f>
        <v>218.86963365639542</v>
      </c>
      <c r="G7">
        <f>'propulsion MAROF'!AD16</f>
        <v>0.97</v>
      </c>
      <c r="H7">
        <f>'propulsion MAROF'!AE16</f>
        <v>656.60890096918627</v>
      </c>
      <c r="I7">
        <f>'propulsion MAROF'!AF16</f>
        <v>0.67013654471839024</v>
      </c>
      <c r="J7">
        <f>'propulsion MAROF'!AG16</f>
        <v>47.503646833007359</v>
      </c>
      <c r="K7">
        <f>'propulsion MAROF'!AH16</f>
        <v>0.84</v>
      </c>
      <c r="L7">
        <f t="shared" si="1"/>
        <v>84</v>
      </c>
      <c r="M7">
        <f>'propulsion MAROF'!AI16</f>
        <v>56.55196051548495</v>
      </c>
      <c r="N7">
        <f>'propulsion MAROF'!AJ16</f>
        <v>3.6857509959511461</v>
      </c>
      <c r="O7">
        <f>'propulsion MAROF'!AK16</f>
        <v>15.343402356157034</v>
      </c>
      <c r="P7">
        <f t="shared" si="0"/>
        <v>3</v>
      </c>
    </row>
    <row r="8" spans="1:16" x14ac:dyDescent="0.25">
      <c r="A8">
        <f>'propulsion MAROF'!B17</f>
        <v>1.1111111111111112</v>
      </c>
      <c r="B8">
        <f>'propulsion MAROF'!C17</f>
        <v>4</v>
      </c>
      <c r="C8">
        <f>'propulsion MAROF'!W17</f>
        <v>2.5205186766872685</v>
      </c>
      <c r="D8">
        <f>'propulsion MAROF'!X17</f>
        <v>44.236079872044783</v>
      </c>
      <c r="E8">
        <f>'propulsion MAROF'!Z17</f>
        <v>0.64594641224803473</v>
      </c>
      <c r="F8">
        <f>'propulsion MAROF'!AB17</f>
        <v>259.45473764948753</v>
      </c>
      <c r="G8">
        <f>'propulsion MAROF'!AD17</f>
        <v>0.97</v>
      </c>
      <c r="H8">
        <f>'propulsion MAROF'!AE17</f>
        <v>778.36421294846264</v>
      </c>
      <c r="I8">
        <f>'propulsion MAROF'!AF17</f>
        <v>0.86615762085473136</v>
      </c>
      <c r="J8">
        <f>'propulsion MAROF'!AG17</f>
        <v>72.784126553961841</v>
      </c>
      <c r="K8">
        <f>'propulsion MAROF'!AH17</f>
        <v>0.84</v>
      </c>
      <c r="L8">
        <f t="shared" si="1"/>
        <v>84</v>
      </c>
      <c r="M8">
        <f>'propulsion MAROF'!AI17</f>
        <v>86.647769707097439</v>
      </c>
      <c r="N8">
        <f>'propulsion MAROF'!AJ17</f>
        <v>4.7638669147010226</v>
      </c>
      <c r="O8">
        <f>'propulsion MAROF'!AK17</f>
        <v>18.188537013850521</v>
      </c>
      <c r="P8">
        <f t="shared" si="0"/>
        <v>4</v>
      </c>
    </row>
    <row r="9" spans="1:16" x14ac:dyDescent="0.25">
      <c r="A9">
        <f>'propulsion MAROF'!B18</f>
        <v>1.3888888888888888</v>
      </c>
      <c r="B9">
        <f>'propulsion MAROF'!C18</f>
        <v>5</v>
      </c>
      <c r="C9">
        <f>'propulsion MAROF'!W18</f>
        <v>3.2206060672654591</v>
      </c>
      <c r="D9">
        <f>'propulsion MAROF'!X18</f>
        <v>69.118874800069975</v>
      </c>
      <c r="E9">
        <f>'propulsion MAROF'!Z18</f>
        <v>0.68287752555599446</v>
      </c>
      <c r="F9">
        <f>'propulsion MAROF'!AB18</f>
        <v>300.11493969782845</v>
      </c>
      <c r="G9">
        <f>'propulsion MAROF'!AD18</f>
        <v>0.97</v>
      </c>
      <c r="H9">
        <f>'propulsion MAROF'!AE18</f>
        <v>900.34481909348528</v>
      </c>
      <c r="I9">
        <f>'propulsion MAROF'!AF18</f>
        <v>1.1067374801599514</v>
      </c>
      <c r="J9">
        <f>'propulsion MAROF'!AG18</f>
        <v>107.57475639999359</v>
      </c>
      <c r="K9">
        <f>'propulsion MAROF'!AH18</f>
        <v>0.84</v>
      </c>
      <c r="L9">
        <f t="shared" si="1"/>
        <v>84</v>
      </c>
      <c r="M9">
        <f>'propulsion MAROF'!AI18</f>
        <v>128.06518619046855</v>
      </c>
      <c r="N9">
        <f>'propulsion MAROF'!AJ18</f>
        <v>6.0870561408797323</v>
      </c>
      <c r="O9">
        <f>'propulsion MAROF'!AK18</f>
        <v>21.038936265168061</v>
      </c>
      <c r="P9">
        <f t="shared" si="0"/>
        <v>5</v>
      </c>
    </row>
    <row r="10" spans="1:16" x14ac:dyDescent="0.25">
      <c r="A10">
        <f>'propulsion MAROF'!B19</f>
        <v>1.6666666666666665</v>
      </c>
      <c r="B10">
        <f>'propulsion MAROF'!C19</f>
        <v>6</v>
      </c>
      <c r="C10">
        <f>'propulsion MAROF'!W19</f>
        <v>3.9216779168224978</v>
      </c>
      <c r="D10">
        <f>'propulsion MAROF'!X19</f>
        <v>99.531179712100752</v>
      </c>
      <c r="E10">
        <f>'propulsion MAROF'!Z19</f>
        <v>0.71708636152769356</v>
      </c>
      <c r="F10">
        <f>'propulsion MAROF'!AB19</f>
        <v>337.97700134358718</v>
      </c>
      <c r="G10">
        <f>'propulsion MAROF'!AD19</f>
        <v>0.97</v>
      </c>
      <c r="H10">
        <f>'propulsion MAROF'!AE19</f>
        <v>1013.9310040307615</v>
      </c>
      <c r="I10">
        <f>'propulsion MAROF'!AF19</f>
        <v>1.3476556415197587</v>
      </c>
      <c r="J10">
        <f>'propulsion MAROF'!AG19</f>
        <v>147.51772988814054</v>
      </c>
      <c r="K10">
        <f>'propulsion MAROF'!AH19</f>
        <v>0.84</v>
      </c>
      <c r="L10">
        <f t="shared" si="1"/>
        <v>84</v>
      </c>
      <c r="M10">
        <f>'propulsion MAROF'!AI19</f>
        <v>175.61634510492922</v>
      </c>
      <c r="N10">
        <f>'propulsion MAROF'!AJ19</f>
        <v>7.4121060283586724</v>
      </c>
      <c r="O10">
        <f>'propulsion MAROF'!AK19</f>
        <v>23.693177678924474</v>
      </c>
      <c r="P10">
        <f t="shared" si="0"/>
        <v>6</v>
      </c>
    </row>
    <row r="11" spans="1:16" x14ac:dyDescent="0.25">
      <c r="A11">
        <f>'propulsion MAROF'!B20</f>
        <v>1.9444444444444444</v>
      </c>
      <c r="B11">
        <f>'propulsion MAROF'!C20</f>
        <v>7</v>
      </c>
      <c r="C11">
        <f>'propulsion MAROF'!W20</f>
        <v>4.6147140797542576</v>
      </c>
      <c r="D11">
        <f>'propulsion MAROF'!X20</f>
        <v>135.47299460813707</v>
      </c>
      <c r="E11">
        <f>'propulsion MAROF'!Z20</f>
        <v>0.75024907726364887</v>
      </c>
      <c r="F11">
        <f>'propulsion MAROF'!AB20</f>
        <v>373.65762148758205</v>
      </c>
      <c r="G11">
        <f>'propulsion MAROF'!AD20</f>
        <v>0.97</v>
      </c>
      <c r="H11">
        <f>'propulsion MAROF'!AE20</f>
        <v>1120.9728644627462</v>
      </c>
      <c r="I11">
        <f>'propulsion MAROF'!AF20</f>
        <v>1.585812398540982</v>
      </c>
      <c r="J11">
        <f>'propulsion MAROF'!AG20</f>
        <v>191.91273398437883</v>
      </c>
      <c r="K11">
        <f>'propulsion MAROF'!AH20</f>
        <v>0.86</v>
      </c>
      <c r="L11">
        <f t="shared" si="1"/>
        <v>86</v>
      </c>
      <c r="M11">
        <f>'propulsion MAROF'!AI20</f>
        <v>223.15434184230097</v>
      </c>
      <c r="N11">
        <f>'propulsion MAROF'!AJ20</f>
        <v>8.7219681919754013</v>
      </c>
      <c r="O11">
        <f>'propulsion MAROF'!AK20</f>
        <v>25.585319383257197</v>
      </c>
      <c r="P11">
        <f t="shared" si="0"/>
        <v>7</v>
      </c>
    </row>
    <row r="12" spans="1:16" x14ac:dyDescent="0.25">
      <c r="A12">
        <f>'propulsion MAROF'!B21</f>
        <v>2.2222222222222223</v>
      </c>
      <c r="B12">
        <f>'propulsion MAROF'!C21</f>
        <v>8</v>
      </c>
      <c r="C12">
        <f>'propulsion MAROF'!W21</f>
        <v>5.3434082184554414</v>
      </c>
      <c r="D12">
        <f>'propulsion MAROF'!X21</f>
        <v>176.94431948817908</v>
      </c>
      <c r="E12">
        <f>'propulsion MAROF'!Z21</f>
        <v>0.7740629806512781</v>
      </c>
      <c r="F12">
        <f>'propulsion MAROF'!AB21</f>
        <v>408.52002975567825</v>
      </c>
      <c r="G12">
        <f>'propulsion MAROF'!AD21</f>
        <v>0.97</v>
      </c>
      <c r="H12">
        <f>'propulsion MAROF'!AE21</f>
        <v>1225.5600892670348</v>
      </c>
      <c r="I12">
        <f>'propulsion MAROF'!AF21</f>
        <v>1.8362227554829695</v>
      </c>
      <c r="J12">
        <f>'propulsion MAROF'!AG21</f>
        <v>242.94997482805118</v>
      </c>
      <c r="K12">
        <f>'propulsion MAROF'!AH21</f>
        <v>0.86</v>
      </c>
      <c r="L12">
        <f t="shared" si="1"/>
        <v>86</v>
      </c>
      <c r="M12">
        <f>'propulsion MAROF'!AI21</f>
        <v>282.49997073029209</v>
      </c>
      <c r="N12">
        <f>'propulsion MAROF'!AJ21</f>
        <v>10.099225155156333</v>
      </c>
      <c r="O12">
        <f>'propulsion MAROF'!AK21</f>
        <v>27.972440102105942</v>
      </c>
      <c r="P12">
        <f t="shared" si="0"/>
        <v>8</v>
      </c>
    </row>
    <row r="13" spans="1:16" x14ac:dyDescent="0.25">
      <c r="A13">
        <f>'propulsion MAROF'!B22</f>
        <v>2.5</v>
      </c>
      <c r="B13">
        <f>'propulsion MAROF'!C22</f>
        <v>9</v>
      </c>
      <c r="C13">
        <f>'propulsion MAROF'!W22</f>
        <v>6.1425219851147581</v>
      </c>
      <c r="D13">
        <f>'propulsion MAROF'!X22</f>
        <v>223.94515435222675</v>
      </c>
      <c r="E13">
        <f>'propulsion MAROF'!Z22</f>
        <v>0.78539376587296628</v>
      </c>
      <c r="F13">
        <f>'propulsion MAROF'!AB22</f>
        <v>443.28076079688816</v>
      </c>
      <c r="G13">
        <f>'propulsion MAROF'!AD22</f>
        <v>0.97</v>
      </c>
      <c r="H13">
        <f>'propulsion MAROF'!AE22</f>
        <v>1329.8422823906644</v>
      </c>
      <c r="I13">
        <f>'propulsion MAROF'!AF22</f>
        <v>2.1108322972902949</v>
      </c>
      <c r="J13">
        <f>'propulsion MAROF'!AG22</f>
        <v>303.04753202955624</v>
      </c>
      <c r="K13">
        <f>'propulsion MAROF'!AH22</f>
        <v>0.86</v>
      </c>
      <c r="L13">
        <f t="shared" si="1"/>
        <v>86</v>
      </c>
      <c r="M13">
        <f>'propulsion MAROF'!AI22</f>
        <v>352.38085119715839</v>
      </c>
      <c r="N13">
        <f>'propulsion MAROF'!AJ22</f>
        <v>11.609577635096622</v>
      </c>
      <c r="O13">
        <f>'propulsion MAROF'!AK22</f>
        <v>30.352598714003573</v>
      </c>
      <c r="P13">
        <f t="shared" si="0"/>
        <v>9</v>
      </c>
    </row>
    <row r="14" spans="1:16" x14ac:dyDescent="0.25">
      <c r="A14">
        <f>'propulsion MAROF'!B23</f>
        <v>2.7777777777777777</v>
      </c>
      <c r="B14">
        <f>'propulsion MAROF'!C23</f>
        <v>10</v>
      </c>
      <c r="C14">
        <f>'propulsion MAROF'!W23</f>
        <v>6.9514339060711077</v>
      </c>
      <c r="D14">
        <f>'propulsion MAROF'!X23</f>
        <v>276.47549920027996</v>
      </c>
      <c r="E14">
        <f>'propulsion MAROF'!Z23</f>
        <v>0.7963434759558371</v>
      </c>
      <c r="F14">
        <f>'propulsion MAROF'!AB23</f>
        <v>476.92842651563694</v>
      </c>
      <c r="G14">
        <f>'propulsion MAROF'!AD23</f>
        <v>0.97</v>
      </c>
      <c r="H14">
        <f>'propulsion MAROF'!AE23</f>
        <v>1430.7852795469107</v>
      </c>
      <c r="I14">
        <f>'propulsion MAROF'!AF23</f>
        <v>2.3888089024299339</v>
      </c>
      <c r="J14">
        <f>'propulsion MAROF'!AG23</f>
        <v>368.98843617469618</v>
      </c>
      <c r="K14">
        <f>'propulsion MAROF'!AH23</f>
        <v>0.86</v>
      </c>
      <c r="L14">
        <f t="shared" si="1"/>
        <v>86</v>
      </c>
      <c r="M14">
        <f>'propulsion MAROF'!AI23</f>
        <v>429.05632113336765</v>
      </c>
      <c r="N14">
        <f>'propulsion MAROF'!AJ23</f>
        <v>13.138448963364636</v>
      </c>
      <c r="O14">
        <f>'propulsion MAROF'!AK23</f>
        <v>32.656542817934749</v>
      </c>
      <c r="P14">
        <f t="shared" si="0"/>
        <v>10</v>
      </c>
    </row>
    <row r="15" spans="1:16" x14ac:dyDescent="0.25">
      <c r="A15">
        <f>'propulsion MAROF'!B24</f>
        <v>3.0555555555555554</v>
      </c>
      <c r="B15">
        <f>'propulsion MAROF'!C24</f>
        <v>11</v>
      </c>
      <c r="C15">
        <f>'propulsion MAROF'!W24</f>
        <v>7.7709311556701035</v>
      </c>
      <c r="D15">
        <f>'propulsion MAROF'!X24</f>
        <v>334.53535403233872</v>
      </c>
      <c r="E15">
        <f>'propulsion MAROF'!Z24</f>
        <v>0.80657226070926835</v>
      </c>
      <c r="F15">
        <f>'propulsion MAROF'!AB24</f>
        <v>509.67937545644014</v>
      </c>
      <c r="G15">
        <f>'propulsion MAROF'!AD24</f>
        <v>0.97</v>
      </c>
      <c r="H15">
        <f>'propulsion MAROF'!AE24</f>
        <v>1529.0381263693205</v>
      </c>
      <c r="I15">
        <f>'propulsion MAROF'!AF24</f>
        <v>2.6704230775498634</v>
      </c>
      <c r="J15">
        <f>'propulsion MAROF'!AG24</f>
        <v>440.81389018622178</v>
      </c>
      <c r="K15">
        <f>'propulsion MAROF'!AH24</f>
        <v>0.86</v>
      </c>
      <c r="L15">
        <f t="shared" si="1"/>
        <v>86</v>
      </c>
      <c r="M15">
        <f>'propulsion MAROF'!AI24</f>
        <v>512.57429091421136</v>
      </c>
      <c r="N15">
        <f>'propulsion MAROF'!AJ24</f>
        <v>14.687326926524248</v>
      </c>
      <c r="O15">
        <f>'propulsion MAROF'!AK24</f>
        <v>34.899086367345667</v>
      </c>
      <c r="P15">
        <f t="shared" si="0"/>
        <v>11</v>
      </c>
    </row>
    <row r="16" spans="1:16" x14ac:dyDescent="0.25">
      <c r="A16">
        <f>'propulsion MAROF'!B25</f>
        <v>3.333333333333333</v>
      </c>
      <c r="B16">
        <f>'propulsion MAROF'!C25</f>
        <v>12</v>
      </c>
      <c r="C16">
        <f>'propulsion MAROF'!W25</f>
        <v>8.6160000513259813</v>
      </c>
      <c r="D16">
        <f>'propulsion MAROF'!X25</f>
        <v>398.91231411862987</v>
      </c>
      <c r="E16">
        <f>'propulsion MAROF'!Z25</f>
        <v>0.81570058873351003</v>
      </c>
      <c r="F16">
        <f>'propulsion MAROF'!AB25</f>
        <v>542.01631125295626</v>
      </c>
      <c r="G16">
        <f>'propulsion MAROF'!AD25</f>
        <v>0.97</v>
      </c>
      <c r="H16">
        <f>'propulsion MAROF'!AE25</f>
        <v>1626.0489337588688</v>
      </c>
      <c r="I16">
        <f>'propulsion MAROF'!AF25</f>
        <v>2.9608247599058353</v>
      </c>
      <c r="J16">
        <f>'propulsion MAROF'!AG25</f>
        <v>519.76041266101288</v>
      </c>
      <c r="K16">
        <f>'propulsion MAROF'!AH25</f>
        <v>0.86</v>
      </c>
      <c r="L16">
        <f t="shared" si="1"/>
        <v>86</v>
      </c>
      <c r="M16">
        <f>'propulsion MAROF'!AI25</f>
        <v>604.37257286164288</v>
      </c>
      <c r="N16">
        <f>'propulsion MAROF'!AJ25</f>
        <v>16.284536179482092</v>
      </c>
      <c r="O16">
        <f>'propulsion MAROF'!AK25</f>
        <v>37.113281348665595</v>
      </c>
      <c r="P16">
        <f t="shared" si="0"/>
        <v>12</v>
      </c>
    </row>
    <row r="17" spans="1:17" x14ac:dyDescent="0.25">
      <c r="A17">
        <f>'propulsion MAROF'!B26</f>
        <v>3.6111111111111112</v>
      </c>
      <c r="B17">
        <f>'propulsion MAROF'!C26</f>
        <v>13</v>
      </c>
      <c r="C17">
        <f>'propulsion MAROF'!W26</f>
        <v>10.200625154189343</v>
      </c>
      <c r="D17">
        <f>'propulsion MAROF'!X26</f>
        <v>512.53579109811562</v>
      </c>
      <c r="E17">
        <f>'propulsion MAROF'!Z26</f>
        <v>0.8145812703498202</v>
      </c>
      <c r="F17">
        <f>'propulsion MAROF'!AB26</f>
        <v>589.02587266915157</v>
      </c>
      <c r="G17">
        <f>'propulsion MAROF'!AD26</f>
        <v>0.97</v>
      </c>
      <c r="H17">
        <f>'propulsion MAROF'!AE26</f>
        <v>1767.0776180074547</v>
      </c>
      <c r="I17">
        <f>'propulsion MAROF'!AF26</f>
        <v>3.5053694687935884</v>
      </c>
      <c r="J17">
        <f>'propulsion MAROF'!AG26</f>
        <v>668.72307539973224</v>
      </c>
      <c r="K17">
        <f>'propulsion MAROF'!AH26</f>
        <v>0.86</v>
      </c>
      <c r="L17">
        <f t="shared" si="1"/>
        <v>86</v>
      </c>
      <c r="M17">
        <f>'propulsion MAROF'!AI26</f>
        <v>777.58497139503754</v>
      </c>
      <c r="N17">
        <f>'propulsion MAROF'!AJ26</f>
        <v>19.279532078364735</v>
      </c>
      <c r="O17">
        <f>'propulsion MAROF'!AK26</f>
        <v>40.332149568486379</v>
      </c>
      <c r="P17">
        <f t="shared" si="0"/>
        <v>13</v>
      </c>
    </row>
    <row r="18" spans="1:17" x14ac:dyDescent="0.25">
      <c r="A18">
        <f>'propulsion MAROF'!B27</f>
        <v>3.8888888888888888</v>
      </c>
      <c r="B18">
        <f>'propulsion MAROF'!C27</f>
        <v>14</v>
      </c>
      <c r="C18">
        <f>'propulsion MAROF'!W27</f>
        <v>11.804825285637344</v>
      </c>
      <c r="D18">
        <f>'propulsion MAROF'!X27</f>
        <v>638.48888443196483</v>
      </c>
      <c r="E18">
        <f>'propulsion MAROF'!Z27</f>
        <v>0.81485767303603196</v>
      </c>
      <c r="F18">
        <f>'propulsion MAROF'!AB27</f>
        <v>633.84548306026113</v>
      </c>
      <c r="G18">
        <f>'propulsion MAROF'!AD27</f>
        <v>0.97</v>
      </c>
      <c r="H18">
        <f>'propulsion MAROF'!AE27</f>
        <v>1901.5364491807834</v>
      </c>
      <c r="I18">
        <f>'propulsion MAROF'!AF27</f>
        <v>4.0566409916279529</v>
      </c>
      <c r="J18">
        <f>'propulsion MAROF'!AG27</f>
        <v>832.77583200820061</v>
      </c>
      <c r="K18">
        <f>'propulsion MAROF'!AH27</f>
        <v>0.86</v>
      </c>
      <c r="L18">
        <f t="shared" si="1"/>
        <v>86</v>
      </c>
      <c r="M18">
        <f>'propulsion MAROF'!AI27</f>
        <v>968.34399070721008</v>
      </c>
      <c r="N18">
        <f>'propulsion MAROF'!AJ27</f>
        <v>22.311525453953742</v>
      </c>
      <c r="O18">
        <f>'propulsion MAROF'!AK27</f>
        <v>43.401066086031044</v>
      </c>
      <c r="P18">
        <f t="shared" si="0"/>
        <v>14</v>
      </c>
    </row>
    <row r="19" spans="1:17" x14ac:dyDescent="0.25">
      <c r="A19">
        <f>'propulsion MAROF'!B28</f>
        <v>4.166666666666667</v>
      </c>
      <c r="B19">
        <f>'propulsion MAROF'!C28</f>
        <v>15</v>
      </c>
      <c r="C19">
        <f>'propulsion MAROF'!W28</f>
        <v>13.252782757698979</v>
      </c>
      <c r="D19">
        <f>'propulsion MAROF'!X28</f>
        <v>764.56836510650885</v>
      </c>
      <c r="E19">
        <f>'propulsion MAROF'!Z28</f>
        <v>0.81770189676691496</v>
      </c>
      <c r="F19">
        <f>'propulsion MAROF'!AB28</f>
        <v>673.72959101366428</v>
      </c>
      <c r="G19">
        <f>'propulsion MAROF'!AD28</f>
        <v>0.97</v>
      </c>
      <c r="H19">
        <f>'propulsion MAROF'!AE28</f>
        <v>2021.1887730409928</v>
      </c>
      <c r="I19">
        <f>'propulsion MAROF'!AF28</f>
        <v>4.5542208789343572</v>
      </c>
      <c r="J19">
        <f>'propulsion MAROF'!AG28</f>
        <v>993.75162294594145</v>
      </c>
      <c r="K19">
        <f>'propulsion MAROF'!AH28</f>
        <v>0.88</v>
      </c>
      <c r="L19">
        <f t="shared" si="1"/>
        <v>88</v>
      </c>
      <c r="M19">
        <f>'propulsion MAROF'!AI28</f>
        <v>1129.2632078931154</v>
      </c>
      <c r="N19">
        <f>'propulsion MAROF'!AJ28</f>
        <v>25.048214834138964</v>
      </c>
      <c r="O19">
        <f>'propulsion MAROF'!AK28</f>
        <v>45.083580421627836</v>
      </c>
      <c r="P19">
        <f t="shared" si="0"/>
        <v>15</v>
      </c>
    </row>
    <row r="20" spans="1:17" x14ac:dyDescent="0.25">
      <c r="A20" s="271">
        <f>'propulsion MAROF'!B29</f>
        <v>4.4444444444444446</v>
      </c>
      <c r="B20" s="271">
        <f>'propulsion MAROF'!C29</f>
        <v>16</v>
      </c>
      <c r="C20" s="271">
        <f>'propulsion MAROF'!W29</f>
        <v>14.719571275938161</v>
      </c>
      <c r="D20" s="271">
        <f>'propulsion MAROF'!X29</f>
        <v>901.40581999122139</v>
      </c>
      <c r="E20" s="271">
        <f>'propulsion MAROF'!Z29</f>
        <v>0.82074815742409768</v>
      </c>
      <c r="F20" s="271">
        <f>'propulsion MAROF'!AB29</f>
        <v>712.50294299566292</v>
      </c>
      <c r="G20" s="271">
        <f>'propulsion MAROF'!AD29</f>
        <v>0.97</v>
      </c>
      <c r="H20" s="271">
        <f>'propulsion MAROF'!AE29</f>
        <v>2137.5088289869886</v>
      </c>
      <c r="I20" s="271">
        <f>'propulsion MAROF'!AF29</f>
        <v>5.0582719161299519</v>
      </c>
      <c r="J20" s="271">
        <f>'propulsion MAROF'!AG29</f>
        <v>1167.2583056678466</v>
      </c>
      <c r="K20" s="271">
        <f>'propulsion MAROF'!AH29</f>
        <v>0.88</v>
      </c>
      <c r="L20" s="271">
        <f t="shared" si="1"/>
        <v>88</v>
      </c>
      <c r="M20" s="271">
        <f>'propulsion MAROF'!AI29</f>
        <v>1326.4298928043711</v>
      </c>
      <c r="N20" s="271">
        <f>'propulsion MAROF'!AJ29</f>
        <v>27.820495538714734</v>
      </c>
      <c r="O20" s="271">
        <f>'propulsion MAROF'!AK29</f>
        <v>47.678154796291246</v>
      </c>
      <c r="P20" s="271">
        <f t="shared" si="0"/>
        <v>16</v>
      </c>
      <c r="Q20" s="31" t="s">
        <v>220</v>
      </c>
    </row>
    <row r="21" spans="1:17" x14ac:dyDescent="0.25">
      <c r="A21">
        <f>'propulsion MAROF'!B30</f>
        <v>4.7222222222222223</v>
      </c>
      <c r="B21">
        <f>'propulsion MAROF'!C30</f>
        <v>17</v>
      </c>
      <c r="C21">
        <f>'propulsion MAROF'!W30</f>
        <v>16.247535775722461</v>
      </c>
      <c r="D21">
        <f>'propulsion MAROF'!X30</f>
        <v>1052.3542098272662</v>
      </c>
      <c r="E21">
        <f>'propulsion MAROF'!Z30</f>
        <v>0.82355426543307897</v>
      </c>
      <c r="F21">
        <f>'propulsion MAROF'!AB30</f>
        <v>751.02363041259321</v>
      </c>
      <c r="G21">
        <f>'propulsion MAROF'!AD30</f>
        <v>0.97</v>
      </c>
      <c r="H21">
        <f>'propulsion MAROF'!AE30</f>
        <v>2253.0708912377795</v>
      </c>
      <c r="I21">
        <f>'propulsion MAROF'!AF30</f>
        <v>5.5833456273960342</v>
      </c>
      <c r="J21">
        <f>'propulsion MAROF'!AG30</f>
        <v>1358.0828137395965</v>
      </c>
      <c r="K21">
        <f>'propulsion MAROF'!AH30</f>
        <v>0.88</v>
      </c>
      <c r="L21">
        <f t="shared" si="1"/>
        <v>88</v>
      </c>
      <c r="M21">
        <f>'propulsion MAROF'!AI30</f>
        <v>1543.2759247040869</v>
      </c>
      <c r="N21">
        <f>'propulsion MAROF'!AJ30</f>
        <v>30.708400950678186</v>
      </c>
      <c r="O21">
        <f>'propulsion MAROF'!AK30</f>
        <v>50.255821759745658</v>
      </c>
      <c r="P21">
        <f t="shared" si="0"/>
        <v>17</v>
      </c>
    </row>
    <row r="22" spans="1:17" x14ac:dyDescent="0.25">
      <c r="A22">
        <f>'propulsion MAROF'!B31</f>
        <v>5</v>
      </c>
      <c r="B22">
        <f>'propulsion MAROF'!C31</f>
        <v>18</v>
      </c>
      <c r="C22">
        <f>'propulsion MAROF'!W31</f>
        <v>17.793137209040303</v>
      </c>
      <c r="D22">
        <f>'propulsion MAROF'!X31</f>
        <v>1214.4332497911441</v>
      </c>
      <c r="E22">
        <f>'propulsion MAROF'!Z31</f>
        <v>0.8264362744350332</v>
      </c>
      <c r="F22">
        <f>'propulsion MAROF'!AB31</f>
        <v>788.64786549392682</v>
      </c>
      <c r="G22">
        <f>'propulsion MAROF'!AD31</f>
        <v>0.97</v>
      </c>
      <c r="H22">
        <f>'propulsion MAROF'!AE31</f>
        <v>2365.9435964817803</v>
      </c>
      <c r="I22">
        <f>'propulsion MAROF'!AF31</f>
        <v>6.1144801405636775</v>
      </c>
      <c r="J22">
        <f>'propulsion MAROF'!AG31</f>
        <v>1561.7834250590704</v>
      </c>
      <c r="K22">
        <f>'propulsion MAROF'!AH31</f>
        <v>0.88</v>
      </c>
      <c r="L22">
        <f t="shared" si="1"/>
        <v>88</v>
      </c>
      <c r="M22">
        <f>'propulsion MAROF'!AI31</f>
        <v>1774.7538921125799</v>
      </c>
      <c r="N22">
        <f>'propulsion MAROF'!AJ31</f>
        <v>33.629640773100228</v>
      </c>
      <c r="O22">
        <f>'propulsion MAROF'!AK31</f>
        <v>52.77350133136644</v>
      </c>
      <c r="P22">
        <f t="shared" si="0"/>
        <v>18</v>
      </c>
    </row>
    <row r="23" spans="1:17" x14ac:dyDescent="0.25">
      <c r="A23">
        <f>'propulsion MAROF'!B32</f>
        <v>5.2777777777777777</v>
      </c>
      <c r="B23">
        <f>'propulsion MAROF'!C32</f>
        <v>19</v>
      </c>
      <c r="C23">
        <f>'propulsion MAROF'!W32</f>
        <v>19.477130799622593</v>
      </c>
      <c r="D23">
        <f>'propulsion MAROF'!X32</f>
        <v>1398.1310003631081</v>
      </c>
      <c r="E23">
        <f>'propulsion MAROF'!Z32</f>
        <v>0.82857851706670882</v>
      </c>
      <c r="F23">
        <f>'propulsion MAROF'!AB32</f>
        <v>827.29537723688964</v>
      </c>
      <c r="G23">
        <f>'propulsion MAROF'!AD32</f>
        <v>0.97</v>
      </c>
      <c r="H23">
        <f>'propulsion MAROF'!AE32</f>
        <v>2481.8861317106689</v>
      </c>
      <c r="I23">
        <f>'propulsion MAROF'!AF32</f>
        <v>6.6931720960902377</v>
      </c>
      <c r="J23">
        <f>'propulsion MAROF'!AG32</f>
        <v>1793.3734163906056</v>
      </c>
      <c r="K23">
        <f>'propulsion MAROF'!AH32</f>
        <v>0.88</v>
      </c>
      <c r="L23">
        <f t="shared" si="1"/>
        <v>88</v>
      </c>
      <c r="M23">
        <f>'propulsion MAROF'!AI32</f>
        <v>2037.9243368075063</v>
      </c>
      <c r="N23">
        <f>'propulsion MAROF'!AJ32</f>
        <v>36.812446528496309</v>
      </c>
      <c r="O23">
        <f>'propulsion MAROF'!AK32</f>
        <v>55.359654926220685</v>
      </c>
      <c r="P23">
        <f t="shared" si="0"/>
        <v>19</v>
      </c>
    </row>
    <row r="24" spans="1:17" x14ac:dyDescent="0.25">
      <c r="A24">
        <f>'propulsion MAROF'!B33</f>
        <v>5.5555555555555554</v>
      </c>
      <c r="B24">
        <f>'propulsion MAROF'!C33</f>
        <v>20</v>
      </c>
      <c r="C24">
        <f>'propulsion MAROF'!W33</f>
        <v>21.184054306263242</v>
      </c>
      <c r="D24">
        <f>'propulsion MAROF'!X33</f>
        <v>1594.5541717592446</v>
      </c>
      <c r="E24">
        <f>'propulsion MAROF'!Z33</f>
        <v>0.8307904836706731</v>
      </c>
      <c r="F24">
        <f>'propulsion MAROF'!AB33</f>
        <v>865.18716044301561</v>
      </c>
      <c r="G24">
        <f>'propulsion MAROF'!AD33</f>
        <v>0.97</v>
      </c>
      <c r="H24">
        <f>'propulsion MAROF'!AE33</f>
        <v>2595.5614813290467</v>
      </c>
      <c r="I24">
        <f>'propulsion MAROF'!AF33</f>
        <v>7.2797437478567835</v>
      </c>
      <c r="J24">
        <f>'propulsion MAROF'!AG33</f>
        <v>2039.8784800079791</v>
      </c>
      <c r="K24">
        <f>'propulsion MAROF'!AH33</f>
        <v>0.88</v>
      </c>
      <c r="L24">
        <f t="shared" si="1"/>
        <v>88</v>
      </c>
      <c r="M24">
        <f>'propulsion MAROF'!AI33</f>
        <v>2318.0437272817944</v>
      </c>
      <c r="N24">
        <f>'propulsion MAROF'!AJ33</f>
        <v>40.038590613212307</v>
      </c>
      <c r="O24">
        <f>'propulsion MAROF'!AK33</f>
        <v>57.895237863763988</v>
      </c>
      <c r="P24">
        <f t="shared" si="0"/>
        <v>20</v>
      </c>
    </row>
    <row r="25" spans="1:17" x14ac:dyDescent="0.25">
      <c r="A25">
        <f>'propulsion MAROF'!B34</f>
        <v>5.833333333333333</v>
      </c>
      <c r="B25">
        <f>'propulsion MAROF'!C34</f>
        <v>21</v>
      </c>
      <c r="C25">
        <f>'propulsion MAROF'!W34</f>
        <v>23.049182862705187</v>
      </c>
      <c r="D25">
        <f>'propulsion MAROF'!X34</f>
        <v>1816.9538479116682</v>
      </c>
      <c r="E25">
        <f>'propulsion MAROF'!Z34</f>
        <v>0.83212073397455211</v>
      </c>
      <c r="F25">
        <f>'propulsion MAROF'!AB34</f>
        <v>904.63503063491146</v>
      </c>
      <c r="G25">
        <f>'propulsion MAROF'!AD34</f>
        <v>0.97</v>
      </c>
      <c r="H25">
        <f>'propulsion MAROF'!AE34</f>
        <v>2713.9050919047345</v>
      </c>
      <c r="I25">
        <f>'propulsion MAROF'!AF34</f>
        <v>7.9206813961186207</v>
      </c>
      <c r="J25">
        <f>'propulsion MAROF'!AG34</f>
        <v>2320.6737189969172</v>
      </c>
      <c r="K25">
        <f>'propulsion MAROF'!AH34</f>
        <v>0.88</v>
      </c>
      <c r="L25">
        <f t="shared" si="1"/>
        <v>88</v>
      </c>
      <c r="M25">
        <f>'propulsion MAROF'!AI34</f>
        <v>2637.1292261328604</v>
      </c>
      <c r="N25">
        <f>'propulsion MAROF'!AJ34</f>
        <v>43.563747678652412</v>
      </c>
      <c r="O25">
        <f>'propulsion MAROF'!AK34</f>
        <v>60.534948590410998</v>
      </c>
      <c r="P25">
        <f t="shared" si="0"/>
        <v>21</v>
      </c>
    </row>
    <row r="26" spans="1:17" x14ac:dyDescent="0.25">
      <c r="A26">
        <f>'propulsion MAROF'!B35</f>
        <v>6.1111111111111107</v>
      </c>
      <c r="B26">
        <f>'propulsion MAROF'!C35</f>
        <v>22</v>
      </c>
      <c r="C26">
        <f>'propulsion MAROF'!W35</f>
        <v>24.925077943570468</v>
      </c>
      <c r="D26">
        <f>'propulsion MAROF'!X35</f>
        <v>2052.9413304988011</v>
      </c>
      <c r="E26">
        <f>'propulsion MAROF'!Z35</f>
        <v>0.83318746803791455</v>
      </c>
      <c r="F26">
        <f>'propulsion MAROF'!AB35</f>
        <v>943.9927655250134</v>
      </c>
      <c r="G26">
        <f>'propulsion MAROF'!AD35</f>
        <v>0.97</v>
      </c>
      <c r="H26">
        <f>'propulsion MAROF'!AE35</f>
        <v>2831.9782965750401</v>
      </c>
      <c r="I26">
        <f>'propulsion MAROF'!AF35</f>
        <v>8.5653188809520504</v>
      </c>
      <c r="J26">
        <f>'propulsion MAROF'!AG35</f>
        <v>2618.7276907825481</v>
      </c>
      <c r="K26">
        <f>'propulsion MAROF'!AH35</f>
        <v>0.88</v>
      </c>
      <c r="L26">
        <f t="shared" si="1"/>
        <v>88</v>
      </c>
      <c r="M26">
        <f>'propulsion MAROF'!AI35</f>
        <v>2975.8269213438048</v>
      </c>
      <c r="N26">
        <f>'propulsion MAROF'!AJ35</f>
        <v>47.109253845236275</v>
      </c>
      <c r="O26">
        <f>'propulsion MAROF'!AK35</f>
        <v>63.168627784256934</v>
      </c>
      <c r="P26">
        <f t="shared" si="0"/>
        <v>22</v>
      </c>
    </row>
    <row r="27" spans="1:17" x14ac:dyDescent="0.25">
      <c r="A27">
        <f>'propulsion MAROF'!B36</f>
        <v>6.3888888888888884</v>
      </c>
      <c r="B27">
        <f>'propulsion MAROF'!C36</f>
        <v>23</v>
      </c>
      <c r="C27">
        <f>'propulsion MAROF'!W36</f>
        <v>26.953229578837615</v>
      </c>
      <c r="D27">
        <f>'propulsion MAROF'!X36</f>
        <v>2316.4614708445506</v>
      </c>
      <c r="E27">
        <f>'propulsion MAROF'!Z36</f>
        <v>0.83394765532940773</v>
      </c>
      <c r="F27">
        <f>'propulsion MAROF'!AB36</f>
        <v>984.11728685428341</v>
      </c>
      <c r="G27">
        <f>'propulsion MAROF'!AD36</f>
        <v>0.97</v>
      </c>
      <c r="H27">
        <f>'propulsion MAROF'!AE36</f>
        <v>2952.3518605628501</v>
      </c>
      <c r="I27">
        <f>'propulsion MAROF'!AF36</f>
        <v>9.2622782057861208</v>
      </c>
      <c r="J27">
        <f>'propulsion MAROF'!AG36</f>
        <v>2952.1799105991417</v>
      </c>
      <c r="K27">
        <f>'propulsion MAROF'!AH36</f>
        <v>0.88</v>
      </c>
      <c r="L27">
        <f t="shared" si="1"/>
        <v>88</v>
      </c>
      <c r="M27">
        <f>'propulsion MAROF'!AI36</f>
        <v>3354.7498984081158</v>
      </c>
      <c r="N27">
        <f>'propulsion MAROF'!AJ36</f>
        <v>50.942530131823666</v>
      </c>
      <c r="O27">
        <f>'propulsion MAROF'!AK36</f>
        <v>65.853617590784168</v>
      </c>
      <c r="P27">
        <f t="shared" si="0"/>
        <v>23</v>
      </c>
    </row>
    <row r="28" spans="1:17" x14ac:dyDescent="0.25">
      <c r="A28">
        <f>'propulsion MAROF'!B37</f>
        <v>6.6666666666666661</v>
      </c>
      <c r="B28">
        <f>'propulsion MAROF'!C37</f>
        <v>24</v>
      </c>
      <c r="C28">
        <f>'propulsion MAROF'!W37</f>
        <v>28.998724674084389</v>
      </c>
      <c r="D28">
        <f>'propulsion MAROF'!X37</f>
        <v>2595.042701733159</v>
      </c>
      <c r="E28">
        <f>'propulsion MAROF'!Z37</f>
        <v>0.83478994937367135</v>
      </c>
      <c r="F28">
        <f>'propulsion MAROF'!AB37</f>
        <v>1023.6695391232981</v>
      </c>
      <c r="G28">
        <f>'propulsion MAROF'!AD37</f>
        <v>0.97</v>
      </c>
      <c r="H28">
        <f>'propulsion MAROF'!AE37</f>
        <v>3071.0086173698946</v>
      </c>
      <c r="I28">
        <f>'propulsion MAROF'!AF37</f>
        <v>9.9651974825032266</v>
      </c>
      <c r="J28">
        <f>'propulsion MAROF'!AG37</f>
        <v>3303.8766791639964</v>
      </c>
      <c r="K28">
        <f>'propulsion MAROF'!AH37</f>
        <v>0.88</v>
      </c>
      <c r="L28">
        <f t="shared" si="1"/>
        <v>88</v>
      </c>
      <c r="M28">
        <f>'propulsion MAROF'!AI37</f>
        <v>3754.405317231814</v>
      </c>
      <c r="N28">
        <f>'propulsion MAROF'!AJ37</f>
        <v>54.808586153767742</v>
      </c>
      <c r="O28">
        <f>'propulsion MAROF'!AK37</f>
        <v>68.500313193605749</v>
      </c>
      <c r="P28">
        <f t="shared" si="0"/>
        <v>24</v>
      </c>
    </row>
    <row r="29" spans="1:17" x14ac:dyDescent="0.25">
      <c r="A29">
        <f>'propulsion MAROF'!B38</f>
        <v>6.9444444444444446</v>
      </c>
      <c r="B29">
        <f>'propulsion MAROF'!C38</f>
        <v>25</v>
      </c>
      <c r="C29">
        <f>'propulsion MAROF'!W38</f>
        <v>30.39619781416679</v>
      </c>
      <c r="D29">
        <f>'propulsion MAROF'!X38</f>
        <v>2815.8923437843714</v>
      </c>
      <c r="E29">
        <f>'propulsion MAROF'!Z38</f>
        <v>0.83715580817896729</v>
      </c>
      <c r="F29">
        <f>'propulsion MAROF'!AB38</f>
        <v>1056.7247324587975</v>
      </c>
      <c r="G29">
        <f>'propulsion MAROF'!AD38</f>
        <v>0.97</v>
      </c>
      <c r="H29">
        <f>'propulsion MAROF'!AE38</f>
        <v>3170.1741973763924</v>
      </c>
      <c r="I29">
        <f>'propulsion MAROF'!AF38</f>
        <v>10.445428802119171</v>
      </c>
      <c r="J29">
        <f>'propulsion MAROF'!AG38</f>
        <v>3574.9196394196792</v>
      </c>
      <c r="K29">
        <f>'propulsion MAROF'!AH38</f>
        <v>0.88</v>
      </c>
      <c r="L29">
        <f t="shared" si="1"/>
        <v>88</v>
      </c>
      <c r="M29">
        <f>'propulsion MAROF'!AI38</f>
        <v>4062.4086811587263</v>
      </c>
      <c r="N29">
        <f>'propulsion MAROF'!AJ38</f>
        <v>57.449858411655441</v>
      </c>
      <c r="O29">
        <f>'propulsion MAROF'!AK38</f>
        <v>70.712248793541747</v>
      </c>
      <c r="P29">
        <f t="shared" si="0"/>
        <v>25</v>
      </c>
    </row>
    <row r="30" spans="1:17" x14ac:dyDescent="0.25">
      <c r="A30">
        <f>'propulsion MAROF'!B39</f>
        <v>7.2222222222222223</v>
      </c>
      <c r="B30">
        <f>'propulsion MAROF'!C39</f>
        <v>26</v>
      </c>
      <c r="C30">
        <f>'propulsion MAROF'!W39</f>
        <v>31.80226525037957</v>
      </c>
      <c r="D30">
        <f>'propulsion MAROF'!X39</f>
        <v>3045.6691590371756</v>
      </c>
      <c r="E30">
        <f>'propulsion MAROF'!Z39</f>
        <v>0.83932132193275111</v>
      </c>
      <c r="F30">
        <f>'propulsion MAROF'!AB39</f>
        <v>1089.6017600711566</v>
      </c>
      <c r="G30">
        <f>'propulsion MAROF'!AD39</f>
        <v>0.97</v>
      </c>
      <c r="H30">
        <f>'propulsion MAROF'!AE39</f>
        <v>3268.8052802134698</v>
      </c>
      <c r="I30">
        <f>'propulsion MAROF'!AF39</f>
        <v>10.928613488102945</v>
      </c>
      <c r="J30">
        <f>'propulsion MAROF'!AG39</f>
        <v>3856.6568703821399</v>
      </c>
      <c r="K30">
        <f>'propulsion MAROF'!AH39</f>
        <v>0.88</v>
      </c>
      <c r="L30">
        <f t="shared" si="1"/>
        <v>88</v>
      </c>
      <c r="M30">
        <f>'propulsion MAROF'!AI39</f>
        <v>4382.56462543425</v>
      </c>
      <c r="N30">
        <f>'propulsion MAROF'!AJ39</f>
        <v>60.107374184566197</v>
      </c>
      <c r="O30">
        <f>'propulsion MAROF'!AK39</f>
        <v>72.912262178965122</v>
      </c>
      <c r="P30">
        <f t="shared" si="0"/>
        <v>26</v>
      </c>
    </row>
    <row r="31" spans="1:17" x14ac:dyDescent="0.25">
      <c r="A31">
        <f>'propulsion MAROF'!B40</f>
        <v>7.5</v>
      </c>
      <c r="B31">
        <f>'propulsion MAROF'!C40</f>
        <v>27</v>
      </c>
      <c r="C31">
        <f>'propulsion MAROF'!W40</f>
        <v>33.217932712661352</v>
      </c>
      <c r="D31">
        <f>'propulsion MAROF'!X40</f>
        <v>3284.456829790091</v>
      </c>
      <c r="E31">
        <f>'propulsion MAROF'!Z40</f>
        <v>0.84128767620733091</v>
      </c>
      <c r="F31">
        <f>'propulsion MAROF'!AB40</f>
        <v>1122.3228675644837</v>
      </c>
      <c r="G31">
        <f>'propulsion MAROF'!AD40</f>
        <v>0.97</v>
      </c>
      <c r="H31">
        <f>'propulsion MAROF'!AE40</f>
        <v>3366.968602693451</v>
      </c>
      <c r="I31">
        <f>'propulsion MAROF'!AF40</f>
        <v>11.415097152117303</v>
      </c>
      <c r="J31">
        <f>'propulsion MAROF'!AG40</f>
        <v>4149.3069390624578</v>
      </c>
      <c r="K31">
        <f>'propulsion MAROF'!AH40</f>
        <v>0.88</v>
      </c>
      <c r="L31">
        <f t="shared" si="1"/>
        <v>88</v>
      </c>
      <c r="M31">
        <f>'propulsion MAROF'!AI40</f>
        <v>4715.1215216618839</v>
      </c>
      <c r="N31">
        <f>'propulsion MAROF'!AJ40</f>
        <v>62.783034336645166</v>
      </c>
      <c r="O31">
        <f>'propulsion MAROF'!AK40</f>
        <v>75.101841946332371</v>
      </c>
      <c r="P31">
        <f t="shared" si="0"/>
        <v>27</v>
      </c>
    </row>
    <row r="32" spans="1:17" x14ac:dyDescent="0.25">
      <c r="A32">
        <f>'propulsion MAROF'!B41</f>
        <v>7.7777777777777777</v>
      </c>
      <c r="B32">
        <f>'propulsion MAROF'!C41</f>
        <v>28</v>
      </c>
      <c r="C32">
        <f>'propulsion MAROF'!W41</f>
        <v>34.643399687276393</v>
      </c>
      <c r="D32">
        <f>'propulsion MAROF'!X41</f>
        <v>3532.2553560431161</v>
      </c>
      <c r="E32">
        <f>'propulsion MAROF'!Z41</f>
        <v>0.84305928517311524</v>
      </c>
      <c r="F32">
        <f>'propulsion MAROF'!AB41</f>
        <v>1154.9012570156226</v>
      </c>
      <c r="G32">
        <f>'propulsion MAROF'!AD41</f>
        <v>0.97</v>
      </c>
      <c r="H32">
        <f>'propulsion MAROF'!AE41</f>
        <v>3464.7037710468676</v>
      </c>
      <c r="I32">
        <f>'propulsion MAROF'!AF41</f>
        <v>11.90494834614309</v>
      </c>
      <c r="J32">
        <f>'propulsion MAROF'!AG41</f>
        <v>4452.9775731920145</v>
      </c>
      <c r="K32">
        <f>'propulsion MAROF'!AH41</f>
        <v>0.88</v>
      </c>
      <c r="L32">
        <f t="shared" si="1"/>
        <v>88</v>
      </c>
      <c r="M32">
        <f>'propulsion MAROF'!AI41</f>
        <v>5060.2017877181979</v>
      </c>
      <c r="N32">
        <f>'propulsion MAROF'!AJ41</f>
        <v>65.477215903786998</v>
      </c>
      <c r="O32">
        <f>'propulsion MAROF'!AK41</f>
        <v>77.281871531522029</v>
      </c>
      <c r="P32">
        <f t="shared" si="0"/>
        <v>28</v>
      </c>
    </row>
    <row r="33" spans="1:16" x14ac:dyDescent="0.25">
      <c r="A33">
        <f>'propulsion MAROF'!B42</f>
        <v>8.0555555555555554</v>
      </c>
      <c r="B33">
        <f>'propulsion MAROF'!C42</f>
        <v>29</v>
      </c>
      <c r="C33">
        <f>'propulsion MAROF'!W42</f>
        <v>36.078852733870328</v>
      </c>
      <c r="D33">
        <f>'propulsion MAROF'!X42</f>
        <v>3789.0647377962487</v>
      </c>
      <c r="E33">
        <f>'propulsion MAROF'!Z42</f>
        <v>0.84464149690969659</v>
      </c>
      <c r="F33">
        <f>'propulsion MAROF'!AB42</f>
        <v>1187.3486809509261</v>
      </c>
      <c r="G33">
        <f>'propulsion MAROF'!AD42</f>
        <v>0.97</v>
      </c>
      <c r="H33">
        <f>'propulsion MAROF'!AE42</f>
        <v>3562.0460428527786</v>
      </c>
      <c r="I33">
        <f>'propulsion MAROF'!AF42</f>
        <v>12.398231180024167</v>
      </c>
      <c r="J33">
        <f>'propulsion MAROF'!AG42</f>
        <v>4767.7792871427037</v>
      </c>
      <c r="K33">
        <f>'propulsion MAROF'!AH42</f>
        <v>0.88</v>
      </c>
      <c r="L33">
        <f t="shared" si="1"/>
        <v>88</v>
      </c>
      <c r="M33">
        <f>'propulsion MAROF'!AI42</f>
        <v>5417.9310081167087</v>
      </c>
      <c r="N33">
        <f>'propulsion MAROF'!AJ42</f>
        <v>68.190271490132915</v>
      </c>
      <c r="O33">
        <f>'propulsion MAROF'!AK42</f>
        <v>79.45313737166569</v>
      </c>
      <c r="P33">
        <f t="shared" si="0"/>
        <v>29</v>
      </c>
    </row>
    <row r="34" spans="1:16" x14ac:dyDescent="0.25">
      <c r="A34">
        <f>'propulsion MAROF'!B43</f>
        <v>8.3333333333333339</v>
      </c>
      <c r="B34">
        <f>'propulsion MAROF'!C43</f>
        <v>30</v>
      </c>
      <c r="C34">
        <f>'propulsion MAROF'!W43</f>
        <v>37.524466045173199</v>
      </c>
      <c r="D34">
        <f>'propulsion MAROF'!X43</f>
        <v>4054.8849750494969</v>
      </c>
      <c r="E34">
        <f>'propulsion MAROF'!Z43</f>
        <v>0.84604030169056055</v>
      </c>
      <c r="F34">
        <f>'propulsion MAROF'!AB43</f>
        <v>1219.6756359768863</v>
      </c>
      <c r="G34">
        <f>'propulsion MAROF'!AD43</f>
        <v>0.97</v>
      </c>
      <c r="H34">
        <f>'propulsion MAROF'!AE43</f>
        <v>3659.026907930659</v>
      </c>
      <c r="I34">
        <f>'propulsion MAROF'!AF43</f>
        <v>12.895005513805222</v>
      </c>
      <c r="J34">
        <f>'propulsion MAROF'!AG43</f>
        <v>5093.824983116825</v>
      </c>
      <c r="K34">
        <f>'propulsion MAROF'!AH43</f>
        <v>0.88</v>
      </c>
      <c r="L34">
        <f t="shared" si="1"/>
        <v>88</v>
      </c>
      <c r="M34">
        <f>'propulsion MAROF'!AI43</f>
        <v>5788.437480814574</v>
      </c>
      <c r="N34">
        <f>'propulsion MAROF'!AJ43</f>
        <v>70.922530325928719</v>
      </c>
      <c r="O34">
        <f>'propulsion MAROF'!AK43</f>
        <v>81.616341862218732</v>
      </c>
      <c r="P34">
        <f t="shared" si="0"/>
        <v>30</v>
      </c>
    </row>
    <row r="37" spans="1:16" x14ac:dyDescent="0.25">
      <c r="F37" s="391" t="s">
        <v>219</v>
      </c>
      <c r="G37" s="391"/>
      <c r="I37" s="272"/>
      <c r="J37" s="31" t="s">
        <v>223</v>
      </c>
      <c r="K37" s="31" t="s">
        <v>224</v>
      </c>
      <c r="M37" t="str">
        <f>"1:"&amp;ROUND(AVERAGE($H$4:$H$34)/AVERAGE($F$4:$F$34),0)</f>
        <v>1:3</v>
      </c>
      <c r="N37">
        <f>VLOOKUP($M$37,$I$38:$K$39,2,FALSE)</f>
        <v>9.1</v>
      </c>
      <c r="O37">
        <f>VLOOKUP($N$37,$J$38:$L$39,2,FALSE)</f>
        <v>27.3</v>
      </c>
    </row>
    <row r="38" spans="1:16" x14ac:dyDescent="0.25">
      <c r="F38" s="34">
        <v>1</v>
      </c>
      <c r="G38" s="34" t="str">
        <f>"op "&amp;ROUND(AVERAGE(H4:H34)/AVERAGE(F4:F34),0)</f>
        <v>op 3</v>
      </c>
      <c r="I38" s="272" t="s">
        <v>221</v>
      </c>
      <c r="J38">
        <v>14.4</v>
      </c>
      <c r="K38">
        <v>28.8</v>
      </c>
      <c r="M38" s="31" t="s">
        <v>225</v>
      </c>
      <c r="N38">
        <f>VLOOKUP(N37,I4:I34,1,TRUE)</f>
        <v>8.5653188809520504</v>
      </c>
      <c r="O38">
        <f>VLOOKUP(O37,C4:C34,1,TRUE)</f>
        <v>26.953229578837615</v>
      </c>
    </row>
    <row r="39" spans="1:16" x14ac:dyDescent="0.25">
      <c r="I39" s="32" t="s">
        <v>222</v>
      </c>
      <c r="J39">
        <v>9.1</v>
      </c>
      <c r="K39">
        <v>27.3</v>
      </c>
      <c r="M39" s="31" t="s">
        <v>226</v>
      </c>
      <c r="N39">
        <f>VLOOKUP(N38,I4:P34,8,TRUE)</f>
        <v>22</v>
      </c>
      <c r="O39">
        <f>VLOOKUP(O38,C4:P34,14,TRUE)</f>
        <v>23</v>
      </c>
    </row>
    <row r="41" spans="1:16" x14ac:dyDescent="0.25">
      <c r="J41" s="34" t="s">
        <v>227</v>
      </c>
      <c r="K41" s="34"/>
      <c r="L41" s="34"/>
    </row>
    <row r="42" spans="1:16" x14ac:dyDescent="0.25">
      <c r="J42" s="34" t="s">
        <v>199</v>
      </c>
      <c r="K42" s="34" t="s">
        <v>198</v>
      </c>
      <c r="L42" s="34" t="s">
        <v>200</v>
      </c>
    </row>
    <row r="43" spans="1:16" x14ac:dyDescent="0.25">
      <c r="J43">
        <f>N20</f>
        <v>27.820495538714734</v>
      </c>
      <c r="K43">
        <f>O20</f>
        <v>47.678154796291246</v>
      </c>
      <c r="L43">
        <f>J43*K43</f>
        <v>1326.4298928043711</v>
      </c>
    </row>
  </sheetData>
  <mergeCells count="4">
    <mergeCell ref="A1:B1"/>
    <mergeCell ref="C1:F1"/>
    <mergeCell ref="H1:O1"/>
    <mergeCell ref="F37:G37"/>
  </mergeCells>
  <phoneticPr fontId="30" type="noConversion"/>
  <conditionalFormatting sqref="J42:L4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8A19-6320-4E88-AFD8-F91EDFF4C889}">
  <sheetPr>
    <pageSetUpPr fitToPage="1"/>
  </sheetPr>
  <dimension ref="A1:AH78"/>
  <sheetViews>
    <sheetView topLeftCell="A4" zoomScale="70" zoomScaleNormal="70" workbookViewId="0">
      <selection activeCell="Z42" sqref="Z42"/>
    </sheetView>
  </sheetViews>
  <sheetFormatPr defaultColWidth="9.109375" defaultRowHeight="13.2" x14ac:dyDescent="0.25"/>
  <cols>
    <col min="1" max="3" width="9.109375" style="273"/>
    <col min="4" max="4" width="12" style="273" bestFit="1" customWidth="1"/>
    <col min="5" max="5" width="10.109375" style="273" customWidth="1"/>
    <col min="6" max="6" width="10.6640625" style="273" bestFit="1" customWidth="1"/>
    <col min="7" max="7" width="10.109375" style="273" customWidth="1"/>
    <col min="8" max="9" width="9.109375" style="273"/>
    <col min="10" max="10" width="11.44140625" style="273" customWidth="1"/>
    <col min="11" max="12" width="11.33203125" style="273" customWidth="1"/>
    <col min="13" max="13" width="12.88671875" style="273" customWidth="1"/>
    <col min="14" max="16" width="9.109375" style="273"/>
    <col min="17" max="17" width="54.44140625" style="273" customWidth="1"/>
    <col min="18" max="18" width="16" style="273" customWidth="1"/>
    <col min="19" max="19" width="21.44140625" style="273" bestFit="1" customWidth="1"/>
    <col min="20" max="20" width="30.88671875" style="273" bestFit="1" customWidth="1"/>
    <col min="21" max="21" width="9" style="273" bestFit="1" customWidth="1"/>
    <col min="22" max="22" width="34.33203125" style="273" customWidth="1"/>
    <col min="23" max="23" width="34.44140625" style="273" customWidth="1"/>
    <col min="24" max="24" width="29.33203125" style="273" customWidth="1"/>
    <col min="25" max="25" width="11.5546875" style="273" bestFit="1" customWidth="1"/>
    <col min="26" max="26" width="12.109375" style="273" customWidth="1"/>
    <col min="27" max="27" width="9" style="273" customWidth="1"/>
    <col min="28" max="28" width="11.44140625" style="273" customWidth="1"/>
    <col min="29" max="29" width="11.33203125" style="273" customWidth="1"/>
    <col min="30" max="30" width="7.5546875" style="273" customWidth="1"/>
    <col min="31" max="31" width="10" style="273" bestFit="1" customWidth="1"/>
    <col min="32" max="16384" width="9.109375" style="273"/>
  </cols>
  <sheetData>
    <row r="1" spans="1:32" x14ac:dyDescent="0.25">
      <c r="A1" s="401" t="s">
        <v>213</v>
      </c>
      <c r="B1" s="401"/>
      <c r="C1" s="402" t="s">
        <v>33</v>
      </c>
      <c r="D1" s="402"/>
      <c r="E1" s="402"/>
      <c r="F1" s="402"/>
      <c r="G1" s="274" t="s">
        <v>215</v>
      </c>
      <c r="H1" s="402" t="s">
        <v>218</v>
      </c>
      <c r="I1" s="402"/>
      <c r="J1" s="402"/>
      <c r="K1" s="402"/>
      <c r="L1" s="402"/>
      <c r="M1" s="402"/>
      <c r="N1" s="402"/>
      <c r="O1" s="402"/>
    </row>
    <row r="2" spans="1:32" ht="28.2" x14ac:dyDescent="0.4">
      <c r="A2" s="275" t="s">
        <v>246</v>
      </c>
      <c r="B2" s="275" t="s">
        <v>246</v>
      </c>
      <c r="C2" s="277" t="s">
        <v>241</v>
      </c>
      <c r="D2" s="278" t="s">
        <v>242</v>
      </c>
      <c r="E2" s="278" t="s">
        <v>238</v>
      </c>
      <c r="F2" s="277" t="s">
        <v>243</v>
      </c>
      <c r="G2" s="275" t="s">
        <v>231</v>
      </c>
      <c r="H2" s="277" t="s">
        <v>243</v>
      </c>
      <c r="I2" s="278" t="s">
        <v>241</v>
      </c>
      <c r="J2" s="278" t="s">
        <v>244</v>
      </c>
      <c r="K2" s="277" t="s">
        <v>238</v>
      </c>
      <c r="L2" s="277" t="str">
        <f>K2</f>
        <v>Efficiëntie</v>
      </c>
      <c r="M2" s="278" t="s">
        <v>245</v>
      </c>
      <c r="N2" s="279" t="s">
        <v>239</v>
      </c>
      <c r="O2" s="279" t="s">
        <v>240</v>
      </c>
      <c r="P2" s="274" t="str">
        <f>B2</f>
        <v>Snelheid</v>
      </c>
      <c r="Q2" s="302" t="s">
        <v>251</v>
      </c>
      <c r="S2" s="394" t="s">
        <v>265</v>
      </c>
      <c r="T2" s="394"/>
      <c r="U2" s="394"/>
      <c r="V2" s="394"/>
      <c r="W2" s="394"/>
      <c r="AB2" s="394" t="s">
        <v>294</v>
      </c>
      <c r="AC2" s="394"/>
      <c r="AD2" s="394"/>
      <c r="AE2" s="394"/>
      <c r="AF2" s="394"/>
    </row>
    <row r="3" spans="1:32" ht="13.8" x14ac:dyDescent="0.25">
      <c r="A3" s="281" t="str">
        <f>'propulsion MAROF'!B12</f>
        <v>[m/s]</v>
      </c>
      <c r="B3" s="281" t="str">
        <f>'propulsion MAROF'!C12</f>
        <v>[km/h]</v>
      </c>
      <c r="C3" s="282" t="str">
        <f>'propulsion MAROF'!W12</f>
        <v>[Nm]</v>
      </c>
      <c r="D3" s="282" t="str">
        <f>'propulsion MAROF'!X12</f>
        <v>[W]</v>
      </c>
      <c r="E3" s="282" t="str">
        <f>'propulsion MAROF'!Z12</f>
        <v>[%]</v>
      </c>
      <c r="F3" s="282" t="str">
        <f>'propulsion MAROF'!AB12</f>
        <v>[RPM]</v>
      </c>
      <c r="G3" s="281" t="str">
        <f>'propulsion MAROF'!AD12</f>
        <v>[-]</v>
      </c>
      <c r="H3" s="282" t="str">
        <f>'propulsion MAROF'!AE12</f>
        <v>[RPM]</v>
      </c>
      <c r="I3" s="282" t="str">
        <f>'propulsion MAROF'!AF12</f>
        <v>[Nm]</v>
      </c>
      <c r="J3" s="282" t="str">
        <f>'propulsion MAROF'!AG12</f>
        <v>[W]</v>
      </c>
      <c r="K3" s="282" t="str">
        <f>'propulsion MAROF'!AH12</f>
        <v>[-]</v>
      </c>
      <c r="L3" s="282" t="str">
        <f>K3</f>
        <v>[-]</v>
      </c>
      <c r="M3" s="282" t="str">
        <f>'propulsion MAROF'!AI12</f>
        <v>[W]</v>
      </c>
      <c r="N3" s="282" t="str">
        <f>'propulsion MAROF'!AJ12</f>
        <v>[A]</v>
      </c>
      <c r="O3" s="282" t="str">
        <f>'propulsion MAROF'!AK12</f>
        <v>[V]</v>
      </c>
      <c r="P3" s="281" t="str">
        <f t="shared" ref="P3:P34" si="0">B3</f>
        <v>[km/h]</v>
      </c>
      <c r="Q3" s="403" t="s">
        <v>250</v>
      </c>
      <c r="S3" s="400" t="s">
        <v>266</v>
      </c>
      <c r="T3" s="400"/>
      <c r="U3" s="400"/>
      <c r="V3" s="400"/>
      <c r="W3" s="284"/>
    </row>
    <row r="4" spans="1:32" ht="15.6" x14ac:dyDescent="0.3">
      <c r="A4" s="290">
        <f>'propulsion MAROF'!B13</f>
        <v>0</v>
      </c>
      <c r="B4" s="290">
        <f>'propulsion MAROF'!C13</f>
        <v>0</v>
      </c>
      <c r="C4" s="291">
        <f>'propulsion MAROF'!W13</f>
        <v>0</v>
      </c>
      <c r="D4" s="291">
        <f>'propulsion MAROF'!X13</f>
        <v>0</v>
      </c>
      <c r="E4" s="309">
        <f>'propulsion MAROF'!Z13</f>
        <v>0</v>
      </c>
      <c r="F4" s="291">
        <f>'propulsion MAROF'!AB13</f>
        <v>0</v>
      </c>
      <c r="G4" s="303">
        <f>'propulsion MAROF'!AD13</f>
        <v>0.97</v>
      </c>
      <c r="H4" s="291">
        <f>'propulsion MAROF'!AE13</f>
        <v>0</v>
      </c>
      <c r="I4" s="291">
        <f>'propulsion MAROF'!AF13</f>
        <v>0</v>
      </c>
      <c r="J4" s="291">
        <f>'propulsion MAROF'!AG13</f>
        <v>0</v>
      </c>
      <c r="K4" s="316">
        <f>'propulsion MAROF'!AH13</f>
        <v>0.84</v>
      </c>
      <c r="L4" s="310">
        <f>K4*100</f>
        <v>84</v>
      </c>
      <c r="M4" s="291">
        <f>'propulsion MAROF'!AI13</f>
        <v>0</v>
      </c>
      <c r="N4" s="291">
        <f>'propulsion MAROF'!AJ13</f>
        <v>0</v>
      </c>
      <c r="O4" s="291">
        <f>'propulsion MAROF'!AK13</f>
        <v>0</v>
      </c>
      <c r="P4" s="290">
        <f t="shared" si="0"/>
        <v>0</v>
      </c>
      <c r="Q4" s="403"/>
      <c r="S4" s="324" t="s">
        <v>267</v>
      </c>
      <c r="T4" s="324" t="s">
        <v>268</v>
      </c>
      <c r="U4" s="324" t="s">
        <v>269</v>
      </c>
      <c r="V4" s="324" t="s">
        <v>279</v>
      </c>
      <c r="W4" s="284"/>
      <c r="AC4" s="348"/>
      <c r="AD4" s="348"/>
      <c r="AE4" s="348"/>
    </row>
    <row r="5" spans="1:32" ht="15.75" customHeight="1" x14ac:dyDescent="0.25">
      <c r="A5" s="290">
        <f>'propulsion MAROF'!B14</f>
        <v>0.27777777777777779</v>
      </c>
      <c r="B5" s="290">
        <f>'propulsion MAROF'!C14</f>
        <v>1</v>
      </c>
      <c r="C5" s="291">
        <f>'propulsion MAROF'!W14</f>
        <v>0.68934818483160309</v>
      </c>
      <c r="D5" s="291">
        <f>'propulsion MAROF'!X14</f>
        <v>2.7647549920027985</v>
      </c>
      <c r="E5" s="309">
        <f>'propulsion MAROF'!Z14</f>
        <v>0.32558561724350005</v>
      </c>
      <c r="F5" s="291">
        <f>'propulsion MAROF'!AB14</f>
        <v>117.63164893044427</v>
      </c>
      <c r="G5" s="303">
        <f>'propulsion MAROF'!AD14</f>
        <v>0.97</v>
      </c>
      <c r="H5" s="291">
        <f>'propulsion MAROF'!AE14</f>
        <v>352.89494679133281</v>
      </c>
      <c r="I5" s="291">
        <f>'propulsion MAROF'!AF14</f>
        <v>0.23688941059505259</v>
      </c>
      <c r="J5" s="291">
        <f>'propulsion MAROF'!AG14</f>
        <v>9.0250157958023927</v>
      </c>
      <c r="K5" s="316">
        <f>'propulsion MAROF'!AH14</f>
        <v>0.84</v>
      </c>
      <c r="L5" s="310">
        <f t="shared" ref="L5:L34" si="1">K5*100</f>
        <v>84</v>
      </c>
      <c r="M5" s="291">
        <f>'propulsion MAROF'!AI14</f>
        <v>10.744066423574278</v>
      </c>
      <c r="N5" s="291">
        <f>'propulsion MAROF'!AJ14</f>
        <v>1.3028917582727892</v>
      </c>
      <c r="O5" s="291">
        <f>'propulsion MAROF'!AK14</f>
        <v>8.2463231157570718</v>
      </c>
      <c r="P5" s="290">
        <f t="shared" si="0"/>
        <v>1</v>
      </c>
      <c r="Q5" s="404" t="s">
        <v>247</v>
      </c>
      <c r="S5" s="325" t="s">
        <v>271</v>
      </c>
      <c r="T5" s="329">
        <v>1.3</v>
      </c>
      <c r="U5" s="325" t="s">
        <v>256</v>
      </c>
      <c r="V5" s="325"/>
      <c r="W5" s="284"/>
      <c r="AB5" s="392" t="s">
        <v>314</v>
      </c>
      <c r="AC5" s="392"/>
      <c r="AD5" s="392"/>
      <c r="AE5" s="392"/>
    </row>
    <row r="6" spans="1:32" ht="15.75" customHeight="1" x14ac:dyDescent="0.25">
      <c r="A6" s="290">
        <f>'propulsion MAROF'!B15</f>
        <v>0.55555555555555558</v>
      </c>
      <c r="B6" s="290">
        <f>'propulsion MAROF'!C15</f>
        <v>2</v>
      </c>
      <c r="C6" s="291">
        <f>'propulsion MAROF'!W15</f>
        <v>1.2936191621969653</v>
      </c>
      <c r="D6" s="291">
        <f>'propulsion MAROF'!X15</f>
        <v>11.059019968011199</v>
      </c>
      <c r="E6" s="309">
        <f>'propulsion MAROF'!Z15</f>
        <v>0.47873201832554035</v>
      </c>
      <c r="F6" s="291">
        <f>'propulsion MAROF'!AB15</f>
        <v>170.52541276142992</v>
      </c>
      <c r="G6" s="303">
        <f>'propulsion MAROF'!AD15</f>
        <v>0.97</v>
      </c>
      <c r="H6" s="291">
        <f>'propulsion MAROF'!AE15</f>
        <v>511.57623828428973</v>
      </c>
      <c r="I6" s="291">
        <f>'propulsion MAROF'!AF15</f>
        <v>0.44454266742163751</v>
      </c>
      <c r="J6" s="291">
        <f>'propulsion MAROF'!AG15</f>
        <v>24.551650827837658</v>
      </c>
      <c r="K6" s="316">
        <f>'propulsion MAROF'!AH15</f>
        <v>0.84</v>
      </c>
      <c r="L6" s="310">
        <f t="shared" si="1"/>
        <v>84</v>
      </c>
      <c r="M6" s="291">
        <f>'propulsion MAROF'!AI15</f>
        <v>29.228155747425784</v>
      </c>
      <c r="N6" s="291">
        <f>'propulsion MAROF'!AJ15</f>
        <v>2.4449846708190064</v>
      </c>
      <c r="O6" s="291">
        <f>'propulsion MAROF'!AK15</f>
        <v>11.954330878334346</v>
      </c>
      <c r="P6" s="290">
        <f t="shared" si="0"/>
        <v>2</v>
      </c>
      <c r="Q6" s="404"/>
      <c r="S6" s="325" t="s">
        <v>270</v>
      </c>
      <c r="T6" s="325">
        <v>0.36</v>
      </c>
      <c r="U6" s="325" t="s">
        <v>262</v>
      </c>
      <c r="V6" s="325"/>
      <c r="W6" s="284"/>
      <c r="AB6" s="393"/>
      <c r="AC6" s="393"/>
      <c r="AD6" s="393"/>
      <c r="AE6" s="393"/>
    </row>
    <row r="7" spans="1:32" ht="26.4" x14ac:dyDescent="0.25">
      <c r="A7" s="290">
        <f>'propulsion MAROF'!B16</f>
        <v>0.83333333333333326</v>
      </c>
      <c r="B7" s="290">
        <f>'propulsion MAROF'!C16</f>
        <v>3</v>
      </c>
      <c r="C7" s="291">
        <f>'propulsion MAROF'!W16</f>
        <v>1.9500973451305157</v>
      </c>
      <c r="D7" s="291">
        <f>'propulsion MAROF'!X16</f>
        <v>24.882794928025181</v>
      </c>
      <c r="E7" s="309">
        <f>'propulsion MAROF'!Z16</f>
        <v>0.55670963830512532</v>
      </c>
      <c r="F7" s="291">
        <f>'propulsion MAROF'!AB16</f>
        <v>218.86963365639542</v>
      </c>
      <c r="G7" s="303">
        <f>'propulsion MAROF'!AD16</f>
        <v>0.97</v>
      </c>
      <c r="H7" s="291">
        <f>'propulsion MAROF'!AE16</f>
        <v>656.60890096918627</v>
      </c>
      <c r="I7" s="291">
        <f>'propulsion MAROF'!AF16</f>
        <v>0.67013654471839024</v>
      </c>
      <c r="J7" s="291">
        <f>'propulsion MAROF'!AG16</f>
        <v>47.503646833007359</v>
      </c>
      <c r="K7" s="316">
        <f>'propulsion MAROF'!AH16</f>
        <v>0.84</v>
      </c>
      <c r="L7" s="310">
        <f t="shared" si="1"/>
        <v>84</v>
      </c>
      <c r="M7" s="291">
        <f>'propulsion MAROF'!AI16</f>
        <v>56.55196051548495</v>
      </c>
      <c r="N7" s="291">
        <f>'propulsion MAROF'!AJ16</f>
        <v>3.6857509959511461</v>
      </c>
      <c r="O7" s="291">
        <f>'propulsion MAROF'!AK16</f>
        <v>15.343402356157034</v>
      </c>
      <c r="P7" s="290">
        <f t="shared" si="0"/>
        <v>3</v>
      </c>
      <c r="Q7" s="283"/>
      <c r="S7" s="325" t="s">
        <v>261</v>
      </c>
      <c r="T7" s="329">
        <v>0.4</v>
      </c>
      <c r="U7" s="325"/>
      <c r="V7" s="325"/>
      <c r="W7" s="284"/>
      <c r="AB7" s="347" t="s">
        <v>303</v>
      </c>
      <c r="AC7" s="344" t="s">
        <v>317</v>
      </c>
      <c r="AD7" s="344" t="s">
        <v>313</v>
      </c>
      <c r="AE7" s="344" t="s">
        <v>305</v>
      </c>
    </row>
    <row r="8" spans="1:32" x14ac:dyDescent="0.25">
      <c r="A8" s="290">
        <f>'propulsion MAROF'!B17</f>
        <v>1.1111111111111112</v>
      </c>
      <c r="B8" s="290">
        <f>'propulsion MAROF'!C17</f>
        <v>4</v>
      </c>
      <c r="C8" s="291">
        <f>'propulsion MAROF'!W17</f>
        <v>2.5205186766872685</v>
      </c>
      <c r="D8" s="291">
        <f>'propulsion MAROF'!X17</f>
        <v>44.236079872044783</v>
      </c>
      <c r="E8" s="309">
        <f>'propulsion MAROF'!Z17</f>
        <v>0.64594641224803473</v>
      </c>
      <c r="F8" s="291">
        <f>'propulsion MAROF'!AB17</f>
        <v>259.45473764948753</v>
      </c>
      <c r="G8" s="303">
        <f>'propulsion MAROF'!AD17</f>
        <v>0.97</v>
      </c>
      <c r="H8" s="291">
        <f>'propulsion MAROF'!AE17</f>
        <v>778.36421294846264</v>
      </c>
      <c r="I8" s="291">
        <f>'propulsion MAROF'!AF17</f>
        <v>0.86615762085473136</v>
      </c>
      <c r="J8" s="291">
        <f>'propulsion MAROF'!AG17</f>
        <v>72.784126553961841</v>
      </c>
      <c r="K8" s="316">
        <f>'propulsion MAROF'!AH17</f>
        <v>0.84</v>
      </c>
      <c r="L8" s="310">
        <f t="shared" si="1"/>
        <v>84</v>
      </c>
      <c r="M8" s="291">
        <f>'propulsion MAROF'!AI17</f>
        <v>86.647769707097439</v>
      </c>
      <c r="N8" s="291">
        <f>'propulsion MAROF'!AJ17</f>
        <v>4.7638669147010226</v>
      </c>
      <c r="O8" s="291">
        <f>'propulsion MAROF'!AK17</f>
        <v>18.188537013850521</v>
      </c>
      <c r="P8" s="290">
        <f t="shared" si="0"/>
        <v>4</v>
      </c>
      <c r="Q8" s="283"/>
      <c r="S8" s="325" t="s">
        <v>257</v>
      </c>
      <c r="T8" s="326">
        <f>C22</f>
        <v>17.793137209040303</v>
      </c>
      <c r="U8" s="325" t="s">
        <v>258</v>
      </c>
      <c r="V8" s="325" t="s">
        <v>272</v>
      </c>
      <c r="W8" s="284"/>
      <c r="AB8" s="339">
        <v>0.28000000000000003</v>
      </c>
      <c r="AC8" s="339">
        <f>'propulsion MAROF'!G14</f>
        <v>9.4554620726495742</v>
      </c>
      <c r="AD8" s="339">
        <f t="shared" ref="AD8:AD25" si="2">AC8/$T$28</f>
        <v>3.3530007349821186E-2</v>
      </c>
      <c r="AE8" s="339">
        <f t="shared" ref="AE8:AE25" si="3">AB8/AD8</f>
        <v>8.3507288584442634</v>
      </c>
    </row>
    <row r="9" spans="1:32" x14ac:dyDescent="0.25">
      <c r="A9" s="290">
        <f>'propulsion MAROF'!B18</f>
        <v>1.3888888888888888</v>
      </c>
      <c r="B9" s="290">
        <f>'propulsion MAROF'!C18</f>
        <v>5</v>
      </c>
      <c r="C9" s="291">
        <f>'propulsion MAROF'!W18</f>
        <v>3.2206060672654591</v>
      </c>
      <c r="D9" s="291">
        <f>'propulsion MAROF'!X18</f>
        <v>69.118874800069975</v>
      </c>
      <c r="E9" s="309">
        <f>'propulsion MAROF'!Z18</f>
        <v>0.68287752555599446</v>
      </c>
      <c r="F9" s="291">
        <f>'propulsion MAROF'!AB18</f>
        <v>300.11493969782845</v>
      </c>
      <c r="G9" s="303">
        <f>'propulsion MAROF'!AD18</f>
        <v>0.97</v>
      </c>
      <c r="H9" s="291">
        <f>'propulsion MAROF'!AE18</f>
        <v>900.34481909348528</v>
      </c>
      <c r="I9" s="291">
        <f>'propulsion MAROF'!AF18</f>
        <v>1.1067374801599514</v>
      </c>
      <c r="J9" s="291">
        <f>'propulsion MAROF'!AG18</f>
        <v>107.57475639999359</v>
      </c>
      <c r="K9" s="316">
        <f>'propulsion MAROF'!AH18</f>
        <v>0.84</v>
      </c>
      <c r="L9" s="310">
        <f t="shared" si="1"/>
        <v>84</v>
      </c>
      <c r="M9" s="291">
        <f>'propulsion MAROF'!AI18</f>
        <v>128.06518619046855</v>
      </c>
      <c r="N9" s="291">
        <f>'propulsion MAROF'!AJ18</f>
        <v>6.0870561408797323</v>
      </c>
      <c r="O9" s="291">
        <f>'propulsion MAROF'!AK18</f>
        <v>21.038936265168061</v>
      </c>
      <c r="P9" s="290">
        <f t="shared" si="0"/>
        <v>5</v>
      </c>
      <c r="Q9" s="283"/>
      <c r="S9" s="325" t="s">
        <v>277</v>
      </c>
      <c r="T9" s="326">
        <f>F22</f>
        <v>788.64786549392682</v>
      </c>
      <c r="U9" s="325" t="s">
        <v>119</v>
      </c>
      <c r="V9" s="325"/>
      <c r="W9" s="284"/>
      <c r="AB9" s="342">
        <v>0.28000000000000003</v>
      </c>
      <c r="AC9" s="342">
        <f>'propulsion MAROF'!G15</f>
        <v>18.910924145299148</v>
      </c>
      <c r="AD9" s="342">
        <f t="shared" si="2"/>
        <v>6.7060014699642373E-2</v>
      </c>
      <c r="AE9" s="342">
        <f t="shared" si="3"/>
        <v>4.1753644292221317</v>
      </c>
    </row>
    <row r="10" spans="1:32" ht="25.5" customHeight="1" x14ac:dyDescent="0.25">
      <c r="A10" s="292">
        <f>'propulsion MAROF'!B19</f>
        <v>1.6666666666666665</v>
      </c>
      <c r="B10" s="292">
        <f>'propulsion MAROF'!C19</f>
        <v>6</v>
      </c>
      <c r="C10" s="292">
        <f>'propulsion MAROF'!W19</f>
        <v>3.9216779168224978</v>
      </c>
      <c r="D10" s="292">
        <f>'propulsion MAROF'!X19</f>
        <v>99.531179712100752</v>
      </c>
      <c r="E10" s="304">
        <f>'propulsion MAROF'!Z19</f>
        <v>0.71708636152769356</v>
      </c>
      <c r="F10" s="292">
        <f>'propulsion MAROF'!AB19</f>
        <v>337.97700134358718</v>
      </c>
      <c r="G10" s="304">
        <f>'propulsion MAROF'!AD19</f>
        <v>0.97</v>
      </c>
      <c r="H10" s="293">
        <f>'propulsion MAROF'!AE19</f>
        <v>1013.9310040307615</v>
      </c>
      <c r="I10" s="292">
        <f>'propulsion MAROF'!AF19</f>
        <v>1.3476556415197587</v>
      </c>
      <c r="J10" s="292">
        <f>'propulsion MAROF'!AG19</f>
        <v>147.51772988814054</v>
      </c>
      <c r="K10" s="317">
        <f>'propulsion MAROF'!AH19</f>
        <v>0.84</v>
      </c>
      <c r="L10" s="311">
        <f t="shared" si="1"/>
        <v>84</v>
      </c>
      <c r="M10" s="292">
        <f>'propulsion MAROF'!AI19</f>
        <v>175.61634510492922</v>
      </c>
      <c r="N10" s="292">
        <f>'propulsion MAROF'!AJ19</f>
        <v>7.4121060283586724</v>
      </c>
      <c r="O10" s="292">
        <f>'propulsion MAROF'!AK19</f>
        <v>23.693177678924474</v>
      </c>
      <c r="P10" s="292">
        <f t="shared" si="0"/>
        <v>6</v>
      </c>
      <c r="Q10" s="285" t="s">
        <v>229</v>
      </c>
      <c r="S10" s="330" t="s">
        <v>281</v>
      </c>
      <c r="T10" s="325">
        <v>4.0000000000000001E-3</v>
      </c>
      <c r="U10" s="325" t="s">
        <v>259</v>
      </c>
      <c r="V10" s="325" t="s">
        <v>282</v>
      </c>
      <c r="W10" s="284"/>
      <c r="AB10" s="339">
        <v>0.28000000000000003</v>
      </c>
      <c r="AC10" s="339">
        <f>'propulsion MAROF'!G16</f>
        <v>28.366386217948719</v>
      </c>
      <c r="AD10" s="339">
        <f t="shared" si="2"/>
        <v>0.10059002204946355</v>
      </c>
      <c r="AE10" s="339">
        <f t="shared" si="3"/>
        <v>2.7835762861480879</v>
      </c>
    </row>
    <row r="11" spans="1:32" x14ac:dyDescent="0.25">
      <c r="A11" s="290">
        <f>'propulsion MAROF'!B20</f>
        <v>1.9444444444444444</v>
      </c>
      <c r="B11" s="290">
        <f>'propulsion MAROF'!C20</f>
        <v>7</v>
      </c>
      <c r="C11" s="291">
        <f>'propulsion MAROF'!W20</f>
        <v>4.6147140797542576</v>
      </c>
      <c r="D11" s="291">
        <f>'propulsion MAROF'!X20</f>
        <v>135.47299460813707</v>
      </c>
      <c r="E11" s="309">
        <f>'propulsion MAROF'!Z20</f>
        <v>0.75024907726364887</v>
      </c>
      <c r="F11" s="291">
        <f>'propulsion MAROF'!AB20</f>
        <v>373.65762148758205</v>
      </c>
      <c r="G11" s="303">
        <f>'propulsion MAROF'!AD20</f>
        <v>0.97</v>
      </c>
      <c r="H11" s="291">
        <f>'propulsion MAROF'!AE20</f>
        <v>1120.9728644627462</v>
      </c>
      <c r="I11" s="291">
        <f>'propulsion MAROF'!AF20</f>
        <v>1.585812398540982</v>
      </c>
      <c r="J11" s="291">
        <f>'propulsion MAROF'!AG20</f>
        <v>191.91273398437883</v>
      </c>
      <c r="K11" s="316">
        <f>'propulsion MAROF'!AH20</f>
        <v>0.86</v>
      </c>
      <c r="L11" s="310">
        <f t="shared" si="1"/>
        <v>86</v>
      </c>
      <c r="M11" s="291">
        <f>'propulsion MAROF'!AI20</f>
        <v>223.15434184230097</v>
      </c>
      <c r="N11" s="291">
        <f>'propulsion MAROF'!AJ20</f>
        <v>8.7219681919754013</v>
      </c>
      <c r="O11" s="291">
        <f>'propulsion MAROF'!AK20</f>
        <v>25.585319383257197</v>
      </c>
      <c r="P11" s="290">
        <f t="shared" si="0"/>
        <v>7</v>
      </c>
      <c r="Q11" s="283"/>
      <c r="S11" s="325" t="s">
        <v>284</v>
      </c>
      <c r="T11" s="325">
        <v>3</v>
      </c>
      <c r="U11" s="325"/>
      <c r="V11" s="325"/>
      <c r="W11" s="284"/>
      <c r="AB11" s="342">
        <v>0.28000000000000003</v>
      </c>
      <c r="AC11" s="342">
        <f>'propulsion MAROF'!G17</f>
        <v>37.821848290598297</v>
      </c>
      <c r="AD11" s="342">
        <f t="shared" si="2"/>
        <v>0.13412002939928475</v>
      </c>
      <c r="AE11" s="342">
        <f t="shared" si="3"/>
        <v>2.0876822146110658</v>
      </c>
    </row>
    <row r="12" spans="1:32" x14ac:dyDescent="0.25">
      <c r="A12" s="290">
        <f>'propulsion MAROF'!B21</f>
        <v>2.2222222222222223</v>
      </c>
      <c r="B12" s="290">
        <f>'propulsion MAROF'!C21</f>
        <v>8</v>
      </c>
      <c r="C12" s="291">
        <f>'propulsion MAROF'!W21</f>
        <v>5.3434082184554414</v>
      </c>
      <c r="D12" s="291">
        <f>'propulsion MAROF'!X21</f>
        <v>176.94431948817908</v>
      </c>
      <c r="E12" s="309">
        <f>'propulsion MAROF'!Z21</f>
        <v>0.7740629806512781</v>
      </c>
      <c r="F12" s="291">
        <f>'propulsion MAROF'!AB21</f>
        <v>408.52002975567825</v>
      </c>
      <c r="G12" s="303">
        <f>'propulsion MAROF'!AD21</f>
        <v>0.97</v>
      </c>
      <c r="H12" s="291">
        <f>'propulsion MAROF'!AE21</f>
        <v>1225.5600892670348</v>
      </c>
      <c r="I12" s="291">
        <f>'propulsion MAROF'!AF21</f>
        <v>1.8362227554829695</v>
      </c>
      <c r="J12" s="291">
        <f>'propulsion MAROF'!AG21</f>
        <v>242.94997482805118</v>
      </c>
      <c r="K12" s="316">
        <f>'propulsion MAROF'!AH21</f>
        <v>0.86</v>
      </c>
      <c r="L12" s="310">
        <f t="shared" si="1"/>
        <v>86</v>
      </c>
      <c r="M12" s="291">
        <f>'propulsion MAROF'!AI21</f>
        <v>282.49997073029209</v>
      </c>
      <c r="N12" s="291">
        <f>'propulsion MAROF'!AJ21</f>
        <v>10.099225155156333</v>
      </c>
      <c r="O12" s="291">
        <f>'propulsion MAROF'!AK21</f>
        <v>27.972440102105942</v>
      </c>
      <c r="P12" s="290">
        <f t="shared" si="0"/>
        <v>8</v>
      </c>
      <c r="Q12" s="283"/>
      <c r="S12" s="325" t="s">
        <v>286</v>
      </c>
      <c r="T12" s="325">
        <v>2.5000000000000001E-2</v>
      </c>
      <c r="U12" s="325" t="s">
        <v>259</v>
      </c>
      <c r="V12" s="325"/>
      <c r="W12" s="284"/>
      <c r="AB12" s="339">
        <v>0.28000000000000003</v>
      </c>
      <c r="AC12" s="339">
        <f>'propulsion MAROF'!G18</f>
        <v>47.277310363247864</v>
      </c>
      <c r="AD12" s="339">
        <f t="shared" si="2"/>
        <v>0.16765003674910589</v>
      </c>
      <c r="AE12" s="339">
        <f t="shared" si="3"/>
        <v>1.670145771688853</v>
      </c>
    </row>
    <row r="13" spans="1:32" x14ac:dyDescent="0.25">
      <c r="A13" s="290">
        <f>'propulsion MAROF'!B22</f>
        <v>2.5</v>
      </c>
      <c r="B13" s="290">
        <f>'propulsion MAROF'!C22</f>
        <v>9</v>
      </c>
      <c r="C13" s="291">
        <f>'propulsion MAROF'!W22</f>
        <v>6.1425219851147581</v>
      </c>
      <c r="D13" s="291">
        <f>'propulsion MAROF'!X22</f>
        <v>223.94515435222675</v>
      </c>
      <c r="E13" s="309">
        <f>'propulsion MAROF'!Z22</f>
        <v>0.78539376587296628</v>
      </c>
      <c r="F13" s="291">
        <f>'propulsion MAROF'!AB22</f>
        <v>443.28076079688816</v>
      </c>
      <c r="G13" s="303">
        <f>'propulsion MAROF'!AD22</f>
        <v>0.97</v>
      </c>
      <c r="H13" s="291">
        <f>'propulsion MAROF'!AE22</f>
        <v>1329.8422823906644</v>
      </c>
      <c r="I13" s="291">
        <f>'propulsion MAROF'!AF22</f>
        <v>2.1108322972902949</v>
      </c>
      <c r="J13" s="291">
        <f>'propulsion MAROF'!AG22</f>
        <v>303.04753202955624</v>
      </c>
      <c r="K13" s="316">
        <f>'propulsion MAROF'!AH22</f>
        <v>0.86</v>
      </c>
      <c r="L13" s="310">
        <f t="shared" si="1"/>
        <v>86</v>
      </c>
      <c r="M13" s="291">
        <f>'propulsion MAROF'!AI22</f>
        <v>352.38085119715839</v>
      </c>
      <c r="N13" s="291">
        <f>'propulsion MAROF'!AJ22</f>
        <v>11.609577635096622</v>
      </c>
      <c r="O13" s="291">
        <f>'propulsion MAROF'!AK22</f>
        <v>30.352598714003573</v>
      </c>
      <c r="P13" s="290">
        <f t="shared" si="0"/>
        <v>9</v>
      </c>
      <c r="Q13" s="283"/>
      <c r="S13" s="325" t="s">
        <v>287</v>
      </c>
      <c r="T13" s="329">
        <v>5</v>
      </c>
      <c r="U13" s="325" t="s">
        <v>260</v>
      </c>
      <c r="V13" s="325"/>
      <c r="W13" s="284"/>
      <c r="AB13" s="342">
        <v>0.28000000000000003</v>
      </c>
      <c r="AC13" s="342">
        <f>'propulsion MAROF'!G19</f>
        <v>56.732772435897438</v>
      </c>
      <c r="AD13" s="342">
        <f t="shared" si="2"/>
        <v>0.20118004409892709</v>
      </c>
      <c r="AE13" s="342">
        <f t="shared" si="3"/>
        <v>1.391788143074044</v>
      </c>
    </row>
    <row r="14" spans="1:32" x14ac:dyDescent="0.25">
      <c r="A14" s="290">
        <f>'propulsion MAROF'!B23</f>
        <v>2.7777777777777777</v>
      </c>
      <c r="B14" s="290">
        <f>'propulsion MAROF'!C23</f>
        <v>10</v>
      </c>
      <c r="C14" s="291">
        <f>'propulsion MAROF'!W23</f>
        <v>6.9514339060711077</v>
      </c>
      <c r="D14" s="291">
        <f>'propulsion MAROF'!X23</f>
        <v>276.47549920027996</v>
      </c>
      <c r="E14" s="309">
        <f>'propulsion MAROF'!Z23</f>
        <v>0.7963434759558371</v>
      </c>
      <c r="F14" s="291">
        <f>'propulsion MAROF'!AB23</f>
        <v>476.92842651563694</v>
      </c>
      <c r="G14" s="303">
        <f>'propulsion MAROF'!AD23</f>
        <v>0.97</v>
      </c>
      <c r="H14" s="291">
        <f>'propulsion MAROF'!AE23</f>
        <v>1430.7852795469107</v>
      </c>
      <c r="I14" s="291">
        <f>'propulsion MAROF'!AF23</f>
        <v>2.3888089024299339</v>
      </c>
      <c r="J14" s="291">
        <f>'propulsion MAROF'!AG23</f>
        <v>368.98843617469618</v>
      </c>
      <c r="K14" s="316">
        <f>'propulsion MAROF'!AH23</f>
        <v>0.86</v>
      </c>
      <c r="L14" s="310">
        <f t="shared" si="1"/>
        <v>86</v>
      </c>
      <c r="M14" s="291">
        <f>'propulsion MAROF'!AI23</f>
        <v>429.05632113336765</v>
      </c>
      <c r="N14" s="291">
        <f>'propulsion MAROF'!AJ23</f>
        <v>13.138448963364636</v>
      </c>
      <c r="O14" s="291">
        <f>'propulsion MAROF'!AK23</f>
        <v>32.656542817934749</v>
      </c>
      <c r="P14" s="290">
        <f t="shared" si="0"/>
        <v>10</v>
      </c>
      <c r="Q14" s="283"/>
      <c r="AB14" s="339">
        <v>0.28000000000000003</v>
      </c>
      <c r="AC14" s="339">
        <f>'propulsion MAROF'!G20</f>
        <v>66.188234508547012</v>
      </c>
      <c r="AD14" s="339">
        <f t="shared" si="2"/>
        <v>0.23471005144874826</v>
      </c>
      <c r="AE14" s="339">
        <f t="shared" si="3"/>
        <v>1.1929612654920378</v>
      </c>
    </row>
    <row r="15" spans="1:32" x14ac:dyDescent="0.25">
      <c r="A15" s="290">
        <f>'propulsion MAROF'!B24</f>
        <v>3.0555555555555554</v>
      </c>
      <c r="B15" s="290">
        <f>'propulsion MAROF'!C24</f>
        <v>11</v>
      </c>
      <c r="C15" s="291">
        <f>'propulsion MAROF'!W24</f>
        <v>7.7709311556701035</v>
      </c>
      <c r="D15" s="291">
        <f>'propulsion MAROF'!X24</f>
        <v>334.53535403233872</v>
      </c>
      <c r="E15" s="309">
        <f>'propulsion MAROF'!Z24</f>
        <v>0.80657226070926835</v>
      </c>
      <c r="F15" s="291">
        <f>'propulsion MAROF'!AB24</f>
        <v>509.67937545644014</v>
      </c>
      <c r="G15" s="303">
        <f>'propulsion MAROF'!AD24</f>
        <v>0.97</v>
      </c>
      <c r="H15" s="291">
        <f>'propulsion MAROF'!AE24</f>
        <v>1529.0381263693205</v>
      </c>
      <c r="I15" s="291">
        <f>'propulsion MAROF'!AF24</f>
        <v>2.6704230775498634</v>
      </c>
      <c r="J15" s="291">
        <f>'propulsion MAROF'!AG24</f>
        <v>440.81389018622178</v>
      </c>
      <c r="K15" s="316">
        <f>'propulsion MAROF'!AH24</f>
        <v>0.86</v>
      </c>
      <c r="L15" s="310">
        <f t="shared" si="1"/>
        <v>86</v>
      </c>
      <c r="M15" s="291">
        <f>'propulsion MAROF'!AI24</f>
        <v>512.57429091421136</v>
      </c>
      <c r="N15" s="291">
        <f>'propulsion MAROF'!AJ24</f>
        <v>14.687326926524248</v>
      </c>
      <c r="O15" s="291">
        <f>'propulsion MAROF'!AK24</f>
        <v>34.899086367345667</v>
      </c>
      <c r="P15" s="290">
        <f t="shared" si="0"/>
        <v>11</v>
      </c>
      <c r="Q15" s="283"/>
      <c r="AB15" s="342">
        <v>0.28000000000000003</v>
      </c>
      <c r="AC15" s="342">
        <f>'propulsion MAROF'!G21</f>
        <v>75.643696581196593</v>
      </c>
      <c r="AD15" s="342">
        <f t="shared" si="2"/>
        <v>0.26824005879856949</v>
      </c>
      <c r="AE15" s="342">
        <f t="shared" si="3"/>
        <v>1.0438411073055329</v>
      </c>
    </row>
    <row r="16" spans="1:32" ht="13.8" x14ac:dyDescent="0.25">
      <c r="A16" s="290">
        <f>'propulsion MAROF'!B25</f>
        <v>3.333333333333333</v>
      </c>
      <c r="B16" s="290">
        <f>'propulsion MAROF'!C25</f>
        <v>12</v>
      </c>
      <c r="C16" s="291">
        <f>'propulsion MAROF'!W25</f>
        <v>8.6160000513259813</v>
      </c>
      <c r="D16" s="291">
        <f>'propulsion MAROF'!X25</f>
        <v>398.91231411862987</v>
      </c>
      <c r="E16" s="309">
        <f>'propulsion MAROF'!Z25</f>
        <v>0.81570058873351003</v>
      </c>
      <c r="F16" s="291">
        <f>'propulsion MAROF'!AB25</f>
        <v>542.01631125295626</v>
      </c>
      <c r="G16" s="303">
        <f>'propulsion MAROF'!AD25</f>
        <v>0.97</v>
      </c>
      <c r="H16" s="291">
        <f>'propulsion MAROF'!AE25</f>
        <v>1626.0489337588688</v>
      </c>
      <c r="I16" s="291">
        <f>'propulsion MAROF'!AF25</f>
        <v>2.9608247599058353</v>
      </c>
      <c r="J16" s="291">
        <f>'propulsion MAROF'!AG25</f>
        <v>519.76041266101288</v>
      </c>
      <c r="K16" s="316">
        <f>'propulsion MAROF'!AH25</f>
        <v>0.86</v>
      </c>
      <c r="L16" s="310">
        <f t="shared" si="1"/>
        <v>86</v>
      </c>
      <c r="M16" s="291">
        <f>'propulsion MAROF'!AI25</f>
        <v>604.37257286164288</v>
      </c>
      <c r="N16" s="291">
        <f>'propulsion MAROF'!AJ25</f>
        <v>16.284536179482092</v>
      </c>
      <c r="O16" s="291">
        <f>'propulsion MAROF'!AK25</f>
        <v>37.113281348665595</v>
      </c>
      <c r="P16" s="290">
        <f t="shared" si="0"/>
        <v>12</v>
      </c>
      <c r="Q16" s="283"/>
      <c r="S16" s="400" t="s">
        <v>273</v>
      </c>
      <c r="T16" s="400"/>
      <c r="U16" s="400"/>
      <c r="V16" s="400"/>
      <c r="W16" s="400"/>
      <c r="AB16" s="339">
        <v>0.28000000000000003</v>
      </c>
      <c r="AC16" s="339">
        <f>'propulsion MAROF'!G22</f>
        <v>85.09915865384616</v>
      </c>
      <c r="AD16" s="339">
        <f t="shared" si="2"/>
        <v>0.30177006614839064</v>
      </c>
      <c r="AE16" s="339">
        <f t="shared" si="3"/>
        <v>0.92785876204936268</v>
      </c>
    </row>
    <row r="17" spans="1:32" x14ac:dyDescent="0.25">
      <c r="A17" s="290">
        <f>'propulsion MAROF'!B26</f>
        <v>3.6111111111111112</v>
      </c>
      <c r="B17" s="290">
        <f>'propulsion MAROF'!C26</f>
        <v>13</v>
      </c>
      <c r="C17" s="291">
        <f>'propulsion MAROF'!W26</f>
        <v>10.200625154189343</v>
      </c>
      <c r="D17" s="291">
        <f>'propulsion MAROF'!X26</f>
        <v>512.53579109811562</v>
      </c>
      <c r="E17" s="309">
        <f>'propulsion MAROF'!Z26</f>
        <v>0.8145812703498202</v>
      </c>
      <c r="F17" s="291">
        <f>'propulsion MAROF'!AB26</f>
        <v>589.02587266915157</v>
      </c>
      <c r="G17" s="303">
        <f>'propulsion MAROF'!AD26</f>
        <v>0.97</v>
      </c>
      <c r="H17" s="291">
        <f>'propulsion MAROF'!AE26</f>
        <v>1767.0776180074547</v>
      </c>
      <c r="I17" s="291">
        <f>'propulsion MAROF'!AF26</f>
        <v>3.5053694687935884</v>
      </c>
      <c r="J17" s="291">
        <f>'propulsion MAROF'!AG26</f>
        <v>668.72307539973224</v>
      </c>
      <c r="K17" s="316">
        <f>'propulsion MAROF'!AH26</f>
        <v>0.86</v>
      </c>
      <c r="L17" s="310">
        <f t="shared" si="1"/>
        <v>86</v>
      </c>
      <c r="M17" s="291">
        <f>'propulsion MAROF'!AI26</f>
        <v>777.58497139503754</v>
      </c>
      <c r="N17" s="291">
        <f>'propulsion MAROF'!AJ26</f>
        <v>19.279532078364735</v>
      </c>
      <c r="O17" s="291">
        <f>'propulsion MAROF'!AK26</f>
        <v>40.332149568486379</v>
      </c>
      <c r="P17" s="290">
        <f t="shared" si="0"/>
        <v>13</v>
      </c>
      <c r="Q17" s="283"/>
      <c r="S17" s="324" t="s">
        <v>274</v>
      </c>
      <c r="T17" s="324" t="s">
        <v>275</v>
      </c>
      <c r="U17" s="324" t="s">
        <v>276</v>
      </c>
      <c r="V17" s="324" t="s">
        <v>269</v>
      </c>
      <c r="W17" s="324" t="s">
        <v>279</v>
      </c>
      <c r="AB17" s="342">
        <v>0.28000000000000003</v>
      </c>
      <c r="AC17" s="342">
        <f>'propulsion MAROF'!G23</f>
        <v>94.554620726495727</v>
      </c>
      <c r="AD17" s="342">
        <f t="shared" si="2"/>
        <v>0.33530007349821178</v>
      </c>
      <c r="AE17" s="342">
        <f t="shared" si="3"/>
        <v>0.83507288584442652</v>
      </c>
    </row>
    <row r="18" spans="1:32" x14ac:dyDescent="0.25">
      <c r="A18" s="290">
        <f>'propulsion MAROF'!B27</f>
        <v>3.8888888888888888</v>
      </c>
      <c r="B18" s="290">
        <f>'propulsion MAROF'!C27</f>
        <v>14</v>
      </c>
      <c r="C18" s="291">
        <f>'propulsion MAROF'!W27</f>
        <v>11.804825285637344</v>
      </c>
      <c r="D18" s="291">
        <f>'propulsion MAROF'!X27</f>
        <v>638.48888443196483</v>
      </c>
      <c r="E18" s="309">
        <f>'propulsion MAROF'!Z27</f>
        <v>0.81485767303603196</v>
      </c>
      <c r="F18" s="291">
        <f>'propulsion MAROF'!AB27</f>
        <v>633.84548306026113</v>
      </c>
      <c r="G18" s="303">
        <f>'propulsion MAROF'!AD27</f>
        <v>0.97</v>
      </c>
      <c r="H18" s="291">
        <f>'propulsion MAROF'!AE27</f>
        <v>1901.5364491807834</v>
      </c>
      <c r="I18" s="291">
        <f>'propulsion MAROF'!AF27</f>
        <v>4.0566409916279529</v>
      </c>
      <c r="J18" s="291">
        <f>'propulsion MAROF'!AG27</f>
        <v>832.77583200820061</v>
      </c>
      <c r="K18" s="316">
        <f>'propulsion MAROF'!AH27</f>
        <v>0.86</v>
      </c>
      <c r="L18" s="310">
        <f t="shared" si="1"/>
        <v>86</v>
      </c>
      <c r="M18" s="291">
        <f>'propulsion MAROF'!AI27</f>
        <v>968.34399070721008</v>
      </c>
      <c r="N18" s="291">
        <f>'propulsion MAROF'!AJ27</f>
        <v>22.311525453953742</v>
      </c>
      <c r="O18" s="291">
        <f>'propulsion MAROF'!AK27</f>
        <v>43.401066086031044</v>
      </c>
      <c r="P18" s="290">
        <f t="shared" si="0"/>
        <v>14</v>
      </c>
      <c r="Q18" s="283"/>
      <c r="S18" s="325" t="s">
        <v>264</v>
      </c>
      <c r="T18" s="325" t="s">
        <v>278</v>
      </c>
      <c r="U18" s="326">
        <f>2*PI()*T9/60</f>
        <v>82.587011350166392</v>
      </c>
      <c r="V18" s="325" t="s">
        <v>280</v>
      </c>
      <c r="W18" s="325"/>
      <c r="AB18" s="339">
        <v>0.28000000000000003</v>
      </c>
      <c r="AC18" s="339">
        <f>'propulsion MAROF'!G24</f>
        <v>104.01008279914531</v>
      </c>
      <c r="AD18" s="339">
        <f t="shared" si="2"/>
        <v>0.36883008084803304</v>
      </c>
      <c r="AE18" s="339">
        <f t="shared" si="3"/>
        <v>0.75915716894947849</v>
      </c>
    </row>
    <row r="19" spans="1:32" x14ac:dyDescent="0.25">
      <c r="A19" s="290">
        <f>'propulsion MAROF'!B28</f>
        <v>4.166666666666667</v>
      </c>
      <c r="B19" s="290">
        <f>'propulsion MAROF'!C28</f>
        <v>15</v>
      </c>
      <c r="C19" s="291">
        <f>'propulsion MAROF'!W28</f>
        <v>13.252782757698979</v>
      </c>
      <c r="D19" s="291">
        <f>'propulsion MAROF'!X28</f>
        <v>764.56836510650885</v>
      </c>
      <c r="E19" s="309">
        <f>'propulsion MAROF'!Z28</f>
        <v>0.81770189676691496</v>
      </c>
      <c r="F19" s="291">
        <f>'propulsion MAROF'!AB28</f>
        <v>673.72959101366428</v>
      </c>
      <c r="G19" s="303">
        <f>'propulsion MAROF'!AD28</f>
        <v>0.97</v>
      </c>
      <c r="H19" s="291">
        <f>'propulsion MAROF'!AE28</f>
        <v>2021.1887730409928</v>
      </c>
      <c r="I19" s="291">
        <f>'propulsion MAROF'!AF28</f>
        <v>4.5542208789343572</v>
      </c>
      <c r="J19" s="291">
        <f>'propulsion MAROF'!AG28</f>
        <v>993.75162294594145</v>
      </c>
      <c r="K19" s="316">
        <f>'propulsion MAROF'!AH28</f>
        <v>0.88</v>
      </c>
      <c r="L19" s="310">
        <f t="shared" si="1"/>
        <v>88</v>
      </c>
      <c r="M19" s="291">
        <f>'propulsion MAROF'!AI28</f>
        <v>1129.2632078931154</v>
      </c>
      <c r="N19" s="291">
        <f>'propulsion MAROF'!AJ28</f>
        <v>25.048214834138964</v>
      </c>
      <c r="O19" s="291">
        <f>'propulsion MAROF'!AK28</f>
        <v>45.083580421627836</v>
      </c>
      <c r="P19" s="290">
        <f t="shared" si="0"/>
        <v>15</v>
      </c>
      <c r="Q19" s="283"/>
      <c r="S19" s="325" t="s">
        <v>285</v>
      </c>
      <c r="T19" s="325" t="s">
        <v>283</v>
      </c>
      <c r="U19" s="327">
        <f>T10/T11^2</f>
        <v>4.4444444444444447E-4</v>
      </c>
      <c r="V19" s="325" t="s">
        <v>259</v>
      </c>
      <c r="W19" s="325"/>
      <c r="AB19" s="342">
        <v>0.28000000000000003</v>
      </c>
      <c r="AC19" s="342">
        <f>'propulsion MAROF'!G25</f>
        <v>113.69000952380952</v>
      </c>
      <c r="AD19" s="342">
        <f t="shared" si="2"/>
        <v>0.4031560621411685</v>
      </c>
      <c r="AE19" s="342">
        <f t="shared" si="3"/>
        <v>0.69452012829204501</v>
      </c>
    </row>
    <row r="20" spans="1:32" x14ac:dyDescent="0.25">
      <c r="A20" s="290">
        <f>'propulsion MAROF'!B29</f>
        <v>4.4444444444444446</v>
      </c>
      <c r="B20" s="290">
        <f>'propulsion MAROF'!C29</f>
        <v>16</v>
      </c>
      <c r="C20" s="291">
        <f>'propulsion MAROF'!W29</f>
        <v>14.719571275938161</v>
      </c>
      <c r="D20" s="291">
        <f>'propulsion MAROF'!X29</f>
        <v>901.40581999122139</v>
      </c>
      <c r="E20" s="309">
        <f>'propulsion MAROF'!Z29</f>
        <v>0.82074815742409768</v>
      </c>
      <c r="F20" s="291">
        <f>'propulsion MAROF'!AB29</f>
        <v>712.50294299566292</v>
      </c>
      <c r="G20" s="303">
        <f>'propulsion MAROF'!AD29</f>
        <v>0.97</v>
      </c>
      <c r="H20" s="291">
        <f>'propulsion MAROF'!AE29</f>
        <v>2137.5088289869886</v>
      </c>
      <c r="I20" s="291">
        <f>'propulsion MAROF'!AF29</f>
        <v>5.0582719161299519</v>
      </c>
      <c r="J20" s="291">
        <f>'propulsion MAROF'!AG29</f>
        <v>1167.2583056678466</v>
      </c>
      <c r="K20" s="316">
        <f>'propulsion MAROF'!AH29</f>
        <v>0.88</v>
      </c>
      <c r="L20" s="310">
        <f t="shared" si="1"/>
        <v>88</v>
      </c>
      <c r="M20" s="291">
        <f>'propulsion MAROF'!AI29</f>
        <v>1326.4298928043711</v>
      </c>
      <c r="N20" s="291">
        <f>'propulsion MAROF'!AJ29</f>
        <v>27.820495538714734</v>
      </c>
      <c r="O20" s="291">
        <f>'propulsion MAROF'!AK29</f>
        <v>47.678154796291246</v>
      </c>
      <c r="P20" s="290">
        <f t="shared" si="0"/>
        <v>16</v>
      </c>
      <c r="Q20" s="286"/>
      <c r="S20" s="325" t="s">
        <v>288</v>
      </c>
      <c r="T20" s="325" t="s">
        <v>289</v>
      </c>
      <c r="U20" s="328">
        <f>U19*(U18/T13) +T12</f>
        <v>3.2341067675570351E-2</v>
      </c>
      <c r="V20" s="325" t="s">
        <v>258</v>
      </c>
      <c r="W20" s="325"/>
      <c r="AB20" s="339">
        <v>0.28000000000000003</v>
      </c>
      <c r="AC20" s="339">
        <f>'propulsion MAROF'!G26</f>
        <v>134.83633888888892</v>
      </c>
      <c r="AD20" s="339">
        <f t="shared" si="2"/>
        <v>0.47814304570527982</v>
      </c>
      <c r="AE20" s="339">
        <f t="shared" si="3"/>
        <v>0.58559881298072425</v>
      </c>
    </row>
    <row r="21" spans="1:32" ht="13.8" thickBot="1" x14ac:dyDescent="0.3">
      <c r="A21" s="290">
        <f>'propulsion MAROF'!B30</f>
        <v>4.7222222222222223</v>
      </c>
      <c r="B21" s="290">
        <f>'propulsion MAROF'!C30</f>
        <v>17</v>
      </c>
      <c r="C21" s="291">
        <f>'propulsion MAROF'!W30</f>
        <v>16.247535775722461</v>
      </c>
      <c r="D21" s="291">
        <f>'propulsion MAROF'!X30</f>
        <v>1052.3542098272662</v>
      </c>
      <c r="E21" s="309">
        <f>'propulsion MAROF'!Z30</f>
        <v>0.82355426543307897</v>
      </c>
      <c r="F21" s="291">
        <f>'propulsion MAROF'!AB30</f>
        <v>751.02363041259321</v>
      </c>
      <c r="G21" s="303">
        <f>'propulsion MAROF'!AD30</f>
        <v>0.97</v>
      </c>
      <c r="H21" s="291">
        <f>'propulsion MAROF'!AE30</f>
        <v>2253.0708912377795</v>
      </c>
      <c r="I21" s="291">
        <f>'propulsion MAROF'!AF30</f>
        <v>5.5833456273960342</v>
      </c>
      <c r="J21" s="291">
        <f>'propulsion MAROF'!AG30</f>
        <v>1358.0828137395965</v>
      </c>
      <c r="K21" s="316">
        <f>'propulsion MAROF'!AH30</f>
        <v>0.88</v>
      </c>
      <c r="L21" s="310">
        <f t="shared" si="1"/>
        <v>88</v>
      </c>
      <c r="M21" s="291">
        <f>'propulsion MAROF'!AI30</f>
        <v>1543.2759247040869</v>
      </c>
      <c r="N21" s="291">
        <f>'propulsion MAROF'!AJ30</f>
        <v>30.708400950678186</v>
      </c>
      <c r="O21" s="291">
        <f>'propulsion MAROF'!AK30</f>
        <v>50.255821759745658</v>
      </c>
      <c r="P21" s="290">
        <f t="shared" si="0"/>
        <v>17</v>
      </c>
      <c r="Q21" s="283"/>
      <c r="S21" s="334" t="s">
        <v>292</v>
      </c>
      <c r="T21" s="334" t="s">
        <v>293</v>
      </c>
      <c r="U21" s="335">
        <f>T8*T7</f>
        <v>7.1172548836161216</v>
      </c>
      <c r="V21" s="334" t="s">
        <v>258</v>
      </c>
      <c r="W21" s="334"/>
      <c r="AB21" s="342">
        <v>0.28000000000000003</v>
      </c>
      <c r="AC21" s="342">
        <f>'propulsion MAROF'!G27</f>
        <v>155.97371319695145</v>
      </c>
      <c r="AD21" s="342">
        <f t="shared" si="2"/>
        <v>0.55309827374805476</v>
      </c>
      <c r="AE21" s="342">
        <f t="shared" si="3"/>
        <v>0.5062391500566219</v>
      </c>
    </row>
    <row r="22" spans="1:32" ht="13.8" thickTop="1" x14ac:dyDescent="0.25">
      <c r="A22" s="294">
        <f>'propulsion MAROF'!B31</f>
        <v>5</v>
      </c>
      <c r="B22" s="294">
        <f>'propulsion MAROF'!C31</f>
        <v>18</v>
      </c>
      <c r="C22" s="294">
        <f>'propulsion MAROF'!W31</f>
        <v>17.793137209040303</v>
      </c>
      <c r="D22" s="294">
        <f>'propulsion MAROF'!X31</f>
        <v>1214.4332497911441</v>
      </c>
      <c r="E22" s="305">
        <f>'propulsion MAROF'!Z31</f>
        <v>0.8264362744350332</v>
      </c>
      <c r="F22" s="294">
        <f>'propulsion MAROF'!AB31</f>
        <v>788.64786549392682</v>
      </c>
      <c r="G22" s="305">
        <f>'propulsion MAROF'!AD31</f>
        <v>0.97</v>
      </c>
      <c r="H22" s="295">
        <f>'propulsion MAROF'!AE31</f>
        <v>2365.9435964817803</v>
      </c>
      <c r="I22" s="294">
        <f>'propulsion MAROF'!AF31</f>
        <v>6.1144801405636775</v>
      </c>
      <c r="J22" s="294">
        <f>'propulsion MAROF'!AG31</f>
        <v>1561.7834250590704</v>
      </c>
      <c r="K22" s="318">
        <f>'propulsion MAROF'!AH31</f>
        <v>0.88</v>
      </c>
      <c r="L22" s="312">
        <f t="shared" si="1"/>
        <v>88</v>
      </c>
      <c r="M22" s="294">
        <f>'propulsion MAROF'!AI31</f>
        <v>1774.7538921125799</v>
      </c>
      <c r="N22" s="294">
        <f>'propulsion MAROF'!AJ31</f>
        <v>33.629640773100228</v>
      </c>
      <c r="O22" s="294">
        <f>'propulsion MAROF'!AK31</f>
        <v>52.77350133136644</v>
      </c>
      <c r="P22" s="294">
        <f t="shared" si="0"/>
        <v>18</v>
      </c>
      <c r="Q22" s="287" t="s">
        <v>228</v>
      </c>
      <c r="S22" s="331" t="s">
        <v>263</v>
      </c>
      <c r="T22" s="332" t="s">
        <v>291</v>
      </c>
      <c r="U22" s="333">
        <f>T8+U21+U20</f>
        <v>24.942733160331994</v>
      </c>
      <c r="V22" s="332" t="s">
        <v>258</v>
      </c>
      <c r="W22" s="332" t="s">
        <v>290</v>
      </c>
      <c r="AB22" s="339">
        <v>0.28000000000000003</v>
      </c>
      <c r="AC22" s="339">
        <f>'propulsion MAROF'!G28</f>
        <v>174.32158724428399</v>
      </c>
      <c r="AD22" s="339">
        <f t="shared" si="2"/>
        <v>0.6181616568946241</v>
      </c>
      <c r="AE22" s="339">
        <f t="shared" si="3"/>
        <v>0.45295594910657921</v>
      </c>
    </row>
    <row r="23" spans="1:32" x14ac:dyDescent="0.25">
      <c r="A23" s="290">
        <f>'propulsion MAROF'!B32</f>
        <v>5.2777777777777777</v>
      </c>
      <c r="B23" s="290">
        <f>'propulsion MAROF'!C32</f>
        <v>19</v>
      </c>
      <c r="C23" s="291">
        <f>'propulsion MAROF'!W32</f>
        <v>19.477130799622593</v>
      </c>
      <c r="D23" s="291">
        <f>'propulsion MAROF'!X32</f>
        <v>1398.1310003631081</v>
      </c>
      <c r="E23" s="309">
        <f>'propulsion MAROF'!Z32</f>
        <v>0.82857851706670882</v>
      </c>
      <c r="F23" s="291">
        <f>'propulsion MAROF'!AB32</f>
        <v>827.29537723688964</v>
      </c>
      <c r="G23" s="303">
        <f>'propulsion MAROF'!AD32</f>
        <v>0.97</v>
      </c>
      <c r="H23" s="291">
        <f>'propulsion MAROF'!AE32</f>
        <v>2481.8861317106689</v>
      </c>
      <c r="I23" s="291">
        <f>'propulsion MAROF'!AF32</f>
        <v>6.6931720960902377</v>
      </c>
      <c r="J23" s="291">
        <f>'propulsion MAROF'!AG32</f>
        <v>1793.3734163906056</v>
      </c>
      <c r="K23" s="316">
        <f>'propulsion MAROF'!AH32</f>
        <v>0.88</v>
      </c>
      <c r="L23" s="310">
        <f t="shared" si="1"/>
        <v>88</v>
      </c>
      <c r="M23" s="291">
        <f>'propulsion MAROF'!AI32</f>
        <v>2037.9243368075063</v>
      </c>
      <c r="N23" s="291">
        <f>'propulsion MAROF'!AJ32</f>
        <v>36.812446528496309</v>
      </c>
      <c r="O23" s="291">
        <f>'propulsion MAROF'!AK32</f>
        <v>55.359654926220685</v>
      </c>
      <c r="P23" s="290">
        <f t="shared" si="0"/>
        <v>19</v>
      </c>
      <c r="Q23" s="283"/>
      <c r="AB23" s="342">
        <v>0.28000000000000003</v>
      </c>
      <c r="AC23" s="342">
        <f>'propulsion MAROF'!G29</f>
        <v>192.67549402312366</v>
      </c>
      <c r="AD23" s="342">
        <f t="shared" si="2"/>
        <v>0.68324643270611229</v>
      </c>
      <c r="AE23" s="342">
        <f t="shared" si="3"/>
        <v>0.40980821354750874</v>
      </c>
    </row>
    <row r="24" spans="1:32" x14ac:dyDescent="0.25">
      <c r="A24" s="290">
        <f>'propulsion MAROF'!B33</f>
        <v>5.5555555555555554</v>
      </c>
      <c r="B24" s="290">
        <f>'propulsion MAROF'!C33</f>
        <v>20</v>
      </c>
      <c r="C24" s="291">
        <f>'propulsion MAROF'!W33</f>
        <v>21.184054306263242</v>
      </c>
      <c r="D24" s="291">
        <f>'propulsion MAROF'!X33</f>
        <v>1594.5541717592446</v>
      </c>
      <c r="E24" s="309">
        <f>'propulsion MAROF'!Z33</f>
        <v>0.8307904836706731</v>
      </c>
      <c r="F24" s="291">
        <f>'propulsion MAROF'!AB33</f>
        <v>865.18716044301561</v>
      </c>
      <c r="G24" s="303">
        <f>'propulsion MAROF'!AD33</f>
        <v>0.97</v>
      </c>
      <c r="H24" s="291">
        <f>'propulsion MAROF'!AE33</f>
        <v>2595.5614813290467</v>
      </c>
      <c r="I24" s="291">
        <f>'propulsion MAROF'!AF33</f>
        <v>7.2797437478567835</v>
      </c>
      <c r="J24" s="291">
        <f>'propulsion MAROF'!AG33</f>
        <v>2039.8784800079791</v>
      </c>
      <c r="K24" s="316">
        <f>'propulsion MAROF'!AH33</f>
        <v>0.88</v>
      </c>
      <c r="L24" s="310">
        <f t="shared" si="1"/>
        <v>88</v>
      </c>
      <c r="M24" s="291">
        <f>'propulsion MAROF'!AI33</f>
        <v>2318.0437272817944</v>
      </c>
      <c r="N24" s="291">
        <f>'propulsion MAROF'!AJ33</f>
        <v>40.038590613212307</v>
      </c>
      <c r="O24" s="291">
        <f>'propulsion MAROF'!AK33</f>
        <v>57.895237863763988</v>
      </c>
      <c r="P24" s="290">
        <f t="shared" si="0"/>
        <v>20</v>
      </c>
      <c r="R24" s="284"/>
      <c r="AB24" s="339">
        <v>0.28000000000000003</v>
      </c>
      <c r="AC24" s="339">
        <f>'propulsion MAROF'!G30</f>
        <v>211.70890574172054</v>
      </c>
      <c r="AD24" s="339">
        <f t="shared" si="2"/>
        <v>0.75074080050255509</v>
      </c>
      <c r="AE24" s="339">
        <f t="shared" si="3"/>
        <v>0.37296494317687889</v>
      </c>
    </row>
    <row r="25" spans="1:32" ht="26.4" x14ac:dyDescent="0.25">
      <c r="A25" s="296">
        <f>'propulsion MAROF'!B34</f>
        <v>5.833333333333333</v>
      </c>
      <c r="B25" s="296">
        <f>'propulsion MAROF'!C34</f>
        <v>21</v>
      </c>
      <c r="C25" s="296">
        <f>'propulsion MAROF'!W34</f>
        <v>23.049182862705187</v>
      </c>
      <c r="D25" s="296">
        <f>'propulsion MAROF'!X34</f>
        <v>1816.9538479116682</v>
      </c>
      <c r="E25" s="306">
        <f>'propulsion MAROF'!Z34</f>
        <v>0.83212073397455211</v>
      </c>
      <c r="F25" s="296">
        <f>'propulsion MAROF'!AB34</f>
        <v>904.63503063491146</v>
      </c>
      <c r="G25" s="306">
        <f>'propulsion MAROF'!AD34</f>
        <v>0.97</v>
      </c>
      <c r="H25" s="297">
        <f>'propulsion MAROF'!AE34</f>
        <v>2713.9050919047345</v>
      </c>
      <c r="I25" s="296">
        <f>'propulsion MAROF'!AF34</f>
        <v>7.9206813961186207</v>
      </c>
      <c r="J25" s="323">
        <f>'propulsion MAROF'!AG34</f>
        <v>2320.6737189969172</v>
      </c>
      <c r="K25" s="319">
        <f>'propulsion MAROF'!AH34</f>
        <v>0.88</v>
      </c>
      <c r="L25" s="313">
        <f t="shared" si="1"/>
        <v>88</v>
      </c>
      <c r="M25" s="296">
        <f>'propulsion MAROF'!AI34</f>
        <v>2637.1292261328604</v>
      </c>
      <c r="N25" s="296">
        <f>'propulsion MAROF'!AJ34</f>
        <v>43.563747678652412</v>
      </c>
      <c r="O25" s="296">
        <f>'propulsion MAROF'!AK34</f>
        <v>60.534948590410998</v>
      </c>
      <c r="P25" s="296">
        <f t="shared" si="0"/>
        <v>21</v>
      </c>
      <c r="Q25" s="288" t="s">
        <v>253</v>
      </c>
      <c r="S25" s="273" t="s">
        <v>294</v>
      </c>
      <c r="AB25" s="342">
        <v>0.28000000000000003</v>
      </c>
      <c r="AC25" s="342">
        <f>'propulsion MAROF'!G31</f>
        <v>230.74231746031742</v>
      </c>
      <c r="AD25" s="342">
        <f t="shared" si="2"/>
        <v>0.81823516829899801</v>
      </c>
      <c r="AE25" s="342">
        <f t="shared" si="3"/>
        <v>0.34219990883804563</v>
      </c>
    </row>
    <row r="26" spans="1:32" x14ac:dyDescent="0.25">
      <c r="A26" s="290">
        <f>'propulsion MAROF'!B35</f>
        <v>6.1111111111111107</v>
      </c>
      <c r="B26" s="290">
        <f>'propulsion MAROF'!C35</f>
        <v>22</v>
      </c>
      <c r="C26" s="291">
        <f>'propulsion MAROF'!W35</f>
        <v>24.925077943570468</v>
      </c>
      <c r="D26" s="291">
        <f>'propulsion MAROF'!X35</f>
        <v>2052.9413304988011</v>
      </c>
      <c r="E26" s="309">
        <f>'propulsion MAROF'!Z35</f>
        <v>0.83318746803791455</v>
      </c>
      <c r="F26" s="291">
        <f>'propulsion MAROF'!AB35</f>
        <v>943.9927655250134</v>
      </c>
      <c r="G26" s="303">
        <f>'propulsion MAROF'!AD35</f>
        <v>0.97</v>
      </c>
      <c r="H26" s="291">
        <f>'propulsion MAROF'!AE35</f>
        <v>2831.9782965750401</v>
      </c>
      <c r="I26" s="291">
        <f>'propulsion MAROF'!AF35</f>
        <v>8.5653188809520504</v>
      </c>
      <c r="J26" s="291">
        <f>'propulsion MAROF'!AG35</f>
        <v>2618.7276907825481</v>
      </c>
      <c r="K26" s="316">
        <f>'propulsion MAROF'!AH35</f>
        <v>0.88</v>
      </c>
      <c r="L26" s="310">
        <f t="shared" si="1"/>
        <v>88</v>
      </c>
      <c r="M26" s="291">
        <f>'propulsion MAROF'!AI35</f>
        <v>2975.8269213438048</v>
      </c>
      <c r="N26" s="291">
        <f>'propulsion MAROF'!AJ35</f>
        <v>47.109253845236275</v>
      </c>
      <c r="O26" s="291">
        <f>'propulsion MAROF'!AK35</f>
        <v>63.168627784256934</v>
      </c>
      <c r="P26" s="290">
        <f t="shared" si="0"/>
        <v>22</v>
      </c>
      <c r="Q26" s="283"/>
      <c r="S26" s="273" t="s">
        <v>266</v>
      </c>
      <c r="AA26" s="338" t="s">
        <v>304</v>
      </c>
      <c r="AB26" s="345">
        <f>SUM(AB7:AB25)</f>
        <v>5.0400000000000027</v>
      </c>
      <c r="AC26" s="345"/>
      <c r="AD26" s="345"/>
      <c r="AE26" s="345">
        <f t="shared" ref="AE26" si="4">SUM(AE7:AE25)</f>
        <v>28.582463998827684</v>
      </c>
    </row>
    <row r="27" spans="1:32" ht="12.75" customHeight="1" x14ac:dyDescent="0.25">
      <c r="A27" s="294">
        <f>'propulsion MAROF'!B36</f>
        <v>6.3888888888888884</v>
      </c>
      <c r="B27" s="294">
        <f>'propulsion MAROF'!C36</f>
        <v>23</v>
      </c>
      <c r="C27" s="295">
        <f>'propulsion MAROF'!W36</f>
        <v>26.953229578837615</v>
      </c>
      <c r="D27" s="294">
        <f>'propulsion MAROF'!X36</f>
        <v>2316.4614708445506</v>
      </c>
      <c r="E27" s="305">
        <f>'propulsion MAROF'!Z36</f>
        <v>0.83394765532940773</v>
      </c>
      <c r="F27" s="294">
        <f>'propulsion MAROF'!AB36</f>
        <v>984.11728685428341</v>
      </c>
      <c r="G27" s="305">
        <f>'propulsion MAROF'!AD36</f>
        <v>0.97</v>
      </c>
      <c r="H27" s="294">
        <f>'propulsion MAROF'!AE36</f>
        <v>2952.3518605628501</v>
      </c>
      <c r="I27" s="294">
        <f>'propulsion MAROF'!AF36</f>
        <v>9.2622782057861208</v>
      </c>
      <c r="J27" s="294">
        <f>'propulsion MAROF'!AG36</f>
        <v>2952.1799105991417</v>
      </c>
      <c r="K27" s="318">
        <f>'propulsion MAROF'!AH36</f>
        <v>0.88</v>
      </c>
      <c r="L27" s="312">
        <f t="shared" si="1"/>
        <v>88</v>
      </c>
      <c r="M27" s="294">
        <f>'propulsion MAROF'!AI36</f>
        <v>3354.7498984081158</v>
      </c>
      <c r="N27" s="294">
        <f>'propulsion MAROF'!AJ36</f>
        <v>50.942530131823666</v>
      </c>
      <c r="O27" s="294">
        <f>'propulsion MAROF'!AK36</f>
        <v>65.853617590784168</v>
      </c>
      <c r="P27" s="294">
        <f t="shared" si="0"/>
        <v>23</v>
      </c>
      <c r="Q27" s="287" t="s">
        <v>236</v>
      </c>
      <c r="S27" s="273" t="s">
        <v>267</v>
      </c>
      <c r="T27" s="273" t="s">
        <v>268</v>
      </c>
      <c r="U27" s="273" t="s">
        <v>295</v>
      </c>
      <c r="V27" s="273" t="s">
        <v>279</v>
      </c>
      <c r="AA27" s="399" t="s">
        <v>315</v>
      </c>
      <c r="AB27" s="399"/>
      <c r="AC27" s="399"/>
      <c r="AD27" s="399"/>
      <c r="AE27" s="399"/>
      <c r="AF27" s="399"/>
    </row>
    <row r="28" spans="1:32" ht="12.75" customHeight="1" x14ac:dyDescent="0.25">
      <c r="A28" s="290">
        <f>'propulsion MAROF'!B37</f>
        <v>6.6666666666666661</v>
      </c>
      <c r="B28" s="290">
        <f>'propulsion MAROF'!C37</f>
        <v>24</v>
      </c>
      <c r="C28" s="291">
        <f>'propulsion MAROF'!W37</f>
        <v>28.998724674084389</v>
      </c>
      <c r="D28" s="291">
        <f>'propulsion MAROF'!X37</f>
        <v>2595.042701733159</v>
      </c>
      <c r="E28" s="309">
        <f>'propulsion MAROF'!Z37</f>
        <v>0.83478994937367135</v>
      </c>
      <c r="F28" s="291">
        <f>'propulsion MAROF'!AB37</f>
        <v>1023.6695391232981</v>
      </c>
      <c r="G28" s="303">
        <f>'propulsion MAROF'!AD37</f>
        <v>0.97</v>
      </c>
      <c r="H28" s="291">
        <f>'propulsion MAROF'!AE37</f>
        <v>3071.0086173698946</v>
      </c>
      <c r="I28" s="291">
        <f>'propulsion MAROF'!AF37</f>
        <v>9.9651974825032266</v>
      </c>
      <c r="J28" s="291">
        <f>'propulsion MAROF'!AG37</f>
        <v>3303.8766791639964</v>
      </c>
      <c r="K28" s="316">
        <f>'propulsion MAROF'!AH37</f>
        <v>0.88</v>
      </c>
      <c r="L28" s="310">
        <f t="shared" si="1"/>
        <v>88</v>
      </c>
      <c r="M28" s="291">
        <f>'propulsion MAROF'!AI37</f>
        <v>3754.405317231814</v>
      </c>
      <c r="N28" s="291">
        <f>'propulsion MAROF'!AJ37</f>
        <v>54.808586153767742</v>
      </c>
      <c r="O28" s="291">
        <f>'propulsion MAROF'!AK37</f>
        <v>68.500313193605749</v>
      </c>
      <c r="P28" s="290">
        <f t="shared" si="0"/>
        <v>24</v>
      </c>
      <c r="Q28" s="283"/>
      <c r="S28" s="349" t="s">
        <v>300</v>
      </c>
      <c r="T28" s="350">
        <v>282</v>
      </c>
      <c r="U28" s="350" t="s">
        <v>256</v>
      </c>
      <c r="AA28" s="399"/>
      <c r="AB28" s="399"/>
      <c r="AC28" s="399"/>
      <c r="AD28" s="399"/>
      <c r="AE28" s="399"/>
      <c r="AF28" s="399"/>
    </row>
    <row r="29" spans="1:32" ht="12.75" customHeight="1" x14ac:dyDescent="0.25">
      <c r="A29" s="290">
        <f>'propulsion MAROF'!B38</f>
        <v>6.9444444444444446</v>
      </c>
      <c r="B29" s="290">
        <f>'propulsion MAROF'!C38</f>
        <v>25</v>
      </c>
      <c r="C29" s="291">
        <f>'propulsion MAROF'!W38</f>
        <v>30.39619781416679</v>
      </c>
      <c r="D29" s="291">
        <f>'propulsion MAROF'!X38</f>
        <v>2815.8923437843714</v>
      </c>
      <c r="E29" s="309">
        <f>'propulsion MAROF'!Z38</f>
        <v>0.83715580817896729</v>
      </c>
      <c r="F29" s="291">
        <f>'propulsion MAROF'!AB38</f>
        <v>1056.7247324587975</v>
      </c>
      <c r="G29" s="303">
        <f>'propulsion MAROF'!AD38</f>
        <v>0.97</v>
      </c>
      <c r="H29" s="291">
        <f>'propulsion MAROF'!AE38</f>
        <v>3170.1741973763924</v>
      </c>
      <c r="I29" s="291">
        <f>'propulsion MAROF'!AF38</f>
        <v>10.445428802119171</v>
      </c>
      <c r="J29" s="291">
        <f>'propulsion MAROF'!AG38</f>
        <v>3574.9196394196792</v>
      </c>
      <c r="K29" s="316">
        <f>'propulsion MAROF'!AH38</f>
        <v>0.88</v>
      </c>
      <c r="L29" s="310">
        <f t="shared" si="1"/>
        <v>88</v>
      </c>
      <c r="M29" s="291">
        <f>'propulsion MAROF'!AI38</f>
        <v>4062.4086811587263</v>
      </c>
      <c r="N29" s="291">
        <f>'propulsion MAROF'!AJ38</f>
        <v>57.449858411655441</v>
      </c>
      <c r="O29" s="291">
        <f>'propulsion MAROF'!AK38</f>
        <v>70.712248793541747</v>
      </c>
      <c r="P29" s="290">
        <f t="shared" si="0"/>
        <v>25</v>
      </c>
      <c r="Q29" s="283"/>
      <c r="AA29" s="393"/>
      <c r="AB29" s="393"/>
      <c r="AC29" s="393"/>
      <c r="AD29" s="393"/>
      <c r="AE29" s="393"/>
      <c r="AF29" s="393"/>
    </row>
    <row r="30" spans="1:32" ht="26.4" x14ac:dyDescent="0.25">
      <c r="A30" s="290">
        <f>'propulsion MAROF'!B39</f>
        <v>7.2222222222222223</v>
      </c>
      <c r="B30" s="290">
        <f>'propulsion MAROF'!C39</f>
        <v>26</v>
      </c>
      <c r="C30" s="291">
        <f>'propulsion MAROF'!W39</f>
        <v>31.80226525037957</v>
      </c>
      <c r="D30" s="291">
        <f>'propulsion MAROF'!X39</f>
        <v>3045.6691590371756</v>
      </c>
      <c r="E30" s="309">
        <f>'propulsion MAROF'!Z39</f>
        <v>0.83932132193275111</v>
      </c>
      <c r="F30" s="291">
        <f>'propulsion MAROF'!AB39</f>
        <v>1089.6017600711566</v>
      </c>
      <c r="G30" s="303">
        <f>'propulsion MAROF'!AD39</f>
        <v>0.97</v>
      </c>
      <c r="H30" s="291">
        <f>'propulsion MAROF'!AE39</f>
        <v>3268.8052802134698</v>
      </c>
      <c r="I30" s="291">
        <f>'propulsion MAROF'!AF39</f>
        <v>10.928613488102945</v>
      </c>
      <c r="J30" s="291">
        <f>'propulsion MAROF'!AG39</f>
        <v>3856.6568703821399</v>
      </c>
      <c r="K30" s="316">
        <f>'propulsion MAROF'!AH39</f>
        <v>0.88</v>
      </c>
      <c r="L30" s="310">
        <f t="shared" si="1"/>
        <v>88</v>
      </c>
      <c r="M30" s="291">
        <f>'propulsion MAROF'!AI39</f>
        <v>4382.56462543425</v>
      </c>
      <c r="N30" s="291">
        <f>'propulsion MAROF'!AJ39</f>
        <v>60.107374184566197</v>
      </c>
      <c r="O30" s="291">
        <f>'propulsion MAROF'!AK39</f>
        <v>72.912262178965122</v>
      </c>
      <c r="P30" s="290">
        <f t="shared" si="0"/>
        <v>26</v>
      </c>
      <c r="Q30" s="283"/>
      <c r="R30" s="322"/>
      <c r="S30" s="351" t="s">
        <v>301</v>
      </c>
      <c r="T30" s="352">
        <f>A22</f>
        <v>5</v>
      </c>
      <c r="U30" s="353" t="s">
        <v>87</v>
      </c>
      <c r="V30" s="353" t="s">
        <v>302</v>
      </c>
      <c r="AA30" s="344" t="s">
        <v>306</v>
      </c>
      <c r="AB30" s="344" t="s">
        <v>317</v>
      </c>
      <c r="AC30" s="344" t="s">
        <v>307</v>
      </c>
      <c r="AD30" s="344" t="s">
        <v>316</v>
      </c>
      <c r="AE30" s="344" t="s">
        <v>313</v>
      </c>
      <c r="AF30" s="344" t="s">
        <v>305</v>
      </c>
    </row>
    <row r="31" spans="1:32" x14ac:dyDescent="0.25">
      <c r="A31" s="290">
        <f>'propulsion MAROF'!B40</f>
        <v>7.5</v>
      </c>
      <c r="B31" s="290">
        <f>'propulsion MAROF'!C40</f>
        <v>27</v>
      </c>
      <c r="C31" s="291">
        <f>'propulsion MAROF'!W40</f>
        <v>33.217932712661352</v>
      </c>
      <c r="D31" s="291">
        <f>'propulsion MAROF'!X40</f>
        <v>3284.456829790091</v>
      </c>
      <c r="E31" s="309">
        <f>'propulsion MAROF'!Z40</f>
        <v>0.84128767620733091</v>
      </c>
      <c r="F31" s="291">
        <f>'propulsion MAROF'!AB40</f>
        <v>1122.3228675644837</v>
      </c>
      <c r="G31" s="303">
        <f>'propulsion MAROF'!AD40</f>
        <v>0.97</v>
      </c>
      <c r="H31" s="291">
        <f>'propulsion MAROF'!AE40</f>
        <v>3366.968602693451</v>
      </c>
      <c r="I31" s="291">
        <f>'propulsion MAROF'!AF40</f>
        <v>11.415097152117303</v>
      </c>
      <c r="J31" s="291">
        <f>'propulsion MAROF'!AG40</f>
        <v>4149.3069390624578</v>
      </c>
      <c r="K31" s="316">
        <f>'propulsion MAROF'!AH40</f>
        <v>0.88</v>
      </c>
      <c r="L31" s="310">
        <f t="shared" si="1"/>
        <v>88</v>
      </c>
      <c r="M31" s="291">
        <f>'propulsion MAROF'!AI40</f>
        <v>4715.1215216618839</v>
      </c>
      <c r="N31" s="291">
        <f>'propulsion MAROF'!AJ40</f>
        <v>62.783034336645166</v>
      </c>
      <c r="O31" s="291">
        <f>'propulsion MAROF'!AK40</f>
        <v>75.101841946332371</v>
      </c>
      <c r="P31" s="290">
        <f t="shared" si="0"/>
        <v>27</v>
      </c>
      <c r="Q31" s="283"/>
      <c r="AA31" s="339">
        <v>0.28000000000000003</v>
      </c>
      <c r="AB31" s="339">
        <f t="shared" ref="AB31:AB48" si="5">AC8</f>
        <v>9.4554620726495742</v>
      </c>
      <c r="AC31" s="340">
        <v>242.89</v>
      </c>
      <c r="AD31" s="339">
        <f>SUM(AB31:AC31)</f>
        <v>252.34546207264955</v>
      </c>
      <c r="AE31" s="339">
        <f t="shared" ref="AE31:AE48" si="6">AD31/$T$28</f>
        <v>0.89484206408740974</v>
      </c>
      <c r="AF31" s="339">
        <f>AA31/AE31</f>
        <v>0.31290437859059911</v>
      </c>
    </row>
    <row r="32" spans="1:32" x14ac:dyDescent="0.25">
      <c r="A32" s="290">
        <f>'propulsion MAROF'!B41</f>
        <v>7.7777777777777777</v>
      </c>
      <c r="B32" s="290">
        <f>'propulsion MAROF'!C41</f>
        <v>28</v>
      </c>
      <c r="C32" s="291">
        <f>'propulsion MAROF'!W41</f>
        <v>34.643399687276393</v>
      </c>
      <c r="D32" s="291">
        <f>'propulsion MAROF'!X41</f>
        <v>3532.2553560431161</v>
      </c>
      <c r="E32" s="309">
        <f>'propulsion MAROF'!Z41</f>
        <v>0.84305928517311524</v>
      </c>
      <c r="F32" s="291">
        <f>'propulsion MAROF'!AB41</f>
        <v>1154.9012570156226</v>
      </c>
      <c r="G32" s="303">
        <f>'propulsion MAROF'!AD41</f>
        <v>0.97</v>
      </c>
      <c r="H32" s="291">
        <f>'propulsion MAROF'!AE41</f>
        <v>3464.7037710468676</v>
      </c>
      <c r="I32" s="291">
        <f>'propulsion MAROF'!AF41</f>
        <v>11.90494834614309</v>
      </c>
      <c r="J32" s="291">
        <f>'propulsion MAROF'!AG41</f>
        <v>4452.9775731920145</v>
      </c>
      <c r="K32" s="316">
        <f>'propulsion MAROF'!AH41</f>
        <v>0.88</v>
      </c>
      <c r="L32" s="310">
        <f t="shared" si="1"/>
        <v>88</v>
      </c>
      <c r="M32" s="291">
        <f>'propulsion MAROF'!AI41</f>
        <v>5060.2017877181979</v>
      </c>
      <c r="N32" s="291">
        <f>'propulsion MAROF'!AJ41</f>
        <v>65.477215903786998</v>
      </c>
      <c r="O32" s="291">
        <f>'propulsion MAROF'!AK41</f>
        <v>77.281871531522029</v>
      </c>
      <c r="P32" s="290">
        <f t="shared" si="0"/>
        <v>28</v>
      </c>
      <c r="Q32" s="283"/>
      <c r="AA32" s="342">
        <v>0.28000000000000003</v>
      </c>
      <c r="AB32" s="342">
        <f t="shared" si="5"/>
        <v>18.910924145299148</v>
      </c>
      <c r="AC32" s="342">
        <f t="shared" ref="AC32:AC48" si="7">$AC$31</f>
        <v>242.89</v>
      </c>
      <c r="AD32" s="342">
        <f t="shared" ref="AD32:AD48" si="8">SUM(AB32:AC32)</f>
        <v>261.80092414529912</v>
      </c>
      <c r="AE32" s="342">
        <f t="shared" si="6"/>
        <v>0.92837207143723088</v>
      </c>
      <c r="AF32" s="342">
        <f t="shared" ref="AF32:AF48" si="9">AA32/AE32</f>
        <v>0.30160321342554669</v>
      </c>
    </row>
    <row r="33" spans="1:32" ht="13.5" customHeight="1" x14ac:dyDescent="0.25">
      <c r="A33" s="298">
        <f>'propulsion MAROF'!B42</f>
        <v>8.0555555555555554</v>
      </c>
      <c r="B33" s="298">
        <f>'propulsion MAROF'!C42</f>
        <v>29</v>
      </c>
      <c r="C33" s="299">
        <f>'propulsion MAROF'!W42</f>
        <v>36.078852733870328</v>
      </c>
      <c r="D33" s="298">
        <f>'propulsion MAROF'!X42</f>
        <v>3789.0647377962487</v>
      </c>
      <c r="E33" s="307">
        <f>'propulsion MAROF'!Z42</f>
        <v>0.84464149690969659</v>
      </c>
      <c r="F33" s="298">
        <f>'propulsion MAROF'!AB42</f>
        <v>1187.3486809509261</v>
      </c>
      <c r="G33" s="307">
        <f>'propulsion MAROF'!AD42</f>
        <v>0.97</v>
      </c>
      <c r="H33" s="298">
        <f>'propulsion MAROF'!AE42</f>
        <v>3562.0460428527786</v>
      </c>
      <c r="I33" s="298">
        <f>'propulsion MAROF'!AF42</f>
        <v>12.398231180024167</v>
      </c>
      <c r="J33" s="300">
        <f>'propulsion MAROF'!AG42</f>
        <v>4767.7792871427037</v>
      </c>
      <c r="K33" s="320">
        <f>'propulsion MAROF'!AH42</f>
        <v>0.88</v>
      </c>
      <c r="L33" s="314">
        <f t="shared" si="1"/>
        <v>88</v>
      </c>
      <c r="M33" s="298">
        <f>'propulsion MAROF'!AI42</f>
        <v>5417.9310081167087</v>
      </c>
      <c r="N33" s="298">
        <f>'propulsion MAROF'!AJ42</f>
        <v>68.190271490132915</v>
      </c>
      <c r="O33" s="298">
        <f>'propulsion MAROF'!AK42</f>
        <v>79.45313737166569</v>
      </c>
      <c r="P33" s="298">
        <f t="shared" si="0"/>
        <v>29</v>
      </c>
      <c r="Q33" s="287" t="s">
        <v>237</v>
      </c>
      <c r="S33" s="322" t="s">
        <v>320</v>
      </c>
      <c r="AA33" s="339">
        <v>0.28000000000000003</v>
      </c>
      <c r="AB33" s="339">
        <f t="shared" si="5"/>
        <v>28.366386217948719</v>
      </c>
      <c r="AC33" s="339">
        <f t="shared" si="7"/>
        <v>242.89</v>
      </c>
      <c r="AD33" s="339">
        <f t="shared" si="8"/>
        <v>271.25638621794872</v>
      </c>
      <c r="AE33" s="339">
        <f t="shared" si="6"/>
        <v>0.96190207878705214</v>
      </c>
      <c r="AF33" s="339">
        <f t="shared" si="9"/>
        <v>0.29108992087123559</v>
      </c>
    </row>
    <row r="34" spans="1:32" ht="12.75" customHeight="1" x14ac:dyDescent="0.25">
      <c r="A34" s="301">
        <f>'propulsion MAROF'!B43</f>
        <v>8.3333333333333339</v>
      </c>
      <c r="B34" s="301">
        <f>'propulsion MAROF'!C43</f>
        <v>30</v>
      </c>
      <c r="C34" s="301">
        <f>'propulsion MAROF'!W43</f>
        <v>37.524466045173199</v>
      </c>
      <c r="D34" s="301">
        <f>'propulsion MAROF'!X43</f>
        <v>4054.8849750494969</v>
      </c>
      <c r="E34" s="308">
        <f>'propulsion MAROF'!Z43</f>
        <v>0.84604030169056055</v>
      </c>
      <c r="F34" s="301">
        <f>'propulsion MAROF'!AB43</f>
        <v>1219.6756359768863</v>
      </c>
      <c r="G34" s="308">
        <f>'propulsion MAROF'!AD43</f>
        <v>0.97</v>
      </c>
      <c r="H34" s="301">
        <f>'propulsion MAROF'!AE43</f>
        <v>3659.026907930659</v>
      </c>
      <c r="I34" s="301">
        <f>'propulsion MAROF'!AF43</f>
        <v>12.895005513805222</v>
      </c>
      <c r="J34" s="301">
        <f>'propulsion MAROF'!AG43</f>
        <v>5093.824983116825</v>
      </c>
      <c r="K34" s="321">
        <f>'propulsion MAROF'!AH43</f>
        <v>0.88</v>
      </c>
      <c r="L34" s="315">
        <f t="shared" si="1"/>
        <v>88</v>
      </c>
      <c r="M34" s="301">
        <f>'propulsion MAROF'!AI43</f>
        <v>5788.437480814574</v>
      </c>
      <c r="N34" s="301">
        <f>'propulsion MAROF'!AJ43</f>
        <v>70.922530325928719</v>
      </c>
      <c r="O34" s="301">
        <f>'propulsion MAROF'!AK43</f>
        <v>81.616341862218732</v>
      </c>
      <c r="P34" s="301">
        <f t="shared" si="0"/>
        <v>30</v>
      </c>
      <c r="Q34" s="289" t="s">
        <v>230</v>
      </c>
      <c r="S34" s="324" t="s">
        <v>274</v>
      </c>
      <c r="T34" s="324" t="s">
        <v>275</v>
      </c>
      <c r="AA34" s="342">
        <v>0.28000000000000003</v>
      </c>
      <c r="AB34" s="342">
        <f t="shared" si="5"/>
        <v>37.821848290598297</v>
      </c>
      <c r="AC34" s="342">
        <f t="shared" si="7"/>
        <v>242.89</v>
      </c>
      <c r="AD34" s="342">
        <f t="shared" si="8"/>
        <v>280.71184829059825</v>
      </c>
      <c r="AE34" s="342">
        <f t="shared" si="6"/>
        <v>0.99543208613687328</v>
      </c>
      <c r="AF34" s="342">
        <f t="shared" si="9"/>
        <v>0.28128488512625627</v>
      </c>
    </row>
    <row r="35" spans="1:32" x14ac:dyDescent="0.25">
      <c r="Q35" s="276"/>
      <c r="S35" s="325" t="s">
        <v>297</v>
      </c>
      <c r="T35" s="325" t="s">
        <v>296</v>
      </c>
      <c r="AA35" s="339">
        <v>0.28000000000000003</v>
      </c>
      <c r="AB35" s="339">
        <f t="shared" si="5"/>
        <v>47.277310363247864</v>
      </c>
      <c r="AC35" s="339">
        <f t="shared" si="7"/>
        <v>242.89</v>
      </c>
      <c r="AD35" s="339">
        <f t="shared" si="8"/>
        <v>290.16731036324785</v>
      </c>
      <c r="AE35" s="339">
        <f t="shared" si="6"/>
        <v>1.0289620934866945</v>
      </c>
      <c r="AF35" s="339">
        <f t="shared" si="9"/>
        <v>0.27211886790815071</v>
      </c>
    </row>
    <row r="36" spans="1:32" ht="12.75" customHeight="1" x14ac:dyDescent="0.25">
      <c r="A36" s="406" t="s">
        <v>232</v>
      </c>
      <c r="B36" s="406"/>
      <c r="C36" s="406"/>
      <c r="D36" s="406"/>
      <c r="E36" s="406"/>
      <c r="F36" s="406"/>
      <c r="G36" s="406"/>
      <c r="H36" s="406"/>
      <c r="I36" s="406"/>
      <c r="J36" s="406"/>
      <c r="K36" s="406"/>
      <c r="L36" s="406"/>
      <c r="M36" s="406"/>
      <c r="N36" s="406"/>
      <c r="O36" s="406"/>
      <c r="P36" s="406"/>
      <c r="Q36" s="406"/>
      <c r="S36" s="325" t="s">
        <v>298</v>
      </c>
      <c r="T36" s="325" t="s">
        <v>299</v>
      </c>
      <c r="AA36" s="342">
        <v>0.28000000000000003</v>
      </c>
      <c r="AB36" s="342">
        <f t="shared" si="5"/>
        <v>56.732772435897438</v>
      </c>
      <c r="AC36" s="342">
        <f t="shared" si="7"/>
        <v>242.89</v>
      </c>
      <c r="AD36" s="342">
        <f t="shared" si="8"/>
        <v>299.62277243589745</v>
      </c>
      <c r="AE36" s="342">
        <f t="shared" si="6"/>
        <v>1.0624921008365158</v>
      </c>
      <c r="AF36" s="342">
        <f t="shared" si="9"/>
        <v>0.26353137099047785</v>
      </c>
    </row>
    <row r="37" spans="1:32" ht="12.75" customHeight="1" x14ac:dyDescent="0.25">
      <c r="A37" s="407" t="s">
        <v>233</v>
      </c>
      <c r="B37" s="407"/>
      <c r="C37" s="407"/>
      <c r="D37" s="407"/>
      <c r="E37" s="407"/>
      <c r="F37" s="407"/>
      <c r="G37" s="407"/>
      <c r="H37" s="407"/>
      <c r="I37" s="407"/>
      <c r="J37" s="407"/>
      <c r="K37" s="407"/>
      <c r="L37" s="407"/>
      <c r="M37" s="407"/>
      <c r="N37" s="407"/>
      <c r="O37" s="407"/>
      <c r="P37" s="407"/>
      <c r="Q37" s="407"/>
      <c r="S37" s="354" t="s">
        <v>321</v>
      </c>
      <c r="T37" s="354" t="s">
        <v>322</v>
      </c>
      <c r="AA37" s="339">
        <v>0.28000000000000003</v>
      </c>
      <c r="AB37" s="339">
        <f t="shared" si="5"/>
        <v>66.188234508547012</v>
      </c>
      <c r="AC37" s="339">
        <f t="shared" si="7"/>
        <v>242.89</v>
      </c>
      <c r="AD37" s="339">
        <f t="shared" si="8"/>
        <v>309.07823450854698</v>
      </c>
      <c r="AE37" s="339">
        <f t="shared" si="6"/>
        <v>1.0960221081863368</v>
      </c>
      <c r="AF37" s="339">
        <f t="shared" si="9"/>
        <v>0.25546929930394863</v>
      </c>
    </row>
    <row r="38" spans="1:32" x14ac:dyDescent="0.25">
      <c r="A38" s="407" t="s">
        <v>234</v>
      </c>
      <c r="B38" s="407"/>
      <c r="C38" s="407"/>
      <c r="D38" s="407"/>
      <c r="E38" s="407"/>
      <c r="F38" s="407"/>
      <c r="G38" s="407"/>
      <c r="H38" s="407"/>
      <c r="I38" s="407"/>
      <c r="J38" s="407"/>
      <c r="K38" s="407"/>
      <c r="L38" s="407"/>
      <c r="M38" s="407"/>
      <c r="N38" s="407"/>
      <c r="O38" s="407"/>
      <c r="P38" s="407"/>
      <c r="Q38" s="407"/>
      <c r="AA38" s="342">
        <v>0.28000000000000003</v>
      </c>
      <c r="AB38" s="342">
        <f t="shared" si="5"/>
        <v>75.643696581196593</v>
      </c>
      <c r="AC38" s="342">
        <f t="shared" si="7"/>
        <v>242.89</v>
      </c>
      <c r="AD38" s="342">
        <f t="shared" si="8"/>
        <v>318.53369658119658</v>
      </c>
      <c r="AE38" s="342">
        <f t="shared" si="6"/>
        <v>1.1295521155361581</v>
      </c>
      <c r="AF38" s="342">
        <f t="shared" si="9"/>
        <v>0.2478858621473114</v>
      </c>
    </row>
    <row r="39" spans="1:32" x14ac:dyDescent="0.25">
      <c r="A39" s="407" t="s">
        <v>235</v>
      </c>
      <c r="B39" s="407"/>
      <c r="C39" s="407"/>
      <c r="D39" s="407"/>
      <c r="E39" s="407"/>
      <c r="F39" s="407"/>
      <c r="G39" s="407"/>
      <c r="H39" s="407"/>
      <c r="I39" s="407"/>
      <c r="J39" s="407"/>
      <c r="K39" s="407"/>
      <c r="L39" s="407"/>
      <c r="M39" s="407"/>
      <c r="N39" s="407"/>
      <c r="O39" s="407"/>
      <c r="P39" s="407"/>
      <c r="Q39" s="407"/>
      <c r="AA39" s="339">
        <v>0.28000000000000003</v>
      </c>
      <c r="AB39" s="339">
        <f t="shared" si="5"/>
        <v>85.09915865384616</v>
      </c>
      <c r="AC39" s="339">
        <f t="shared" si="7"/>
        <v>242.89</v>
      </c>
      <c r="AD39" s="339">
        <f t="shared" si="8"/>
        <v>327.98915865384618</v>
      </c>
      <c r="AE39" s="339">
        <f t="shared" si="6"/>
        <v>1.1630821228859793</v>
      </c>
      <c r="AF39" s="339">
        <f t="shared" si="9"/>
        <v>0.24073966445742484</v>
      </c>
    </row>
    <row r="40" spans="1:32" x14ac:dyDescent="0.25">
      <c r="A40" s="407" t="s">
        <v>252</v>
      </c>
      <c r="B40" s="405"/>
      <c r="C40" s="405"/>
      <c r="D40" s="405"/>
      <c r="E40" s="405"/>
      <c r="F40" s="405"/>
      <c r="G40" s="405"/>
      <c r="H40" s="405"/>
      <c r="I40" s="405"/>
      <c r="J40" s="405"/>
      <c r="K40" s="405"/>
      <c r="L40" s="405"/>
      <c r="M40" s="405"/>
      <c r="N40" s="405"/>
      <c r="O40" s="405"/>
      <c r="P40" s="405"/>
      <c r="Q40" s="405"/>
      <c r="AA40" s="342">
        <v>0.28000000000000003</v>
      </c>
      <c r="AB40" s="342">
        <f t="shared" si="5"/>
        <v>94.554620726495727</v>
      </c>
      <c r="AC40" s="342">
        <f t="shared" si="7"/>
        <v>242.89</v>
      </c>
      <c r="AD40" s="342">
        <f t="shared" si="8"/>
        <v>337.44462072649571</v>
      </c>
      <c r="AE40" s="342">
        <f t="shared" si="6"/>
        <v>1.1966121302358004</v>
      </c>
      <c r="AF40" s="342">
        <f t="shared" si="9"/>
        <v>0.23399395085926813</v>
      </c>
    </row>
    <row r="41" spans="1:32" x14ac:dyDescent="0.25">
      <c r="A41" s="405"/>
      <c r="B41" s="405"/>
      <c r="C41" s="405"/>
      <c r="D41" s="405"/>
      <c r="E41" s="405"/>
      <c r="F41" s="405"/>
      <c r="G41" s="405"/>
      <c r="H41" s="405"/>
      <c r="I41" s="405"/>
      <c r="J41" s="405"/>
      <c r="K41" s="405"/>
      <c r="L41" s="405"/>
      <c r="M41" s="405"/>
      <c r="N41" s="405"/>
      <c r="O41" s="405"/>
      <c r="P41" s="405"/>
      <c r="Q41" s="405"/>
      <c r="AA41" s="339">
        <v>0.28000000000000003</v>
      </c>
      <c r="AB41" s="339">
        <f t="shared" si="5"/>
        <v>104.01008279914531</v>
      </c>
      <c r="AC41" s="339">
        <f t="shared" si="7"/>
        <v>242.89</v>
      </c>
      <c r="AD41" s="339">
        <f t="shared" si="8"/>
        <v>346.90008279914531</v>
      </c>
      <c r="AE41" s="339">
        <f t="shared" si="6"/>
        <v>1.2301421375856216</v>
      </c>
      <c r="AF41" s="339">
        <f t="shared" si="9"/>
        <v>0.22761597334560957</v>
      </c>
    </row>
    <row r="42" spans="1:32" x14ac:dyDescent="0.25">
      <c r="A42" s="405"/>
      <c r="B42" s="405"/>
      <c r="C42" s="405"/>
      <c r="D42" s="405"/>
      <c r="E42" s="405"/>
      <c r="F42" s="405"/>
      <c r="G42" s="405"/>
      <c r="H42" s="405"/>
      <c r="I42" s="405"/>
      <c r="J42" s="405"/>
      <c r="K42" s="405"/>
      <c r="L42" s="405"/>
      <c r="M42" s="405"/>
      <c r="N42" s="405"/>
      <c r="O42" s="405"/>
      <c r="P42" s="405"/>
      <c r="Q42" s="405"/>
      <c r="AA42" s="342">
        <v>0.28000000000000003</v>
      </c>
      <c r="AB42" s="342">
        <f t="shared" si="5"/>
        <v>113.69000952380952</v>
      </c>
      <c r="AC42" s="342">
        <f t="shared" si="7"/>
        <v>242.89</v>
      </c>
      <c r="AD42" s="342">
        <f t="shared" si="8"/>
        <v>356.58000952380951</v>
      </c>
      <c r="AE42" s="342">
        <f t="shared" si="6"/>
        <v>1.2644681188787572</v>
      </c>
      <c r="AF42" s="342">
        <f t="shared" si="9"/>
        <v>0.22143697877356106</v>
      </c>
    </row>
    <row r="43" spans="1:32" x14ac:dyDescent="0.25">
      <c r="A43" s="405"/>
      <c r="B43" s="405"/>
      <c r="C43" s="405"/>
      <c r="D43" s="405"/>
      <c r="E43" s="405"/>
      <c r="F43" s="405"/>
      <c r="G43" s="405"/>
      <c r="H43" s="405"/>
      <c r="I43" s="405"/>
      <c r="J43" s="405"/>
      <c r="K43" s="405"/>
      <c r="L43" s="405"/>
      <c r="M43" s="405"/>
      <c r="N43" s="405"/>
      <c r="O43" s="405"/>
      <c r="P43" s="405"/>
      <c r="Q43" s="405"/>
      <c r="AA43" s="339">
        <v>0.28000000000000003</v>
      </c>
      <c r="AB43" s="339">
        <f t="shared" si="5"/>
        <v>134.83633888888892</v>
      </c>
      <c r="AC43" s="339">
        <f t="shared" si="7"/>
        <v>242.89</v>
      </c>
      <c r="AD43" s="339">
        <f t="shared" si="8"/>
        <v>377.7263388888889</v>
      </c>
      <c r="AE43" s="339">
        <f t="shared" si="6"/>
        <v>1.3394551024428685</v>
      </c>
      <c r="AF43" s="339">
        <f t="shared" si="9"/>
        <v>0.2090402279922203</v>
      </c>
    </row>
    <row r="44" spans="1:32" x14ac:dyDescent="0.25">
      <c r="A44" s="405"/>
      <c r="B44" s="405"/>
      <c r="C44" s="405"/>
      <c r="D44" s="405"/>
      <c r="E44" s="405"/>
      <c r="F44" s="405"/>
      <c r="G44" s="405"/>
      <c r="H44" s="405"/>
      <c r="I44" s="405"/>
      <c r="J44" s="405"/>
      <c r="K44" s="405"/>
      <c r="L44" s="405"/>
      <c r="M44" s="405"/>
      <c r="N44" s="405"/>
      <c r="O44" s="405"/>
      <c r="P44" s="405"/>
      <c r="Q44" s="405"/>
      <c r="AA44" s="342">
        <v>0.28000000000000003</v>
      </c>
      <c r="AB44" s="342">
        <f t="shared" si="5"/>
        <v>155.97371319695145</v>
      </c>
      <c r="AC44" s="342">
        <f t="shared" si="7"/>
        <v>242.89</v>
      </c>
      <c r="AD44" s="342">
        <f t="shared" si="8"/>
        <v>398.86371319695144</v>
      </c>
      <c r="AE44" s="342">
        <f t="shared" si="6"/>
        <v>1.4144103304856435</v>
      </c>
      <c r="AF44" s="342">
        <f t="shared" si="9"/>
        <v>0.19796235502879911</v>
      </c>
    </row>
    <row r="45" spans="1:32" x14ac:dyDescent="0.25">
      <c r="A45" s="408" t="s">
        <v>255</v>
      </c>
      <c r="B45" s="405"/>
      <c r="C45" s="405"/>
      <c r="D45" s="405"/>
      <c r="E45" s="405"/>
      <c r="F45" s="405"/>
      <c r="G45" s="405"/>
      <c r="H45" s="405"/>
      <c r="I45" s="405"/>
      <c r="J45" s="405"/>
      <c r="K45" s="405"/>
      <c r="L45" s="405"/>
      <c r="M45" s="405"/>
      <c r="N45" s="405"/>
      <c r="O45" s="405"/>
      <c r="P45" s="405"/>
      <c r="Q45" s="405"/>
      <c r="AA45" s="339">
        <v>0.28000000000000003</v>
      </c>
      <c r="AB45" s="339">
        <f t="shared" si="5"/>
        <v>174.32158724428399</v>
      </c>
      <c r="AC45" s="339">
        <f t="shared" si="7"/>
        <v>242.89</v>
      </c>
      <c r="AD45" s="339">
        <f t="shared" si="8"/>
        <v>417.21158724428398</v>
      </c>
      <c r="AE45" s="339">
        <f t="shared" si="6"/>
        <v>1.4794737136322127</v>
      </c>
      <c r="AF45" s="339">
        <f t="shared" si="9"/>
        <v>0.18925648858781019</v>
      </c>
    </row>
    <row r="46" spans="1:32" x14ac:dyDescent="0.25">
      <c r="A46" s="407" t="s">
        <v>254</v>
      </c>
      <c r="B46" s="405"/>
      <c r="C46" s="405"/>
      <c r="D46" s="405"/>
      <c r="E46" s="405"/>
      <c r="F46" s="405"/>
      <c r="G46" s="405"/>
      <c r="H46" s="405"/>
      <c r="I46" s="405"/>
      <c r="J46" s="405"/>
      <c r="K46" s="405"/>
      <c r="L46" s="405"/>
      <c r="M46" s="405"/>
      <c r="N46" s="405"/>
      <c r="O46" s="405"/>
      <c r="P46" s="405"/>
      <c r="Q46" s="405"/>
      <c r="AA46" s="342">
        <v>0.28000000000000003</v>
      </c>
      <c r="AB46" s="342">
        <f t="shared" si="5"/>
        <v>192.67549402312366</v>
      </c>
      <c r="AC46" s="342">
        <f t="shared" si="7"/>
        <v>242.89</v>
      </c>
      <c r="AD46" s="342">
        <f t="shared" si="8"/>
        <v>435.56549402312362</v>
      </c>
      <c r="AE46" s="342">
        <f t="shared" si="6"/>
        <v>1.5445584894437008</v>
      </c>
      <c r="AF46" s="342">
        <f t="shared" si="9"/>
        <v>0.18128157781894477</v>
      </c>
    </row>
    <row r="47" spans="1:32" x14ac:dyDescent="0.25">
      <c r="A47" s="405"/>
      <c r="B47" s="405"/>
      <c r="C47" s="405"/>
      <c r="D47" s="405"/>
      <c r="E47" s="405"/>
      <c r="F47" s="405"/>
      <c r="G47" s="405"/>
      <c r="H47" s="405"/>
      <c r="I47" s="405"/>
      <c r="J47" s="405"/>
      <c r="K47" s="405"/>
      <c r="L47" s="405"/>
      <c r="M47" s="405"/>
      <c r="N47" s="405"/>
      <c r="O47" s="405"/>
      <c r="P47" s="405"/>
      <c r="Q47" s="405"/>
      <c r="AA47" s="339">
        <v>0.28000000000000003</v>
      </c>
      <c r="AB47" s="339">
        <f t="shared" si="5"/>
        <v>211.70890574172054</v>
      </c>
      <c r="AC47" s="339">
        <f t="shared" si="7"/>
        <v>242.89</v>
      </c>
      <c r="AD47" s="339">
        <f t="shared" si="8"/>
        <v>454.5989057417205</v>
      </c>
      <c r="AE47" s="339">
        <f t="shared" si="6"/>
        <v>1.6120528572401436</v>
      </c>
      <c r="AF47" s="339">
        <f t="shared" si="9"/>
        <v>0.17369157515055916</v>
      </c>
    </row>
    <row r="48" spans="1:32" x14ac:dyDescent="0.25">
      <c r="A48" s="405"/>
      <c r="B48" s="405"/>
      <c r="C48" s="405"/>
      <c r="D48" s="405"/>
      <c r="E48" s="405"/>
      <c r="F48" s="405"/>
      <c r="G48" s="405"/>
      <c r="H48" s="405"/>
      <c r="I48" s="405"/>
      <c r="J48" s="405"/>
      <c r="K48" s="405"/>
      <c r="L48" s="405"/>
      <c r="M48" s="405"/>
      <c r="N48" s="405"/>
      <c r="O48" s="405"/>
      <c r="P48" s="405"/>
      <c r="Q48" s="405"/>
      <c r="AA48" s="342">
        <v>0.28000000000000003</v>
      </c>
      <c r="AB48" s="342">
        <f t="shared" si="5"/>
        <v>230.74231746031742</v>
      </c>
      <c r="AC48" s="342">
        <f t="shared" si="7"/>
        <v>242.89</v>
      </c>
      <c r="AD48" s="342">
        <f t="shared" si="8"/>
        <v>473.63231746031738</v>
      </c>
      <c r="AE48" s="342">
        <f t="shared" si="6"/>
        <v>1.6795472250365864</v>
      </c>
      <c r="AF48" s="342">
        <f t="shared" si="9"/>
        <v>0.16671159692690429</v>
      </c>
    </row>
    <row r="49" spans="1:34" x14ac:dyDescent="0.25">
      <c r="A49" s="336"/>
      <c r="B49" s="336"/>
      <c r="C49" s="336"/>
      <c r="D49" s="336"/>
      <c r="E49" s="336"/>
      <c r="F49" s="336"/>
      <c r="G49" s="336"/>
      <c r="H49" s="336"/>
      <c r="I49" s="336"/>
      <c r="J49" s="336"/>
      <c r="K49" s="336"/>
      <c r="L49" s="336"/>
      <c r="M49" s="336"/>
      <c r="N49" s="336"/>
      <c r="O49" s="336"/>
      <c r="P49" s="336"/>
      <c r="Q49" s="336"/>
      <c r="Z49" s="338" t="s">
        <v>304</v>
      </c>
      <c r="AA49" s="345">
        <f>SUM(AA31:AA48)</f>
        <v>5.0400000000000027</v>
      </c>
      <c r="AB49" s="346"/>
      <c r="AC49" s="346"/>
      <c r="AD49" s="346"/>
      <c r="AE49" s="346"/>
      <c r="AF49" s="346">
        <f t="shared" ref="AF49" si="10">SUM(AF31:AF48)</f>
        <v>4.2676181873046284</v>
      </c>
    </row>
    <row r="50" spans="1:34" x14ac:dyDescent="0.25">
      <c r="A50" s="405"/>
      <c r="B50" s="405"/>
      <c r="C50" s="405"/>
      <c r="D50" s="405"/>
      <c r="E50" s="405"/>
      <c r="F50" s="405"/>
      <c r="G50" s="405"/>
      <c r="H50" s="405"/>
      <c r="I50" s="405"/>
      <c r="J50" s="405"/>
      <c r="K50" s="405"/>
      <c r="L50" s="405"/>
      <c r="M50" s="405"/>
      <c r="N50" s="405"/>
      <c r="O50" s="405"/>
      <c r="P50" s="405"/>
      <c r="Q50" s="405"/>
    </row>
    <row r="51" spans="1:34" ht="12.75" customHeight="1" x14ac:dyDescent="0.25">
      <c r="A51" s="405"/>
      <c r="B51" s="405"/>
      <c r="C51" s="405"/>
      <c r="D51" s="405"/>
      <c r="E51" s="405"/>
      <c r="F51" s="405"/>
      <c r="G51" s="405"/>
      <c r="H51" s="405"/>
      <c r="I51" s="405"/>
      <c r="J51" s="405"/>
      <c r="K51" s="405"/>
      <c r="L51" s="405"/>
      <c r="M51" s="405"/>
      <c r="N51" s="405"/>
      <c r="O51" s="405"/>
      <c r="P51" s="405"/>
      <c r="Q51" s="405"/>
      <c r="Z51" s="322"/>
      <c r="AA51" s="397" t="s">
        <v>312</v>
      </c>
      <c r="AB51" s="397"/>
      <c r="AC51" s="397"/>
      <c r="AD51" s="397"/>
      <c r="AE51" s="397"/>
    </row>
    <row r="52" spans="1:34" ht="15.75" customHeight="1" x14ac:dyDescent="0.25">
      <c r="A52" s="409"/>
      <c r="B52" s="409"/>
      <c r="C52" s="409"/>
      <c r="D52" s="409"/>
      <c r="E52" s="409"/>
      <c r="F52" s="409"/>
      <c r="G52" s="409"/>
      <c r="H52" s="409"/>
      <c r="I52" s="409"/>
      <c r="J52" s="409"/>
      <c r="K52" s="409"/>
      <c r="L52" s="409"/>
      <c r="M52" s="409"/>
      <c r="N52" s="409"/>
      <c r="O52" s="409"/>
      <c r="P52" s="409"/>
      <c r="Q52" s="409"/>
      <c r="Z52" s="322"/>
      <c r="AA52" s="397"/>
      <c r="AB52" s="397"/>
      <c r="AC52" s="397"/>
      <c r="AD52" s="397"/>
      <c r="AE52" s="397"/>
    </row>
    <row r="53" spans="1:34" ht="18" customHeight="1" x14ac:dyDescent="0.25">
      <c r="A53" s="409"/>
      <c r="B53" s="409"/>
      <c r="C53" s="409"/>
      <c r="D53" s="409"/>
      <c r="E53" s="409"/>
      <c r="F53" s="409"/>
      <c r="G53" s="409"/>
      <c r="H53" s="409"/>
      <c r="I53" s="409"/>
      <c r="J53" s="409"/>
      <c r="K53" s="409"/>
      <c r="L53" s="409"/>
      <c r="M53" s="409"/>
      <c r="N53" s="409"/>
      <c r="O53" s="409"/>
      <c r="P53" s="409"/>
      <c r="Q53" s="409"/>
      <c r="AA53" s="398"/>
      <c r="AB53" s="398"/>
      <c r="AC53" s="398"/>
      <c r="AD53" s="398"/>
      <c r="AE53" s="398"/>
    </row>
    <row r="54" spans="1:34" ht="39.6" x14ac:dyDescent="0.25">
      <c r="A54" s="409"/>
      <c r="B54" s="409"/>
      <c r="C54" s="409"/>
      <c r="D54" s="409"/>
      <c r="E54" s="409"/>
      <c r="F54" s="409"/>
      <c r="G54" s="409"/>
      <c r="H54" s="409"/>
      <c r="I54" s="409"/>
      <c r="J54" s="409"/>
      <c r="K54" s="409"/>
      <c r="L54" s="409"/>
      <c r="M54" s="409"/>
      <c r="N54" s="409"/>
      <c r="O54" s="409"/>
      <c r="P54" s="409"/>
      <c r="Q54" s="409"/>
      <c r="AA54" s="344" t="s">
        <v>309</v>
      </c>
      <c r="AB54" s="344" t="s">
        <v>308</v>
      </c>
      <c r="AC54" s="344" t="s">
        <v>307</v>
      </c>
      <c r="AD54" s="344" t="s">
        <v>310</v>
      </c>
      <c r="AE54" s="344" t="s">
        <v>311</v>
      </c>
      <c r="AF54" s="322" t="s">
        <v>318</v>
      </c>
    </row>
    <row r="55" spans="1:34" x14ac:dyDescent="0.25">
      <c r="A55" s="409"/>
      <c r="B55" s="409"/>
      <c r="C55" s="409"/>
      <c r="D55" s="409"/>
      <c r="E55" s="409"/>
      <c r="F55" s="409"/>
      <c r="G55" s="409"/>
      <c r="H55" s="409"/>
      <c r="I55" s="409"/>
      <c r="J55" s="409"/>
      <c r="K55" s="409"/>
      <c r="L55" s="409"/>
      <c r="M55" s="409"/>
      <c r="N55" s="409"/>
      <c r="O55" s="409"/>
      <c r="P55" s="409"/>
      <c r="Q55" s="409"/>
      <c r="AA55" s="339">
        <f>'propulsion MAROF'!W13</f>
        <v>0</v>
      </c>
      <c r="AB55" s="339">
        <f>'propulsion MAROF'!N13</f>
        <v>0</v>
      </c>
      <c r="AC55" s="339">
        <f>'propulsion MAROF'!V13</f>
        <v>0</v>
      </c>
      <c r="AD55" s="341">
        <v>28.58</v>
      </c>
      <c r="AE55" s="341">
        <v>0</v>
      </c>
    </row>
    <row r="56" spans="1:34" x14ac:dyDescent="0.25">
      <c r="A56" s="409"/>
      <c r="B56" s="409"/>
      <c r="C56" s="409"/>
      <c r="D56" s="409"/>
      <c r="E56" s="409"/>
      <c r="F56" s="409"/>
      <c r="G56" s="409"/>
      <c r="H56" s="409"/>
      <c r="I56" s="409"/>
      <c r="J56" s="409"/>
      <c r="K56" s="409"/>
      <c r="L56" s="409"/>
      <c r="M56" s="409"/>
      <c r="N56" s="409"/>
      <c r="O56" s="409"/>
      <c r="P56" s="409"/>
      <c r="Q56" s="409"/>
      <c r="AA56" s="342">
        <f>'propulsion MAROF'!W14</f>
        <v>0.68934818483160309</v>
      </c>
      <c r="AB56" s="342">
        <f>'propulsion MAROF'!N14</f>
        <v>117.63164893044427</v>
      </c>
      <c r="AC56" s="342">
        <f>'propulsion MAROF'!V14</f>
        <v>9.9531179712100766</v>
      </c>
      <c r="AD56" s="343">
        <v>20.48</v>
      </c>
      <c r="AE56" s="343">
        <f>$AD$55-AD56</f>
        <v>8.0999999999999979</v>
      </c>
    </row>
    <row r="57" spans="1:34" x14ac:dyDescent="0.25">
      <c r="A57" s="409"/>
      <c r="B57" s="409"/>
      <c r="C57" s="409"/>
      <c r="D57" s="409"/>
      <c r="E57" s="409"/>
      <c r="F57" s="409"/>
      <c r="G57" s="409"/>
      <c r="H57" s="409"/>
      <c r="I57" s="409"/>
      <c r="J57" s="409"/>
      <c r="K57" s="409"/>
      <c r="L57" s="409"/>
      <c r="M57" s="409"/>
      <c r="N57" s="409"/>
      <c r="O57" s="409"/>
      <c r="P57" s="409"/>
      <c r="Q57" s="409"/>
      <c r="AA57" s="339">
        <f>'propulsion MAROF'!W15</f>
        <v>1.2936191621969653</v>
      </c>
      <c r="AB57" s="339">
        <f>'propulsion MAROF'!N15</f>
        <v>170.52541276142992</v>
      </c>
      <c r="AC57" s="339">
        <f>'propulsion MAROF'!V15</f>
        <v>19.906235942420157</v>
      </c>
      <c r="AD57" s="341">
        <v>16.739999999999998</v>
      </c>
      <c r="AE57" s="341">
        <f t="shared" ref="AE57:AE73" si="11">AD56-AD57</f>
        <v>3.740000000000002</v>
      </c>
    </row>
    <row r="58" spans="1:34" x14ac:dyDescent="0.25">
      <c r="A58" s="280"/>
      <c r="B58" s="28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0"/>
      <c r="N58" s="280"/>
      <c r="O58" s="280"/>
      <c r="P58" s="280"/>
      <c r="Q58" s="280"/>
      <c r="AA58" s="342">
        <f>'propulsion MAROF'!W16</f>
        <v>1.9500973451305157</v>
      </c>
      <c r="AB58" s="342">
        <f>'propulsion MAROF'!N16</f>
        <v>218.86963365639542</v>
      </c>
      <c r="AC58" s="342">
        <f>'propulsion MAROF'!V16</f>
        <v>29.85935391363023</v>
      </c>
      <c r="AD58" s="343">
        <v>14.39</v>
      </c>
      <c r="AE58" s="343">
        <f t="shared" si="11"/>
        <v>2.3499999999999979</v>
      </c>
    </row>
    <row r="59" spans="1:34" x14ac:dyDescent="0.25">
      <c r="AA59" s="339">
        <f>'propulsion MAROF'!W17</f>
        <v>2.5205186766872685</v>
      </c>
      <c r="AB59" s="339">
        <f>'propulsion MAROF'!N17</f>
        <v>259.45473764948753</v>
      </c>
      <c r="AC59" s="339">
        <f>'propulsion MAROF'!V17</f>
        <v>39.812471884840306</v>
      </c>
      <c r="AD59" s="341">
        <v>12.73</v>
      </c>
      <c r="AE59" s="341">
        <f t="shared" si="11"/>
        <v>1.6600000000000001</v>
      </c>
    </row>
    <row r="60" spans="1:34" x14ac:dyDescent="0.25">
      <c r="AA60" s="342">
        <f>'propulsion MAROF'!W18</f>
        <v>3.2206060672654591</v>
      </c>
      <c r="AB60" s="342">
        <f>'propulsion MAROF'!N18</f>
        <v>300.11493969782845</v>
      </c>
      <c r="AC60" s="342">
        <f>'propulsion MAROF'!V18</f>
        <v>49.765589856050383</v>
      </c>
      <c r="AD60" s="343">
        <v>11.46</v>
      </c>
      <c r="AE60" s="343">
        <f t="shared" si="11"/>
        <v>1.2699999999999996</v>
      </c>
    </row>
    <row r="61" spans="1:34" x14ac:dyDescent="0.25">
      <c r="AA61" s="339">
        <f>'propulsion MAROF'!W19</f>
        <v>3.9216779168224978</v>
      </c>
      <c r="AB61" s="339">
        <f>'propulsion MAROF'!N19</f>
        <v>337.97700134358718</v>
      </c>
      <c r="AC61" s="339">
        <f>'propulsion MAROF'!V19</f>
        <v>59.718707827260459</v>
      </c>
      <c r="AD61" s="341">
        <v>10.46</v>
      </c>
      <c r="AE61" s="341">
        <f t="shared" si="11"/>
        <v>1</v>
      </c>
      <c r="AF61" s="395" t="s">
        <v>319</v>
      </c>
      <c r="AG61" s="396"/>
      <c r="AH61" s="396"/>
    </row>
    <row r="62" spans="1:34" x14ac:dyDescent="0.25">
      <c r="AA62" s="342">
        <f>'propulsion MAROF'!W20</f>
        <v>4.6147140797542576</v>
      </c>
      <c r="AB62" s="342">
        <f>'propulsion MAROF'!N20</f>
        <v>373.65762148758205</v>
      </c>
      <c r="AC62" s="342">
        <f>'propulsion MAROF'!V20</f>
        <v>69.671825798470522</v>
      </c>
      <c r="AD62" s="343">
        <v>9.6300000000000008</v>
      </c>
      <c r="AE62" s="343">
        <f t="shared" si="11"/>
        <v>0.83000000000000007</v>
      </c>
    </row>
    <row r="63" spans="1:34" x14ac:dyDescent="0.25">
      <c r="AA63" s="339">
        <f>'propulsion MAROF'!W21</f>
        <v>5.3434082184554414</v>
      </c>
      <c r="AB63" s="339">
        <f>'propulsion MAROF'!N21</f>
        <v>408.52002975567825</v>
      </c>
      <c r="AC63" s="339">
        <f>'propulsion MAROF'!V21</f>
        <v>79.624943769680613</v>
      </c>
      <c r="AD63" s="341">
        <v>8.94</v>
      </c>
      <c r="AE63" s="341">
        <f t="shared" si="11"/>
        <v>0.69000000000000128</v>
      </c>
    </row>
    <row r="64" spans="1:34" x14ac:dyDescent="0.25">
      <c r="AA64" s="342">
        <f>'propulsion MAROF'!W22</f>
        <v>6.1425219851147581</v>
      </c>
      <c r="AB64" s="342">
        <f>'propulsion MAROF'!N22</f>
        <v>443.28076079688816</v>
      </c>
      <c r="AC64" s="342">
        <f>'propulsion MAROF'!V22</f>
        <v>89.578061740890703</v>
      </c>
      <c r="AD64" s="343">
        <v>8.35</v>
      </c>
      <c r="AE64" s="343">
        <f t="shared" si="11"/>
        <v>0.58999999999999986</v>
      </c>
    </row>
    <row r="65" spans="27:34" x14ac:dyDescent="0.25">
      <c r="AA65" s="339">
        <f>'propulsion MAROF'!W23</f>
        <v>6.9514339060711077</v>
      </c>
      <c r="AB65" s="339">
        <f>'propulsion MAROF'!N23</f>
        <v>476.92842651563694</v>
      </c>
      <c r="AC65" s="339">
        <f>'propulsion MAROF'!V23</f>
        <v>99.531179712100794</v>
      </c>
      <c r="AD65" s="341">
        <v>7.84</v>
      </c>
      <c r="AE65" s="341">
        <f t="shared" si="11"/>
        <v>0.50999999999999979</v>
      </c>
    </row>
    <row r="66" spans="27:34" x14ac:dyDescent="0.25">
      <c r="AA66" s="342">
        <f>'propulsion MAROF'!W24</f>
        <v>7.7709311556701035</v>
      </c>
      <c r="AB66" s="342">
        <f>'propulsion MAROF'!N24</f>
        <v>509.67937545644014</v>
      </c>
      <c r="AC66" s="342">
        <f>'propulsion MAROF'!V24</f>
        <v>109.48429768331084</v>
      </c>
      <c r="AD66" s="343">
        <v>7.4</v>
      </c>
      <c r="AE66" s="343">
        <f t="shared" si="11"/>
        <v>0.4399999999999995</v>
      </c>
    </row>
    <row r="67" spans="27:34" x14ac:dyDescent="0.25">
      <c r="AA67" s="339">
        <f>'propulsion MAROF'!W25</f>
        <v>8.6160000513259813</v>
      </c>
      <c r="AB67" s="339">
        <f>'propulsion MAROF'!N25</f>
        <v>542.01631125295626</v>
      </c>
      <c r="AC67" s="339">
        <f>'propulsion MAROF'!V25</f>
        <v>119.673694235589</v>
      </c>
      <c r="AD67" s="341">
        <v>6.99</v>
      </c>
      <c r="AE67" s="341">
        <f t="shared" si="11"/>
        <v>0.41000000000000014</v>
      </c>
    </row>
    <row r="68" spans="27:34" x14ac:dyDescent="0.25">
      <c r="AA68" s="342">
        <f>'propulsion MAROF'!W26</f>
        <v>10.200625154189343</v>
      </c>
      <c r="AB68" s="342">
        <f>'propulsion MAROF'!N26</f>
        <v>589.02587266915157</v>
      </c>
      <c r="AC68" s="342">
        <f>'propulsion MAROF'!V26</f>
        <v>141.93298830409356</v>
      </c>
      <c r="AD68" s="343">
        <v>6.26</v>
      </c>
      <c r="AE68" s="343">
        <f t="shared" si="11"/>
        <v>0.73000000000000043</v>
      </c>
    </row>
    <row r="69" spans="27:34" x14ac:dyDescent="0.25">
      <c r="AA69" s="339">
        <f>'propulsion MAROF'!W27</f>
        <v>11.804825285637344</v>
      </c>
      <c r="AB69" s="339">
        <f>'propulsion MAROF'!N27</f>
        <v>633.84548306026113</v>
      </c>
      <c r="AC69" s="339">
        <f>'propulsion MAROF'!V27</f>
        <v>164.18285599679095</v>
      </c>
      <c r="AD69" s="341">
        <v>5.67</v>
      </c>
      <c r="AE69" s="341">
        <f t="shared" si="11"/>
        <v>0.58999999999999986</v>
      </c>
    </row>
    <row r="70" spans="27:34" x14ac:dyDescent="0.25">
      <c r="AA70" s="342">
        <f>'propulsion MAROF'!W28</f>
        <v>13.252782757698979</v>
      </c>
      <c r="AB70" s="342">
        <f>'propulsion MAROF'!N28</f>
        <v>673.72959101366428</v>
      </c>
      <c r="AC70" s="342">
        <f>'propulsion MAROF'!V28</f>
        <v>183.49640762556214</v>
      </c>
      <c r="AD70" s="343">
        <v>5.24</v>
      </c>
      <c r="AE70" s="343">
        <f t="shared" si="11"/>
        <v>0.42999999999999972</v>
      </c>
    </row>
    <row r="71" spans="27:34" x14ac:dyDescent="0.25">
      <c r="AA71" s="339">
        <f>'propulsion MAROF'!W29</f>
        <v>14.719571275938161</v>
      </c>
      <c r="AB71" s="339">
        <f>'propulsion MAROF'!N29</f>
        <v>712.50294299566292</v>
      </c>
      <c r="AC71" s="339">
        <f>'propulsion MAROF'!V29</f>
        <v>202.81630949802485</v>
      </c>
      <c r="AD71" s="341">
        <v>4.88</v>
      </c>
      <c r="AE71" s="341">
        <f t="shared" si="11"/>
        <v>0.36000000000000032</v>
      </c>
    </row>
    <row r="72" spans="27:34" x14ac:dyDescent="0.25">
      <c r="AA72" s="342">
        <f>'propulsion MAROF'!W30</f>
        <v>16.247535775722461</v>
      </c>
      <c r="AB72" s="342">
        <f>'propulsion MAROF'!N30</f>
        <v>751.02363041259321</v>
      </c>
      <c r="AC72" s="342">
        <f>'propulsion MAROF'!V30</f>
        <v>222.85147972812695</v>
      </c>
      <c r="AD72" s="343">
        <v>4.55</v>
      </c>
      <c r="AE72" s="343">
        <f t="shared" si="11"/>
        <v>0.33000000000000007</v>
      </c>
    </row>
    <row r="73" spans="27:34" x14ac:dyDescent="0.25">
      <c r="AA73" s="339">
        <f>'propulsion MAROF'!W31</f>
        <v>17.793137209040303</v>
      </c>
      <c r="AB73" s="339">
        <f>'propulsion MAROF'!N31</f>
        <v>788.64786549392682</v>
      </c>
      <c r="AC73" s="339">
        <f>'propulsion MAROF'!V31</f>
        <v>242.88664995822884</v>
      </c>
      <c r="AD73" s="341">
        <v>4.2699999999999996</v>
      </c>
      <c r="AE73" s="341">
        <f t="shared" si="11"/>
        <v>0.28000000000000025</v>
      </c>
    </row>
    <row r="74" spans="27:34" ht="12.75" customHeight="1" x14ac:dyDescent="0.25">
      <c r="AA74" s="337"/>
    </row>
    <row r="75" spans="27:34" ht="12.75" customHeight="1" x14ac:dyDescent="0.25"/>
    <row r="76" spans="27:34" ht="12.75" customHeight="1" x14ac:dyDescent="0.25"/>
    <row r="78" spans="27:34" x14ac:dyDescent="0.25">
      <c r="AH78" s="337"/>
    </row>
  </sheetData>
  <mergeCells count="34">
    <mergeCell ref="A56:Q56"/>
    <mergeCell ref="A57:Q57"/>
    <mergeCell ref="A50:Q50"/>
    <mergeCell ref="A51:Q51"/>
    <mergeCell ref="A52:Q52"/>
    <mergeCell ref="A53:Q53"/>
    <mergeCell ref="A54:Q54"/>
    <mergeCell ref="A55:Q55"/>
    <mergeCell ref="A48:Q48"/>
    <mergeCell ref="A36:Q36"/>
    <mergeCell ref="A37:Q37"/>
    <mergeCell ref="A38:Q38"/>
    <mergeCell ref="A39:Q39"/>
    <mergeCell ref="A41:Q41"/>
    <mergeCell ref="A42:Q42"/>
    <mergeCell ref="A40:Q40"/>
    <mergeCell ref="A43:Q43"/>
    <mergeCell ref="A44:Q44"/>
    <mergeCell ref="A45:Q45"/>
    <mergeCell ref="A46:Q46"/>
    <mergeCell ref="A47:Q47"/>
    <mergeCell ref="S2:W2"/>
    <mergeCell ref="S3:V3"/>
    <mergeCell ref="S16:W16"/>
    <mergeCell ref="A1:B1"/>
    <mergeCell ref="C1:F1"/>
    <mergeCell ref="H1:O1"/>
    <mergeCell ref="Q3:Q4"/>
    <mergeCell ref="Q5:Q6"/>
    <mergeCell ref="AB5:AE6"/>
    <mergeCell ref="AB2:AF2"/>
    <mergeCell ref="AF61:AH61"/>
    <mergeCell ref="AA51:AE53"/>
    <mergeCell ref="AA27:AF29"/>
  </mergeCells>
  <phoneticPr fontId="30" type="noConversion"/>
  <conditionalFormatting sqref="U22">
    <cfRule type="cellIs" dxfId="3" priority="1" operator="greaterThan">
      <formula>27</formula>
    </cfRule>
    <cfRule type="cellIs" dxfId="2" priority="2" operator="lessThan">
      <formula>27</formula>
    </cfRule>
    <cfRule type="cellIs" dxfId="1" priority="3" operator="lessThan">
      <formula>2</formula>
    </cfRule>
    <cfRule type="cellIs" dxfId="0" priority="4" operator="greaterThan">
      <formula>27</formula>
    </cfRule>
  </conditionalFormatting>
  <hyperlinks>
    <hyperlink ref="A45" r:id="rId1" xr:uid="{5C3D80AB-BAC6-4617-9D74-AEAB701B8B13}"/>
  </hyperlinks>
  <pageMargins left="0.7" right="0.7" top="0.75" bottom="0.75" header="0.3" footer="0.3"/>
  <pageSetup paperSize="9" scale="57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hull data</vt:lpstr>
      <vt:lpstr>resistance</vt:lpstr>
      <vt:lpstr>propulsion ENG</vt:lpstr>
      <vt:lpstr>ENG copy</vt:lpstr>
      <vt:lpstr>propulsion MAROF</vt:lpstr>
      <vt:lpstr>OW props</vt:lpstr>
      <vt:lpstr>Motor</vt:lpstr>
      <vt:lpstr>Battery</vt:lpstr>
      <vt:lpstr>Solar Panels</vt:lpstr>
      <vt:lpstr>Safety Electronics</vt:lpstr>
      <vt:lpstr>Curves</vt:lpstr>
      <vt:lpstr>Analyse aandrijving marof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Richard Lee</cp:lastModifiedBy>
  <cp:lastPrinted>2020-03-24T15:17:09Z</cp:lastPrinted>
  <dcterms:created xsi:type="dcterms:W3CDTF">1996-10-14T23:33:28Z</dcterms:created>
  <dcterms:modified xsi:type="dcterms:W3CDTF">2021-01-20T16:10:34Z</dcterms:modified>
</cp:coreProperties>
</file>