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Elements/Excel PDF For Linked in/OneDrive_2_2-20-2025/"/>
    </mc:Choice>
  </mc:AlternateContent>
  <xr:revisionPtr revIDLastSave="0" documentId="13_ncr:1_{78669ACE-B4BF-6741-A48D-0D3772FCFBAE}" xr6:coauthVersionLast="47" xr6:coauthVersionMax="47" xr10:uidLastSave="{00000000-0000-0000-0000-000000000000}"/>
  <bookViews>
    <workbookView xWindow="1120" yWindow="540" windowWidth="34420" windowHeight="20340" xr2:uid="{00000000-000D-0000-FFFF-FFFF00000000}"/>
  </bookViews>
  <sheets>
    <sheet name="Flow Tracker" sheetId="1" r:id="rId1"/>
    <sheet name="List" sheetId="5" state="hidden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I25" i="1"/>
  <c r="J25" i="1"/>
  <c r="K25" i="1"/>
  <c r="E24" i="1" l="1"/>
  <c r="F24" i="1"/>
  <c r="G24" i="1"/>
  <c r="H24" i="1"/>
  <c r="I24" i="1"/>
  <c r="J24" i="1"/>
  <c r="K24" i="1"/>
  <c r="D24" i="1"/>
  <c r="H26" i="1"/>
  <c r="I26" i="1"/>
  <c r="J26" i="1"/>
  <c r="K26" i="1"/>
  <c r="E15" i="1"/>
  <c r="F15" i="1"/>
  <c r="G15" i="1"/>
  <c r="H15" i="1"/>
  <c r="I15" i="1"/>
  <c r="J15" i="1"/>
  <c r="K15" i="1"/>
  <c r="H8" i="1"/>
  <c r="I8" i="1"/>
  <c r="J8" i="1"/>
  <c r="K8" i="1"/>
  <c r="C15" i="1"/>
  <c r="E25" i="1" l="1"/>
  <c r="F25" i="1"/>
  <c r="G25" i="1"/>
  <c r="G26" i="1" s="1"/>
  <c r="D8" i="1" l="1"/>
  <c r="D15" i="1" l="1"/>
  <c r="L15" i="1" s="1"/>
  <c r="O23" i="1"/>
  <c r="C25" i="1"/>
  <c r="D25" i="1"/>
  <c r="O26" i="1" l="1"/>
  <c r="O24" i="1"/>
  <c r="L25" i="1"/>
  <c r="O25" i="1" l="1"/>
  <c r="F26" i="1" l="1"/>
  <c r="D26" i="1"/>
  <c r="E26" i="1" l="1"/>
  <c r="L26" i="1" s="1"/>
  <c r="B1" i="2" l="1"/>
  <c r="K4" i="2" s="1"/>
  <c r="K5" i="2"/>
  <c r="K6" i="2"/>
  <c r="C7" i="2"/>
  <c r="D7" i="2" l="1"/>
  <c r="F7" i="2"/>
  <c r="E7" i="2"/>
  <c r="H7" i="2"/>
  <c r="G7" i="2"/>
  <c r="C8" i="1" l="1"/>
  <c r="O16" i="1"/>
  <c r="C16" i="1"/>
  <c r="C9" i="1" l="1"/>
  <c r="O14" i="1"/>
  <c r="E8" i="1"/>
  <c r="F8" i="1"/>
  <c r="G8" i="1"/>
  <c r="L8" i="1" l="1"/>
  <c r="O6" i="1"/>
  <c r="O13" i="1" l="1"/>
  <c r="O15" i="1" l="1"/>
  <c r="F14" i="1" l="1"/>
  <c r="F16" i="1" s="1"/>
  <c r="G14" i="1"/>
  <c r="G16" i="1" s="1"/>
  <c r="H14" i="1"/>
  <c r="H16" i="1" s="1"/>
  <c r="I14" i="1"/>
  <c r="I16" i="1" s="1"/>
  <c r="E14" i="1"/>
  <c r="E16" i="1" s="1"/>
  <c r="K14" i="1"/>
  <c r="K16" i="1" s="1"/>
  <c r="J14" i="1"/>
  <c r="J16" i="1" s="1"/>
  <c r="D14" i="1"/>
  <c r="D16" i="1" l="1"/>
  <c r="L16" i="1" s="1"/>
  <c r="C3" i="1" l="1"/>
  <c r="O7" i="1" l="1"/>
  <c r="O9" i="1"/>
  <c r="O3" i="1" l="1"/>
  <c r="P2" i="1"/>
  <c r="O8" i="1"/>
  <c r="E7" i="1" l="1"/>
  <c r="E9" i="1" s="1"/>
  <c r="H7" i="1"/>
  <c r="H9" i="1" s="1"/>
  <c r="G7" i="1"/>
  <c r="G9" i="1" s="1"/>
  <c r="I7" i="1"/>
  <c r="I9" i="1" s="1"/>
  <c r="F7" i="1"/>
  <c r="F9" i="1" s="1"/>
  <c r="D7" i="1"/>
  <c r="D9" i="1" s="1"/>
  <c r="J7" i="1"/>
  <c r="J9" i="1" s="1"/>
  <c r="K7" i="1"/>
  <c r="K9" i="1" s="1"/>
  <c r="L9" i="1" l="1"/>
</calcChain>
</file>

<file path=xl/sharedStrings.xml><?xml version="1.0" encoding="utf-8"?>
<sst xmlns="http://schemas.openxmlformats.org/spreadsheetml/2006/main" count="93" uniqueCount="68">
  <si>
    <t>Hourly Actual</t>
  </si>
  <si>
    <t>Hourly Goal</t>
  </si>
  <si>
    <t>Delta</t>
  </si>
  <si>
    <t>Cumulative Total</t>
  </si>
  <si>
    <t>Actual</t>
  </si>
  <si>
    <t>Planned Volume Total</t>
  </si>
  <si>
    <t xml:space="preserve">Remaining Delta Total </t>
  </si>
  <si>
    <t>Flow Total Induct</t>
  </si>
  <si>
    <t>Flow Total Stow</t>
  </si>
  <si>
    <t xml:space="preserve">Actual Vol Total </t>
  </si>
  <si>
    <t>Actual Vol Total</t>
  </si>
  <si>
    <t>Belt Run Time (BRT)</t>
  </si>
  <si>
    <t>Stow Run Time (SRT)</t>
  </si>
  <si>
    <t>Scheduled</t>
  </si>
  <si>
    <t>Inducted</t>
  </si>
  <si>
    <t>02:00-03:00</t>
  </si>
  <si>
    <t>03:00-04:00</t>
  </si>
  <si>
    <t>04:15-05:00</t>
  </si>
  <si>
    <t>05:00-06:00</t>
  </si>
  <si>
    <t>07:00-7:15</t>
  </si>
  <si>
    <t>06:30-07:00</t>
  </si>
  <si>
    <t>Delta To Plan</t>
  </si>
  <si>
    <t>Left to process</t>
  </si>
  <si>
    <t>Total BR</t>
  </si>
  <si>
    <t>Remain BR</t>
  </si>
  <si>
    <t>Remain V</t>
  </si>
  <si>
    <t>Goal</t>
  </si>
  <si>
    <t>Belt Run Remaining</t>
  </si>
  <si>
    <t xml:space="preserve">Remaining Belt Run </t>
  </si>
  <si>
    <t>Δ</t>
  </si>
  <si>
    <t>Stow</t>
  </si>
  <si>
    <t>Induct</t>
  </si>
  <si>
    <t>Start of Shift (P1)</t>
  </si>
  <si>
    <t>P2</t>
  </si>
  <si>
    <t>P3</t>
  </si>
  <si>
    <t>Pre Start of Shift</t>
  </si>
  <si>
    <t>At Station</t>
  </si>
  <si>
    <t>Total Recirc</t>
  </si>
  <si>
    <t>TPH</t>
  </si>
  <si>
    <t>Hours</t>
  </si>
  <si>
    <t>Sort Hours Goal</t>
  </si>
  <si>
    <t>pre-charge (01:00-0:200)</t>
  </si>
  <si>
    <t xml:space="preserve">Hourly Actual </t>
  </si>
  <si>
    <t>Sort Run Time</t>
  </si>
  <si>
    <t>Planned Hours</t>
  </si>
  <si>
    <t>Actual Hours</t>
  </si>
  <si>
    <t>Remaining Hours</t>
  </si>
  <si>
    <t>Sort Hourly Goals</t>
  </si>
  <si>
    <t>Recirc %</t>
  </si>
  <si>
    <t>total volume</t>
  </si>
  <si>
    <t>TPH Goal</t>
  </si>
  <si>
    <t>01:20-02:30</t>
  </si>
  <si>
    <t>02:30-03:30</t>
  </si>
  <si>
    <t>03:30-04:30</t>
  </si>
  <si>
    <t>04:30-05:30</t>
  </si>
  <si>
    <t>05:30-06:30</t>
  </si>
  <si>
    <t>06:30-7:30</t>
  </si>
  <si>
    <t>pre-charge (00:00-1:20)</t>
  </si>
  <si>
    <t>7:30-08:30</t>
  </si>
  <si>
    <t>08:30-08:40</t>
  </si>
  <si>
    <t>08:30-09:00</t>
  </si>
  <si>
    <t>SPT Planned HC</t>
  </si>
  <si>
    <t>Scheduled:</t>
  </si>
  <si>
    <t>MNR:</t>
  </si>
  <si>
    <t>Rolled:</t>
  </si>
  <si>
    <t>Sideline:</t>
  </si>
  <si>
    <t>RTS:</t>
  </si>
  <si>
    <t>08:30-08:50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</si>
</sst>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8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20" fontId="0" fillId="6" borderId="5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5" borderId="11" xfId="1" applyFill="1" applyBorder="1" applyAlignment="1">
      <alignment horizontal="center" vertical="center"/>
    </xf>
    <xf numFmtId="16" fontId="0" fillId="6" borderId="5" xfId="0" applyNumberForma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20" fontId="0" fillId="6" borderId="21" xfId="0" applyNumberForma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6" fontId="0" fillId="6" borderId="17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1" fontId="0" fillId="5" borderId="24" xfId="0" applyNumberFormat="1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1" fontId="0" fillId="7" borderId="24" xfId="0" applyNumberFormat="1" applyFill="1" applyBorder="1" applyAlignment="1">
      <alignment horizontal="center" vertical="center"/>
    </xf>
    <xf numFmtId="0" fontId="0" fillId="0" borderId="8" xfId="0" applyBorder="1"/>
    <xf numFmtId="0" fontId="0" fillId="6" borderId="25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2" fillId="5" borderId="0" xfId="1" applyFill="1" applyBorder="1" applyAlignment="1">
      <alignment horizontal="center" vertical="center"/>
    </xf>
    <xf numFmtId="1" fontId="3" fillId="5" borderId="0" xfId="2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4" fillId="5" borderId="0" xfId="3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1" fontId="8" fillId="8" borderId="24" xfId="0" applyNumberFormat="1" applyFont="1" applyFill="1" applyBorder="1" applyAlignment="1">
      <alignment horizontal="center" vertical="center"/>
    </xf>
    <xf numFmtId="2" fontId="4" fillId="5" borderId="6" xfId="3" applyNumberFormat="1" applyFont="1" applyFill="1" applyBorder="1" applyAlignment="1">
      <alignment horizontal="center" vertical="center"/>
    </xf>
    <xf numFmtId="2" fontId="4" fillId="5" borderId="12" xfId="3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 wrapText="1"/>
    </xf>
    <xf numFmtId="10" fontId="0" fillId="8" borderId="25" xfId="5" applyNumberFormat="1" applyFont="1" applyFill="1" applyBorder="1" applyAlignment="1">
      <alignment horizontal="center" vertical="center"/>
    </xf>
    <xf numFmtId="1" fontId="0" fillId="8" borderId="1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8" borderId="31" xfId="0" applyNumberForma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0" fillId="9" borderId="0" xfId="0" applyFont="1" applyFill="1"/>
    <xf numFmtId="165" fontId="3" fillId="8" borderId="14" xfId="4" applyNumberFormat="1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165" fontId="2" fillId="11" borderId="10" xfId="4" applyNumberFormat="1" applyFont="1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2" fontId="0" fillId="11" borderId="31" xfId="0" applyNumberFormat="1" applyFill="1" applyBorder="1" applyAlignment="1">
      <alignment horizontal="center" vertical="center"/>
    </xf>
    <xf numFmtId="2" fontId="0" fillId="11" borderId="6" xfId="0" applyNumberForma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3" fontId="0" fillId="11" borderId="11" xfId="0" applyNumberFormat="1" applyFill="1" applyBorder="1" applyAlignment="1">
      <alignment horizontal="center" vertical="center"/>
    </xf>
    <xf numFmtId="3" fontId="0" fillId="11" borderId="32" xfId="0" applyNumberFormat="1" applyFill="1" applyBorder="1" applyAlignment="1">
      <alignment horizontal="center" vertical="center"/>
    </xf>
    <xf numFmtId="3" fontId="0" fillId="0" borderId="0" xfId="0" applyNumberFormat="1"/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</cellXfs>
  <cellStyles count="6">
    <cellStyle name="Comma" xfId="4" builtinId="3"/>
    <cellStyle name="Input" xfId="1" builtinId="20"/>
    <cellStyle name="Normal" xfId="0" builtinId="0"/>
    <cellStyle name="Note" xfId="3" builtinId="10"/>
    <cellStyle name="Output" xfId="2" builtinId="21"/>
    <cellStyle name="Percent" xfId="5" builtinId="5"/>
  </cellStyles>
  <dxfs count="6"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Q29"/>
  <sheetViews>
    <sheetView showGridLines="0" tabSelected="1" zoomScaleNormal="100" workbookViewId="0">
      <selection activeCell="D4" sqref="D4"/>
    </sheetView>
  </sheetViews>
  <sheetFormatPr baseColWidth="10" defaultColWidth="12.5" defaultRowHeight="15" x14ac:dyDescent="0.2"/>
  <cols>
    <col min="1" max="1" width="7" customWidth="1"/>
    <col min="2" max="2" width="16.1640625" bestFit="1" customWidth="1"/>
    <col min="3" max="3" width="15.5" bestFit="1" customWidth="1"/>
    <col min="4" max="4" width="11.5" bestFit="1" customWidth="1"/>
    <col min="5" max="5" width="13.5" bestFit="1" customWidth="1"/>
    <col min="6" max="6" width="12.33203125" bestFit="1" customWidth="1"/>
    <col min="7" max="8" width="11.5" bestFit="1" customWidth="1"/>
    <col min="9" max="10" width="11.5" customWidth="1"/>
    <col min="11" max="11" width="11.5" bestFit="1" customWidth="1"/>
    <col min="12" max="12" width="12.6640625" customWidth="1"/>
    <col min="13" max="13" width="4.6640625" customWidth="1"/>
    <col min="14" max="14" width="21.1640625" bestFit="1" customWidth="1"/>
    <col min="15" max="15" width="7.83203125" bestFit="1" customWidth="1"/>
    <col min="16" max="16" width="8.5" customWidth="1"/>
  </cols>
  <sheetData>
    <row r="1" spans="2:17" ht="16" thickBot="1" x14ac:dyDescent="0.25">
      <c r="P1" s="31" t="s">
        <v>48</v>
      </c>
    </row>
    <row r="2" spans="2:17" x14ac:dyDescent="0.2">
      <c r="B2" s="45" t="s">
        <v>13</v>
      </c>
      <c r="C2" s="46" t="s">
        <v>14</v>
      </c>
      <c r="D2" s="47"/>
      <c r="F2" s="54" t="s">
        <v>49</v>
      </c>
      <c r="G2" s="70" t="s">
        <v>11</v>
      </c>
      <c r="H2" s="71"/>
      <c r="I2" s="71"/>
      <c r="J2" s="71"/>
      <c r="K2" s="72"/>
      <c r="L2" s="43">
        <v>5.85</v>
      </c>
      <c r="N2" s="25" t="s">
        <v>37</v>
      </c>
      <c r="O2" s="57"/>
      <c r="P2" s="50" t="e">
        <f>O2/O7</f>
        <v>#DIV/0!</v>
      </c>
    </row>
    <row r="3" spans="2:17" ht="16" thickBot="1" x14ac:dyDescent="0.25">
      <c r="B3" s="58"/>
      <c r="C3" s="10">
        <f>SUM(C8:K8)</f>
        <v>0</v>
      </c>
      <c r="D3" s="56">
        <v>50000</v>
      </c>
      <c r="G3" s="73" t="s">
        <v>12</v>
      </c>
      <c r="H3" s="74"/>
      <c r="I3" s="74"/>
      <c r="J3" s="74"/>
      <c r="K3" s="75"/>
      <c r="L3" s="44">
        <v>6.35</v>
      </c>
      <c r="N3" s="6" t="s">
        <v>36</v>
      </c>
      <c r="O3" s="40">
        <f>O7-O14-O2</f>
        <v>0</v>
      </c>
    </row>
    <row r="4" spans="2:17" ht="16" thickBot="1" x14ac:dyDescent="0.25">
      <c r="B4" s="36"/>
      <c r="C4" s="36"/>
      <c r="D4" s="37"/>
      <c r="E4" s="55" t="s">
        <v>50</v>
      </c>
      <c r="G4" s="38"/>
      <c r="H4" s="38"/>
      <c r="I4" s="38"/>
      <c r="J4" s="38"/>
      <c r="K4" s="38"/>
      <c r="L4" s="39"/>
    </row>
    <row r="5" spans="2:17" ht="32" x14ac:dyDescent="0.2">
      <c r="B5" s="48" t="s">
        <v>31</v>
      </c>
      <c r="C5" s="7" t="s">
        <v>57</v>
      </c>
      <c r="D5" s="21" t="s">
        <v>51</v>
      </c>
      <c r="E5" s="8" t="s">
        <v>52</v>
      </c>
      <c r="F5" s="8" t="s">
        <v>53</v>
      </c>
      <c r="G5" s="8" t="s">
        <v>54</v>
      </c>
      <c r="H5" s="8" t="s">
        <v>55</v>
      </c>
      <c r="I5" s="8" t="s">
        <v>56</v>
      </c>
      <c r="J5" s="8" t="s">
        <v>58</v>
      </c>
      <c r="K5" s="8" t="s">
        <v>59</v>
      </c>
      <c r="L5" s="26" t="s">
        <v>29</v>
      </c>
      <c r="N5" s="76" t="s">
        <v>7</v>
      </c>
      <c r="O5" s="77"/>
      <c r="Q5" t="s">
        <v>62</v>
      </c>
    </row>
    <row r="6" spans="2:17" x14ac:dyDescent="0.2">
      <c r="B6" s="5"/>
      <c r="C6" s="23"/>
      <c r="D6" s="59">
        <v>1</v>
      </c>
      <c r="E6" s="60">
        <v>0.7</v>
      </c>
      <c r="F6" s="60">
        <v>1</v>
      </c>
      <c r="G6" s="60">
        <v>1</v>
      </c>
      <c r="H6" s="60">
        <v>0.43</v>
      </c>
      <c r="I6" s="60">
        <v>1</v>
      </c>
      <c r="J6" s="60">
        <v>0.75</v>
      </c>
      <c r="K6" s="60">
        <v>0</v>
      </c>
      <c r="L6" s="29"/>
      <c r="N6" s="5" t="s">
        <v>5</v>
      </c>
      <c r="O6" s="19">
        <f>D3</f>
        <v>50000</v>
      </c>
      <c r="Q6" t="s">
        <v>66</v>
      </c>
    </row>
    <row r="7" spans="2:17" ht="16" thickBot="1" x14ac:dyDescent="0.25">
      <c r="B7" s="5" t="s">
        <v>26</v>
      </c>
      <c r="C7" s="4"/>
      <c r="D7" s="22">
        <f t="shared" ref="D7:I7" si="0">IF(D8="", D6/$O$9*$O$8, (($D$3-$C$8)/$L$2)*D6)</f>
        <v>8503.4013605442178</v>
      </c>
      <c r="E7" s="13">
        <f t="shared" si="0"/>
        <v>5952.3809523809523</v>
      </c>
      <c r="F7" s="13">
        <f t="shared" si="0"/>
        <v>8503.4013605442178</v>
      </c>
      <c r="G7" s="13">
        <f t="shared" si="0"/>
        <v>8503.4013605442178</v>
      </c>
      <c r="H7" s="13">
        <f t="shared" si="0"/>
        <v>3656.4625850340135</v>
      </c>
      <c r="I7" s="13">
        <f t="shared" si="0"/>
        <v>8503.4013605442178</v>
      </c>
      <c r="J7" s="13">
        <f t="shared" ref="J7:K7" si="1">IF(J8="", J6/$O$9*$O$8, (($D$3-$C$8)/$L$2)*J6)</f>
        <v>6377.5510204081638</v>
      </c>
      <c r="K7" s="13">
        <f t="shared" si="1"/>
        <v>0</v>
      </c>
      <c r="L7" s="29"/>
      <c r="N7" s="35" t="s">
        <v>9</v>
      </c>
      <c r="O7" s="28">
        <f>SUM(C8:K8)-O2</f>
        <v>0</v>
      </c>
      <c r="Q7" t="s">
        <v>65</v>
      </c>
    </row>
    <row r="8" spans="2:17" ht="17" thickTop="1" x14ac:dyDescent="0.2">
      <c r="B8" s="5" t="s">
        <v>0</v>
      </c>
      <c r="C8" s="12">
        <f>C10</f>
        <v>0</v>
      </c>
      <c r="D8" s="3" t="str">
        <f>IF(D10="","",D10-C10)</f>
        <v/>
      </c>
      <c r="E8" s="3" t="str">
        <f t="shared" ref="E8:G8" si="2">IF(E10="","",E10-D10)</f>
        <v/>
      </c>
      <c r="F8" s="3" t="str">
        <f t="shared" si="2"/>
        <v/>
      </c>
      <c r="G8" s="3" t="str">
        <f t="shared" si="2"/>
        <v/>
      </c>
      <c r="H8" s="3" t="str">
        <f t="shared" ref="H8" si="3">IF(H10="","",H10-G10)</f>
        <v/>
      </c>
      <c r="I8" s="3" t="str">
        <f t="shared" ref="I8" si="4">IF(I10="","",I10-H10)</f>
        <v/>
      </c>
      <c r="J8" s="3" t="str">
        <f t="shared" ref="J8" si="5">IF(J10="","",J10-I10)</f>
        <v/>
      </c>
      <c r="K8" s="3" t="str">
        <f t="shared" ref="K8" si="6">IF(K10="","",K10-J10)</f>
        <v/>
      </c>
      <c r="L8" s="24">
        <f>SUM(C8:K8)-O2</f>
        <v>0</v>
      </c>
      <c r="N8" s="32" t="s">
        <v>6</v>
      </c>
      <c r="O8" s="42">
        <f>(O6-O7)</f>
        <v>50000</v>
      </c>
      <c r="Q8" t="s">
        <v>63</v>
      </c>
    </row>
    <row r="9" spans="2:17" ht="16" thickBot="1" x14ac:dyDescent="0.25">
      <c r="B9" s="5" t="s">
        <v>21</v>
      </c>
      <c r="C9" s="17">
        <f>C8</f>
        <v>0</v>
      </c>
      <c r="D9" s="13" t="str">
        <f>IF(D10="","",D8-D7)</f>
        <v/>
      </c>
      <c r="E9" s="13" t="str">
        <f t="shared" ref="E9:K9" si="7">IF(E10="","",E8-E7)</f>
        <v/>
      </c>
      <c r="F9" s="13" t="str">
        <f t="shared" si="7"/>
        <v/>
      </c>
      <c r="G9" s="13" t="str">
        <f t="shared" si="7"/>
        <v/>
      </c>
      <c r="H9" s="13" t="str">
        <f t="shared" si="7"/>
        <v/>
      </c>
      <c r="I9" s="13" t="str">
        <f t="shared" si="7"/>
        <v/>
      </c>
      <c r="J9" s="13" t="str">
        <f t="shared" si="7"/>
        <v/>
      </c>
      <c r="K9" s="13" t="str">
        <f t="shared" si="7"/>
        <v/>
      </c>
      <c r="L9" s="14">
        <f>SUM(C9:K9)-O2</f>
        <v>0</v>
      </c>
      <c r="N9" s="6" t="s">
        <v>27</v>
      </c>
      <c r="O9" s="33">
        <f>SUMIFS(D6:K6,D8:K8,"")</f>
        <v>5.88</v>
      </c>
      <c r="Q9" t="s">
        <v>64</v>
      </c>
    </row>
    <row r="10" spans="2:17" ht="16" thickBot="1" x14ac:dyDescent="0.25">
      <c r="B10" s="6" t="s">
        <v>3</v>
      </c>
      <c r="C10" s="61">
        <v>0</v>
      </c>
      <c r="D10" s="67"/>
      <c r="E10" s="67"/>
      <c r="F10" s="67"/>
      <c r="G10" s="67"/>
      <c r="H10" s="67"/>
      <c r="I10" s="68"/>
      <c r="J10" s="62"/>
      <c r="K10" s="63"/>
      <c r="L10" s="18"/>
    </row>
    <row r="11" spans="2:17" ht="16" thickBot="1" x14ac:dyDescent="0.25">
      <c r="E11" s="69"/>
      <c r="G11" s="69"/>
      <c r="I11" s="69"/>
      <c r="N11" s="1"/>
      <c r="O11" s="1"/>
    </row>
    <row r="12" spans="2:17" ht="32" x14ac:dyDescent="0.2">
      <c r="B12" s="48" t="s">
        <v>30</v>
      </c>
      <c r="C12" s="7" t="s">
        <v>57</v>
      </c>
      <c r="D12" s="21" t="s">
        <v>51</v>
      </c>
      <c r="E12" s="8" t="s">
        <v>52</v>
      </c>
      <c r="F12" s="8" t="s">
        <v>53</v>
      </c>
      <c r="G12" s="8" t="s">
        <v>54</v>
      </c>
      <c r="H12" s="8" t="s">
        <v>55</v>
      </c>
      <c r="I12" s="8" t="s">
        <v>56</v>
      </c>
      <c r="J12" s="8" t="s">
        <v>58</v>
      </c>
      <c r="K12" s="8" t="s">
        <v>67</v>
      </c>
      <c r="L12" s="26" t="s">
        <v>29</v>
      </c>
      <c r="N12" s="76" t="s">
        <v>8</v>
      </c>
      <c r="O12" s="77"/>
    </row>
    <row r="13" spans="2:17" x14ac:dyDescent="0.2">
      <c r="B13" s="5"/>
      <c r="C13" s="23"/>
      <c r="D13" s="60">
        <v>0.75</v>
      </c>
      <c r="E13" s="60">
        <v>0.7</v>
      </c>
      <c r="F13" s="60">
        <v>1</v>
      </c>
      <c r="G13" s="60">
        <v>1</v>
      </c>
      <c r="H13" s="60">
        <v>0.43</v>
      </c>
      <c r="I13" s="60">
        <v>1</v>
      </c>
      <c r="J13" s="60">
        <v>1</v>
      </c>
      <c r="K13" s="60">
        <v>0.25</v>
      </c>
      <c r="L13" s="29"/>
      <c r="N13" s="5" t="s">
        <v>5</v>
      </c>
      <c r="O13" s="20">
        <f>O6</f>
        <v>50000</v>
      </c>
    </row>
    <row r="14" spans="2:17" ht="16" thickBot="1" x14ac:dyDescent="0.25">
      <c r="B14" s="5" t="s">
        <v>1</v>
      </c>
      <c r="C14" s="16"/>
      <c r="D14" s="13">
        <f>IF(D15="",(D13/$O$16)*$O$15, ($D$3-$C$15)/$L$3*D13)</f>
        <v>6117.4551386623161</v>
      </c>
      <c r="E14" s="13">
        <f t="shared" ref="E14:K14" si="8">IF(E15="",(E13/$O$16)*$O$15, ($D$3-$C$15)/$L$3*E13)</f>
        <v>5709.6247960848277</v>
      </c>
      <c r="F14" s="13">
        <f t="shared" si="8"/>
        <v>8156.6068515497536</v>
      </c>
      <c r="G14" s="13">
        <f t="shared" si="8"/>
        <v>8156.6068515497536</v>
      </c>
      <c r="H14" s="13">
        <f t="shared" si="8"/>
        <v>3507.3409461663941</v>
      </c>
      <c r="I14" s="13">
        <f t="shared" si="8"/>
        <v>8156.6068515497536</v>
      </c>
      <c r="J14" s="13">
        <f t="shared" si="8"/>
        <v>8156.6068515497536</v>
      </c>
      <c r="K14" s="13">
        <f t="shared" si="8"/>
        <v>2039.1517128874384</v>
      </c>
      <c r="L14" s="30"/>
      <c r="N14" s="35" t="s">
        <v>10</v>
      </c>
      <c r="O14" s="28">
        <f>SUM(C15:K15)</f>
        <v>0</v>
      </c>
    </row>
    <row r="15" spans="2:17" ht="17" thickTop="1" x14ac:dyDescent="0.2">
      <c r="B15" s="5" t="s">
        <v>0</v>
      </c>
      <c r="C15" s="9">
        <f>C17</f>
        <v>0</v>
      </c>
      <c r="D15" s="3" t="str">
        <f>IF(D17="","",D17-C17)</f>
        <v/>
      </c>
      <c r="E15" s="3" t="str">
        <f t="shared" ref="E15:K15" si="9">IF(E17="","",E17-D17)</f>
        <v/>
      </c>
      <c r="F15" s="3" t="str">
        <f t="shared" si="9"/>
        <v/>
      </c>
      <c r="G15" s="3" t="str">
        <f t="shared" si="9"/>
        <v/>
      </c>
      <c r="H15" s="3" t="str">
        <f t="shared" si="9"/>
        <v/>
      </c>
      <c r="I15" s="3" t="str">
        <f t="shared" si="9"/>
        <v/>
      </c>
      <c r="J15" s="3" t="str">
        <f t="shared" si="9"/>
        <v/>
      </c>
      <c r="K15" s="3" t="str">
        <f t="shared" si="9"/>
        <v/>
      </c>
      <c r="L15" s="27">
        <f>SUM(C15:K15)</f>
        <v>0</v>
      </c>
      <c r="N15" s="32" t="s">
        <v>6</v>
      </c>
      <c r="O15" s="41">
        <f>O13-O14</f>
        <v>50000</v>
      </c>
    </row>
    <row r="16" spans="2:17" ht="16" thickBot="1" x14ac:dyDescent="0.25">
      <c r="B16" s="5" t="s">
        <v>2</v>
      </c>
      <c r="C16" s="16">
        <f>C15</f>
        <v>0</v>
      </c>
      <c r="D16" s="13" t="str">
        <f>IF(D17="","",D15-D14)</f>
        <v/>
      </c>
      <c r="E16" s="13" t="str">
        <f t="shared" ref="E16:K16" si="10">IF(E17="","",E15-E14)</f>
        <v/>
      </c>
      <c r="F16" s="13" t="str">
        <f t="shared" si="10"/>
        <v/>
      </c>
      <c r="G16" s="13" t="str">
        <f t="shared" si="10"/>
        <v/>
      </c>
      <c r="H16" s="13" t="str">
        <f t="shared" si="10"/>
        <v/>
      </c>
      <c r="I16" s="13" t="str">
        <f t="shared" si="10"/>
        <v/>
      </c>
      <c r="J16" s="13" t="str">
        <f t="shared" si="10"/>
        <v/>
      </c>
      <c r="K16" s="13" t="str">
        <f t="shared" si="10"/>
        <v/>
      </c>
      <c r="L16" s="14">
        <f>SUM(C16:K16)</f>
        <v>0</v>
      </c>
      <c r="N16" s="6" t="s">
        <v>28</v>
      </c>
      <c r="O16" s="33">
        <f>SUMIFS(D13:K13,D15:K15,"")</f>
        <v>6.1300000000000008</v>
      </c>
    </row>
    <row r="17" spans="2:16" ht="16" thickBot="1" x14ac:dyDescent="0.25">
      <c r="B17" s="6" t="s">
        <v>3</v>
      </c>
      <c r="C17" s="61">
        <v>0</v>
      </c>
      <c r="D17" s="67"/>
      <c r="E17" s="67"/>
      <c r="F17" s="67"/>
      <c r="G17" s="67"/>
      <c r="H17" s="67"/>
      <c r="I17" s="68"/>
      <c r="J17" s="62"/>
      <c r="K17" s="63"/>
      <c r="L17" s="18"/>
    </row>
    <row r="18" spans="2:16" ht="16" thickBot="1" x14ac:dyDescent="0.25">
      <c r="G18" s="69"/>
    </row>
    <row r="19" spans="2:16" ht="16" thickBot="1" x14ac:dyDescent="0.25">
      <c r="B19" s="25" t="s">
        <v>40</v>
      </c>
      <c r="C19" s="65">
        <v>-11.5</v>
      </c>
      <c r="E19" s="34" t="s">
        <v>43</v>
      </c>
      <c r="F19" s="64">
        <v>7.16</v>
      </c>
      <c r="P19">
        <v>60</v>
      </c>
    </row>
    <row r="20" spans="2:16" ht="16" thickBot="1" x14ac:dyDescent="0.25">
      <c r="B20" s="6" t="s">
        <v>61</v>
      </c>
      <c r="C20" s="51">
        <v>71</v>
      </c>
      <c r="E20" s="34" t="s">
        <v>38</v>
      </c>
      <c r="F20" s="53">
        <v>90.9</v>
      </c>
      <c r="K20" s="1"/>
      <c r="L20" s="52"/>
    </row>
    <row r="21" spans="2:16" ht="16" thickBot="1" x14ac:dyDescent="0.25"/>
    <row r="22" spans="2:16" ht="32" x14ac:dyDescent="0.2">
      <c r="B22" s="48" t="s">
        <v>39</v>
      </c>
      <c r="C22" s="7" t="s">
        <v>41</v>
      </c>
      <c r="D22" s="21" t="s">
        <v>51</v>
      </c>
      <c r="E22" s="8" t="s">
        <v>52</v>
      </c>
      <c r="F22" s="8" t="s">
        <v>53</v>
      </c>
      <c r="G22" s="8" t="s">
        <v>54</v>
      </c>
      <c r="H22" s="8" t="s">
        <v>55</v>
      </c>
      <c r="I22" s="8" t="s">
        <v>56</v>
      </c>
      <c r="J22" s="8" t="s">
        <v>58</v>
      </c>
      <c r="K22" s="8" t="s">
        <v>60</v>
      </c>
      <c r="L22" s="26" t="s">
        <v>29</v>
      </c>
      <c r="N22" s="78" t="s">
        <v>47</v>
      </c>
      <c r="O22" s="79"/>
    </row>
    <row r="23" spans="2:16" x14ac:dyDescent="0.2">
      <c r="B23" s="5"/>
      <c r="C23" s="66">
        <v>0</v>
      </c>
      <c r="D23" s="60">
        <v>1.1599999999999999</v>
      </c>
      <c r="E23" s="60">
        <v>1</v>
      </c>
      <c r="F23" s="60">
        <v>1</v>
      </c>
      <c r="G23" s="60">
        <v>1</v>
      </c>
      <c r="H23" s="60">
        <v>0.4</v>
      </c>
      <c r="I23" s="60">
        <v>1</v>
      </c>
      <c r="J23" s="60">
        <v>1</v>
      </c>
      <c r="K23" s="60">
        <v>0.5</v>
      </c>
      <c r="L23" s="29"/>
      <c r="N23" s="5" t="s">
        <v>44</v>
      </c>
      <c r="O23" s="20">
        <f>C19</f>
        <v>-11.5</v>
      </c>
    </row>
    <row r="24" spans="2:16" ht="16" thickBot="1" x14ac:dyDescent="0.25">
      <c r="B24" s="5" t="s">
        <v>1</v>
      </c>
      <c r="C24" s="49"/>
      <c r="D24" s="13">
        <f>$C$20*D23</f>
        <v>82.36</v>
      </c>
      <c r="E24" s="13">
        <f t="shared" ref="E24:K24" si="11">$C$20*E23</f>
        <v>71</v>
      </c>
      <c r="F24" s="13">
        <f t="shared" si="11"/>
        <v>71</v>
      </c>
      <c r="G24" s="13">
        <f t="shared" si="11"/>
        <v>71</v>
      </c>
      <c r="H24" s="13">
        <f t="shared" si="11"/>
        <v>28.400000000000002</v>
      </c>
      <c r="I24" s="13">
        <f t="shared" si="11"/>
        <v>71</v>
      </c>
      <c r="J24" s="13">
        <f t="shared" si="11"/>
        <v>71</v>
      </c>
      <c r="K24" s="13">
        <f t="shared" si="11"/>
        <v>35.5</v>
      </c>
      <c r="L24" s="30"/>
      <c r="N24" s="35" t="s">
        <v>45</v>
      </c>
      <c r="O24" s="28">
        <f>SUM(C25:K25)</f>
        <v>0</v>
      </c>
    </row>
    <row r="25" spans="2:16" ht="17" thickTop="1" x14ac:dyDescent="0.2">
      <c r="B25" s="5" t="s">
        <v>42</v>
      </c>
      <c r="C25" s="9">
        <f>C27</f>
        <v>0</v>
      </c>
      <c r="D25" s="3" t="str">
        <f>IF(D27="","",D27-C27)</f>
        <v/>
      </c>
      <c r="E25" s="3" t="str">
        <f t="shared" ref="E25:G25" si="12">IF(E27="","",E27-D27)</f>
        <v/>
      </c>
      <c r="F25" s="3" t="str">
        <f t="shared" si="12"/>
        <v/>
      </c>
      <c r="G25" s="3" t="str">
        <f t="shared" si="12"/>
        <v/>
      </c>
      <c r="H25" s="3" t="str">
        <f t="shared" ref="H25" si="13">IF(H27="","",H27-G27)</f>
        <v/>
      </c>
      <c r="I25" s="3" t="str">
        <f t="shared" ref="I25" si="14">IF(I27="","",I27-H27)</f>
        <v/>
      </c>
      <c r="J25" s="3" t="str">
        <f t="shared" ref="J25" si="15">IF(J27="","",J27-I27)</f>
        <v/>
      </c>
      <c r="K25" s="3" t="str">
        <f t="shared" ref="K25" si="16">IF(K27="","",K27-J27)</f>
        <v/>
      </c>
      <c r="L25" s="27">
        <f>SUM(C25:H25)</f>
        <v>0</v>
      </c>
      <c r="N25" s="32" t="s">
        <v>46</v>
      </c>
      <c r="O25" s="41">
        <f>O23-O24</f>
        <v>-11.5</v>
      </c>
    </row>
    <row r="26" spans="2:16" ht="16" thickBot="1" x14ac:dyDescent="0.25">
      <c r="B26" s="5" t="s">
        <v>2</v>
      </c>
      <c r="C26" s="49"/>
      <c r="D26" s="13" t="str">
        <f>IF(D27="","",D25-D24)</f>
        <v/>
      </c>
      <c r="E26" s="13" t="str">
        <f t="shared" ref="E26:K26" si="17">IF(E27="","",E25-E24)</f>
        <v/>
      </c>
      <c r="F26" s="13" t="str">
        <f t="shared" si="17"/>
        <v/>
      </c>
      <c r="G26" s="13" t="str">
        <f t="shared" si="17"/>
        <v/>
      </c>
      <c r="H26" s="13" t="str">
        <f t="shared" si="17"/>
        <v/>
      </c>
      <c r="I26" s="13" t="str">
        <f t="shared" si="17"/>
        <v/>
      </c>
      <c r="J26" s="13" t="str">
        <f t="shared" si="17"/>
        <v/>
      </c>
      <c r="K26" s="13" t="str">
        <f t="shared" si="17"/>
        <v/>
      </c>
      <c r="L26" s="14">
        <f>SUM(D26:K26)</f>
        <v>0</v>
      </c>
      <c r="N26" s="6" t="s">
        <v>28</v>
      </c>
      <c r="O26" s="33">
        <f>SUMIFS(C23:K23,C25:K25,"")</f>
        <v>7.0600000000000005</v>
      </c>
      <c r="P26" s="2"/>
    </row>
    <row r="27" spans="2:16" ht="16" thickBot="1" x14ac:dyDescent="0.25">
      <c r="B27" s="6" t="s">
        <v>3</v>
      </c>
      <c r="C27" s="61"/>
      <c r="D27" s="61"/>
      <c r="E27" s="61"/>
      <c r="F27" s="61"/>
      <c r="G27" s="61"/>
      <c r="H27" s="61"/>
      <c r="I27" s="62"/>
      <c r="J27" s="62"/>
      <c r="K27" s="63"/>
      <c r="L27" s="18"/>
      <c r="P27" s="2"/>
    </row>
    <row r="28" spans="2:16" x14ac:dyDescent="0.2">
      <c r="P28" s="2"/>
    </row>
    <row r="29" spans="2:16" x14ac:dyDescent="0.2">
      <c r="P29" s="2"/>
    </row>
  </sheetData>
  <mergeCells count="5">
    <mergeCell ref="G2:K2"/>
    <mergeCell ref="G3:K3"/>
    <mergeCell ref="N12:O12"/>
    <mergeCell ref="N5:O5"/>
    <mergeCell ref="N22:O22"/>
  </mergeCells>
  <conditionalFormatting sqref="D9:L9"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16:L16">
    <cfRule type="cellIs" dxfId="3" priority="11" operator="greaterThan">
      <formula>0</formula>
    </cfRule>
    <cfRule type="cellIs" dxfId="2" priority="12" operator="lessThan">
      <formula>0</formula>
    </cfRule>
  </conditionalFormatting>
  <conditionalFormatting sqref="D26:L26"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" id="{646B7BD4-00F8-4730-B159-E8613009FD9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D9:K9</xm:sqref>
        </x14:conditionalFormatting>
        <x14:conditionalFormatting xmlns:xm="http://schemas.microsoft.com/office/excel/2006/main">
          <x14:cfRule type="iconSet" priority="19" id="{BA66C1A2-5FFB-4B61-B1E0-8369AEEBA21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D16:K16</xm:sqref>
        </x14:conditionalFormatting>
        <x14:conditionalFormatting xmlns:xm="http://schemas.microsoft.com/office/excel/2006/main">
          <x14:cfRule type="iconSet" priority="4" id="{270A99B9-E6EF-4358-8A9F-BCAA358EADE0}">
            <x14:iconSet iconSet="3Triangles" reverse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D26:K26</xm:sqref>
        </x14:conditionalFormatting>
        <x14:conditionalFormatting xmlns:xm="http://schemas.microsoft.com/office/excel/2006/main">
          <x14:cfRule type="iconSet" priority="7" id="{B2975443-D204-49CF-AFA1-66A186A2C4E8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L9</xm:sqref>
        </x14:conditionalFormatting>
        <x14:conditionalFormatting xmlns:xm="http://schemas.microsoft.com/office/excel/2006/main">
          <x14:cfRule type="iconSet" priority="10" id="{E1B22A12-C716-4698-AE17-BCCE1B300109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L16</xm:sqref>
        </x14:conditionalFormatting>
        <x14:conditionalFormatting xmlns:xm="http://schemas.microsoft.com/office/excel/2006/main">
          <x14:cfRule type="iconSet" priority="1" id="{697613FE-00AC-4DB6-9E4A-0AB44F600BE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L26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A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" bestFit="1" customWidth="1"/>
  </cols>
  <sheetData>
    <row r="1" spans="1:1" x14ac:dyDescent="0.2">
      <c r="A1" t="s">
        <v>35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K7"/>
  <sheetViews>
    <sheetView workbookViewId="0">
      <selection activeCell="E11" sqref="E11"/>
    </sheetView>
  </sheetViews>
  <sheetFormatPr baseColWidth="10" defaultColWidth="8.83203125" defaultRowHeight="15" x14ac:dyDescent="0.2"/>
  <cols>
    <col min="10" max="10" width="9.6640625" bestFit="1" customWidth="1"/>
  </cols>
  <sheetData>
    <row r="1" spans="1:11" x14ac:dyDescent="0.2">
      <c r="A1">
        <v>26000</v>
      </c>
      <c r="B1">
        <f>A1*1.1</f>
        <v>28600.000000000004</v>
      </c>
    </row>
    <row r="3" spans="1:11" ht="16" thickBot="1" x14ac:dyDescent="0.25"/>
    <row r="4" spans="1:11" x14ac:dyDescent="0.2">
      <c r="C4" s="11" t="s">
        <v>15</v>
      </c>
      <c r="D4" s="8" t="s">
        <v>16</v>
      </c>
      <c r="E4" s="8" t="s">
        <v>17</v>
      </c>
      <c r="F4" s="8" t="s">
        <v>18</v>
      </c>
      <c r="G4" s="8" t="s">
        <v>20</v>
      </c>
      <c r="H4" s="8" t="s">
        <v>19</v>
      </c>
      <c r="J4" s="15" t="s">
        <v>25</v>
      </c>
      <c r="K4">
        <f>B1-SUM(C6:H6)</f>
        <v>27600.000000000004</v>
      </c>
    </row>
    <row r="5" spans="1:11" x14ac:dyDescent="0.2">
      <c r="C5">
        <v>0.9</v>
      </c>
      <c r="D5">
        <v>1</v>
      </c>
      <c r="E5">
        <v>0.75</v>
      </c>
      <c r="F5">
        <v>1</v>
      </c>
      <c r="G5">
        <v>0.4</v>
      </c>
      <c r="H5">
        <v>0.25</v>
      </c>
      <c r="J5" t="s">
        <v>23</v>
      </c>
      <c r="K5">
        <f>SUM(C5:H5)</f>
        <v>4.3</v>
      </c>
    </row>
    <row r="6" spans="1:11" x14ac:dyDescent="0.2">
      <c r="A6" t="s">
        <v>4</v>
      </c>
      <c r="C6">
        <v>1000</v>
      </c>
      <c r="J6" t="s">
        <v>24</v>
      </c>
      <c r="K6">
        <f>SUMIFS(C5:H5, C6:H6, "")</f>
        <v>3.4</v>
      </c>
    </row>
    <row r="7" spans="1:11" x14ac:dyDescent="0.2">
      <c r="A7" t="s">
        <v>22</v>
      </c>
      <c r="C7" t="str">
        <f t="shared" ref="C7:H7" si="0">IF(C6="", C5/$K$6*$K$4, "")</f>
        <v/>
      </c>
      <c r="D7">
        <f t="shared" si="0"/>
        <v>8117.6470588235306</v>
      </c>
      <c r="E7">
        <f t="shared" si="0"/>
        <v>6088.2352941176478</v>
      </c>
      <c r="F7">
        <f t="shared" si="0"/>
        <v>8117.6470588235306</v>
      </c>
      <c r="G7">
        <f t="shared" si="0"/>
        <v>3247.0588235294126</v>
      </c>
      <c r="H7">
        <f t="shared" si="0"/>
        <v>2029.4117647058827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 Tracker</vt:lpstr>
      <vt:lpstr>List</vt:lpstr>
      <vt:lpstr>Sheet2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Bentley, Michael</dc:creator>
  <cp:lastModifiedBy>Jorge Montes</cp:lastModifiedBy>
  <dcterms:created xsi:type="dcterms:W3CDTF">2019-12-13T11:34:21Z</dcterms:created>
  <dcterms:modified xsi:type="dcterms:W3CDTF">2025-02-24T23:09:53Z</dcterms:modified>
</cp:coreProperties>
</file>