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40" windowWidth="21852" windowHeight="10788"/>
  </bookViews>
  <sheets>
    <sheet name="Concuctores" sheetId="1" r:id="rId1"/>
    <sheet name="Viajes" sheetId="2" r:id="rId2"/>
    <sheet name="Resumen_Semanal" sheetId="3" r:id="rId3"/>
    <sheet name="Pagos_Semanales" sheetId="4" r:id="rId4"/>
    <sheet name="Asistente_Virtual" sheetId="5" r:id="rId5"/>
    <sheet name="Capital_LLC" sheetId="6" r:id="rId6"/>
    <sheet name="Taxes_LLC" sheetId="7" r:id="rId7"/>
    <sheet name="Resumen_App" sheetId="8" r:id="rId8"/>
  </sheets>
  <calcPr calcId="144525"/>
</workbook>
</file>

<file path=xl/calcChain.xml><?xml version="1.0" encoding="utf-8"?>
<calcChain xmlns="http://schemas.openxmlformats.org/spreadsheetml/2006/main">
  <c r="R3" i="2" l="1"/>
  <c r="R4" i="2"/>
  <c r="R2" i="2"/>
  <c r="E5" i="8"/>
  <c r="Q4" i="2"/>
  <c r="Q3" i="2"/>
  <c r="Q2" i="2"/>
  <c r="P4" i="2"/>
  <c r="P2" i="2"/>
  <c r="B5" i="8"/>
  <c r="A5" i="8"/>
  <c r="E2" i="7" l="1"/>
  <c r="H15" i="6"/>
  <c r="G2" i="5"/>
  <c r="H2" i="5" s="1"/>
  <c r="D3" i="4"/>
  <c r="D2" i="4"/>
  <c r="F4" i="3"/>
  <c r="G3" i="3"/>
  <c r="G4" i="3"/>
  <c r="G2" i="3"/>
  <c r="G3" i="2"/>
  <c r="G4" i="2"/>
  <c r="G2" i="2"/>
  <c r="P3" i="2" l="1"/>
  <c r="O4" i="2"/>
  <c r="D4" i="3"/>
  <c r="D2" i="3"/>
  <c r="J4" i="2"/>
  <c r="C3" i="3"/>
  <c r="C4" i="3"/>
  <c r="C2" i="3"/>
  <c r="O3" i="2"/>
  <c r="C5" i="8" s="1"/>
  <c r="D5" i="8" s="1"/>
  <c r="J3" i="2"/>
  <c r="O2" i="2"/>
  <c r="J2" i="2"/>
  <c r="D3" i="3" s="1"/>
  <c r="F5" i="8" l="1"/>
  <c r="G5" i="8" s="1"/>
  <c r="E3" i="3"/>
  <c r="E2" i="3"/>
  <c r="E4" i="3"/>
  <c r="E3" i="4"/>
  <c r="E2" i="4"/>
  <c r="F3" i="3"/>
  <c r="F2" i="3"/>
</calcChain>
</file>

<file path=xl/sharedStrings.xml><?xml version="1.0" encoding="utf-8"?>
<sst xmlns="http://schemas.openxmlformats.org/spreadsheetml/2006/main" count="101" uniqueCount="86">
  <si>
    <t>Conductor</t>
  </si>
  <si>
    <t xml:space="preserve">Nombre </t>
  </si>
  <si>
    <t>Tipo</t>
  </si>
  <si>
    <t xml:space="preserve">Vehiculo </t>
  </si>
  <si>
    <t>Telefono</t>
  </si>
  <si>
    <t>Correo</t>
  </si>
  <si>
    <t>Activo</t>
  </si>
  <si>
    <t>ID_Viaje</t>
  </si>
  <si>
    <t xml:space="preserve">Fecha </t>
  </si>
  <si>
    <t xml:space="preserve">Semana </t>
  </si>
  <si>
    <t>Mes</t>
  </si>
  <si>
    <t>Conductor_ID</t>
  </si>
  <si>
    <t>Cliente</t>
  </si>
  <si>
    <t>Vehículo</t>
  </si>
  <si>
    <t>Ingreso_Bruto</t>
  </si>
  <si>
    <t>Descuento</t>
  </si>
  <si>
    <t>Ingreso_Neto</t>
  </si>
  <si>
    <t>Gasto_Combustible</t>
  </si>
  <si>
    <t>Gasto_Peajes</t>
  </si>
  <si>
    <t>Otros_Gastos</t>
  </si>
  <si>
    <t>Total_Gastos</t>
  </si>
  <si>
    <t>Tipo_Conductor</t>
  </si>
  <si>
    <t>Notas</t>
  </si>
  <si>
    <t>Jorge Luis Garcia Enrique</t>
  </si>
  <si>
    <t>OWNER</t>
  </si>
  <si>
    <t>Van1</t>
  </si>
  <si>
    <t>TRUE</t>
  </si>
  <si>
    <t>Elier Sanchez Paz</t>
  </si>
  <si>
    <t>Van2</t>
  </si>
  <si>
    <t>OCTUBRE</t>
  </si>
  <si>
    <t>Nombre</t>
  </si>
  <si>
    <t>ONTRACK</t>
  </si>
  <si>
    <t>2131 Transportation</t>
  </si>
  <si>
    <t>Semana</t>
  </si>
  <si>
    <t>ConductorID</t>
  </si>
  <si>
    <t>Total Viaje</t>
  </si>
  <si>
    <t>Ingreso Neto</t>
  </si>
  <si>
    <t>Total Gasto</t>
  </si>
  <si>
    <t>Pago Total</t>
  </si>
  <si>
    <t>Tipo Conductor</t>
  </si>
  <si>
    <t>Fecha Inicio</t>
  </si>
  <si>
    <t>Fecha Fin</t>
  </si>
  <si>
    <t>ID Pago</t>
  </si>
  <si>
    <t>Conductor ID</t>
  </si>
  <si>
    <t>Monto de Pago</t>
  </si>
  <si>
    <t>Metodo de Pago</t>
  </si>
  <si>
    <t>Fecha de Pago</t>
  </si>
  <si>
    <t>Confirmado</t>
  </si>
  <si>
    <t>hull</t>
  </si>
  <si>
    <t>TRANSFER</t>
  </si>
  <si>
    <t>ID Asistente</t>
  </si>
  <si>
    <t>Tipo de Pago</t>
  </si>
  <si>
    <t>Monto Base</t>
  </si>
  <si>
    <t>Porcentaje de Comision</t>
  </si>
  <si>
    <t>Total de Ingreso</t>
  </si>
  <si>
    <t>Pago Calculado</t>
  </si>
  <si>
    <t>Metodo Pago</t>
  </si>
  <si>
    <t>Pagado</t>
  </si>
  <si>
    <t>Beslaine Guerrero</t>
  </si>
  <si>
    <t>Combinado</t>
  </si>
  <si>
    <t>ID Movimiento</t>
  </si>
  <si>
    <t>Fecha</t>
  </si>
  <si>
    <t>Descripcion</t>
  </si>
  <si>
    <t>Monto</t>
  </si>
  <si>
    <t>Categoria</t>
  </si>
  <si>
    <t>Origen/Destino</t>
  </si>
  <si>
    <t>Balance Acum</t>
  </si>
  <si>
    <t>Relacionado ID</t>
  </si>
  <si>
    <t>ID Tax</t>
  </si>
  <si>
    <t>Tipo de Inpuesto</t>
  </si>
  <si>
    <t>Base Calculo</t>
  </si>
  <si>
    <t>Porcentaje</t>
  </si>
  <si>
    <t>MontoEstimado</t>
  </si>
  <si>
    <t>Total Ingresos</t>
  </si>
  <si>
    <t>Total descuentos</t>
  </si>
  <si>
    <t>Total Gastos</t>
  </si>
  <si>
    <t>Pago Driver Total</t>
  </si>
  <si>
    <t>Pago Owner Total</t>
  </si>
  <si>
    <t>Balance Final</t>
  </si>
  <si>
    <t>Ultima Actualizacion</t>
  </si>
  <si>
    <t>MES</t>
  </si>
  <si>
    <t>SEMANA</t>
  </si>
  <si>
    <t>CHOFER</t>
  </si>
  <si>
    <t>Gasto_Mtto</t>
  </si>
  <si>
    <t>Pago_Driver</t>
  </si>
  <si>
    <t>Pago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</si>
</sst>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Tahoma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0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/>
    <xf numFmtId="1" fontId="1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0</xdr:row>
          <xdr:rowOff>190500</xdr:rowOff>
        </xdr:from>
        <xdr:to>
          <xdr:col>7</xdr:col>
          <xdr:colOff>426720</xdr:colOff>
          <xdr:row>2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</xdr:row>
          <xdr:rowOff>190500</xdr:rowOff>
        </xdr:from>
        <xdr:to>
          <xdr:col>7</xdr:col>
          <xdr:colOff>426720</xdr:colOff>
          <xdr:row>3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0</xdr:row>
          <xdr:rowOff>190500</xdr:rowOff>
        </xdr:from>
        <xdr:to>
          <xdr:col>10</xdr:col>
          <xdr:colOff>426720</xdr:colOff>
          <xdr:row>2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workbookViewId="0">
      <selection activeCell="D17" sqref="D17"/>
    </sheetView>
  </sheetViews>
  <sheetFormatPr baseColWidth="10" defaultColWidth="12.6640625" defaultRowHeight="15.75" customHeight="1" x14ac:dyDescent="0.25"/>
  <cols>
    <col min="2" max="2" width="22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4" t="s">
        <v>23</v>
      </c>
      <c r="C2" s="5" t="s">
        <v>24</v>
      </c>
      <c r="D2" s="4" t="s">
        <v>25</v>
      </c>
      <c r="E2">
        <v>9804213678</v>
      </c>
      <c r="G2" s="2" t="s">
        <v>26</v>
      </c>
    </row>
    <row r="3" spans="1:7" x14ac:dyDescent="0.25">
      <c r="A3">
        <v>2</v>
      </c>
      <c r="B3" s="4" t="s">
        <v>27</v>
      </c>
      <c r="C3" s="5">
        <v>1099</v>
      </c>
      <c r="D3" s="4" t="s">
        <v>28</v>
      </c>
      <c r="E3">
        <v>9808093678</v>
      </c>
      <c r="G3" s="2" t="s">
        <v>26</v>
      </c>
    </row>
    <row r="4" spans="1:7" x14ac:dyDescent="0.25">
      <c r="C4" s="2"/>
      <c r="G4" s="2"/>
    </row>
    <row r="5" spans="1:7" x14ac:dyDescent="0.25">
      <c r="C5" s="2"/>
      <c r="G5" s="2"/>
    </row>
    <row r="6" spans="1:7" x14ac:dyDescent="0.25">
      <c r="C6" s="2"/>
      <c r="G6" s="2"/>
    </row>
    <row r="7" spans="1:7" x14ac:dyDescent="0.25">
      <c r="C7" s="2"/>
      <c r="G7" s="2"/>
    </row>
    <row r="8" spans="1:7" x14ac:dyDescent="0.25">
      <c r="C8" s="2"/>
      <c r="G8" s="2"/>
    </row>
    <row r="9" spans="1:7" x14ac:dyDescent="0.25">
      <c r="C9" s="2"/>
      <c r="G9" s="2"/>
    </row>
    <row r="10" spans="1:7" x14ac:dyDescent="0.25">
      <c r="C10" s="2"/>
      <c r="G10" s="2"/>
    </row>
    <row r="11" spans="1:7" x14ac:dyDescent="0.25">
      <c r="C11" s="2"/>
      <c r="G11" s="2"/>
    </row>
    <row r="12" spans="1:7" x14ac:dyDescent="0.25">
      <c r="C12" s="2"/>
      <c r="G12" s="2"/>
    </row>
    <row r="13" spans="1:7" x14ac:dyDescent="0.25">
      <c r="C13" s="2"/>
      <c r="G13" s="2"/>
    </row>
    <row r="14" spans="1:7" x14ac:dyDescent="0.25">
      <c r="C14" s="2"/>
      <c r="G14" s="2"/>
    </row>
    <row r="15" spans="1:7" x14ac:dyDescent="0.25">
      <c r="C15" s="2"/>
      <c r="G15" s="2"/>
    </row>
    <row r="16" spans="1:7" x14ac:dyDescent="0.25">
      <c r="C16" s="2"/>
      <c r="G16" s="2"/>
    </row>
    <row r="17" spans="3:7" x14ac:dyDescent="0.25">
      <c r="C17" s="2"/>
      <c r="G17" s="2"/>
    </row>
    <row r="18" spans="3:7" x14ac:dyDescent="0.25">
      <c r="C18" s="2"/>
      <c r="G18" s="2"/>
    </row>
    <row r="19" spans="3:7" x14ac:dyDescent="0.25">
      <c r="C19" s="2"/>
      <c r="G19" s="2"/>
    </row>
    <row r="20" spans="3:7" x14ac:dyDescent="0.25">
      <c r="C20" s="2"/>
      <c r="G20" s="2"/>
    </row>
  </sheetData>
  <dataValidations count="2">
    <dataValidation type="list" allowBlank="1" showErrorMessage="1" sqref="G2:G20">
      <formula1>"TRUE,FALSE"</formula1>
    </dataValidation>
    <dataValidation type="list" allowBlank="1" showErrorMessage="1" sqref="C2:C20">
      <formula1>"1099,OWNER"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"/>
  <sheetViews>
    <sheetView topLeftCell="C1" workbookViewId="0">
      <selection activeCell="P9" sqref="P9"/>
    </sheetView>
  </sheetViews>
  <sheetFormatPr baseColWidth="10" defaultColWidth="12.6640625" defaultRowHeight="15.75" customHeight="1" x14ac:dyDescent="0.25"/>
  <cols>
    <col min="1" max="1" width="7.88671875" bestFit="1" customWidth="1"/>
    <col min="2" max="2" width="10.44140625" customWidth="1"/>
    <col min="3" max="3" width="8.21875" bestFit="1" customWidth="1"/>
    <col min="4" max="4" width="10" customWidth="1"/>
    <col min="6" max="6" width="16.88671875" customWidth="1"/>
    <col min="7" max="7" width="8.109375" bestFit="1" customWidth="1"/>
    <col min="8" max="8" width="13.44140625" customWidth="1"/>
    <col min="9" max="9" width="9.6640625" bestFit="1" customWidth="1"/>
    <col min="11" max="11" width="16.6640625" bestFit="1" customWidth="1"/>
    <col min="12" max="12" width="10" bestFit="1" customWidth="1"/>
    <col min="16" max="16" width="12.77734375" customWidth="1"/>
    <col min="17" max="17" width="14.21875" customWidth="1"/>
    <col min="18" max="18" width="15.5546875" customWidth="1"/>
  </cols>
  <sheetData>
    <row r="1" spans="1:1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83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84</v>
      </c>
      <c r="R1" s="1" t="s">
        <v>85</v>
      </c>
      <c r="S1" s="1" t="s">
        <v>22</v>
      </c>
    </row>
    <row r="2" spans="1:19" x14ac:dyDescent="0.25">
      <c r="A2" s="7">
        <v>1</v>
      </c>
      <c r="B2" s="3">
        <v>45942</v>
      </c>
      <c r="C2" s="7">
        <v>1</v>
      </c>
      <c r="D2" t="s">
        <v>29</v>
      </c>
      <c r="E2" s="7">
        <v>1</v>
      </c>
      <c r="F2" t="s">
        <v>31</v>
      </c>
      <c r="G2" s="6" t="str">
        <f>LOOKUP(E2,Concuctores!$A$2:$A$3,Concuctores!$D$2:$D$3)</f>
        <v>Van1</v>
      </c>
      <c r="H2" s="7">
        <v>120</v>
      </c>
      <c r="J2" s="8">
        <f>H2 - I2</f>
        <v>120</v>
      </c>
      <c r="K2" s="7">
        <v>10</v>
      </c>
      <c r="O2" s="2">
        <f>SUM(K2:N2)</f>
        <v>10</v>
      </c>
      <c r="P2" s="6" t="str">
        <f>LOOKUP(E2,Concuctores!$A$2:$A$3,Concuctores!$C$2:$C$3)</f>
        <v>OWNER</v>
      </c>
      <c r="Q2">
        <f>IF(P2=1099,J2*0.6-(K2+L2),0)</f>
        <v>0</v>
      </c>
      <c r="R2">
        <f>IF(P2="OWNER",H2-(I2+O2+N2),J2*0.4-N2)</f>
        <v>110</v>
      </c>
    </row>
    <row r="3" spans="1:19" ht="15.75" customHeight="1" x14ac:dyDescent="0.25">
      <c r="A3" s="7">
        <v>2</v>
      </c>
      <c r="C3" s="7">
        <v>1</v>
      </c>
      <c r="D3" t="s">
        <v>29</v>
      </c>
      <c r="E3" s="7">
        <v>2</v>
      </c>
      <c r="F3" t="s">
        <v>32</v>
      </c>
      <c r="G3" s="6" t="str">
        <f>LOOKUP(E3,Concuctores!$A$2:$A$3,Concuctores!$D$2:$D$3)</f>
        <v>Van2</v>
      </c>
      <c r="H3" s="7">
        <v>200</v>
      </c>
      <c r="I3">
        <v>20</v>
      </c>
      <c r="J3" s="8">
        <f>H3 - I3</f>
        <v>180</v>
      </c>
      <c r="K3" s="7">
        <v>20</v>
      </c>
      <c r="N3">
        <v>10</v>
      </c>
      <c r="O3" s="2">
        <f>SUM(K3:N3)</f>
        <v>30</v>
      </c>
      <c r="P3" s="6">
        <f>LOOKUP(E3,Concuctores!$A$2:$A$3,Concuctores!$C$2:$C$3)</f>
        <v>1099</v>
      </c>
      <c r="Q3">
        <f>IF(P3=1099,J3*0.6-(K3+L3),0)</f>
        <v>88</v>
      </c>
      <c r="R3">
        <f t="shared" ref="R3:R4" si="0">IF(P3="OWNER",H3-(I3+O3+N3),J3*0.4-N3)</f>
        <v>62</v>
      </c>
    </row>
    <row r="4" spans="1:19" ht="15.75" customHeight="1" x14ac:dyDescent="0.25">
      <c r="A4" s="7">
        <v>3</v>
      </c>
      <c r="C4" s="7">
        <v>2</v>
      </c>
      <c r="D4" t="s">
        <v>29</v>
      </c>
      <c r="E4" s="7">
        <v>1</v>
      </c>
      <c r="F4" s="4" t="s">
        <v>48</v>
      </c>
      <c r="G4" s="6" t="str">
        <f>LOOKUP(E4,Concuctores!$A$2:$A$3,Concuctores!$D$2:$D$3)</f>
        <v>Van1</v>
      </c>
      <c r="H4" s="7">
        <v>150</v>
      </c>
      <c r="J4" s="8">
        <f>H4 - I4</f>
        <v>150</v>
      </c>
      <c r="K4" s="7">
        <v>15</v>
      </c>
      <c r="O4" s="2">
        <f>SUM(K4:N4)</f>
        <v>15</v>
      </c>
      <c r="P4" s="6" t="str">
        <f>LOOKUP(E4,Concuctores!$A$2:$A$3,Concuctores!$C$2:$C$3)</f>
        <v>OWNER</v>
      </c>
      <c r="Q4">
        <f>IF(P4=1099,J4*0.6-(K4+L4),0)</f>
        <v>0</v>
      </c>
      <c r="R4">
        <f t="shared" si="0"/>
        <v>135</v>
      </c>
    </row>
    <row r="5" spans="1:19" ht="15.75" customHeight="1" x14ac:dyDescent="0.25">
      <c r="E5" s="7"/>
      <c r="P5" s="6"/>
    </row>
  </sheetData>
  <dataValidations count="1">
    <dataValidation type="list" allowBlank="1" showInputMessage="1" showErrorMessage="1" sqref="D2:D4">
      <formula1>"OCTUBRE,NOVIEMBRE,DICIEMBRE"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Resumen_App!$B$2:$B$20</xm:f>
          </x14:formula1>
          <xm:sqref>F2:F3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"/>
  <sheetViews>
    <sheetView workbookViewId="0">
      <selection activeCell="F2" sqref="F2"/>
    </sheetView>
  </sheetViews>
  <sheetFormatPr baseColWidth="10" defaultColWidth="12.6640625" defaultRowHeight="15.75" customHeight="1" x14ac:dyDescent="0.25"/>
  <cols>
    <col min="7" max="7" width="13.44140625" style="6" customWidth="1"/>
  </cols>
  <sheetData>
    <row r="1" spans="1:9" ht="15.75" customHeight="1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9" t="s">
        <v>39</v>
      </c>
      <c r="H1" s="4" t="s">
        <v>40</v>
      </c>
      <c r="I1" s="4" t="s">
        <v>41</v>
      </c>
    </row>
    <row r="2" spans="1:9" ht="15.75" customHeight="1" x14ac:dyDescent="0.25">
      <c r="A2" s="7">
        <v>1</v>
      </c>
      <c r="B2" s="7">
        <v>2</v>
      </c>
      <c r="C2" s="7">
        <f>COUNTIFS(Viajes!$C$2:$C$4,A2,Viajes!$E$2:$E$4,B2)</f>
        <v>1</v>
      </c>
      <c r="D2" s="7">
        <f>SUMIFS(Viajes!$J$2:$J$5,Viajes!$E$2:$E$5,B2,Viajes!$C$2:$C$5,A2)</f>
        <v>180</v>
      </c>
      <c r="E2">
        <f>SUMIFS(Viajes!$O$2:$O$4,Viajes!$C$2:$C$4,A2,Viajes!$E$2:$E$4,B2)</f>
        <v>30</v>
      </c>
      <c r="F2">
        <f>SUMIFS(Viajes!$Q$2:$Q$4,Viajes!$C$2:$C$4,A2,Viajes!$E$2:$E$4,B2)</f>
        <v>88</v>
      </c>
      <c r="G2" s="6">
        <f>LOOKUP(B2,Concuctores!$A$2:$A$3,Concuctores!$C$2:$C$3)</f>
        <v>1099</v>
      </c>
    </row>
    <row r="3" spans="1:9" ht="15.75" customHeight="1" x14ac:dyDescent="0.25">
      <c r="A3" s="7">
        <v>1</v>
      </c>
      <c r="B3" s="7">
        <v>1</v>
      </c>
      <c r="C3" s="7">
        <f>COUNTIFS(Viajes!$C$2:$C$4,A3,Viajes!$E$2:$E$4,B3)</f>
        <v>1</v>
      </c>
      <c r="D3" s="7">
        <f>SUMIFS(Viajes!$J$2:$J$5,Viajes!$E$2:$E$5,B3,Viajes!$C$2:$C$5,A3)</f>
        <v>120</v>
      </c>
      <c r="E3">
        <f>SUMIFS(Viajes!$O$2:$O$4,Viajes!$C$2:$C$4,A3,Viajes!$E$2:$E$4,B3)</f>
        <v>10</v>
      </c>
      <c r="F3">
        <f>SUMIFS(Viajes!$Q$2:$Q$4,Viajes!$C$2:$C$4,A3,Viajes!$E$2:$E$4,B3)</f>
        <v>0</v>
      </c>
      <c r="G3" s="6" t="str">
        <f>LOOKUP(B3,Concuctores!$A$2:$A$3,Concuctores!$C$2:$C$3)</f>
        <v>OWNER</v>
      </c>
    </row>
    <row r="4" spans="1:9" ht="15.75" customHeight="1" x14ac:dyDescent="0.25">
      <c r="A4" s="7">
        <v>2</v>
      </c>
      <c r="B4" s="7">
        <v>1</v>
      </c>
      <c r="C4" s="7">
        <f>COUNTIFS(Viajes!$C$2:$C$4,A4,Viajes!$E$2:$E$4,B4)</f>
        <v>1</v>
      </c>
      <c r="D4" s="7">
        <f>SUMIFS(Viajes!$J$2:$J$5,Viajes!$E$2:$E$5,B4,Viajes!$C$2:$C$5,A4)</f>
        <v>150</v>
      </c>
      <c r="E4">
        <f>SUMIFS(Viajes!$O$2:$O$4,Viajes!$C$2:$C$4,A4,Viajes!$E$2:$E$4,B4)</f>
        <v>15</v>
      </c>
      <c r="F4">
        <f>SUMIFS(Viajes!$Q$2:$Q$4,Viajes!$C$2:$C$4,A4,Viajes!$E$2:$E$4,B4)</f>
        <v>0</v>
      </c>
      <c r="G4" s="6" t="str">
        <f>LOOKUP(B4,Concuctores!$A$2:$A$3,Concuctores!$C$2:$C$3)</f>
        <v>OWNER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outlinePr summaryBelow="0" summaryRight="0"/>
  </sheetPr>
  <dimension ref="A1:H4"/>
  <sheetViews>
    <sheetView workbookViewId="0">
      <selection activeCell="H2" sqref="H2"/>
    </sheetView>
  </sheetViews>
  <sheetFormatPr baseColWidth="10" defaultColWidth="12.6640625" defaultRowHeight="15.75" customHeight="1" x14ac:dyDescent="0.25"/>
  <cols>
    <col min="1" max="1" width="8.21875" customWidth="1"/>
    <col min="2" max="2" width="7.6640625" customWidth="1"/>
    <col min="4" max="4" width="13.44140625" bestFit="1" customWidth="1"/>
    <col min="5" max="5" width="13.21875" bestFit="1" customWidth="1"/>
    <col min="6" max="6" width="14.21875" bestFit="1" customWidth="1"/>
    <col min="7" max="7" width="13.44140625" bestFit="1" customWidth="1"/>
    <col min="8" max="8" width="12.77734375" customWidth="1"/>
  </cols>
  <sheetData>
    <row r="1" spans="1:8" ht="15.75" customHeight="1" x14ac:dyDescent="0.25">
      <c r="A1" s="4" t="s">
        <v>42</v>
      </c>
      <c r="B1" s="4" t="s">
        <v>33</v>
      </c>
      <c r="C1" s="4" t="s">
        <v>43</v>
      </c>
      <c r="D1" s="4" t="s">
        <v>39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ht="15.75" customHeight="1" x14ac:dyDescent="0.25">
      <c r="A2">
        <v>1</v>
      </c>
      <c r="B2">
        <v>1</v>
      </c>
      <c r="C2">
        <v>1</v>
      </c>
      <c r="D2" s="6" t="str">
        <f>LOOKUP(C2,Concuctores!A2:A3,Concuctores!C2:C3)</f>
        <v>OWNER</v>
      </c>
      <c r="E2">
        <f>SUMIFS(Viajes!$Q$2:$Q$4,Viajes!$C$2:$C$4,$B2,Viajes!$E$2:$E$4,$C2)</f>
        <v>0</v>
      </c>
      <c r="F2" t="s">
        <v>49</v>
      </c>
    </row>
    <row r="3" spans="1:8" ht="15.75" customHeight="1" x14ac:dyDescent="0.25">
      <c r="A3">
        <v>2</v>
      </c>
      <c r="B3">
        <v>1</v>
      </c>
      <c r="C3">
        <v>2</v>
      </c>
      <c r="D3" s="6">
        <f>LOOKUP(C3,Concuctores!A2:A3,Concuctores!C2:C3)</f>
        <v>1099</v>
      </c>
      <c r="E3">
        <f>SUMIFS(Viajes!$Q$2:$Q$4,Viajes!$C$2:$C$4,$B3,Viajes!$E$2:$E$4,$C3)</f>
        <v>88</v>
      </c>
      <c r="F3" t="s">
        <v>49</v>
      </c>
    </row>
    <row r="4" spans="1:8" ht="15.75" customHeight="1" x14ac:dyDescent="0.25">
      <c r="A4">
        <v>3</v>
      </c>
    </row>
  </sheetData>
  <dataValidations count="1">
    <dataValidation type="list" allowBlank="1" showInputMessage="1" showErrorMessage="1" sqref="F2:F3">
      <formula1>"EFECTIVO,TRANSFER, CHEQUE"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7</xdr:col>
                    <xdr:colOff>228600</xdr:colOff>
                    <xdr:row>0</xdr:row>
                    <xdr:rowOff>190500</xdr:rowOff>
                  </from>
                  <to>
                    <xdr:col>7</xdr:col>
                    <xdr:colOff>426720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7</xdr:col>
                    <xdr:colOff>228600</xdr:colOff>
                    <xdr:row>1</xdr:row>
                    <xdr:rowOff>190500</xdr:rowOff>
                  </from>
                  <to>
                    <xdr:col>7</xdr:col>
                    <xdr:colOff>426720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2"/>
  <sheetViews>
    <sheetView workbookViewId="0">
      <selection activeCell="F6" sqref="F6"/>
    </sheetView>
  </sheetViews>
  <sheetFormatPr baseColWidth="10" defaultColWidth="12.6640625" defaultRowHeight="15.75" customHeight="1" x14ac:dyDescent="0.25"/>
  <cols>
    <col min="2" max="2" width="15.77734375" bestFit="1" customWidth="1"/>
    <col min="5" max="5" width="20.44140625" bestFit="1" customWidth="1"/>
    <col min="7" max="7" width="14" bestFit="1" customWidth="1"/>
    <col min="8" max="8" width="13.77734375" bestFit="1" customWidth="1"/>
    <col min="9" max="9" width="13.44140625" bestFit="1" customWidth="1"/>
    <col min="10" max="10" width="11.6640625" bestFit="1" customWidth="1"/>
    <col min="11" max="11" width="7.21875" bestFit="1" customWidth="1"/>
  </cols>
  <sheetData>
    <row r="1" spans="1:11" ht="15.75" customHeight="1" x14ac:dyDescent="0.25">
      <c r="A1" s="4" t="s">
        <v>50</v>
      </c>
      <c r="B1" s="4" t="s">
        <v>30</v>
      </c>
      <c r="C1" s="4" t="s">
        <v>51</v>
      </c>
      <c r="D1" s="4" t="s">
        <v>52</v>
      </c>
      <c r="E1" s="4" t="s">
        <v>53</v>
      </c>
      <c r="F1" s="4" t="s">
        <v>33</v>
      </c>
      <c r="G1" s="4" t="s">
        <v>54</v>
      </c>
      <c r="H1" s="4" t="s">
        <v>55</v>
      </c>
      <c r="I1" s="4" t="s">
        <v>46</v>
      </c>
      <c r="J1" s="4" t="s">
        <v>56</v>
      </c>
      <c r="K1" s="4" t="s">
        <v>57</v>
      </c>
    </row>
    <row r="2" spans="1:11" ht="15.75" customHeight="1" x14ac:dyDescent="0.25">
      <c r="A2">
        <v>1</v>
      </c>
      <c r="B2" s="4" t="s">
        <v>58</v>
      </c>
      <c r="C2" s="4" t="s">
        <v>59</v>
      </c>
      <c r="D2">
        <v>20</v>
      </c>
      <c r="E2">
        <v>7</v>
      </c>
      <c r="F2">
        <v>1</v>
      </c>
      <c r="G2">
        <f>SUMIFS(Viajes!$H$2:$H$4,Viajes!$C$2:$C$4,A2)</f>
        <v>320</v>
      </c>
      <c r="H2">
        <f>(G2*E2/100)+20</f>
        <v>42.4</v>
      </c>
      <c r="J2" t="s">
        <v>49</v>
      </c>
    </row>
  </sheetData>
  <dataValidations count="1">
    <dataValidation type="list" allowBlank="1" showInputMessage="1" showErrorMessage="1" sqref="J2">
      <formula1>"EFECTIVO,TRANSFER, CHEQUE"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Check Box 2">
              <controlPr defaultSize="0" autoFill="0" autoLine="0" autoPict="0">
                <anchor moveWithCells="1">
                  <from>
                    <xdr:col>10</xdr:col>
                    <xdr:colOff>228600</xdr:colOff>
                    <xdr:row>0</xdr:row>
                    <xdr:rowOff>190500</xdr:rowOff>
                  </from>
                  <to>
                    <xdr:col>10</xdr:col>
                    <xdr:colOff>426720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>
      <selection activeCell="H15" sqref="H15"/>
    </sheetView>
  </sheetViews>
  <sheetFormatPr baseColWidth="10" defaultColWidth="12.6640625" defaultRowHeight="15.75" customHeight="1" x14ac:dyDescent="0.25"/>
  <sheetData>
    <row r="1" spans="1:9" ht="15.75" customHeight="1" x14ac:dyDescent="0.25">
      <c r="A1" s="4" t="s">
        <v>60</v>
      </c>
      <c r="B1" s="4" t="s">
        <v>61</v>
      </c>
      <c r="C1" s="4" t="s">
        <v>62</v>
      </c>
      <c r="D1" s="4" t="s">
        <v>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</row>
    <row r="15" spans="1:9" ht="15.75" customHeight="1" x14ac:dyDescent="0.25">
      <c r="H15">
        <f>SUM(H2:H14)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workbookViewId="0">
      <selection activeCell="G3" sqref="G3"/>
    </sheetView>
  </sheetViews>
  <sheetFormatPr baseColWidth="10" defaultColWidth="12.6640625" defaultRowHeight="15.75" customHeight="1" x14ac:dyDescent="0.25"/>
  <cols>
    <col min="2" max="2" width="14.44140625" bestFit="1" customWidth="1"/>
    <col min="3" max="3" width="11.6640625" bestFit="1" customWidth="1"/>
    <col min="4" max="4" width="9.6640625" bestFit="1" customWidth="1"/>
    <col min="5" max="5" width="13.33203125" bestFit="1" customWidth="1"/>
    <col min="6" max="6" width="8" customWidth="1"/>
    <col min="7" max="7" width="7.21875" bestFit="1" customWidth="1"/>
    <col min="8" max="8" width="13.44140625" bestFit="1" customWidth="1"/>
  </cols>
  <sheetData>
    <row r="1" spans="1:8" ht="15.75" customHeight="1" x14ac:dyDescent="0.25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9" t="s">
        <v>10</v>
      </c>
      <c r="G1" s="4" t="s">
        <v>57</v>
      </c>
      <c r="H1" s="4" t="s">
        <v>46</v>
      </c>
    </row>
    <row r="2" spans="1:8" ht="15.75" customHeight="1" x14ac:dyDescent="0.25">
      <c r="E2">
        <f>C2*(D2/100)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0" sqref="A10:D16"/>
    </sheetView>
  </sheetViews>
  <sheetFormatPr baseColWidth="10" defaultRowHeight="13.2" x14ac:dyDescent="0.25"/>
  <cols>
    <col min="1" max="1" width="13.44140625" bestFit="1" customWidth="1"/>
    <col min="2" max="2" width="19.77734375" customWidth="1"/>
    <col min="3" max="3" width="12.109375" bestFit="1" customWidth="1"/>
    <col min="4" max="4" width="16.33203125" bestFit="1" customWidth="1"/>
    <col min="5" max="6" width="16.77734375" bestFit="1" customWidth="1"/>
    <col min="7" max="7" width="16.77734375" customWidth="1"/>
    <col min="8" max="8" width="18.6640625" bestFit="1" customWidth="1"/>
    <col min="9" max="9" width="15.33203125" bestFit="1" customWidth="1"/>
    <col min="10" max="10" width="12" bestFit="1" customWidth="1"/>
    <col min="11" max="11" width="17.33203125" bestFit="1" customWidth="1"/>
  </cols>
  <sheetData>
    <row r="1" spans="1:8" x14ac:dyDescent="0.25">
      <c r="A1" s="6" t="s">
        <v>80</v>
      </c>
      <c r="B1" s="6" t="s">
        <v>81</v>
      </c>
      <c r="C1" s="6" t="s">
        <v>82</v>
      </c>
    </row>
    <row r="2" spans="1:8" x14ac:dyDescent="0.25">
      <c r="A2" s="4" t="s">
        <v>29</v>
      </c>
      <c r="B2">
        <v>1</v>
      </c>
      <c r="C2">
        <v>2</v>
      </c>
    </row>
    <row r="3" spans="1:8" x14ac:dyDescent="0.25">
      <c r="B3" s="4"/>
    </row>
    <row r="4" spans="1:8" x14ac:dyDescent="0.25">
      <c r="A4" s="10" t="s">
        <v>73</v>
      </c>
      <c r="B4" s="10" t="s">
        <v>74</v>
      </c>
      <c r="C4" s="10" t="s">
        <v>75</v>
      </c>
      <c r="D4" s="10" t="s">
        <v>78</v>
      </c>
      <c r="E4" s="10" t="s">
        <v>76</v>
      </c>
      <c r="F4" s="10" t="s">
        <v>77</v>
      </c>
      <c r="G4" s="10" t="s">
        <v>38</v>
      </c>
      <c r="H4" s="10" t="s">
        <v>79</v>
      </c>
    </row>
    <row r="5" spans="1:8" x14ac:dyDescent="0.25">
      <c r="A5">
        <f>SUMPRODUCT(((A2="")+(Viajes!D2:D4=Resumen_App!A2)*((B2="")+(Viajes!C2:C4=Resumen_App!B2))*((C2="")+(Viajes!E2:E4=Resumen_App!C2)))*Viajes!H2:H4)</f>
        <v>200</v>
      </c>
      <c r="B5">
        <f>SUMPRODUCT(((A2="")+(Viajes!D2:D4=Resumen_App!A2)*((B2="")+(Viajes!C2:C4=Resumen_App!B2))*((C2="")+(Viajes!E2:E4=Resumen_App!C2)))*Viajes!I2:I4)</f>
        <v>20</v>
      </c>
      <c r="C5">
        <f>SUMPRODUCT(((A2="")+(Viajes!D2:D4=Resumen_App!A2)*((B2="")+(Viajes!C2:C4=Resumen_App!B2))*((C2="")+(Viajes!E2:E4=Resumen_App!C2)))*Viajes!O2:O4)</f>
        <v>30</v>
      </c>
      <c r="D5">
        <f>A5-B5-C5</f>
        <v>150</v>
      </c>
      <c r="E5">
        <f>SUMPRODUCT(((A2="")+(Viajes!D2:D4=Resumen_App!A2)*((B2="")+(Viajes!C2:C4=Resumen_App!B2))*((C2="")+(Viajes!E2:E4=Resumen_App!C2))*((C2="")+(Viajes!E2:E4=Resumen_App!C2)))*Viajes!Q2:Q4)</f>
        <v>88</v>
      </c>
      <c r="F5">
        <f>SUMPRODUCT(((A2="")+(Viajes!D2:D4=Resumen_App!A2)*((B2="")+(Viajes!C2:C4=Resumen_App!B2))*((C2="")+(Viajes!E2:E4=Resumen_App!C2))*((C2="")+(Viajes!E2:E4=Resumen_App!C2)))*Viajes!R2:R4)</f>
        <v>62</v>
      </c>
      <c r="G5">
        <f>F5+E5</f>
        <v>150</v>
      </c>
    </row>
  </sheetData>
  <dataValidations count="1">
    <dataValidation type="list" allowBlank="1" showInputMessage="1" showErrorMessage="1" sqref="A2">
      <formula1>"OCTUBRE,NOVIEMBRE,DICIEMBRE"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Concuctores</vt:lpstr>
      <vt:lpstr>Viajes</vt:lpstr>
      <vt:lpstr>Resumen_Semanal</vt:lpstr>
      <vt:lpstr>Pagos_Semanales</vt:lpstr>
      <vt:lpstr>Asistente_Virtual</vt:lpstr>
      <vt:lpstr>Capital_LLC</vt:lpstr>
      <vt:lpstr>Taxes_LLC</vt:lpstr>
      <vt:lpstr>Resumen_App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2025-10-14T20:14:40Z</dcterms:modified>
</cp:coreProperties>
</file>