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 Romero\Desktop\ENE 2020\"/>
    </mc:Choice>
  </mc:AlternateContent>
  <bookViews>
    <workbookView xWindow="0" yWindow="0" windowWidth="10305" windowHeight="4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I24" i="1"/>
  <c r="I26" i="1"/>
  <c r="I28" i="1"/>
  <c r="I30" i="1"/>
  <c r="I32" i="1"/>
  <c r="I34" i="1"/>
  <c r="I36" i="1"/>
  <c r="I38" i="1"/>
  <c r="I40" i="1"/>
  <c r="I42" i="1"/>
  <c r="I44" i="1"/>
  <c r="M24" i="1"/>
  <c r="M26" i="1"/>
  <c r="M28" i="1"/>
  <c r="M30" i="1"/>
  <c r="M32" i="1"/>
  <c r="M34" i="1"/>
  <c r="M36" i="1"/>
  <c r="M38" i="1"/>
  <c r="M40" i="1"/>
  <c r="M42" i="1"/>
  <c r="M44" i="1"/>
  <c r="L45" i="1"/>
  <c r="M45" i="1" s="1"/>
  <c r="J45" i="1"/>
  <c r="K45" i="1" s="1"/>
  <c r="H45" i="1"/>
  <c r="I45" i="1" s="1"/>
  <c r="F45" i="1"/>
  <c r="G45" i="1" s="1"/>
  <c r="L44" i="1"/>
  <c r="J44" i="1"/>
  <c r="K44" i="1" s="1"/>
  <c r="H44" i="1"/>
  <c r="F44" i="1"/>
  <c r="G44" i="1" s="1"/>
  <c r="L43" i="1"/>
  <c r="M43" i="1" s="1"/>
  <c r="J43" i="1"/>
  <c r="K43" i="1" s="1"/>
  <c r="H43" i="1"/>
  <c r="I43" i="1" s="1"/>
  <c r="F43" i="1"/>
  <c r="G43" i="1" s="1"/>
  <c r="L42" i="1"/>
  <c r="J42" i="1"/>
  <c r="K42" i="1" s="1"/>
  <c r="H42" i="1"/>
  <c r="F42" i="1"/>
  <c r="G42" i="1" s="1"/>
  <c r="L41" i="1"/>
  <c r="M41" i="1" s="1"/>
  <c r="J41" i="1"/>
  <c r="K41" i="1" s="1"/>
  <c r="H41" i="1"/>
  <c r="I41" i="1" s="1"/>
  <c r="F41" i="1"/>
  <c r="G41" i="1" s="1"/>
  <c r="L40" i="1"/>
  <c r="J40" i="1"/>
  <c r="K40" i="1" s="1"/>
  <c r="H40" i="1"/>
  <c r="F40" i="1"/>
  <c r="G40" i="1" s="1"/>
  <c r="L39" i="1"/>
  <c r="M39" i="1" s="1"/>
  <c r="J39" i="1"/>
  <c r="K39" i="1" s="1"/>
  <c r="H39" i="1"/>
  <c r="I39" i="1" s="1"/>
  <c r="F39" i="1"/>
  <c r="G39" i="1" s="1"/>
  <c r="L38" i="1"/>
  <c r="J38" i="1"/>
  <c r="K38" i="1" s="1"/>
  <c r="H38" i="1"/>
  <c r="F38" i="1"/>
  <c r="G38" i="1" s="1"/>
  <c r="L37" i="1"/>
  <c r="M37" i="1" s="1"/>
  <c r="J37" i="1"/>
  <c r="K37" i="1" s="1"/>
  <c r="H37" i="1"/>
  <c r="I37" i="1" s="1"/>
  <c r="F37" i="1"/>
  <c r="G37" i="1" s="1"/>
  <c r="L36" i="1"/>
  <c r="J36" i="1"/>
  <c r="K36" i="1" s="1"/>
  <c r="H36" i="1"/>
  <c r="F36" i="1"/>
  <c r="G36" i="1" s="1"/>
  <c r="L35" i="1"/>
  <c r="M35" i="1" s="1"/>
  <c r="J35" i="1"/>
  <c r="K35" i="1" s="1"/>
  <c r="H35" i="1"/>
  <c r="I35" i="1" s="1"/>
  <c r="F35" i="1"/>
  <c r="G35" i="1" s="1"/>
  <c r="L34" i="1"/>
  <c r="J34" i="1"/>
  <c r="K34" i="1" s="1"/>
  <c r="H34" i="1"/>
  <c r="F34" i="1"/>
  <c r="G34" i="1" s="1"/>
  <c r="L33" i="1"/>
  <c r="M33" i="1" s="1"/>
  <c r="J33" i="1"/>
  <c r="K33" i="1" s="1"/>
  <c r="H33" i="1"/>
  <c r="I33" i="1" s="1"/>
  <c r="F33" i="1"/>
  <c r="G33" i="1" s="1"/>
  <c r="L32" i="1"/>
  <c r="J32" i="1"/>
  <c r="K32" i="1" s="1"/>
  <c r="H32" i="1"/>
  <c r="F32" i="1"/>
  <c r="G32" i="1" s="1"/>
  <c r="L31" i="1"/>
  <c r="M31" i="1" s="1"/>
  <c r="J31" i="1"/>
  <c r="K31" i="1" s="1"/>
  <c r="H31" i="1"/>
  <c r="I31" i="1" s="1"/>
  <c r="F31" i="1"/>
  <c r="G31" i="1" s="1"/>
  <c r="L30" i="1"/>
  <c r="J30" i="1"/>
  <c r="K30" i="1" s="1"/>
  <c r="H30" i="1"/>
  <c r="F30" i="1"/>
  <c r="G30" i="1" s="1"/>
  <c r="L29" i="1"/>
  <c r="M29" i="1" s="1"/>
  <c r="J29" i="1"/>
  <c r="K29" i="1" s="1"/>
  <c r="H29" i="1"/>
  <c r="I29" i="1" s="1"/>
  <c r="F29" i="1"/>
  <c r="G29" i="1" s="1"/>
  <c r="L28" i="1"/>
  <c r="J28" i="1"/>
  <c r="K28" i="1" s="1"/>
  <c r="H28" i="1"/>
  <c r="F28" i="1"/>
  <c r="G28" i="1" s="1"/>
  <c r="L27" i="1"/>
  <c r="M27" i="1" s="1"/>
  <c r="J27" i="1"/>
  <c r="K27" i="1" s="1"/>
  <c r="H27" i="1"/>
  <c r="I27" i="1" s="1"/>
  <c r="F27" i="1"/>
  <c r="G27" i="1" s="1"/>
  <c r="L26" i="1"/>
  <c r="J26" i="1"/>
  <c r="K26" i="1" s="1"/>
  <c r="H26" i="1"/>
  <c r="F26" i="1"/>
  <c r="G26" i="1" s="1"/>
  <c r="L25" i="1"/>
  <c r="M25" i="1" s="1"/>
  <c r="J25" i="1"/>
  <c r="K25" i="1" s="1"/>
  <c r="H25" i="1"/>
  <c r="I25" i="1" s="1"/>
  <c r="F25" i="1"/>
  <c r="G25" i="1" s="1"/>
  <c r="L24" i="1"/>
  <c r="J24" i="1"/>
  <c r="K24" i="1" s="1"/>
  <c r="H24" i="1"/>
  <c r="F24" i="1"/>
  <c r="G24" i="1" s="1"/>
  <c r="M15" i="1" l="1"/>
  <c r="M17" i="1"/>
  <c r="M19" i="1"/>
  <c r="M21" i="1"/>
  <c r="K5" i="1"/>
  <c r="K7" i="1"/>
  <c r="K9" i="1"/>
  <c r="K11" i="1"/>
  <c r="K13" i="1"/>
  <c r="K23" i="1"/>
  <c r="I15" i="1"/>
  <c r="I17" i="1"/>
  <c r="I19" i="1"/>
  <c r="I21" i="1"/>
  <c r="G5" i="1"/>
  <c r="G7" i="1"/>
  <c r="G9" i="1"/>
  <c r="G11" i="1"/>
  <c r="G13" i="1"/>
  <c r="G15" i="1"/>
  <c r="G23" i="1"/>
  <c r="L23" i="1"/>
  <c r="J23" i="1"/>
  <c r="H23" i="1"/>
  <c r="I23" i="1" s="1"/>
  <c r="L22" i="1"/>
  <c r="M22" i="1" s="1"/>
  <c r="J22" i="1"/>
  <c r="K22" i="1" s="1"/>
  <c r="H22" i="1"/>
  <c r="I22" i="1" s="1"/>
  <c r="F22" i="1"/>
  <c r="G22" i="1" s="1"/>
  <c r="L21" i="1"/>
  <c r="J21" i="1"/>
  <c r="K21" i="1" s="1"/>
  <c r="H21" i="1"/>
  <c r="F21" i="1"/>
  <c r="G21" i="1" s="1"/>
  <c r="L20" i="1"/>
  <c r="M20" i="1" s="1"/>
  <c r="J20" i="1"/>
  <c r="K20" i="1" s="1"/>
  <c r="H20" i="1"/>
  <c r="F20" i="1"/>
  <c r="G20" i="1" s="1"/>
  <c r="L19" i="1"/>
  <c r="J19" i="1"/>
  <c r="K19" i="1" s="1"/>
  <c r="H19" i="1"/>
  <c r="F19" i="1"/>
  <c r="G19" i="1" s="1"/>
  <c r="L18" i="1"/>
  <c r="M18" i="1" s="1"/>
  <c r="J18" i="1"/>
  <c r="K18" i="1" s="1"/>
  <c r="H18" i="1"/>
  <c r="I18" i="1" s="1"/>
  <c r="F18" i="1"/>
  <c r="G18" i="1" s="1"/>
  <c r="L17" i="1"/>
  <c r="J17" i="1"/>
  <c r="K17" i="1" s="1"/>
  <c r="H17" i="1"/>
  <c r="F17" i="1"/>
  <c r="G17" i="1" s="1"/>
  <c r="L16" i="1"/>
  <c r="M16" i="1" s="1"/>
  <c r="J16" i="1"/>
  <c r="K16" i="1" s="1"/>
  <c r="H16" i="1"/>
  <c r="F16" i="1"/>
  <c r="G16" i="1" s="1"/>
  <c r="L15" i="1"/>
  <c r="J15" i="1"/>
  <c r="K15" i="1" s="1"/>
  <c r="H15" i="1"/>
  <c r="L14" i="1"/>
  <c r="M14" i="1" s="1"/>
  <c r="J14" i="1"/>
  <c r="K14" i="1" s="1"/>
  <c r="H14" i="1"/>
  <c r="I14" i="1" s="1"/>
  <c r="F14" i="1"/>
  <c r="G14" i="1" s="1"/>
  <c r="L13" i="1"/>
  <c r="M13" i="1" s="1"/>
  <c r="J13" i="1"/>
  <c r="H13" i="1"/>
  <c r="N13" i="1" s="1"/>
  <c r="F13" i="1"/>
  <c r="L12" i="1"/>
  <c r="M12" i="1" s="1"/>
  <c r="J12" i="1"/>
  <c r="K12" i="1" s="1"/>
  <c r="H12" i="1"/>
  <c r="I12" i="1" s="1"/>
  <c r="F12" i="1"/>
  <c r="G12" i="1" s="1"/>
  <c r="L11" i="1"/>
  <c r="M11" i="1" s="1"/>
  <c r="J11" i="1"/>
  <c r="H11" i="1"/>
  <c r="I11" i="1" s="1"/>
  <c r="F11" i="1"/>
  <c r="L10" i="1"/>
  <c r="M10" i="1" s="1"/>
  <c r="J10" i="1"/>
  <c r="K10" i="1" s="1"/>
  <c r="H10" i="1"/>
  <c r="I10" i="1" s="1"/>
  <c r="F10" i="1"/>
  <c r="G10" i="1" s="1"/>
  <c r="L9" i="1"/>
  <c r="M9" i="1" s="1"/>
  <c r="J9" i="1"/>
  <c r="H9" i="1"/>
  <c r="I9" i="1" s="1"/>
  <c r="P5" i="1"/>
  <c r="L8" i="1"/>
  <c r="M8" i="1" s="1"/>
  <c r="J8" i="1"/>
  <c r="K8" i="1" s="1"/>
  <c r="H8" i="1"/>
  <c r="I8" i="1" s="1"/>
  <c r="F8" i="1"/>
  <c r="G8" i="1" s="1"/>
  <c r="L7" i="1"/>
  <c r="M7" i="1" s="1"/>
  <c r="J7" i="1"/>
  <c r="H7" i="1"/>
  <c r="I7" i="1" s="1"/>
  <c r="L6" i="1"/>
  <c r="M6" i="1" s="1"/>
  <c r="J6" i="1"/>
  <c r="K6" i="1" s="1"/>
  <c r="H6" i="1"/>
  <c r="I6" i="1" s="1"/>
  <c r="F6" i="1"/>
  <c r="G6" i="1" s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L5" i="1"/>
  <c r="M5" i="1" s="1"/>
  <c r="J5" i="1"/>
  <c r="H5" i="1"/>
  <c r="I5" i="1" s="1"/>
  <c r="F5" i="1"/>
  <c r="H4" i="1"/>
  <c r="I4" i="1" s="1"/>
  <c r="J4" i="1"/>
  <c r="K4" i="1" s="1"/>
  <c r="L4" i="1"/>
  <c r="M4" i="1" s="1"/>
  <c r="F4" i="1"/>
  <c r="G4" i="1" s="1"/>
  <c r="N4" i="1" l="1"/>
  <c r="N5" i="1"/>
  <c r="N23" i="1"/>
  <c r="I13" i="1"/>
  <c r="M23" i="1"/>
  <c r="N22" i="1"/>
  <c r="N15" i="1"/>
  <c r="N16" i="1"/>
  <c r="N20" i="1"/>
  <c r="N21" i="1"/>
  <c r="I20" i="1"/>
  <c r="I16" i="1"/>
  <c r="N19" i="1"/>
  <c r="N18" i="1"/>
  <c r="N17" i="1"/>
  <c r="N14" i="1"/>
  <c r="N12" i="1"/>
  <c r="N11" i="1"/>
  <c r="N10" i="1"/>
  <c r="N9" i="1"/>
  <c r="N8" i="1"/>
  <c r="N7" i="1"/>
  <c r="N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</calcChain>
</file>

<file path=xl/sharedStrings.xml><?xml version="1.0" encoding="utf-8"?>
<sst xmlns="http://schemas.openxmlformats.org/spreadsheetml/2006/main" count="64" uniqueCount="56">
  <si>
    <t>Código</t>
  </si>
  <si>
    <t>Comuna</t>
  </si>
  <si>
    <t xml:space="preserve">Puente Alto </t>
  </si>
  <si>
    <t>Peñaflor</t>
  </si>
  <si>
    <t>Padre Hurtado</t>
  </si>
  <si>
    <t>Talagante</t>
  </si>
  <si>
    <t>San Bernardo</t>
  </si>
  <si>
    <t>Paine</t>
  </si>
  <si>
    <t>Buin</t>
  </si>
  <si>
    <t>Lampa</t>
  </si>
  <si>
    <t>Colina</t>
  </si>
  <si>
    <t>Melipilla</t>
  </si>
  <si>
    <t xml:space="preserve">Santiago </t>
  </si>
  <si>
    <t xml:space="preserve">Cerrillos </t>
  </si>
  <si>
    <t xml:space="preserve">Cerro Navia </t>
  </si>
  <si>
    <t>Conchalí</t>
  </si>
  <si>
    <t xml:space="preserve">El Bosque </t>
  </si>
  <si>
    <t xml:space="preserve">Estación Central </t>
  </si>
  <si>
    <t xml:space="preserve">La Cisterna </t>
  </si>
  <si>
    <t xml:space="preserve">La Florida </t>
  </si>
  <si>
    <t xml:space="preserve">La Granja </t>
  </si>
  <si>
    <t xml:space="preserve">La Pintana </t>
  </si>
  <si>
    <t xml:space="preserve">La Reina </t>
  </si>
  <si>
    <t xml:space="preserve">Lo Espejo </t>
  </si>
  <si>
    <t>Lo Prado</t>
  </si>
  <si>
    <t xml:space="preserve">Macul </t>
  </si>
  <si>
    <t>Ñuñoa</t>
  </si>
  <si>
    <t xml:space="preserve">Pedro Aguirre Cerda </t>
  </si>
  <si>
    <t>Peñalolen</t>
  </si>
  <si>
    <t xml:space="preserve">Providencia </t>
  </si>
  <si>
    <t xml:space="preserve">Quinta Normal </t>
  </si>
  <si>
    <t>Recoleta</t>
  </si>
  <si>
    <t xml:space="preserve">Renca </t>
  </si>
  <si>
    <t>San Joaquín</t>
  </si>
  <si>
    <t xml:space="preserve">San Miguel </t>
  </si>
  <si>
    <t>San Ramón</t>
  </si>
  <si>
    <t xml:space="preserve">Independencia </t>
  </si>
  <si>
    <t xml:space="preserve">Las Condes </t>
  </si>
  <si>
    <t xml:space="preserve">Vitacura </t>
  </si>
  <si>
    <t xml:space="preserve">Quilicura </t>
  </si>
  <si>
    <t xml:space="preserve">Huechuraba </t>
  </si>
  <si>
    <t>Maipú</t>
  </si>
  <si>
    <t xml:space="preserve">Pudahuel </t>
  </si>
  <si>
    <t>Lo Barnechea</t>
  </si>
  <si>
    <t>Marzo</t>
  </si>
  <si>
    <t>Abril</t>
  </si>
  <si>
    <t>Mayo</t>
  </si>
  <si>
    <t>Julio</t>
  </si>
  <si>
    <t>Tasa de Infectados COVID-19</t>
  </si>
  <si>
    <t>Número</t>
  </si>
  <si>
    <t>Población</t>
  </si>
  <si>
    <t>Tasa</t>
  </si>
  <si>
    <t>Junio</t>
  </si>
  <si>
    <t>Tasa de acum</t>
  </si>
  <si>
    <t>N° total acum al 31 de julio (minsal)</t>
  </si>
  <si>
    <t>Total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</si>
</sst>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24292E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O12" sqref="O12"/>
    </sheetView>
  </sheetViews>
  <sheetFormatPr baseColWidth="10" defaultRowHeight="15" x14ac:dyDescent="0.25"/>
  <cols>
    <col min="1" max="1" width="7.140625" bestFit="1" customWidth="1"/>
    <col min="2" max="2" width="9.7109375" bestFit="1" customWidth="1"/>
    <col min="3" max="3" width="19.42578125" bestFit="1" customWidth="1"/>
    <col min="15" max="15" width="27" customWidth="1"/>
    <col min="16" max="16" width="15.5703125" customWidth="1"/>
  </cols>
  <sheetData>
    <row r="1" spans="1:16" ht="18.75" x14ac:dyDescent="0.3">
      <c r="D1" s="10" t="s">
        <v>48</v>
      </c>
      <c r="E1" s="10"/>
      <c r="F1" s="10"/>
      <c r="G1" s="10"/>
      <c r="H1" s="10"/>
      <c r="I1" s="10"/>
      <c r="J1" s="10"/>
      <c r="K1" s="10"/>
      <c r="L1" s="10"/>
      <c r="M1" s="10"/>
      <c r="N1" s="9"/>
    </row>
    <row r="2" spans="1:16" ht="15.75" x14ac:dyDescent="0.25">
      <c r="D2" s="11" t="s">
        <v>44</v>
      </c>
      <c r="E2" s="12"/>
      <c r="F2" s="11" t="s">
        <v>45</v>
      </c>
      <c r="G2" s="12"/>
      <c r="H2" s="11" t="s">
        <v>46</v>
      </c>
      <c r="I2" s="12"/>
      <c r="J2" s="11" t="s">
        <v>52</v>
      </c>
      <c r="K2" s="12"/>
      <c r="L2" s="11" t="s">
        <v>47</v>
      </c>
      <c r="M2" s="12"/>
      <c r="N2" s="2"/>
    </row>
    <row r="3" spans="1:16" x14ac:dyDescent="0.25">
      <c r="A3" s="1" t="s">
        <v>0</v>
      </c>
      <c r="B3" s="1" t="s">
        <v>50</v>
      </c>
      <c r="C3" s="1" t="s">
        <v>1</v>
      </c>
      <c r="D3" s="1" t="s">
        <v>49</v>
      </c>
      <c r="E3" s="1" t="s">
        <v>51</v>
      </c>
      <c r="F3" s="1" t="s">
        <v>49</v>
      </c>
      <c r="G3" s="1" t="s">
        <v>51</v>
      </c>
      <c r="H3" s="1" t="s">
        <v>49</v>
      </c>
      <c r="I3" s="1" t="s">
        <v>51</v>
      </c>
      <c r="J3" s="1" t="s">
        <v>49</v>
      </c>
      <c r="K3" s="1" t="s">
        <v>51</v>
      </c>
      <c r="L3" s="1" t="s">
        <v>49</v>
      </c>
      <c r="M3" s="1" t="s">
        <v>51</v>
      </c>
      <c r="N3" s="1" t="s">
        <v>55</v>
      </c>
      <c r="O3" s="5" t="s">
        <v>54</v>
      </c>
      <c r="P3" s="1" t="s">
        <v>53</v>
      </c>
    </row>
    <row r="4" spans="1:16" x14ac:dyDescent="0.25">
      <c r="A4">
        <v>13201</v>
      </c>
      <c r="B4" s="4">
        <v>645909</v>
      </c>
      <c r="C4" t="s">
        <v>2</v>
      </c>
      <c r="D4">
        <v>45</v>
      </c>
      <c r="E4" s="8">
        <f>(D4/B4)*100</f>
        <v>6.9669256814814473E-3</v>
      </c>
      <c r="F4">
        <f>764-D4</f>
        <v>719</v>
      </c>
      <c r="G4" s="8">
        <f>(F4/B4)*100</f>
        <v>0.11131599033300356</v>
      </c>
      <c r="H4">
        <f>5770-764</f>
        <v>5006</v>
      </c>
      <c r="I4" s="8">
        <f>(H4/B4)*100</f>
        <v>0.7750317769221361</v>
      </c>
      <c r="J4">
        <f>18366-5770</f>
        <v>12596</v>
      </c>
      <c r="K4" s="8">
        <f>(J4/B4)*100</f>
        <v>1.9501199085320067</v>
      </c>
      <c r="L4" s="3">
        <f>22315-18366</f>
        <v>3949</v>
      </c>
      <c r="M4" s="8">
        <f>(L4/B4)*100</f>
        <v>0.61138643369267187</v>
      </c>
      <c r="N4">
        <f>SUM(D4,F4,H4,J4,L4)</f>
        <v>22315</v>
      </c>
      <c r="O4" s="6">
        <v>22315</v>
      </c>
      <c r="P4" s="8">
        <f>(O4/B4)*100</f>
        <v>3.4548210351613</v>
      </c>
    </row>
    <row r="5" spans="1:16" x14ac:dyDescent="0.25">
      <c r="A5">
        <v>13605</v>
      </c>
      <c r="B5" s="4">
        <v>101058</v>
      </c>
      <c r="C5" t="s">
        <v>3</v>
      </c>
      <c r="D5">
        <v>10</v>
      </c>
      <c r="E5" s="8">
        <f t="shared" ref="E5:E45" si="0">(D5/B5)*100</f>
        <v>9.8953076451146864E-3</v>
      </c>
      <c r="F5">
        <f>51-D5</f>
        <v>41</v>
      </c>
      <c r="G5" s="8">
        <f>(F5/B5)*100</f>
        <v>4.0570761344970216E-2</v>
      </c>
      <c r="H5">
        <f>363-51</f>
        <v>312</v>
      </c>
      <c r="I5" s="8">
        <f t="shared" ref="I5:I45" si="1">(H5/B5)*100</f>
        <v>0.3087335985275782</v>
      </c>
      <c r="J5">
        <f>2117-363</f>
        <v>1754</v>
      </c>
      <c r="K5" s="8">
        <f t="shared" ref="K5:K45" si="2">(J5/B5)*100</f>
        <v>1.7356369609531161</v>
      </c>
      <c r="L5">
        <f>2789-2117</f>
        <v>672</v>
      </c>
      <c r="M5" s="8">
        <f t="shared" ref="M5:M44" si="3">(L5/B5)*100</f>
        <v>0.66496467375170698</v>
      </c>
      <c r="N5">
        <f t="shared" ref="N5:N45" si="4">SUM(D5,F5,H5,J5,L5)</f>
        <v>2789</v>
      </c>
      <c r="O5" s="6">
        <v>2789</v>
      </c>
      <c r="P5" s="8">
        <f t="shared" ref="P5:P45" si="5">(O5/B5)*100</f>
        <v>2.7598013022224861</v>
      </c>
    </row>
    <row r="6" spans="1:16" x14ac:dyDescent="0.25">
      <c r="A6">
        <v>13604</v>
      </c>
      <c r="B6" s="4">
        <v>74188</v>
      </c>
      <c r="C6" t="s">
        <v>4</v>
      </c>
      <c r="D6">
        <v>10</v>
      </c>
      <c r="E6" s="8">
        <f t="shared" si="0"/>
        <v>1.3479268884455706E-2</v>
      </c>
      <c r="F6">
        <f>40-D6</f>
        <v>30</v>
      </c>
      <c r="G6" s="8">
        <f t="shared" ref="G6:G45" si="6">(F6/B6)*100</f>
        <v>4.0437806653367117E-2</v>
      </c>
      <c r="H6">
        <f>300-40</f>
        <v>260</v>
      </c>
      <c r="I6" s="8">
        <f t="shared" si="1"/>
        <v>0.35046099099584838</v>
      </c>
      <c r="J6">
        <f>1546-300</f>
        <v>1246</v>
      </c>
      <c r="K6" s="8">
        <f t="shared" si="2"/>
        <v>1.6795169030031813</v>
      </c>
      <c r="L6">
        <f>2082-1546</f>
        <v>536</v>
      </c>
      <c r="M6" s="8">
        <f t="shared" si="3"/>
        <v>0.72248881220682593</v>
      </c>
      <c r="N6">
        <f t="shared" si="4"/>
        <v>2082</v>
      </c>
      <c r="O6" s="6">
        <v>2082</v>
      </c>
      <c r="P6" s="8">
        <f t="shared" si="5"/>
        <v>2.8063837817436781</v>
      </c>
    </row>
    <row r="7" spans="1:16" x14ac:dyDescent="0.25">
      <c r="A7">
        <v>13601</v>
      </c>
      <c r="B7" s="4">
        <v>81838</v>
      </c>
      <c r="C7" t="s">
        <v>5</v>
      </c>
      <c r="D7">
        <v>0</v>
      </c>
      <c r="E7" s="8">
        <f t="shared" si="0"/>
        <v>0</v>
      </c>
      <c r="F7">
        <v>33</v>
      </c>
      <c r="G7" s="8">
        <f t="shared" si="6"/>
        <v>4.0323566069552043E-2</v>
      </c>
      <c r="H7">
        <f>224-33</f>
        <v>191</v>
      </c>
      <c r="I7" s="8">
        <f t="shared" si="1"/>
        <v>0.23338791270558912</v>
      </c>
      <c r="J7">
        <f>1146-224</f>
        <v>922</v>
      </c>
      <c r="K7" s="8">
        <f t="shared" si="2"/>
        <v>1.1266159974583934</v>
      </c>
      <c r="L7">
        <f>1645-1146</f>
        <v>499</v>
      </c>
      <c r="M7" s="8">
        <f t="shared" si="3"/>
        <v>0.60974119602140819</v>
      </c>
      <c r="N7">
        <f t="shared" si="4"/>
        <v>1645</v>
      </c>
      <c r="O7" s="6">
        <v>1645</v>
      </c>
      <c r="P7" s="8">
        <f t="shared" si="5"/>
        <v>2.0100686722549428</v>
      </c>
    </row>
    <row r="8" spans="1:16" x14ac:dyDescent="0.25">
      <c r="A8">
        <v>13401</v>
      </c>
      <c r="B8" s="4">
        <v>334836</v>
      </c>
      <c r="C8" t="s">
        <v>6</v>
      </c>
      <c r="D8">
        <v>32</v>
      </c>
      <c r="E8" s="8">
        <f t="shared" si="0"/>
        <v>9.5569174162873759E-3</v>
      </c>
      <c r="F8">
        <f>372-32</f>
        <v>340</v>
      </c>
      <c r="G8" s="8">
        <f t="shared" si="6"/>
        <v>0.10154224754805338</v>
      </c>
      <c r="H8">
        <f>2539-372</f>
        <v>2167</v>
      </c>
      <c r="I8" s="8">
        <f t="shared" si="1"/>
        <v>0.64718250128421084</v>
      </c>
      <c r="J8">
        <f>8626-2539</f>
        <v>6087</v>
      </c>
      <c r="K8" s="8">
        <f t="shared" si="2"/>
        <v>1.8179048847794144</v>
      </c>
      <c r="L8">
        <f>10789-8626</f>
        <v>2163</v>
      </c>
      <c r="M8" s="8">
        <f t="shared" si="3"/>
        <v>0.64598788660717488</v>
      </c>
      <c r="N8">
        <f t="shared" si="4"/>
        <v>10789</v>
      </c>
      <c r="O8" s="6">
        <v>10789</v>
      </c>
      <c r="P8" s="8">
        <f t="shared" si="5"/>
        <v>3.2221744376351404</v>
      </c>
    </row>
    <row r="9" spans="1:16" x14ac:dyDescent="0.25">
      <c r="A9">
        <v>13404</v>
      </c>
      <c r="B9" s="4">
        <v>82766</v>
      </c>
      <c r="C9" t="s">
        <v>7</v>
      </c>
      <c r="D9">
        <v>0</v>
      </c>
      <c r="E9" s="8">
        <f t="shared" si="0"/>
        <v>0</v>
      </c>
      <c r="F9">
        <v>15</v>
      </c>
      <c r="G9" s="8">
        <f t="shared" si="6"/>
        <v>1.8123383998260155E-2</v>
      </c>
      <c r="H9">
        <f>273-15</f>
        <v>258</v>
      </c>
      <c r="I9" s="8">
        <f t="shared" si="1"/>
        <v>0.31172220477007467</v>
      </c>
      <c r="J9">
        <f>1266-273</f>
        <v>993</v>
      </c>
      <c r="K9" s="8">
        <f t="shared" si="2"/>
        <v>1.1997680206848222</v>
      </c>
      <c r="L9">
        <f>1823-1266</f>
        <v>557</v>
      </c>
      <c r="M9" s="8">
        <f t="shared" si="3"/>
        <v>0.67298165913539376</v>
      </c>
      <c r="N9">
        <f t="shared" si="4"/>
        <v>1823</v>
      </c>
      <c r="O9" s="6">
        <v>1823</v>
      </c>
      <c r="P9" s="8">
        <f t="shared" si="5"/>
        <v>2.202595268588551</v>
      </c>
    </row>
    <row r="10" spans="1:16" x14ac:dyDescent="0.25">
      <c r="A10">
        <v>13402</v>
      </c>
      <c r="B10" s="4">
        <v>109641</v>
      </c>
      <c r="C10" t="s">
        <v>8</v>
      </c>
      <c r="D10">
        <v>7</v>
      </c>
      <c r="E10" s="8">
        <f t="shared" si="0"/>
        <v>6.384472961757006E-3</v>
      </c>
      <c r="F10">
        <f>60-7</f>
        <v>53</v>
      </c>
      <c r="G10" s="8">
        <f t="shared" si="6"/>
        <v>4.8339580996160196E-2</v>
      </c>
      <c r="H10">
        <f>471-60</f>
        <v>411</v>
      </c>
      <c r="I10" s="8">
        <f t="shared" si="1"/>
        <v>0.37485976961173284</v>
      </c>
      <c r="J10">
        <f>1701-471</f>
        <v>1230</v>
      </c>
      <c r="K10" s="8">
        <f t="shared" si="2"/>
        <v>1.1218431061373026</v>
      </c>
      <c r="L10">
        <f>2296-1701</f>
        <v>595</v>
      </c>
      <c r="M10" s="8">
        <f t="shared" si="3"/>
        <v>0.54268020174934561</v>
      </c>
      <c r="N10">
        <f t="shared" si="4"/>
        <v>2296</v>
      </c>
      <c r="O10" s="6">
        <v>2296</v>
      </c>
      <c r="P10" s="8">
        <f t="shared" si="5"/>
        <v>2.094107131456298</v>
      </c>
    </row>
    <row r="11" spans="1:16" x14ac:dyDescent="0.25">
      <c r="A11">
        <v>13302</v>
      </c>
      <c r="B11" s="4">
        <v>126898</v>
      </c>
      <c r="C11" t="s">
        <v>9</v>
      </c>
      <c r="D11">
        <v>10</v>
      </c>
      <c r="E11" s="8">
        <f t="shared" si="0"/>
        <v>7.8803448438903682E-3</v>
      </c>
      <c r="F11">
        <f>68-10</f>
        <v>58</v>
      </c>
      <c r="G11" s="8">
        <f t="shared" si="6"/>
        <v>4.5706000094564138E-2</v>
      </c>
      <c r="H11">
        <f xml:space="preserve"> 864-68</f>
        <v>796</v>
      </c>
      <c r="I11" s="8">
        <f t="shared" si="1"/>
        <v>0.62727544957367332</v>
      </c>
      <c r="J11">
        <f>2778- 864</f>
        <v>1914</v>
      </c>
      <c r="K11" s="8">
        <f t="shared" si="2"/>
        <v>1.5082980031206166</v>
      </c>
      <c r="L11">
        <f>3411- 2778</f>
        <v>633</v>
      </c>
      <c r="M11" s="8">
        <f t="shared" si="3"/>
        <v>0.49882582861826036</v>
      </c>
      <c r="N11">
        <f t="shared" si="4"/>
        <v>3411</v>
      </c>
      <c r="O11" s="6">
        <v>3411</v>
      </c>
      <c r="P11" s="8">
        <f t="shared" si="5"/>
        <v>2.6879856262510051</v>
      </c>
    </row>
    <row r="12" spans="1:16" x14ac:dyDescent="0.25">
      <c r="A12">
        <v>13301</v>
      </c>
      <c r="B12" s="4">
        <v>180353</v>
      </c>
      <c r="C12" t="s">
        <v>10</v>
      </c>
      <c r="D12">
        <v>32</v>
      </c>
      <c r="E12" s="8">
        <f t="shared" si="0"/>
        <v>1.7742981818988316E-2</v>
      </c>
      <c r="F12">
        <f>103-32</f>
        <v>71</v>
      </c>
      <c r="G12" s="8">
        <f t="shared" si="6"/>
        <v>3.9367240910880327E-2</v>
      </c>
      <c r="H12">
        <f>1259-103</f>
        <v>1156</v>
      </c>
      <c r="I12" s="8">
        <f t="shared" si="1"/>
        <v>0.64096521821095298</v>
      </c>
      <c r="J12">
        <f>3837-1259</f>
        <v>2578</v>
      </c>
      <c r="K12" s="8">
        <f t="shared" si="2"/>
        <v>1.4294189727922462</v>
      </c>
      <c r="L12">
        <f>4496-3837</f>
        <v>659</v>
      </c>
      <c r="M12" s="8">
        <f t="shared" si="3"/>
        <v>0.36539453183479065</v>
      </c>
      <c r="N12">
        <f t="shared" si="4"/>
        <v>4496</v>
      </c>
      <c r="O12" s="6">
        <v>4496</v>
      </c>
      <c r="P12" s="8">
        <f t="shared" si="5"/>
        <v>2.4928889455678584</v>
      </c>
    </row>
    <row r="13" spans="1:16" x14ac:dyDescent="0.25">
      <c r="A13">
        <v>13501</v>
      </c>
      <c r="B13" s="4">
        <v>141612</v>
      </c>
      <c r="C13" t="s">
        <v>11</v>
      </c>
      <c r="D13">
        <v>6</v>
      </c>
      <c r="E13" s="8">
        <f t="shared" si="0"/>
        <v>4.2369290738073044E-3</v>
      </c>
      <c r="F13">
        <f>48-6</f>
        <v>42</v>
      </c>
      <c r="G13" s="8">
        <f t="shared" si="6"/>
        <v>2.9658503516651134E-2</v>
      </c>
      <c r="H13">
        <f>533-48</f>
        <v>485</v>
      </c>
      <c r="I13" s="8">
        <f t="shared" si="1"/>
        <v>0.34248510013275713</v>
      </c>
      <c r="J13">
        <f>2673-533</f>
        <v>2140</v>
      </c>
      <c r="K13" s="8">
        <f t="shared" si="2"/>
        <v>1.5111713696579387</v>
      </c>
      <c r="L13">
        <f>3746-2673</f>
        <v>1073</v>
      </c>
      <c r="M13" s="8">
        <f t="shared" si="3"/>
        <v>0.75770414936587294</v>
      </c>
      <c r="N13">
        <f t="shared" si="4"/>
        <v>3746</v>
      </c>
      <c r="O13" s="6">
        <v>3746</v>
      </c>
      <c r="P13" s="8">
        <f t="shared" si="5"/>
        <v>2.6452560517470269</v>
      </c>
    </row>
    <row r="14" spans="1:16" x14ac:dyDescent="0.25">
      <c r="A14">
        <v>13101</v>
      </c>
      <c r="B14" s="4">
        <v>503147</v>
      </c>
      <c r="C14" t="s">
        <v>12</v>
      </c>
      <c r="D14">
        <v>127</v>
      </c>
      <c r="E14" s="8">
        <f t="shared" si="0"/>
        <v>2.5241132313220591E-2</v>
      </c>
      <c r="F14">
        <f>700-127</f>
        <v>573</v>
      </c>
      <c r="G14" s="8">
        <f t="shared" si="6"/>
        <v>0.11388321901949132</v>
      </c>
      <c r="H14">
        <f>5617-700</f>
        <v>4917</v>
      </c>
      <c r="I14" s="8">
        <f t="shared" si="1"/>
        <v>0.977249193575635</v>
      </c>
      <c r="J14">
        <f>12481-5617</f>
        <v>6864</v>
      </c>
      <c r="K14" s="8">
        <f t="shared" si="2"/>
        <v>1.3642136393539066</v>
      </c>
      <c r="L14">
        <f>14541-12481</f>
        <v>2060</v>
      </c>
      <c r="M14" s="8">
        <f t="shared" si="3"/>
        <v>0.40942309106483787</v>
      </c>
      <c r="N14">
        <f t="shared" si="4"/>
        <v>14541</v>
      </c>
      <c r="O14" s="6">
        <v>14541</v>
      </c>
      <c r="P14" s="8">
        <f t="shared" si="5"/>
        <v>2.8900102753270911</v>
      </c>
    </row>
    <row r="15" spans="1:16" x14ac:dyDescent="0.25">
      <c r="A15">
        <v>13102</v>
      </c>
      <c r="B15" s="4">
        <v>88956</v>
      </c>
      <c r="C15" t="s">
        <v>13</v>
      </c>
      <c r="D15">
        <v>0</v>
      </c>
      <c r="E15" s="8">
        <f t="shared" si="0"/>
        <v>0</v>
      </c>
      <c r="F15">
        <v>80</v>
      </c>
      <c r="G15" s="8">
        <f t="shared" si="6"/>
        <v>8.9932101263546019E-2</v>
      </c>
      <c r="H15" s="3">
        <f>876-80</f>
        <v>796</v>
      </c>
      <c r="I15" s="8">
        <f t="shared" si="1"/>
        <v>0.89482440757228299</v>
      </c>
      <c r="J15">
        <f>2384-876</f>
        <v>1508</v>
      </c>
      <c r="K15" s="8">
        <f t="shared" si="2"/>
        <v>1.6952201088178427</v>
      </c>
      <c r="L15">
        <f>2981-2384</f>
        <v>597</v>
      </c>
      <c r="M15" s="8">
        <f t="shared" si="3"/>
        <v>0.67111830567921227</v>
      </c>
      <c r="N15">
        <f t="shared" si="4"/>
        <v>2981</v>
      </c>
      <c r="O15" s="6">
        <v>2981</v>
      </c>
      <c r="P15" s="8">
        <f t="shared" si="5"/>
        <v>3.3510949233328833</v>
      </c>
    </row>
    <row r="16" spans="1:16" ht="15.75" thickBot="1" x14ac:dyDescent="0.3">
      <c r="A16">
        <v>13103</v>
      </c>
      <c r="B16" s="4">
        <v>142465</v>
      </c>
      <c r="C16" t="s">
        <v>14</v>
      </c>
      <c r="D16">
        <v>19</v>
      </c>
      <c r="E16" s="8">
        <f t="shared" si="0"/>
        <v>1.3336608991682168E-2</v>
      </c>
      <c r="F16">
        <f>135-19</f>
        <v>116</v>
      </c>
      <c r="G16" s="8">
        <f t="shared" si="6"/>
        <v>8.1423507528164824E-2</v>
      </c>
      <c r="H16">
        <f>1230-135</f>
        <v>1095</v>
      </c>
      <c r="I16" s="8">
        <f t="shared" si="1"/>
        <v>0.76860983399431437</v>
      </c>
      <c r="J16">
        <f>5152-1230</f>
        <v>3922</v>
      </c>
      <c r="K16" s="8">
        <f t="shared" si="2"/>
        <v>2.7529568665988138</v>
      </c>
      <c r="L16">
        <f>6315-5152</f>
        <v>1163</v>
      </c>
      <c r="M16" s="8">
        <f t="shared" si="3"/>
        <v>0.8163408556487558</v>
      </c>
      <c r="N16">
        <f t="shared" si="4"/>
        <v>6315</v>
      </c>
      <c r="O16" s="6">
        <v>6315</v>
      </c>
      <c r="P16" s="8">
        <f t="shared" si="5"/>
        <v>4.4326676727617311</v>
      </c>
    </row>
    <row r="17" spans="1:16" ht="15.75" thickBot="1" x14ac:dyDescent="0.3">
      <c r="A17">
        <v>13104</v>
      </c>
      <c r="B17" s="4">
        <v>139195</v>
      </c>
      <c r="C17" t="s">
        <v>15</v>
      </c>
      <c r="D17">
        <v>14</v>
      </c>
      <c r="E17" s="8">
        <f t="shared" si="0"/>
        <v>1.0057832537088258E-2</v>
      </c>
      <c r="F17">
        <f>113-14</f>
        <v>99</v>
      </c>
      <c r="G17" s="8">
        <f t="shared" si="6"/>
        <v>7.1123244369409824E-2</v>
      </c>
      <c r="H17">
        <f>1773-113</f>
        <v>1660</v>
      </c>
      <c r="I17" s="8">
        <f t="shared" si="1"/>
        <v>1.1925715722547505</v>
      </c>
      <c r="J17">
        <f>5060-1773</f>
        <v>3287</v>
      </c>
      <c r="K17" s="8">
        <f t="shared" si="2"/>
        <v>2.3614353963863643</v>
      </c>
      <c r="L17">
        <f>6012-5060</f>
        <v>952</v>
      </c>
      <c r="M17" s="8">
        <f t="shared" si="3"/>
        <v>0.68393261252200155</v>
      </c>
      <c r="N17">
        <f t="shared" si="4"/>
        <v>6012</v>
      </c>
      <c r="O17" s="7">
        <v>6012</v>
      </c>
      <c r="P17" s="8">
        <f t="shared" si="5"/>
        <v>4.3191206580696146</v>
      </c>
    </row>
    <row r="18" spans="1:16" ht="15.75" thickBot="1" x14ac:dyDescent="0.3">
      <c r="A18">
        <v>13105</v>
      </c>
      <c r="B18" s="4">
        <v>172000</v>
      </c>
      <c r="C18" t="s">
        <v>16</v>
      </c>
      <c r="D18">
        <v>18</v>
      </c>
      <c r="E18" s="8">
        <f t="shared" si="0"/>
        <v>1.0465116279069767E-2</v>
      </c>
      <c r="F18">
        <f>177-18</f>
        <v>159</v>
      </c>
      <c r="G18" s="8">
        <f t="shared" si="6"/>
        <v>9.244186046511628E-2</v>
      </c>
      <c r="H18">
        <f>1448- 177</f>
        <v>1271</v>
      </c>
      <c r="I18" s="8">
        <f t="shared" si="1"/>
        <v>0.73895348837209307</v>
      </c>
      <c r="J18">
        <f>4906-1448</f>
        <v>3458</v>
      </c>
      <c r="K18" s="8">
        <f t="shared" si="2"/>
        <v>2.0104651162790699</v>
      </c>
      <c r="L18">
        <f>6303-4906</f>
        <v>1397</v>
      </c>
      <c r="M18" s="8">
        <f t="shared" si="3"/>
        <v>0.81220930232558142</v>
      </c>
      <c r="N18">
        <f t="shared" si="4"/>
        <v>6303</v>
      </c>
      <c r="O18" s="6">
        <v>6303</v>
      </c>
      <c r="P18" s="8">
        <f t="shared" si="5"/>
        <v>3.6645348837209304</v>
      </c>
    </row>
    <row r="19" spans="1:16" ht="15.75" thickBot="1" x14ac:dyDescent="0.3">
      <c r="A19">
        <v>13106</v>
      </c>
      <c r="B19" s="4">
        <v>206792</v>
      </c>
      <c r="C19" t="s">
        <v>17</v>
      </c>
      <c r="D19">
        <v>16</v>
      </c>
      <c r="E19" s="8">
        <f t="shared" si="0"/>
        <v>7.7372432202406291E-3</v>
      </c>
      <c r="F19">
        <f>207-16</f>
        <v>191</v>
      </c>
      <c r="G19" s="8">
        <f t="shared" si="6"/>
        <v>9.236334094162249E-2</v>
      </c>
      <c r="H19">
        <f>1986-207</f>
        <v>1779</v>
      </c>
      <c r="I19" s="8">
        <f t="shared" si="1"/>
        <v>0.86028473055050481</v>
      </c>
      <c r="J19">
        <f>5180-1986</f>
        <v>3194</v>
      </c>
      <c r="K19" s="8">
        <f t="shared" si="2"/>
        <v>1.5445471778405355</v>
      </c>
      <c r="L19">
        <f>6084-5180</f>
        <v>904</v>
      </c>
      <c r="M19" s="8">
        <f t="shared" si="3"/>
        <v>0.43715424194359548</v>
      </c>
      <c r="N19">
        <f t="shared" si="4"/>
        <v>6084</v>
      </c>
      <c r="O19" s="7">
        <v>6084</v>
      </c>
      <c r="P19" s="8">
        <f t="shared" si="5"/>
        <v>2.9420867344964989</v>
      </c>
    </row>
    <row r="20" spans="1:16" ht="15.75" thickBot="1" x14ac:dyDescent="0.3">
      <c r="A20">
        <v>13109</v>
      </c>
      <c r="B20" s="4">
        <v>100434</v>
      </c>
      <c r="C20" t="s">
        <v>18</v>
      </c>
      <c r="D20">
        <v>10</v>
      </c>
      <c r="E20" s="8">
        <f t="shared" si="0"/>
        <v>9.9567875420674273E-3</v>
      </c>
      <c r="F20">
        <f>84-10</f>
        <v>74</v>
      </c>
      <c r="G20" s="8">
        <f t="shared" si="6"/>
        <v>7.3680227811298959E-2</v>
      </c>
      <c r="H20">
        <f>845-84</f>
        <v>761</v>
      </c>
      <c r="I20" s="8">
        <f t="shared" si="1"/>
        <v>0.75771153195133123</v>
      </c>
      <c r="J20">
        <f>2615-845</f>
        <v>1770</v>
      </c>
      <c r="K20" s="8">
        <f t="shared" si="2"/>
        <v>1.7623513949459344</v>
      </c>
      <c r="L20">
        <f>3126-2615</f>
        <v>511</v>
      </c>
      <c r="M20" s="8">
        <f t="shared" si="3"/>
        <v>0.50879184339964556</v>
      </c>
      <c r="N20">
        <f t="shared" si="4"/>
        <v>3126</v>
      </c>
      <c r="O20" s="6">
        <v>3126</v>
      </c>
      <c r="P20" s="8">
        <f t="shared" si="5"/>
        <v>3.1124917856502776</v>
      </c>
    </row>
    <row r="21" spans="1:16" ht="15.75" thickBot="1" x14ac:dyDescent="0.3">
      <c r="A21">
        <v>13110</v>
      </c>
      <c r="B21" s="4">
        <v>402433</v>
      </c>
      <c r="C21" t="s">
        <v>19</v>
      </c>
      <c r="D21">
        <v>43</v>
      </c>
      <c r="E21" s="8">
        <f t="shared" si="0"/>
        <v>1.0685008436186893E-2</v>
      </c>
      <c r="F21">
        <f>328-43</f>
        <v>285</v>
      </c>
      <c r="G21" s="8">
        <f t="shared" si="6"/>
        <v>7.0819241960773605E-2</v>
      </c>
      <c r="H21">
        <f>3927-328</f>
        <v>3599</v>
      </c>
      <c r="I21" s="8">
        <f t="shared" si="1"/>
        <v>0.89431035725201469</v>
      </c>
      <c r="J21">
        <f>11143-3927</f>
        <v>7216</v>
      </c>
      <c r="K21" s="8">
        <f t="shared" si="2"/>
        <v>1.7930935087331308</v>
      </c>
      <c r="L21">
        <f>13274-11143</f>
        <v>2131</v>
      </c>
      <c r="M21" s="8">
        <f t="shared" si="3"/>
        <v>0.52952913901195975</v>
      </c>
      <c r="N21">
        <f t="shared" si="4"/>
        <v>13274</v>
      </c>
      <c r="O21" s="7">
        <v>13274</v>
      </c>
      <c r="P21" s="8">
        <f t="shared" si="5"/>
        <v>3.2984372553940657</v>
      </c>
    </row>
    <row r="22" spans="1:16" x14ac:dyDescent="0.25">
      <c r="A22">
        <v>13111</v>
      </c>
      <c r="B22" s="4">
        <v>122557</v>
      </c>
      <c r="C22" t="s">
        <v>20</v>
      </c>
      <c r="D22">
        <v>5</v>
      </c>
      <c r="E22" s="8">
        <f t="shared" si="0"/>
        <v>4.07973432770058E-3</v>
      </c>
      <c r="F22">
        <f>95-5</f>
        <v>90</v>
      </c>
      <c r="G22" s="8">
        <f t="shared" si="6"/>
        <v>7.3435217898610447E-2</v>
      </c>
      <c r="H22">
        <f>2206-95</f>
        <v>2111</v>
      </c>
      <c r="I22" s="8">
        <f t="shared" si="1"/>
        <v>1.7224638331551849</v>
      </c>
      <c r="J22">
        <f>5868-2206</f>
        <v>3662</v>
      </c>
      <c r="K22" s="8">
        <f t="shared" si="2"/>
        <v>2.987997421607905</v>
      </c>
      <c r="L22">
        <f>6876-5868</f>
        <v>1008</v>
      </c>
      <c r="M22" s="8">
        <f t="shared" si="3"/>
        <v>0.82247444046443696</v>
      </c>
      <c r="N22">
        <f t="shared" si="4"/>
        <v>6876</v>
      </c>
      <c r="O22" s="6">
        <v>6876</v>
      </c>
      <c r="P22" s="8">
        <f t="shared" si="5"/>
        <v>5.6104506474538383</v>
      </c>
    </row>
    <row r="23" spans="1:16" x14ac:dyDescent="0.25">
      <c r="A23">
        <v>13112</v>
      </c>
      <c r="B23" s="4">
        <v>189335</v>
      </c>
      <c r="C23" t="s">
        <v>21</v>
      </c>
      <c r="D23">
        <v>0</v>
      </c>
      <c r="E23" s="8">
        <f t="shared" si="0"/>
        <v>0</v>
      </c>
      <c r="F23">
        <v>195</v>
      </c>
      <c r="G23" s="8">
        <f t="shared" si="6"/>
        <v>0.10299205112631052</v>
      </c>
      <c r="H23">
        <f>2379-195</f>
        <v>2184</v>
      </c>
      <c r="I23" s="8">
        <f t="shared" si="1"/>
        <v>1.1535109726146777</v>
      </c>
      <c r="J23">
        <f>7928-2379</f>
        <v>5549</v>
      </c>
      <c r="K23" s="8">
        <f t="shared" si="2"/>
        <v>2.9307840599994717</v>
      </c>
      <c r="L23">
        <f>9879-7928</f>
        <v>1951</v>
      </c>
      <c r="M23" s="8">
        <f t="shared" si="3"/>
        <v>1.0304486756278552</v>
      </c>
      <c r="N23">
        <f t="shared" si="4"/>
        <v>9879</v>
      </c>
      <c r="O23" s="6">
        <v>9879</v>
      </c>
      <c r="P23" s="8">
        <f t="shared" si="5"/>
        <v>5.2177357593683151</v>
      </c>
    </row>
    <row r="24" spans="1:16" x14ac:dyDescent="0.25">
      <c r="A24">
        <v>13113</v>
      </c>
      <c r="B24" s="4">
        <v>100252</v>
      </c>
      <c r="C24" t="s">
        <v>22</v>
      </c>
      <c r="D24">
        <v>24</v>
      </c>
      <c r="E24" s="8">
        <f t="shared" si="0"/>
        <v>2.3939672026493237E-2</v>
      </c>
      <c r="F24">
        <f>84-24</f>
        <v>60</v>
      </c>
      <c r="G24" s="8">
        <f t="shared" si="6"/>
        <v>5.9849180066233097E-2</v>
      </c>
      <c r="H24">
        <f>644-84</f>
        <v>560</v>
      </c>
      <c r="I24" s="8">
        <f t="shared" si="1"/>
        <v>0.55859234728484219</v>
      </c>
      <c r="J24">
        <f>1766-644</f>
        <v>1122</v>
      </c>
      <c r="K24" s="8">
        <f t="shared" si="2"/>
        <v>1.1191796672385588</v>
      </c>
      <c r="L24">
        <f>2152-1766</f>
        <v>386</v>
      </c>
      <c r="M24" s="8">
        <f t="shared" si="3"/>
        <v>0.38502972509276623</v>
      </c>
      <c r="N24">
        <f t="shared" si="4"/>
        <v>2152</v>
      </c>
      <c r="O24" s="6">
        <v>2152</v>
      </c>
      <c r="P24" s="8">
        <f t="shared" si="5"/>
        <v>2.1465905917088937</v>
      </c>
    </row>
    <row r="25" spans="1:16" x14ac:dyDescent="0.25">
      <c r="A25">
        <v>13116</v>
      </c>
      <c r="B25" s="4">
        <v>103865</v>
      </c>
      <c r="C25" t="s">
        <v>23</v>
      </c>
      <c r="D25">
        <v>4</v>
      </c>
      <c r="E25" s="8">
        <f t="shared" si="0"/>
        <v>3.8511529389110869E-3</v>
      </c>
      <c r="F25">
        <f>100-4</f>
        <v>96</v>
      </c>
      <c r="G25" s="8">
        <f t="shared" si="6"/>
        <v>9.242767053386608E-2</v>
      </c>
      <c r="H25">
        <f>1061-100</f>
        <v>961</v>
      </c>
      <c r="I25" s="8">
        <f t="shared" si="1"/>
        <v>0.92523949357338853</v>
      </c>
      <c r="J25">
        <f>3369-1061</f>
        <v>2308</v>
      </c>
      <c r="K25" s="8">
        <f t="shared" si="2"/>
        <v>2.2221152457516968</v>
      </c>
      <c r="L25">
        <f>4137-3369</f>
        <v>768</v>
      </c>
      <c r="M25" s="8">
        <f t="shared" si="3"/>
        <v>0.73942136427092864</v>
      </c>
      <c r="N25">
        <f t="shared" si="4"/>
        <v>4137</v>
      </c>
      <c r="O25" s="6">
        <v>4137</v>
      </c>
      <c r="P25" s="8">
        <f t="shared" si="5"/>
        <v>3.9830549270687907</v>
      </c>
    </row>
    <row r="26" spans="1:16" x14ac:dyDescent="0.25">
      <c r="A26">
        <v>13117</v>
      </c>
      <c r="B26" s="4">
        <v>104403</v>
      </c>
      <c r="C26" t="s">
        <v>24</v>
      </c>
      <c r="D26">
        <v>14</v>
      </c>
      <c r="E26" s="8">
        <f t="shared" si="0"/>
        <v>1.3409576353169927E-2</v>
      </c>
      <c r="F26">
        <f>111-14</f>
        <v>97</v>
      </c>
      <c r="G26" s="8">
        <f t="shared" si="6"/>
        <v>9.2909207589820214E-2</v>
      </c>
      <c r="H26">
        <f>900-111</f>
        <v>789</v>
      </c>
      <c r="I26" s="8">
        <f t="shared" si="1"/>
        <v>0.75572541018936235</v>
      </c>
      <c r="J26">
        <f>3774-900</f>
        <v>2874</v>
      </c>
      <c r="K26" s="8">
        <f t="shared" si="2"/>
        <v>2.7527944599293126</v>
      </c>
      <c r="L26">
        <f>4736-3774</f>
        <v>962</v>
      </c>
      <c r="M26" s="8">
        <f t="shared" si="3"/>
        <v>0.92142946083924782</v>
      </c>
      <c r="N26">
        <f t="shared" si="4"/>
        <v>4736</v>
      </c>
      <c r="O26" s="6">
        <v>4736</v>
      </c>
      <c r="P26" s="8">
        <f t="shared" si="5"/>
        <v>4.5362681149009125</v>
      </c>
    </row>
    <row r="27" spans="1:16" ht="15.75" thickBot="1" x14ac:dyDescent="0.3">
      <c r="A27">
        <v>13118</v>
      </c>
      <c r="B27" s="4">
        <v>134635</v>
      </c>
      <c r="C27" t="s">
        <v>25</v>
      </c>
      <c r="D27">
        <v>10</v>
      </c>
      <c r="E27" s="8">
        <f t="shared" si="0"/>
        <v>7.427489137297137E-3</v>
      </c>
      <c r="F27">
        <f>110-10</f>
        <v>100</v>
      </c>
      <c r="G27" s="8">
        <f t="shared" si="6"/>
        <v>7.4274891372971358E-2</v>
      </c>
      <c r="H27">
        <f>1412-110</f>
        <v>1302</v>
      </c>
      <c r="I27" s="8">
        <f t="shared" si="1"/>
        <v>0.96705908567608723</v>
      </c>
      <c r="J27">
        <f>4050-1412</f>
        <v>2638</v>
      </c>
      <c r="K27" s="8">
        <f t="shared" si="2"/>
        <v>1.9593716344189847</v>
      </c>
      <c r="L27">
        <f>4808-4050</f>
        <v>758</v>
      </c>
      <c r="M27" s="8">
        <f t="shared" si="3"/>
        <v>0.56300367660712292</v>
      </c>
      <c r="N27">
        <f t="shared" si="4"/>
        <v>4808</v>
      </c>
      <c r="O27" s="6">
        <v>4808</v>
      </c>
      <c r="P27" s="8">
        <f t="shared" si="5"/>
        <v>3.5711367772124634</v>
      </c>
    </row>
    <row r="28" spans="1:16" ht="15.75" thickBot="1" x14ac:dyDescent="0.3">
      <c r="A28">
        <v>13120</v>
      </c>
      <c r="B28" s="4">
        <v>250192</v>
      </c>
      <c r="C28" t="s">
        <v>26</v>
      </c>
      <c r="D28">
        <v>67</v>
      </c>
      <c r="E28" s="8">
        <f t="shared" si="0"/>
        <v>2.6779433395152524E-2</v>
      </c>
      <c r="F28">
        <f>291-67</f>
        <v>224</v>
      </c>
      <c r="G28" s="8">
        <f t="shared" si="6"/>
        <v>8.9531240007674109E-2</v>
      </c>
      <c r="H28">
        <f xml:space="preserve"> 1662-291</f>
        <v>1371</v>
      </c>
      <c r="I28" s="8">
        <f t="shared" si="1"/>
        <v>0.54797915201125535</v>
      </c>
      <c r="J28">
        <f>4532-1662</f>
        <v>2870</v>
      </c>
      <c r="K28" s="8">
        <f t="shared" si="2"/>
        <v>1.1471190125983246</v>
      </c>
      <c r="L28">
        <f>5283-4532</f>
        <v>751</v>
      </c>
      <c r="M28" s="8">
        <f t="shared" si="3"/>
        <v>0.30016946984715742</v>
      </c>
      <c r="N28">
        <f t="shared" si="4"/>
        <v>5283</v>
      </c>
      <c r="O28" s="7">
        <v>5283</v>
      </c>
      <c r="P28" s="8">
        <f t="shared" si="5"/>
        <v>2.1115783078595638</v>
      </c>
    </row>
    <row r="29" spans="1:16" x14ac:dyDescent="0.25">
      <c r="A29">
        <v>13121</v>
      </c>
      <c r="B29" s="4">
        <v>107803</v>
      </c>
      <c r="C29" t="s">
        <v>27</v>
      </c>
      <c r="D29">
        <v>7</v>
      </c>
      <c r="E29" s="8">
        <f t="shared" si="0"/>
        <v>6.4933257887071789E-3</v>
      </c>
      <c r="F29">
        <f>129-7</f>
        <v>122</v>
      </c>
      <c r="G29" s="8">
        <f t="shared" si="6"/>
        <v>0.11316939231746798</v>
      </c>
      <c r="H29">
        <f>1149-129</f>
        <v>1020</v>
      </c>
      <c r="I29" s="8">
        <f t="shared" si="1"/>
        <v>0.94617032921161748</v>
      </c>
      <c r="J29">
        <f>3439-1149</f>
        <v>2290</v>
      </c>
      <c r="K29" s="8">
        <f t="shared" si="2"/>
        <v>2.124245150877063</v>
      </c>
      <c r="L29">
        <f>4219-3439</f>
        <v>780</v>
      </c>
      <c r="M29" s="8">
        <f t="shared" si="3"/>
        <v>0.72354201645594274</v>
      </c>
      <c r="N29">
        <f t="shared" si="4"/>
        <v>4219</v>
      </c>
      <c r="O29" s="6">
        <v>4219</v>
      </c>
      <c r="P29" s="8">
        <f t="shared" si="5"/>
        <v>3.9136202146507983</v>
      </c>
    </row>
    <row r="30" spans="1:16" x14ac:dyDescent="0.25">
      <c r="A30">
        <v>13122</v>
      </c>
      <c r="B30" s="4">
        <v>266798</v>
      </c>
      <c r="C30" t="s">
        <v>28</v>
      </c>
      <c r="D30">
        <v>31</v>
      </c>
      <c r="E30" s="8">
        <f t="shared" si="0"/>
        <v>1.1619277505828378E-2</v>
      </c>
      <c r="F30">
        <f>254-31</f>
        <v>223</v>
      </c>
      <c r="G30" s="8">
        <f t="shared" si="6"/>
        <v>8.3583834961281564E-2</v>
      </c>
      <c r="H30">
        <f>3505-254</f>
        <v>3251</v>
      </c>
      <c r="I30" s="8">
        <f t="shared" si="1"/>
        <v>1.2185248764983245</v>
      </c>
      <c r="J30">
        <f>9745-3505</f>
        <v>6240</v>
      </c>
      <c r="K30" s="8">
        <f t="shared" si="2"/>
        <v>2.3388481173022289</v>
      </c>
      <c r="L30">
        <f>11478-9745</f>
        <v>1733</v>
      </c>
      <c r="M30" s="8">
        <f t="shared" si="3"/>
        <v>0.64955509411614776</v>
      </c>
      <c r="N30">
        <f t="shared" si="4"/>
        <v>11478</v>
      </c>
      <c r="O30" s="6">
        <v>11478</v>
      </c>
      <c r="P30" s="8">
        <f t="shared" si="5"/>
        <v>4.302131200383811</v>
      </c>
    </row>
    <row r="31" spans="1:16" x14ac:dyDescent="0.25">
      <c r="A31">
        <v>13123</v>
      </c>
      <c r="B31" s="4">
        <v>157749</v>
      </c>
      <c r="C31" t="s">
        <v>29</v>
      </c>
      <c r="D31">
        <v>82</v>
      </c>
      <c r="E31" s="8">
        <f t="shared" si="0"/>
        <v>5.1981312084387228E-2</v>
      </c>
      <c r="F31">
        <f>200-82</f>
        <v>118</v>
      </c>
      <c r="G31" s="8">
        <f t="shared" si="6"/>
        <v>7.4802375926313322E-2</v>
      </c>
      <c r="H31">
        <f>1071-200</f>
        <v>871</v>
      </c>
      <c r="I31" s="8">
        <f t="shared" si="1"/>
        <v>0.55214296128660079</v>
      </c>
      <c r="J31">
        <f>2515-1071</f>
        <v>1444</v>
      </c>
      <c r="K31" s="8">
        <f t="shared" si="2"/>
        <v>0.91537822743725794</v>
      </c>
      <c r="L31">
        <f>3112-2515</f>
        <v>597</v>
      </c>
      <c r="M31" s="8">
        <f t="shared" si="3"/>
        <v>0.37844930871194116</v>
      </c>
      <c r="N31">
        <f t="shared" si="4"/>
        <v>3112</v>
      </c>
      <c r="O31" s="6">
        <v>3112</v>
      </c>
      <c r="P31" s="8">
        <f t="shared" si="5"/>
        <v>1.9727541854465003</v>
      </c>
    </row>
    <row r="32" spans="1:16" ht="15.75" thickBot="1" x14ac:dyDescent="0.3">
      <c r="A32">
        <v>13126</v>
      </c>
      <c r="B32" s="4">
        <v>136368</v>
      </c>
      <c r="C32" t="s">
        <v>30</v>
      </c>
      <c r="D32">
        <v>21</v>
      </c>
      <c r="E32" s="8">
        <f t="shared" si="0"/>
        <v>1.5399507215769097E-2</v>
      </c>
      <c r="F32">
        <f>194-21</f>
        <v>173</v>
      </c>
      <c r="G32" s="8">
        <f t="shared" si="6"/>
        <v>0.12686260706324065</v>
      </c>
      <c r="H32">
        <f>1255-194</f>
        <v>1061</v>
      </c>
      <c r="I32" s="8">
        <f t="shared" si="1"/>
        <v>0.77804176933004809</v>
      </c>
      <c r="J32">
        <f>4660-1255</f>
        <v>3405</v>
      </c>
      <c r="K32" s="8">
        <f t="shared" si="2"/>
        <v>2.496920098556846</v>
      </c>
      <c r="L32">
        <f>5777-4660</f>
        <v>1117</v>
      </c>
      <c r="M32" s="8">
        <f t="shared" si="3"/>
        <v>0.81910712190543244</v>
      </c>
      <c r="N32">
        <f t="shared" si="4"/>
        <v>5777</v>
      </c>
      <c r="O32" s="6">
        <v>5777</v>
      </c>
      <c r="P32" s="8">
        <f t="shared" si="5"/>
        <v>4.2363311040713363</v>
      </c>
    </row>
    <row r="33" spans="1:16" ht="15.75" thickBot="1" x14ac:dyDescent="0.3">
      <c r="A33">
        <v>13127</v>
      </c>
      <c r="B33" s="4">
        <v>190075</v>
      </c>
      <c r="C33" t="s">
        <v>31</v>
      </c>
      <c r="D33">
        <v>17</v>
      </c>
      <c r="E33" s="8">
        <f t="shared" si="0"/>
        <v>8.9438379587005127E-3</v>
      </c>
      <c r="F33">
        <f>226-17</f>
        <v>209</v>
      </c>
      <c r="G33" s="8">
        <f t="shared" si="6"/>
        <v>0.10995659608049455</v>
      </c>
      <c r="H33">
        <f>3287-226</f>
        <v>3061</v>
      </c>
      <c r="I33" s="8">
        <f t="shared" si="1"/>
        <v>1.6104169406813098</v>
      </c>
      <c r="J33">
        <f>7311-3287</f>
        <v>4024</v>
      </c>
      <c r="K33" s="8">
        <f t="shared" si="2"/>
        <v>2.1170590556359334</v>
      </c>
      <c r="L33">
        <f>8275-7311</f>
        <v>964</v>
      </c>
      <c r="M33" s="8">
        <f t="shared" si="3"/>
        <v>0.50716822306984088</v>
      </c>
      <c r="N33">
        <f t="shared" si="4"/>
        <v>8275</v>
      </c>
      <c r="O33" s="7">
        <v>8275</v>
      </c>
      <c r="P33" s="8">
        <f t="shared" si="5"/>
        <v>4.3535446534262796</v>
      </c>
    </row>
    <row r="34" spans="1:16" x14ac:dyDescent="0.25">
      <c r="A34">
        <v>13128</v>
      </c>
      <c r="B34" s="4">
        <v>160847</v>
      </c>
      <c r="C34" t="s">
        <v>32</v>
      </c>
      <c r="D34">
        <v>9</v>
      </c>
      <c r="E34" s="8">
        <f t="shared" si="0"/>
        <v>5.595379459983711E-3</v>
      </c>
      <c r="F34">
        <f>131-9</f>
        <v>122</v>
      </c>
      <c r="G34" s="8">
        <f t="shared" si="6"/>
        <v>7.5848477124223643E-2</v>
      </c>
      <c r="H34">
        <f xml:space="preserve"> 1374-131</f>
        <v>1243</v>
      </c>
      <c r="I34" s="8">
        <f t="shared" si="1"/>
        <v>0.7727840743066392</v>
      </c>
      <c r="J34">
        <f>5997- 1374</f>
        <v>4623</v>
      </c>
      <c r="K34" s="8">
        <f t="shared" si="2"/>
        <v>2.8741599159449667</v>
      </c>
      <c r="L34">
        <f>8171-5997</f>
        <v>2174</v>
      </c>
      <c r="M34" s="8">
        <f t="shared" si="3"/>
        <v>1.3515949940005096</v>
      </c>
      <c r="N34">
        <f t="shared" si="4"/>
        <v>8171</v>
      </c>
      <c r="O34" s="6">
        <v>8171</v>
      </c>
      <c r="P34" s="8">
        <f t="shared" si="5"/>
        <v>5.0799828408363235</v>
      </c>
    </row>
    <row r="35" spans="1:16" x14ac:dyDescent="0.25">
      <c r="A35">
        <v>13129</v>
      </c>
      <c r="B35" s="4">
        <v>103485</v>
      </c>
      <c r="C35" t="s">
        <v>33</v>
      </c>
      <c r="D35">
        <v>13</v>
      </c>
      <c r="E35" s="8">
        <f t="shared" si="0"/>
        <v>1.2562207083152149E-2</v>
      </c>
      <c r="F35">
        <f>149-13</f>
        <v>136</v>
      </c>
      <c r="G35" s="8">
        <f t="shared" si="6"/>
        <v>0.13142001256220709</v>
      </c>
      <c r="H35">
        <f>1603-149</f>
        <v>1454</v>
      </c>
      <c r="I35" s="8">
        <f t="shared" si="1"/>
        <v>1.4050345460694786</v>
      </c>
      <c r="J35">
        <f>3937-1603</f>
        <v>2334</v>
      </c>
      <c r="K35" s="8">
        <f t="shared" si="2"/>
        <v>2.2553993332367011</v>
      </c>
      <c r="L35">
        <f>4842-3937</f>
        <v>905</v>
      </c>
      <c r="M35" s="8">
        <f t="shared" si="3"/>
        <v>0.87452287771174564</v>
      </c>
      <c r="N35">
        <f t="shared" si="4"/>
        <v>4842</v>
      </c>
      <c r="O35" s="6">
        <v>4842</v>
      </c>
      <c r="P35" s="8">
        <f t="shared" si="5"/>
        <v>4.678938976663285</v>
      </c>
    </row>
    <row r="36" spans="1:16" x14ac:dyDescent="0.25">
      <c r="A36">
        <v>13130</v>
      </c>
      <c r="B36" s="4">
        <v>133059</v>
      </c>
      <c r="C36" t="s">
        <v>34</v>
      </c>
      <c r="D36">
        <v>25</v>
      </c>
      <c r="E36" s="8">
        <f t="shared" si="0"/>
        <v>1.8788657663141913E-2</v>
      </c>
      <c r="F36">
        <f>173-25</f>
        <v>148</v>
      </c>
      <c r="G36" s="8">
        <f t="shared" si="6"/>
        <v>0.11122885336580014</v>
      </c>
      <c r="H36">
        <f xml:space="preserve"> 1444-173</f>
        <v>1271</v>
      </c>
      <c r="I36" s="8">
        <f t="shared" si="1"/>
        <v>0.95521535559413495</v>
      </c>
      <c r="J36">
        <f>4249- 1444</f>
        <v>2805</v>
      </c>
      <c r="K36" s="8">
        <f t="shared" si="2"/>
        <v>2.1080873898045227</v>
      </c>
      <c r="L36">
        <f>5020-4249</f>
        <v>771</v>
      </c>
      <c r="M36" s="8">
        <f t="shared" si="3"/>
        <v>0.57944220233129662</v>
      </c>
      <c r="N36">
        <f t="shared" si="4"/>
        <v>5020</v>
      </c>
      <c r="O36" s="6">
        <v>5020</v>
      </c>
      <c r="P36" s="8">
        <f t="shared" si="5"/>
        <v>3.7727624587588964</v>
      </c>
    </row>
    <row r="37" spans="1:16" x14ac:dyDescent="0.25">
      <c r="A37">
        <v>13131</v>
      </c>
      <c r="B37" s="4">
        <v>86510</v>
      </c>
      <c r="C37" t="s">
        <v>35</v>
      </c>
      <c r="D37">
        <v>0</v>
      </c>
      <c r="E37" s="8">
        <f t="shared" si="0"/>
        <v>0</v>
      </c>
      <c r="F37">
        <f>90</f>
        <v>90</v>
      </c>
      <c r="G37" s="8">
        <f t="shared" si="6"/>
        <v>0.10403421569760722</v>
      </c>
      <c r="H37">
        <f>1543-90</f>
        <v>1453</v>
      </c>
      <c r="I37" s="8">
        <f t="shared" si="1"/>
        <v>1.6795746156513698</v>
      </c>
      <c r="J37">
        <f>3735-1543</f>
        <v>2192</v>
      </c>
      <c r="K37" s="8">
        <f t="shared" si="2"/>
        <v>2.5338111201017224</v>
      </c>
      <c r="L37">
        <f xml:space="preserve"> 4406-3735</f>
        <v>671</v>
      </c>
      <c r="M37" s="8">
        <f t="shared" si="3"/>
        <v>0.77563287481216048</v>
      </c>
      <c r="N37">
        <f t="shared" si="4"/>
        <v>4406</v>
      </c>
      <c r="O37" s="6">
        <v>4406</v>
      </c>
      <c r="P37" s="8">
        <f t="shared" si="5"/>
        <v>5.0930528262628592</v>
      </c>
    </row>
    <row r="38" spans="1:16" x14ac:dyDescent="0.25">
      <c r="A38">
        <v>13108</v>
      </c>
      <c r="B38" s="4">
        <v>142065</v>
      </c>
      <c r="C38" t="s">
        <v>36</v>
      </c>
      <c r="D38">
        <v>15</v>
      </c>
      <c r="E38" s="8">
        <f t="shared" si="0"/>
        <v>1.0558547143912998E-2</v>
      </c>
      <c r="F38">
        <f>246-15</f>
        <v>231</v>
      </c>
      <c r="G38" s="8">
        <f t="shared" si="6"/>
        <v>0.16260162601626016</v>
      </c>
      <c r="H38">
        <f xml:space="preserve"> 2566-246</f>
        <v>2320</v>
      </c>
      <c r="I38" s="8">
        <f t="shared" si="1"/>
        <v>1.633055291591877</v>
      </c>
      <c r="J38">
        <f>5563-2566</f>
        <v>2997</v>
      </c>
      <c r="K38" s="8">
        <f t="shared" si="2"/>
        <v>2.1095977193538169</v>
      </c>
      <c r="L38">
        <f>6316-5563</f>
        <v>753</v>
      </c>
      <c r="M38" s="8">
        <f t="shared" si="3"/>
        <v>0.53003906662443245</v>
      </c>
      <c r="N38">
        <f t="shared" si="4"/>
        <v>6316</v>
      </c>
      <c r="O38" s="6">
        <v>6316</v>
      </c>
      <c r="P38" s="8">
        <f t="shared" si="5"/>
        <v>4.4458522507303</v>
      </c>
    </row>
    <row r="39" spans="1:16" x14ac:dyDescent="0.25">
      <c r="A39">
        <v>13114</v>
      </c>
      <c r="B39" s="4">
        <v>330759</v>
      </c>
      <c r="C39" t="s">
        <v>37</v>
      </c>
      <c r="D39">
        <v>181</v>
      </c>
      <c r="E39" s="8">
        <f t="shared" si="0"/>
        <v>5.4722622816008031E-2</v>
      </c>
      <c r="F39">
        <f>355-181</f>
        <v>174</v>
      </c>
      <c r="G39" s="8">
        <f t="shared" si="6"/>
        <v>5.2606278287212142E-2</v>
      </c>
      <c r="H39">
        <f>2141-355</f>
        <v>1786</v>
      </c>
      <c r="I39" s="8">
        <f t="shared" si="1"/>
        <v>0.53997018977563727</v>
      </c>
      <c r="J39">
        <f>4747-2141</f>
        <v>2606</v>
      </c>
      <c r="K39" s="8">
        <f t="shared" si="2"/>
        <v>0.78788483457744152</v>
      </c>
      <c r="L39">
        <f>5688-4747</f>
        <v>941</v>
      </c>
      <c r="M39" s="8">
        <f t="shared" si="3"/>
        <v>0.28449717165670474</v>
      </c>
      <c r="N39">
        <f t="shared" si="4"/>
        <v>5688</v>
      </c>
      <c r="O39" s="6">
        <v>5688</v>
      </c>
      <c r="P39" s="8">
        <f t="shared" si="5"/>
        <v>1.7196810971130037</v>
      </c>
    </row>
    <row r="40" spans="1:16" x14ac:dyDescent="0.25">
      <c r="A40">
        <v>13132</v>
      </c>
      <c r="B40" s="4">
        <v>96774</v>
      </c>
      <c r="C40" t="s">
        <v>38</v>
      </c>
      <c r="D40">
        <v>83</v>
      </c>
      <c r="E40" s="8">
        <f t="shared" si="0"/>
        <v>8.576683820034306E-2</v>
      </c>
      <c r="F40">
        <f>138-83</f>
        <v>55</v>
      </c>
      <c r="G40" s="8">
        <f t="shared" si="6"/>
        <v>5.6833447000227327E-2</v>
      </c>
      <c r="H40">
        <f>646-138</f>
        <v>508</v>
      </c>
      <c r="I40" s="8">
        <f t="shared" si="1"/>
        <v>0.52493438320209973</v>
      </c>
      <c r="J40">
        <f>1234-646</f>
        <v>588</v>
      </c>
      <c r="K40" s="8">
        <f t="shared" si="2"/>
        <v>0.60760121520243038</v>
      </c>
      <c r="L40">
        <f>1478-1234</f>
        <v>244</v>
      </c>
      <c r="M40" s="8">
        <f t="shared" si="3"/>
        <v>0.25213383760100849</v>
      </c>
      <c r="N40">
        <f t="shared" si="4"/>
        <v>1478</v>
      </c>
      <c r="O40" s="6">
        <v>1478</v>
      </c>
      <c r="P40" s="8">
        <f t="shared" si="5"/>
        <v>1.527269721206109</v>
      </c>
    </row>
    <row r="41" spans="1:16" x14ac:dyDescent="0.25">
      <c r="A41">
        <v>13125</v>
      </c>
      <c r="B41" s="4">
        <v>254694</v>
      </c>
      <c r="C41" t="s">
        <v>39</v>
      </c>
      <c r="D41">
        <v>17</v>
      </c>
      <c r="E41" s="8">
        <f t="shared" si="0"/>
        <v>6.6746762782005069E-3</v>
      </c>
      <c r="F41">
        <f>236-17</f>
        <v>219</v>
      </c>
      <c r="G41" s="8">
        <f t="shared" si="6"/>
        <v>8.5985535583877115E-2</v>
      </c>
      <c r="H41">
        <f>2644-236</f>
        <v>2408</v>
      </c>
      <c r="I41" s="8">
        <f t="shared" si="1"/>
        <v>0.94544826340628352</v>
      </c>
      <c r="J41">
        <f>7540-2644</f>
        <v>4896</v>
      </c>
      <c r="K41" s="8">
        <f t="shared" si="2"/>
        <v>1.9223067681217461</v>
      </c>
      <c r="L41">
        <f>8841-7540</f>
        <v>1301</v>
      </c>
      <c r="M41" s="8">
        <f t="shared" si="3"/>
        <v>0.51080904929052118</v>
      </c>
      <c r="N41">
        <f t="shared" si="4"/>
        <v>8841</v>
      </c>
      <c r="O41" s="6">
        <v>8841</v>
      </c>
      <c r="P41" s="8">
        <f t="shared" si="5"/>
        <v>3.471224292680628</v>
      </c>
    </row>
    <row r="42" spans="1:16" x14ac:dyDescent="0.25">
      <c r="A42">
        <v>13107</v>
      </c>
      <c r="B42" s="4">
        <v>112528</v>
      </c>
      <c r="C42" t="s">
        <v>40</v>
      </c>
      <c r="D42">
        <v>17</v>
      </c>
      <c r="E42" s="8">
        <f t="shared" si="0"/>
        <v>1.510735105929191E-2</v>
      </c>
      <c r="F42">
        <f>82-17</f>
        <v>65</v>
      </c>
      <c r="G42" s="8">
        <f t="shared" si="6"/>
        <v>5.7763401109057304E-2</v>
      </c>
      <c r="H42">
        <f>1005-82</f>
        <v>923</v>
      </c>
      <c r="I42" s="8">
        <f t="shared" si="1"/>
        <v>0.82024029574861368</v>
      </c>
      <c r="J42">
        <f>3093-1005</f>
        <v>2088</v>
      </c>
      <c r="K42" s="8">
        <f t="shared" si="2"/>
        <v>1.8555381771647945</v>
      </c>
      <c r="L42">
        <f>3723-3093</f>
        <v>630</v>
      </c>
      <c r="M42" s="8">
        <f t="shared" si="3"/>
        <v>0.55986065690317077</v>
      </c>
      <c r="N42">
        <f t="shared" si="4"/>
        <v>3723</v>
      </c>
      <c r="O42" s="6">
        <v>3723</v>
      </c>
      <c r="P42" s="8">
        <f t="shared" si="5"/>
        <v>3.3085098819849277</v>
      </c>
    </row>
    <row r="43" spans="1:16" x14ac:dyDescent="0.25">
      <c r="A43">
        <v>13119</v>
      </c>
      <c r="B43" s="4">
        <v>578605</v>
      </c>
      <c r="C43" t="s">
        <v>41</v>
      </c>
      <c r="D43">
        <v>43</v>
      </c>
      <c r="E43" s="8">
        <f t="shared" si="0"/>
        <v>7.431667545216512E-3</v>
      </c>
      <c r="F43">
        <f>399-43</f>
        <v>356</v>
      </c>
      <c r="G43" s="8">
        <f t="shared" si="6"/>
        <v>6.1527294095280891E-2</v>
      </c>
      <c r="H43">
        <f>3193-399</f>
        <v>2794</v>
      </c>
      <c r="I43" s="8">
        <f t="shared" si="1"/>
        <v>0.48288556096127749</v>
      </c>
      <c r="J43">
        <f>11312-3193</f>
        <v>8119</v>
      </c>
      <c r="K43" s="8">
        <f t="shared" si="2"/>
        <v>1.4032025302235549</v>
      </c>
      <c r="L43">
        <f>14085-11312</f>
        <v>2773</v>
      </c>
      <c r="M43" s="8">
        <f t="shared" si="3"/>
        <v>0.47925614192756716</v>
      </c>
      <c r="N43">
        <f t="shared" si="4"/>
        <v>14085</v>
      </c>
      <c r="O43" s="6">
        <v>14085</v>
      </c>
      <c r="P43" s="8">
        <f t="shared" si="5"/>
        <v>2.4343031947528968</v>
      </c>
    </row>
    <row r="44" spans="1:16" x14ac:dyDescent="0.25">
      <c r="A44">
        <v>13124</v>
      </c>
      <c r="B44" s="4">
        <v>253139</v>
      </c>
      <c r="C44" t="s">
        <v>42</v>
      </c>
      <c r="D44">
        <v>17</v>
      </c>
      <c r="E44" s="8">
        <f t="shared" si="0"/>
        <v>6.7156779476888195E-3</v>
      </c>
      <c r="F44">
        <f>167-17</f>
        <v>150</v>
      </c>
      <c r="G44" s="8">
        <f t="shared" si="6"/>
        <v>5.9255981891371941E-2</v>
      </c>
      <c r="H44">
        <f>1728-167</f>
        <v>1561</v>
      </c>
      <c r="I44" s="8">
        <f t="shared" si="1"/>
        <v>0.61665725154954387</v>
      </c>
      <c r="J44">
        <f>7880-1728</f>
        <v>6152</v>
      </c>
      <c r="K44" s="8">
        <f t="shared" si="2"/>
        <v>2.430285337304801</v>
      </c>
      <c r="L44">
        <f>9510-7880</f>
        <v>1630</v>
      </c>
      <c r="M44" s="8">
        <f t="shared" si="3"/>
        <v>0.64391500321957496</v>
      </c>
      <c r="N44">
        <f t="shared" si="4"/>
        <v>9510</v>
      </c>
      <c r="O44" s="6">
        <v>9510</v>
      </c>
      <c r="P44" s="8">
        <f t="shared" si="5"/>
        <v>3.7568292519129804</v>
      </c>
    </row>
    <row r="45" spans="1:16" x14ac:dyDescent="0.25">
      <c r="A45">
        <v>13115</v>
      </c>
      <c r="B45" s="4">
        <v>124076</v>
      </c>
      <c r="C45" t="s">
        <v>43</v>
      </c>
      <c r="D45">
        <v>68</v>
      </c>
      <c r="E45" s="8">
        <f t="shared" si="0"/>
        <v>5.480511944292208E-2</v>
      </c>
      <c r="F45">
        <f>194-68</f>
        <v>126</v>
      </c>
      <c r="G45" s="8">
        <f t="shared" si="6"/>
        <v>0.10155066249717916</v>
      </c>
      <c r="H45">
        <f>1060-194</f>
        <v>866</v>
      </c>
      <c r="I45" s="8">
        <f t="shared" si="1"/>
        <v>0.69795931525839006</v>
      </c>
      <c r="J45">
        <f>2610-1060</f>
        <v>1550</v>
      </c>
      <c r="K45" s="8">
        <f t="shared" si="2"/>
        <v>1.2492343402430768</v>
      </c>
      <c r="L45">
        <f>3187-2610</f>
        <v>577</v>
      </c>
      <c r="M45" s="8">
        <f>(L45/B45)*100</f>
        <v>0.46503755762597121</v>
      </c>
      <c r="N45">
        <f t="shared" si="4"/>
        <v>3187</v>
      </c>
      <c r="O45" s="6">
        <v>3187</v>
      </c>
      <c r="P45" s="8">
        <f t="shared" si="5"/>
        <v>2.5685869950675393</v>
      </c>
    </row>
  </sheetData>
  <mergeCells count="6">
    <mergeCell ref="D1:M1"/>
    <mergeCell ref="L2:M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Romero</dc:creator>
  <cp:lastModifiedBy>Francisco Romero</cp:lastModifiedBy>
  <dcterms:created xsi:type="dcterms:W3CDTF">2020-10-08T04:26:44Z</dcterms:created>
  <dcterms:modified xsi:type="dcterms:W3CDTF">2020-10-08T19:50:55Z</dcterms:modified>
</cp:coreProperties>
</file>