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ci\Downloads\"/>
    </mc:Choice>
  </mc:AlternateContent>
  <xr:revisionPtr revIDLastSave="0" documentId="8_{860CBCD9-8B06-4227-B146-CF43EF1E1856}" xr6:coauthVersionLast="47" xr6:coauthVersionMax="47" xr10:uidLastSave="{00000000-0000-0000-0000-000000000000}"/>
  <bookViews>
    <workbookView xWindow="-20610" yWindow="4470" windowWidth="20730" windowHeight="11040" tabRatio="781" firstSheet="1" activeTab="7" xr2:uid="{87BE7180-3E81-4FE5-B433-FFDBA552102C}"/>
  </bookViews>
  <sheets>
    <sheet name="Estoque Café Alura" sheetId="1" state="hidden" r:id="rId1"/>
    <sheet name="dProdutos" sheetId="2" r:id="rId2"/>
    <sheet name="dFornecedor" sheetId="3" r:id="rId3"/>
    <sheet name="fEntradas" sheetId="4" r:id="rId4"/>
    <sheet name="fSaídas" sheetId="5" r:id="rId5"/>
    <sheet name="Consulta" sheetId="6" r:id="rId6"/>
    <sheet name="Controle de Estoque" sheetId="7" r:id="rId7"/>
    <sheet name="Quadro Resumo" sheetId="8" r:id="rId8"/>
  </sheets>
  <definedNames>
    <definedName name="CriteriosConsultaProduto">'Quadro Resumo'!$I$5:$I$6</definedName>
    <definedName name="Lista_Fornecedores">TB_Entradas[Fornecedor]</definedName>
    <definedName name="Lista_Produtos">TB_Produtos[[#All],[Produto]]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8" l="1"/>
  <c r="I10" i="8"/>
  <c r="I9" i="8"/>
  <c r="I8" i="8"/>
  <c r="D11" i="8" l="1"/>
  <c r="D10" i="8"/>
  <c r="D9" i="8"/>
  <c r="D8" i="8"/>
  <c r="I7" i="8"/>
  <c r="D7" i="8"/>
  <c r="D6" i="8"/>
  <c r="O9" i="7"/>
  <c r="M9" i="7"/>
  <c r="I6" i="7"/>
  <c r="I7" i="7"/>
  <c r="I8" i="7"/>
  <c r="I9" i="7"/>
  <c r="I10" i="7"/>
  <c r="I11" i="7"/>
  <c r="I12" i="7"/>
  <c r="I13" i="7"/>
  <c r="J13" i="7" s="1"/>
  <c r="I14" i="7"/>
  <c r="I15" i="7"/>
  <c r="J15" i="7" s="1"/>
  <c r="I16" i="7"/>
  <c r="I17" i="7"/>
  <c r="I18" i="7"/>
  <c r="I19" i="7"/>
  <c r="I20" i="7"/>
  <c r="I21" i="7"/>
  <c r="J21" i="7" s="1"/>
  <c r="I22" i="7"/>
  <c r="I23" i="7"/>
  <c r="J23" i="7" s="1"/>
  <c r="I24" i="7"/>
  <c r="I25" i="7"/>
  <c r="I26" i="7"/>
  <c r="I27" i="7"/>
  <c r="I28" i="7"/>
  <c r="J28" i="7" s="1"/>
  <c r="I29" i="7"/>
  <c r="J29" i="7" s="1"/>
  <c r="I30" i="7"/>
  <c r="I31" i="7"/>
  <c r="J31" i="7" s="1"/>
  <c r="I32" i="7"/>
  <c r="J8" i="7"/>
  <c r="J12" i="7"/>
  <c r="J16" i="7"/>
  <c r="J20" i="7"/>
  <c r="J24" i="7"/>
  <c r="J32" i="7"/>
  <c r="J6" i="7"/>
  <c r="J7" i="7"/>
  <c r="J9" i="7"/>
  <c r="J10" i="7"/>
  <c r="J11" i="7"/>
  <c r="J14" i="7"/>
  <c r="J17" i="7"/>
  <c r="J18" i="7"/>
  <c r="J19" i="7"/>
  <c r="J22" i="7"/>
  <c r="J25" i="7"/>
  <c r="J26" i="7"/>
  <c r="J27" i="7"/>
  <c r="J30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E25" i="7"/>
  <c r="G25" i="7" s="1"/>
  <c r="C6" i="7"/>
  <c r="C7" i="7"/>
  <c r="C8" i="7"/>
  <c r="E8" i="7" s="1"/>
  <c r="G8" i="7" s="1"/>
  <c r="C9" i="7"/>
  <c r="E9" i="7" s="1"/>
  <c r="G9" i="7" s="1"/>
  <c r="C10" i="7"/>
  <c r="C11" i="7"/>
  <c r="C12" i="7"/>
  <c r="C13" i="7"/>
  <c r="E13" i="7" s="1"/>
  <c r="G13" i="7" s="1"/>
  <c r="C14" i="7"/>
  <c r="C15" i="7"/>
  <c r="C16" i="7"/>
  <c r="E16" i="7" s="1"/>
  <c r="G16" i="7" s="1"/>
  <c r="C17" i="7"/>
  <c r="E17" i="7" s="1"/>
  <c r="G17" i="7" s="1"/>
  <c r="C18" i="7"/>
  <c r="C19" i="7"/>
  <c r="C20" i="7"/>
  <c r="C21" i="7"/>
  <c r="E21" i="7" s="1"/>
  <c r="G21" i="7" s="1"/>
  <c r="C22" i="7"/>
  <c r="C23" i="7"/>
  <c r="C24" i="7"/>
  <c r="C25" i="7"/>
  <c r="C26" i="7"/>
  <c r="C27" i="7"/>
  <c r="C28" i="7"/>
  <c r="C29" i="7"/>
  <c r="E29" i="7" s="1"/>
  <c r="G29" i="7" s="1"/>
  <c r="C30" i="7"/>
  <c r="C31" i="7"/>
  <c r="C32" i="7"/>
  <c r="D6" i="7"/>
  <c r="D7" i="7"/>
  <c r="D8" i="7"/>
  <c r="D9" i="7"/>
  <c r="D10" i="7"/>
  <c r="E10" i="7" s="1"/>
  <c r="G10" i="7" s="1"/>
  <c r="D11" i="7"/>
  <c r="D12" i="7"/>
  <c r="D13" i="7"/>
  <c r="D14" i="7"/>
  <c r="D15" i="7"/>
  <c r="D16" i="7"/>
  <c r="D17" i="7"/>
  <c r="D18" i="7"/>
  <c r="E18" i="7" s="1"/>
  <c r="G18" i="7" s="1"/>
  <c r="D19" i="7"/>
  <c r="D20" i="7"/>
  <c r="D21" i="7"/>
  <c r="D22" i="7"/>
  <c r="D23" i="7"/>
  <c r="D24" i="7"/>
  <c r="E24" i="7" s="1"/>
  <c r="G24" i="7" s="1"/>
  <c r="D25" i="7"/>
  <c r="D26" i="7"/>
  <c r="E26" i="7" s="1"/>
  <c r="G26" i="7" s="1"/>
  <c r="D27" i="7"/>
  <c r="D28" i="7"/>
  <c r="D29" i="7"/>
  <c r="D30" i="7"/>
  <c r="D31" i="7"/>
  <c r="D32" i="7"/>
  <c r="E32" i="7" s="1"/>
  <c r="G32" i="7" s="1"/>
  <c r="G12" i="6"/>
  <c r="D6" i="6"/>
  <c r="G10" i="6"/>
  <c r="G8" i="6"/>
  <c r="F6" i="6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F6" i="4"/>
  <c r="F7" i="4"/>
  <c r="F8" i="4"/>
  <c r="G8" i="4" s="1"/>
  <c r="F9" i="4"/>
  <c r="G9" i="4" s="1"/>
  <c r="F10" i="4"/>
  <c r="F11" i="4"/>
  <c r="F12" i="4"/>
  <c r="G12" i="4" s="1"/>
  <c r="F13" i="4"/>
  <c r="F14" i="4"/>
  <c r="F15" i="4"/>
  <c r="F16" i="4"/>
  <c r="G16" i="4" s="1"/>
  <c r="F17" i="4"/>
  <c r="G17" i="4" s="1"/>
  <c r="F18" i="4"/>
  <c r="F19" i="4"/>
  <c r="F20" i="4"/>
  <c r="G20" i="4" s="1"/>
  <c r="F21" i="4"/>
  <c r="F22" i="4"/>
  <c r="F23" i="4"/>
  <c r="F24" i="4"/>
  <c r="G24" i="4" s="1"/>
  <c r="F25" i="4"/>
  <c r="G25" i="4" s="1"/>
  <c r="F26" i="4"/>
  <c r="F27" i="4"/>
  <c r="F28" i="4"/>
  <c r="G28" i="4" s="1"/>
  <c r="F29" i="4"/>
  <c r="F30" i="4"/>
  <c r="F31" i="4"/>
  <c r="G6" i="4"/>
  <c r="G7" i="4"/>
  <c r="G10" i="4"/>
  <c r="G11" i="4"/>
  <c r="G13" i="4"/>
  <c r="G14" i="4"/>
  <c r="G15" i="4"/>
  <c r="G18" i="4"/>
  <c r="G19" i="4"/>
  <c r="G21" i="4"/>
  <c r="G22" i="4"/>
  <c r="G23" i="4"/>
  <c r="G26" i="4"/>
  <c r="G27" i="4"/>
  <c r="G29" i="4"/>
  <c r="G30" i="4"/>
  <c r="G31" i="4"/>
  <c r="M9" i="1"/>
  <c r="M8" i="1"/>
  <c r="G22" i="1"/>
  <c r="F22" i="1"/>
  <c r="F30" i="1"/>
  <c r="E30" i="1"/>
  <c r="E22" i="1"/>
  <c r="G24" i="1"/>
  <c r="G30" i="1" s="1"/>
  <c r="G8" i="1"/>
  <c r="E28" i="7" l="1"/>
  <c r="G28" i="7" s="1"/>
  <c r="E20" i="7"/>
  <c r="G20" i="7" s="1"/>
  <c r="E12" i="7"/>
  <c r="G12" i="7" s="1"/>
  <c r="E27" i="7"/>
  <c r="G27" i="7" s="1"/>
  <c r="E19" i="7"/>
  <c r="G19" i="7" s="1"/>
  <c r="E11" i="7"/>
  <c r="G11" i="7" s="1"/>
  <c r="E31" i="7"/>
  <c r="G31" i="7" s="1"/>
  <c r="E23" i="7"/>
  <c r="G23" i="7" s="1"/>
  <c r="E15" i="7"/>
  <c r="G15" i="7" s="1"/>
  <c r="E7" i="7"/>
  <c r="G7" i="7" s="1"/>
  <c r="E30" i="7"/>
  <c r="G30" i="7" s="1"/>
  <c r="E22" i="7"/>
  <c r="G22" i="7" s="1"/>
  <c r="E14" i="7"/>
  <c r="G14" i="7" s="1"/>
  <c r="E6" i="7"/>
  <c r="G6" i="7" s="1"/>
  <c r="G14" i="1"/>
  <c r="I14" i="1" s="1"/>
  <c r="L14" i="1"/>
  <c r="M14" i="1" s="1"/>
  <c r="L20" i="1"/>
  <c r="M20" i="1" s="1"/>
  <c r="G20" i="1"/>
  <c r="M32" i="1"/>
  <c r="L32" i="1"/>
  <c r="I32" i="1"/>
  <c r="G32" i="1"/>
  <c r="M18" i="1" l="1"/>
  <c r="L37" i="1"/>
  <c r="M37" i="1" s="1"/>
  <c r="L36" i="1"/>
  <c r="M36" i="1" s="1"/>
  <c r="L34" i="1"/>
  <c r="M34" i="1" s="1"/>
  <c r="L33" i="1"/>
  <c r="M33" i="1" s="1"/>
  <c r="L31" i="1"/>
  <c r="M31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9" i="1"/>
  <c r="L10" i="1"/>
  <c r="M10" i="1" s="1"/>
  <c r="L11" i="1"/>
  <c r="M11" i="1" s="1"/>
  <c r="L12" i="1"/>
  <c r="M12" i="1" s="1"/>
  <c r="L13" i="1"/>
  <c r="M13" i="1" s="1"/>
  <c r="L15" i="1"/>
  <c r="M15" i="1" s="1"/>
  <c r="L16" i="1"/>
  <c r="M16" i="1" s="1"/>
  <c r="L17" i="1"/>
  <c r="M17" i="1" s="1"/>
  <c r="L18" i="1"/>
  <c r="L19" i="1"/>
  <c r="M19" i="1" s="1"/>
  <c r="L21" i="1"/>
  <c r="M21" i="1" s="1"/>
  <c r="L8" i="1"/>
  <c r="G25" i="1"/>
  <c r="L22" i="1" l="1"/>
  <c r="L30" i="1" s="1"/>
  <c r="M22" i="1"/>
  <c r="L35" i="1" l="1"/>
  <c r="L38" i="1" s="1"/>
  <c r="M30" i="1"/>
  <c r="M35" i="1"/>
  <c r="M38" i="1" s="1"/>
  <c r="M40" i="1" s="1"/>
  <c r="I20" i="1"/>
  <c r="L40" i="1" l="1"/>
  <c r="K22" i="1"/>
  <c r="J22" i="1"/>
  <c r="J30" i="1" s="1"/>
  <c r="G21" i="1"/>
  <c r="G19" i="1"/>
  <c r="I19" i="1" s="1"/>
  <c r="E38" i="1"/>
  <c r="G37" i="1"/>
  <c r="I37" i="1" s="1"/>
  <c r="G36" i="1"/>
  <c r="I36" i="1" s="1"/>
  <c r="K35" i="1"/>
  <c r="K38" i="1" s="1"/>
  <c r="J35" i="1"/>
  <c r="J38" i="1" s="1"/>
  <c r="F35" i="1"/>
  <c r="F38" i="1" s="1"/>
  <c r="E35" i="1"/>
  <c r="G34" i="1"/>
  <c r="I34" i="1" s="1"/>
  <c r="G33" i="1"/>
  <c r="I33" i="1" s="1"/>
  <c r="G31" i="1"/>
  <c r="I31" i="1" s="1"/>
  <c r="G29" i="1"/>
  <c r="I29" i="1" s="1"/>
  <c r="G28" i="1"/>
  <c r="I28" i="1" s="1"/>
  <c r="G27" i="1"/>
  <c r="I27" i="1" s="1"/>
  <c r="G26" i="1"/>
  <c r="I26" i="1" s="1"/>
  <c r="I25" i="1"/>
  <c r="G23" i="1"/>
  <c r="I23" i="1" s="1"/>
  <c r="G18" i="1"/>
  <c r="I18" i="1" s="1"/>
  <c r="G17" i="1"/>
  <c r="I17" i="1" s="1"/>
  <c r="G16" i="1"/>
  <c r="I16" i="1" s="1"/>
  <c r="G15" i="1"/>
  <c r="I15" i="1" s="1"/>
  <c r="G13" i="1"/>
  <c r="G12" i="1"/>
  <c r="I12" i="1" s="1"/>
  <c r="G11" i="1"/>
  <c r="I11" i="1" s="1"/>
  <c r="G10" i="1"/>
  <c r="G9" i="1"/>
  <c r="I9" i="1" s="1"/>
  <c r="I8" i="1"/>
  <c r="K40" i="1" l="1"/>
  <c r="I24" i="1"/>
  <c r="K30" i="1"/>
  <c r="I21" i="1"/>
  <c r="F40" i="1"/>
  <c r="E40" i="1"/>
  <c r="J40" i="1"/>
  <c r="I13" i="1"/>
  <c r="I10" i="1"/>
  <c r="G35" i="1" l="1"/>
  <c r="G38" i="1" l="1"/>
  <c r="G40" i="1" s="1"/>
</calcChain>
</file>

<file path=xl/sharedStrings.xml><?xml version="1.0" encoding="utf-8"?>
<sst xmlns="http://schemas.openxmlformats.org/spreadsheetml/2006/main" count="328" uniqueCount="116">
  <si>
    <t>Controle de Estoque Café Alura</t>
  </si>
  <si>
    <t>Informações Fornecedores</t>
  </si>
  <si>
    <t>Mercado Express</t>
  </si>
  <si>
    <t>Frigorífico Z</t>
  </si>
  <si>
    <t>Distribuidora KS</t>
  </si>
  <si>
    <t xml:space="preserve">Data </t>
  </si>
  <si>
    <t>Produto</t>
  </si>
  <si>
    <t>Unidade de</t>
  </si>
  <si>
    <t>Fornecedor</t>
  </si>
  <si>
    <t>Quantidade</t>
  </si>
  <si>
    <t>Saída</t>
  </si>
  <si>
    <t xml:space="preserve">Saldo em </t>
  </si>
  <si>
    <t xml:space="preserve">Estoque </t>
  </si>
  <si>
    <t>Status do</t>
  </si>
  <si>
    <t xml:space="preserve">Custo </t>
  </si>
  <si>
    <t>Preço</t>
  </si>
  <si>
    <t>Valor de</t>
  </si>
  <si>
    <t>Lucro</t>
  </si>
  <si>
    <t>Salgados Gran</t>
  </si>
  <si>
    <t>Compra</t>
  </si>
  <si>
    <t>Medida</t>
  </si>
  <si>
    <t>Estoque</t>
  </si>
  <si>
    <t>Mínimo</t>
  </si>
  <si>
    <t>Unitário</t>
  </si>
  <si>
    <t>Venda</t>
  </si>
  <si>
    <t>Café</t>
  </si>
  <si>
    <t>Unidade</t>
  </si>
  <si>
    <t>Chá</t>
  </si>
  <si>
    <t>Manteiga</t>
  </si>
  <si>
    <t>Leite</t>
  </si>
  <si>
    <t>Caixa</t>
  </si>
  <si>
    <t>Açúcar</t>
  </si>
  <si>
    <t>Kg</t>
  </si>
  <si>
    <t>Mini Pizza</t>
  </si>
  <si>
    <t>Queijo</t>
  </si>
  <si>
    <t>Presunto</t>
  </si>
  <si>
    <t>Mortadela</t>
  </si>
  <si>
    <t>Peito de Peru</t>
  </si>
  <si>
    <t>Requeijão</t>
  </si>
  <si>
    <t>Chocolate</t>
  </si>
  <si>
    <t>Subtotal Mercado Express</t>
  </si>
  <si>
    <t>Pão</t>
  </si>
  <si>
    <t>Coxinha</t>
  </si>
  <si>
    <t>Esfiha</t>
  </si>
  <si>
    <t>Risoles</t>
  </si>
  <si>
    <t>Empada</t>
  </si>
  <si>
    <t>Quibe</t>
  </si>
  <si>
    <t>Pão de queijo</t>
  </si>
  <si>
    <t>Subtotal Salgados Gran</t>
  </si>
  <si>
    <t>Suco de laranja</t>
  </si>
  <si>
    <t>Refrigerante</t>
  </si>
  <si>
    <t>Água</t>
  </si>
  <si>
    <t>Embalagem</t>
  </si>
  <si>
    <t>Cerveja</t>
  </si>
  <si>
    <t>Subtotal Distribuidora KS</t>
  </si>
  <si>
    <t>Hamburguer</t>
  </si>
  <si>
    <t>Frango</t>
  </si>
  <si>
    <t>Subtotal Frigorífico Z</t>
  </si>
  <si>
    <t>Total</t>
  </si>
  <si>
    <t>Cadastro de Produtos</t>
  </si>
  <si>
    <t>Unidade de Medida</t>
  </si>
  <si>
    <t>Estoque Mínimo</t>
  </si>
  <si>
    <t>Custo Unitário</t>
  </si>
  <si>
    <t>Preço Unitário</t>
  </si>
  <si>
    <t xml:space="preserve">Unidade </t>
  </si>
  <si>
    <t xml:space="preserve">Leite </t>
  </si>
  <si>
    <t>Chantilly</t>
  </si>
  <si>
    <t>Pão de Queijo</t>
  </si>
  <si>
    <t>Suco de Laranja</t>
  </si>
  <si>
    <t xml:space="preserve">Água </t>
  </si>
  <si>
    <t>Enroladinho</t>
  </si>
  <si>
    <t>Cadastro de Fornecedor</t>
  </si>
  <si>
    <t>Empresa</t>
  </si>
  <si>
    <t>Telefone</t>
  </si>
  <si>
    <t>Responsável</t>
  </si>
  <si>
    <t>E-mail</t>
  </si>
  <si>
    <t>Maria</t>
  </si>
  <si>
    <t>maria@mercadoexpress.com.br</t>
  </si>
  <si>
    <t>Carlos</t>
  </si>
  <si>
    <t>carlos@frigoríficoz.com.br</t>
  </si>
  <si>
    <t>Distribuídora KS</t>
  </si>
  <si>
    <t>Eduardo</t>
  </si>
  <si>
    <t>eduardo@distribuídoraks.com.br</t>
  </si>
  <si>
    <t xml:space="preserve"> </t>
  </si>
  <si>
    <t>Claudia</t>
  </si>
  <si>
    <t>claudia@salgadosgran.com.br</t>
  </si>
  <si>
    <t>Controle de Entradas</t>
  </si>
  <si>
    <t>Controle de Saídas</t>
  </si>
  <si>
    <t>Quantidade Vendida</t>
  </si>
  <si>
    <t>(11) 1122-4422</t>
  </si>
  <si>
    <t>(11) 1001-2022</t>
  </si>
  <si>
    <t>(11) 1300-4033</t>
  </si>
  <si>
    <t>(11) 1400-3022</t>
  </si>
  <si>
    <t>Quantidade Comprada</t>
  </si>
  <si>
    <t>Valor da Compra</t>
  </si>
  <si>
    <t>Valor da Venda</t>
  </si>
  <si>
    <t>Consulta Estoque</t>
  </si>
  <si>
    <t>Data</t>
  </si>
  <si>
    <t>Quantidade em Estoque</t>
  </si>
  <si>
    <t>Valor de Venda</t>
  </si>
  <si>
    <t>Entrada</t>
  </si>
  <si>
    <t>Saídas</t>
  </si>
  <si>
    <t>Saldo em Estoque</t>
  </si>
  <si>
    <t>Status do Estoque</t>
  </si>
  <si>
    <t>Custo Total</t>
  </si>
  <si>
    <t>Produto Mais Rentável</t>
  </si>
  <si>
    <t>Quadro Resumo</t>
  </si>
  <si>
    <t>Dados 2022</t>
  </si>
  <si>
    <t>Produtos Vendidos:</t>
  </si>
  <si>
    <t>Qtd. Em Estoque:</t>
  </si>
  <si>
    <t>Despesas:</t>
  </si>
  <si>
    <t>Lucro:</t>
  </si>
  <si>
    <t>%Lucro:</t>
  </si>
  <si>
    <t>Consulta por Produto</t>
  </si>
  <si>
    <t>Dados:</t>
  </si>
  <si>
    <t>Fatur: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</si>
</sst>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051932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7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51932"/>
        <bgColor indexed="64"/>
      </patternFill>
    </fill>
    <fill>
      <patternFill patternType="solid">
        <fgColor rgb="FF093364"/>
        <bgColor indexed="64"/>
      </patternFill>
    </fill>
    <fill>
      <patternFill patternType="solid">
        <fgColor rgb="FFFF25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rgb="FF051932"/>
      </left>
      <right style="medium">
        <color rgb="FF051932"/>
      </right>
      <top style="medium">
        <color rgb="FF051932"/>
      </top>
      <bottom style="medium">
        <color rgb="FF051932"/>
      </bottom>
      <diagonal/>
    </border>
    <border>
      <left style="medium">
        <color rgb="FF051932"/>
      </left>
      <right/>
      <top style="medium">
        <color rgb="FF051932"/>
      </top>
      <bottom style="medium">
        <color rgb="FF051932"/>
      </bottom>
      <diagonal/>
    </border>
    <border>
      <left/>
      <right/>
      <top style="medium">
        <color rgb="FF051932"/>
      </top>
      <bottom style="medium">
        <color rgb="FF051932"/>
      </bottom>
      <diagonal/>
    </border>
    <border>
      <left/>
      <right style="medium">
        <color rgb="FF051932"/>
      </right>
      <top style="medium">
        <color rgb="FF051932"/>
      </top>
      <bottom style="medium">
        <color rgb="FF051932"/>
      </bottom>
      <diagonal/>
    </border>
    <border>
      <left style="medium">
        <color rgb="FF051932"/>
      </left>
      <right style="medium">
        <color rgb="FF051932"/>
      </right>
      <top style="medium">
        <color rgb="FF051932"/>
      </top>
      <bottom/>
      <diagonal/>
    </border>
    <border>
      <left style="medium">
        <color rgb="FF051932"/>
      </left>
      <right style="medium">
        <color rgb="FF051932"/>
      </right>
      <top/>
      <bottom/>
      <diagonal/>
    </border>
    <border>
      <left style="medium">
        <color rgb="FF051932"/>
      </left>
      <right style="medium">
        <color rgb="FF051932"/>
      </right>
      <top/>
      <bottom style="medium">
        <color rgb="FF051932"/>
      </bottom>
      <diagonal/>
    </border>
    <border>
      <left/>
      <right/>
      <top/>
      <bottom style="medium">
        <color indexed="64"/>
      </bottom>
      <diagonal/>
    </border>
    <border>
      <left style="medium">
        <color rgb="FF051932"/>
      </left>
      <right/>
      <top style="medium">
        <color rgb="FF051932"/>
      </top>
      <bottom/>
      <diagonal/>
    </border>
    <border>
      <left/>
      <right/>
      <top style="medium">
        <color rgb="FF051932"/>
      </top>
      <bottom/>
      <diagonal/>
    </border>
    <border>
      <left/>
      <right style="medium">
        <color rgb="FF051932"/>
      </right>
      <top style="medium">
        <color rgb="FF05193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0" fillId="3" borderId="0" xfId="0" applyFill="1"/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0" fillId="0" borderId="1" xfId="0" applyNumberFormat="1" applyBorder="1"/>
    <xf numFmtId="0" fontId="3" fillId="3" borderId="0" xfId="0" applyFont="1" applyFill="1"/>
    <xf numFmtId="0" fontId="0" fillId="4" borderId="1" xfId="0" applyFill="1" applyBorder="1"/>
    <xf numFmtId="14" fontId="0" fillId="3" borderId="1" xfId="0" applyNumberFormat="1" applyFill="1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/>
    <xf numFmtId="44" fontId="3" fillId="3" borderId="1" xfId="1" applyFont="1" applyFill="1" applyBorder="1" applyAlignment="1">
      <alignment horizontal="center"/>
    </xf>
    <xf numFmtId="164" fontId="3" fillId="3" borderId="1" xfId="0" applyNumberFormat="1" applyFont="1" applyFill="1" applyBorder="1"/>
    <xf numFmtId="164" fontId="3" fillId="3" borderId="1" xfId="1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5" xfId="0" applyFill="1" applyBorder="1"/>
    <xf numFmtId="164" fontId="3" fillId="3" borderId="5" xfId="1" applyNumberFormat="1" applyFont="1" applyFill="1" applyBorder="1" applyAlignment="1">
      <alignment horizontal="center"/>
    </xf>
    <xf numFmtId="164" fontId="3" fillId="3" borderId="5" xfId="0" applyNumberFormat="1" applyFont="1" applyFill="1" applyBorder="1"/>
    <xf numFmtId="44" fontId="0" fillId="0" borderId="0" xfId="1" applyFont="1"/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6" fillId="2" borderId="0" xfId="0" applyFont="1" applyFill="1" applyAlignment="1">
      <alignment horizontal="left" vertical="center"/>
    </xf>
    <xf numFmtId="44" fontId="0" fillId="2" borderId="0" xfId="1" applyFont="1" applyFill="1"/>
    <xf numFmtId="44" fontId="0" fillId="3" borderId="0" xfId="1" applyFont="1" applyFill="1"/>
    <xf numFmtId="14" fontId="0" fillId="5" borderId="0" xfId="0" applyNumberFormat="1" applyFill="1"/>
    <xf numFmtId="0" fontId="3" fillId="5" borderId="0" xfId="0" applyFont="1" applyFill="1" applyAlignment="1">
      <alignment horizontal="center"/>
    </xf>
    <xf numFmtId="0" fontId="0" fillId="5" borderId="0" xfId="0" applyFill="1"/>
    <xf numFmtId="164" fontId="3" fillId="5" borderId="0" xfId="1" applyNumberFormat="1" applyFont="1" applyFill="1" applyBorder="1" applyAlignment="1">
      <alignment horizontal="center"/>
    </xf>
    <xf numFmtId="164" fontId="3" fillId="5" borderId="0" xfId="0" applyNumberFormat="1" applyFont="1" applyFill="1"/>
    <xf numFmtId="14" fontId="0" fillId="3" borderId="5" xfId="0" applyNumberFormat="1" applyFill="1" applyBorder="1"/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/>
    <xf numFmtId="44" fontId="3" fillId="3" borderId="8" xfId="1" applyFont="1" applyFill="1" applyBorder="1" applyAlignment="1">
      <alignment horizontal="center"/>
    </xf>
    <xf numFmtId="164" fontId="3" fillId="3" borderId="13" xfId="1" applyNumberFormat="1" applyFont="1" applyFill="1" applyBorder="1" applyAlignment="1">
      <alignment horizontal="center"/>
    </xf>
    <xf numFmtId="164" fontId="3" fillId="3" borderId="7" xfId="0" applyNumberFormat="1" applyFont="1" applyFill="1" applyBorder="1"/>
    <xf numFmtId="0" fontId="3" fillId="5" borderId="0" xfId="0" applyFont="1" applyFill="1" applyAlignment="1">
      <alignment horizontal="right"/>
    </xf>
    <xf numFmtId="14" fontId="0" fillId="0" borderId="0" xfId="0" applyNumberFormat="1"/>
    <xf numFmtId="0" fontId="0" fillId="0" borderId="0" xfId="0" applyAlignment="1">
      <alignment vertical="center" wrapText="1"/>
    </xf>
    <xf numFmtId="14" fontId="9" fillId="0" borderId="0" xfId="0" applyNumberFormat="1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165" fontId="10" fillId="0" borderId="0" xfId="1" applyNumberFormat="1" applyFont="1" applyFill="1" applyBorder="1"/>
    <xf numFmtId="14" fontId="9" fillId="0" borderId="0" xfId="0" applyNumberFormat="1" applyFont="1" applyAlignment="1">
      <alignment horizontal="center" vertical="center" wrapText="1"/>
    </xf>
    <xf numFmtId="14" fontId="10" fillId="0" borderId="0" xfId="0" applyNumberFormat="1" applyFont="1"/>
    <xf numFmtId="0" fontId="10" fillId="0" borderId="0" xfId="0" applyFont="1" applyAlignment="1">
      <alignment horizontal="left"/>
    </xf>
    <xf numFmtId="0" fontId="10" fillId="0" borderId="0" xfId="1" applyNumberFormat="1" applyFont="1" applyFill="1" applyBorder="1" applyAlignment="1">
      <alignment horizontal="center"/>
    </xf>
    <xf numFmtId="14" fontId="12" fillId="0" borderId="0" xfId="0" applyNumberFormat="1" applyFont="1" applyAlignment="1">
      <alignment horizontal="center" vertical="center" wrapText="1"/>
    </xf>
    <xf numFmtId="165" fontId="13" fillId="0" borderId="0" xfId="0" applyNumberFormat="1" applyFont="1"/>
    <xf numFmtId="44" fontId="13" fillId="0" borderId="0" xfId="1" applyFont="1"/>
    <xf numFmtId="14" fontId="14" fillId="0" borderId="0" xfId="0" applyNumberFormat="1" applyFont="1" applyAlignment="1">
      <alignment horizontal="center" vertical="center" wrapText="1"/>
    </xf>
    <xf numFmtId="44" fontId="15" fillId="0" borderId="0" xfId="1" applyFont="1" applyFill="1"/>
    <xf numFmtId="0" fontId="16" fillId="6" borderId="0" xfId="0" applyFont="1" applyFill="1"/>
    <xf numFmtId="0" fontId="17" fillId="6" borderId="0" xfId="0" applyFont="1" applyFill="1" applyAlignment="1">
      <alignment horizontal="center"/>
    </xf>
    <xf numFmtId="0" fontId="17" fillId="6" borderId="0" xfId="0" applyFont="1" applyFill="1"/>
    <xf numFmtId="0" fontId="17" fillId="6" borderId="0" xfId="0" applyFont="1" applyFill="1" applyAlignment="1">
      <alignment horizontal="right"/>
    </xf>
    <xf numFmtId="0" fontId="0" fillId="8" borderId="0" xfId="0" applyFill="1"/>
    <xf numFmtId="0" fontId="20" fillId="7" borderId="16" xfId="0" applyFont="1" applyFill="1" applyBorder="1"/>
    <xf numFmtId="0" fontId="16" fillId="6" borderId="14" xfId="0" applyFont="1" applyFill="1" applyBorder="1"/>
    <xf numFmtId="0" fontId="17" fillId="6" borderId="15" xfId="0" applyFont="1" applyFill="1" applyBorder="1" applyAlignment="1">
      <alignment horizontal="right"/>
    </xf>
    <xf numFmtId="0" fontId="19" fillId="6" borderId="15" xfId="0" applyFont="1" applyFill="1" applyBorder="1" applyAlignment="1">
      <alignment horizontal="right"/>
    </xf>
    <xf numFmtId="0" fontId="22" fillId="7" borderId="16" xfId="0" applyFont="1" applyFill="1" applyBorder="1" applyAlignment="1">
      <alignment horizontal="center"/>
    </xf>
    <xf numFmtId="44" fontId="21" fillId="7" borderId="16" xfId="1" applyFont="1" applyFill="1" applyBorder="1"/>
    <xf numFmtId="44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15" xfId="0" applyFill="1" applyBorder="1"/>
    <xf numFmtId="0" fontId="23" fillId="12" borderId="14" xfId="0" applyFont="1" applyFill="1" applyBorder="1"/>
    <xf numFmtId="0" fontId="23" fillId="12" borderId="15" xfId="0" applyFont="1" applyFill="1" applyBorder="1"/>
    <xf numFmtId="0" fontId="11" fillId="12" borderId="14" xfId="0" applyFont="1" applyFill="1" applyBorder="1" applyAlignment="1">
      <alignment horizontal="center"/>
    </xf>
    <xf numFmtId="0" fontId="0" fillId="5" borderId="14" xfId="0" applyFill="1" applyBorder="1"/>
    <xf numFmtId="0" fontId="0" fillId="5" borderId="15" xfId="0" applyFill="1" applyBorder="1"/>
    <xf numFmtId="0" fontId="11" fillId="12" borderId="14" xfId="0" applyFont="1" applyFill="1" applyBorder="1" applyAlignment="1">
      <alignment horizontal="right"/>
    </xf>
    <xf numFmtId="0" fontId="11" fillId="12" borderId="15" xfId="0" applyFont="1" applyFill="1" applyBorder="1" applyAlignment="1">
      <alignment horizontal="left"/>
    </xf>
    <xf numFmtId="44" fontId="0" fillId="5" borderId="14" xfId="1" applyFont="1" applyFill="1" applyBorder="1"/>
    <xf numFmtId="0" fontId="24" fillId="9" borderId="17" xfId="0" applyFont="1" applyFill="1" applyBorder="1"/>
    <xf numFmtId="0" fontId="24" fillId="9" borderId="18" xfId="0" applyFont="1" applyFill="1" applyBorder="1"/>
    <xf numFmtId="0" fontId="18" fillId="0" borderId="0" xfId="0" applyFont="1"/>
    <xf numFmtId="0" fontId="24" fillId="9" borderId="19" xfId="0" applyFont="1" applyFill="1" applyBorder="1"/>
    <xf numFmtId="0" fontId="24" fillId="9" borderId="20" xfId="0" applyFont="1" applyFill="1" applyBorder="1"/>
    <xf numFmtId="0" fontId="24" fillId="13" borderId="19" xfId="0" applyFont="1" applyFill="1" applyBorder="1" applyAlignment="1">
      <alignment horizontal="right" vertical="center" wrapText="1"/>
    </xf>
    <xf numFmtId="0" fontId="24" fillId="14" borderId="16" xfId="0" applyFont="1" applyFill="1" applyBorder="1"/>
    <xf numFmtId="0" fontId="24" fillId="13" borderId="12" xfId="0" applyFont="1" applyFill="1" applyBorder="1" applyAlignment="1">
      <alignment horizontal="right" vertical="center" wrapText="1"/>
    </xf>
    <xf numFmtId="44" fontId="24" fillId="14" borderId="16" xfId="0" applyNumberFormat="1" applyFont="1" applyFill="1" applyBorder="1"/>
    <xf numFmtId="165" fontId="24" fillId="14" borderId="16" xfId="0" applyNumberFormat="1" applyFont="1" applyFill="1" applyBorder="1"/>
    <xf numFmtId="0" fontId="25" fillId="9" borderId="20" xfId="0" applyFont="1" applyFill="1" applyBorder="1"/>
    <xf numFmtId="44" fontId="24" fillId="14" borderId="16" xfId="1" applyFont="1" applyFill="1" applyBorder="1"/>
    <xf numFmtId="10" fontId="24" fillId="14" borderId="16" xfId="3" applyNumberFormat="1" applyFont="1" applyFill="1" applyBorder="1"/>
    <xf numFmtId="1" fontId="24" fillId="14" borderId="16" xfId="0" applyNumberFormat="1" applyFont="1" applyFill="1" applyBorder="1"/>
    <xf numFmtId="0" fontId="3" fillId="3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9" xfId="0" applyFont="1" applyFill="1" applyBorder="1" applyAlignment="1">
      <alignment horizontal="right"/>
    </xf>
    <xf numFmtId="0" fontId="3" fillId="3" borderId="10" xfId="0" applyFont="1" applyFill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2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0" fillId="0" borderId="6" xfId="0" applyBorder="1" applyAlignment="1">
      <alignment horizontal="center" vertical="center"/>
    </xf>
  </cellXfs>
  <cellStyles count="4">
    <cellStyle name="Hyperlink" xfId="2" xr:uid="{00000000-000B-0000-0000-000008000000}"/>
    <cellStyle name="Moeda" xfId="1" builtinId="4"/>
    <cellStyle name="Normal" xfId="0" builtinId="0"/>
    <cellStyle name="Porcentagem" xfId="3" builtinId="5"/>
  </cellStyles>
  <dxfs count="36"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165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>
          <bgColor rgb="FF002060"/>
        </patternFill>
      </fill>
    </dxf>
  </dxfs>
  <tableStyles count="1" defaultTableStyle="TableStyleMedium2" defaultPivotStyle="PivotStyleLight16">
    <tableStyle name="Estilo de Tabela 1" pivot="0" count="1" xr9:uid="{7A5046BA-566E-471B-A33D-508741E9D76C}">
      <tableStyleElement type="wholeTable" dxfId="35"/>
    </tableStyle>
  </tableStyles>
  <colors>
    <mruColors>
      <color rgb="FF093364"/>
      <color rgb="FF051932"/>
      <color rgb="FF68A490"/>
      <color rgb="FF4472C4"/>
      <color rgb="FFBF8F00"/>
      <color rgb="FFF5B68F"/>
      <color rgb="FFFFE3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0</xdr:row>
      <xdr:rowOff>152400</xdr:rowOff>
    </xdr:from>
    <xdr:to>
      <xdr:col>2</xdr:col>
      <xdr:colOff>121440</xdr:colOff>
      <xdr:row>3</xdr:row>
      <xdr:rowOff>150445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3B0458E8-35D1-46F8-8A03-2B04B12371D5}"/>
            </a:ext>
          </a:extLst>
        </xdr:cNvPr>
        <xdr:cNvGrpSpPr/>
      </xdr:nvGrpSpPr>
      <xdr:grpSpPr>
        <a:xfrm>
          <a:off x="1208809" y="152400"/>
          <a:ext cx="802218" cy="716750"/>
          <a:chOff x="311150" y="28625"/>
          <a:chExt cx="792000" cy="714325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1D0ADD59-ECBC-9B7C-D0BE-DACE9AC305EE}"/>
              </a:ext>
            </a:extLst>
          </xdr:cNvPr>
          <xdr:cNvSpPr txBox="1"/>
        </xdr:nvSpPr>
        <xdr:spPr>
          <a:xfrm>
            <a:off x="311150" y="526950"/>
            <a:ext cx="792000" cy="216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prstTxWarp prst="textChevronInverted">
              <a:avLst/>
            </a:prstTxWarp>
            <a:spAutoFit/>
          </a:bodyPr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  <a:latin typeface="Baguet Script" panose="020B0604020202020204" pitchFamily="2" charset="0"/>
              </a:rPr>
              <a:t>Café Alura</a:t>
            </a: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CD743B2D-3045-82BE-C40F-8B0D641ECE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3126">
            <a:off x="469902" y="28625"/>
            <a:ext cx="438822" cy="507999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0</xdr:row>
      <xdr:rowOff>99060</xdr:rowOff>
    </xdr:from>
    <xdr:to>
      <xdr:col>1</xdr:col>
      <xdr:colOff>952020</xdr:colOff>
      <xdr:row>1</xdr:row>
      <xdr:rowOff>51385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2EE2CA90-89EB-4562-A9DE-4CE744601F21}"/>
            </a:ext>
          </a:extLst>
        </xdr:cNvPr>
        <xdr:cNvGrpSpPr/>
      </xdr:nvGrpSpPr>
      <xdr:grpSpPr>
        <a:xfrm>
          <a:off x="523875" y="95250"/>
          <a:ext cx="790095" cy="721945"/>
          <a:chOff x="311150" y="28625"/>
          <a:chExt cx="792000" cy="714325"/>
        </a:xfrm>
      </xdr:grpSpPr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2B748910-DC41-0DAA-CDE2-4A5BDC242114}"/>
              </a:ext>
            </a:extLst>
          </xdr:cNvPr>
          <xdr:cNvSpPr txBox="1"/>
        </xdr:nvSpPr>
        <xdr:spPr>
          <a:xfrm>
            <a:off x="311150" y="526950"/>
            <a:ext cx="792000" cy="216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prstTxWarp prst="textChevronInverted">
              <a:avLst/>
            </a:prstTxWarp>
            <a:spAutoFit/>
          </a:bodyPr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  <a:latin typeface="Baguet Script" panose="020B0604020202020204" pitchFamily="2" charset="0"/>
              </a:rPr>
              <a:t>Café Alura</a:t>
            </a:r>
          </a:p>
        </xdr:txBody>
      </xdr:sp>
      <xdr:pic>
        <xdr:nvPicPr>
          <xdr:cNvPr id="6" name="Imagem 5">
            <a:extLst>
              <a:ext uri="{FF2B5EF4-FFF2-40B4-BE49-F238E27FC236}">
                <a16:creationId xmlns:a16="http://schemas.microsoft.com/office/drawing/2014/main" id="{D477145A-92A6-616E-B550-17440FAFF7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3126">
            <a:off x="469902" y="28625"/>
            <a:ext cx="438822" cy="507999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0</xdr:row>
      <xdr:rowOff>68580</xdr:rowOff>
    </xdr:from>
    <xdr:to>
      <xdr:col>1</xdr:col>
      <xdr:colOff>929160</xdr:colOff>
      <xdr:row>1</xdr:row>
      <xdr:rowOff>20905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80FF15D6-E00C-4B5E-835B-D515B3AF3F6D}"/>
            </a:ext>
          </a:extLst>
        </xdr:cNvPr>
        <xdr:cNvGrpSpPr/>
      </xdr:nvGrpSpPr>
      <xdr:grpSpPr>
        <a:xfrm>
          <a:off x="496491" y="66675"/>
          <a:ext cx="799620" cy="712420"/>
          <a:chOff x="311150" y="28625"/>
          <a:chExt cx="792000" cy="714325"/>
        </a:xfrm>
      </xdr:grpSpPr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959D9714-2002-C112-605B-C305C6457A66}"/>
              </a:ext>
            </a:extLst>
          </xdr:cNvPr>
          <xdr:cNvSpPr txBox="1"/>
        </xdr:nvSpPr>
        <xdr:spPr>
          <a:xfrm>
            <a:off x="311150" y="526950"/>
            <a:ext cx="792000" cy="216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prstTxWarp prst="textChevronInverted">
              <a:avLst/>
            </a:prstTxWarp>
            <a:spAutoFit/>
          </a:bodyPr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  <a:latin typeface="Baguet Script" panose="020B0604020202020204" pitchFamily="2" charset="0"/>
              </a:rPr>
              <a:t>Café Alura</a:t>
            </a: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C245F0B0-A0AB-CC2D-CAD1-AA6A262158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3126">
            <a:off x="469902" y="28625"/>
            <a:ext cx="438822" cy="507999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0</xdr:row>
      <xdr:rowOff>68580</xdr:rowOff>
    </xdr:from>
    <xdr:to>
      <xdr:col>1</xdr:col>
      <xdr:colOff>1066320</xdr:colOff>
      <xdr:row>1</xdr:row>
      <xdr:rowOff>20905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1BE1BF78-B7E3-446F-89C0-53519E2D4981}"/>
            </a:ext>
          </a:extLst>
        </xdr:cNvPr>
        <xdr:cNvGrpSpPr/>
      </xdr:nvGrpSpPr>
      <xdr:grpSpPr>
        <a:xfrm>
          <a:off x="639366" y="66675"/>
          <a:ext cx="456720" cy="712420"/>
          <a:chOff x="311150" y="28625"/>
          <a:chExt cx="792000" cy="714325"/>
        </a:xfrm>
      </xdr:grpSpPr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DB5AAF35-4216-B682-F8DD-40D403649E83}"/>
              </a:ext>
            </a:extLst>
          </xdr:cNvPr>
          <xdr:cNvSpPr txBox="1"/>
        </xdr:nvSpPr>
        <xdr:spPr>
          <a:xfrm>
            <a:off x="311150" y="526950"/>
            <a:ext cx="792000" cy="216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prstTxWarp prst="textChevronInverted">
              <a:avLst/>
            </a:prstTxWarp>
            <a:spAutoFit/>
          </a:bodyPr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  <a:latin typeface="Baguet Script" panose="020B0604020202020204" pitchFamily="2" charset="0"/>
              </a:rPr>
              <a:t>Café Alura</a:t>
            </a: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2032B60E-54B8-36A7-E529-832DA9A98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3126">
            <a:off x="469902" y="28625"/>
            <a:ext cx="438822" cy="507999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0</xdr:row>
      <xdr:rowOff>99060</xdr:rowOff>
    </xdr:from>
    <xdr:to>
      <xdr:col>1</xdr:col>
      <xdr:colOff>952020</xdr:colOff>
      <xdr:row>1</xdr:row>
      <xdr:rowOff>51385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871E2A4E-2218-462E-88A9-7C65F5EFE0FF}"/>
            </a:ext>
          </a:extLst>
        </xdr:cNvPr>
        <xdr:cNvGrpSpPr/>
      </xdr:nvGrpSpPr>
      <xdr:grpSpPr>
        <a:xfrm>
          <a:off x="525066" y="95250"/>
          <a:ext cx="790095" cy="721945"/>
          <a:chOff x="311150" y="28625"/>
          <a:chExt cx="792000" cy="714325"/>
        </a:xfrm>
      </xdr:grpSpPr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9F77A817-E2CF-302C-4A67-CC5D7C654BB7}"/>
              </a:ext>
            </a:extLst>
          </xdr:cNvPr>
          <xdr:cNvSpPr txBox="1"/>
        </xdr:nvSpPr>
        <xdr:spPr>
          <a:xfrm>
            <a:off x="311150" y="526950"/>
            <a:ext cx="792000" cy="216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prstTxWarp prst="textChevronInverted">
              <a:avLst/>
            </a:prstTxWarp>
            <a:spAutoFit/>
          </a:bodyPr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  <a:latin typeface="Baguet Script" panose="020B0604020202020204" pitchFamily="2" charset="0"/>
              </a:rPr>
              <a:t>Café Alura</a:t>
            </a: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C94D3EA3-6852-58CE-1B54-279E8A5BA8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3126">
            <a:off x="469902" y="28625"/>
            <a:ext cx="438822" cy="507999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30000</xdr:colOff>
      <xdr:row>0</xdr:row>
      <xdr:rowOff>714325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D78B0BDC-4D61-4782-AE37-230DB87718CE}"/>
            </a:ext>
          </a:extLst>
        </xdr:cNvPr>
        <xdr:cNvGrpSpPr/>
      </xdr:nvGrpSpPr>
      <xdr:grpSpPr>
        <a:xfrm>
          <a:off x="0" y="0"/>
          <a:ext cx="790095" cy="712420"/>
          <a:chOff x="311150" y="28625"/>
          <a:chExt cx="792000" cy="714325"/>
        </a:xfrm>
      </xdr:grpSpPr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9B24A4AD-A3B8-6CE4-C9C3-CB3F785C7945}"/>
              </a:ext>
            </a:extLst>
          </xdr:cNvPr>
          <xdr:cNvSpPr txBox="1"/>
        </xdr:nvSpPr>
        <xdr:spPr>
          <a:xfrm>
            <a:off x="311150" y="526950"/>
            <a:ext cx="792000" cy="216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prstTxWarp prst="textChevronInverted">
              <a:avLst/>
            </a:prstTxWarp>
            <a:spAutoFit/>
          </a:bodyPr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  <a:latin typeface="Baguet Script" panose="020B0604020202020204" pitchFamily="2" charset="0"/>
              </a:rPr>
              <a:t>Café Alura</a:t>
            </a:r>
          </a:p>
        </xdr:txBody>
      </xdr:sp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61E8699B-3EAB-BC80-5084-07333350A0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3126">
            <a:off x="469902" y="28625"/>
            <a:ext cx="438822" cy="507999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30000</xdr:colOff>
      <xdr:row>0</xdr:row>
      <xdr:rowOff>754380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20D6A91A-12CE-4E0F-9C06-EF9C679571DD}"/>
            </a:ext>
          </a:extLst>
        </xdr:cNvPr>
        <xdr:cNvGrpSpPr/>
      </xdr:nvGrpSpPr>
      <xdr:grpSpPr>
        <a:xfrm>
          <a:off x="0" y="0"/>
          <a:ext cx="1285395" cy="752475"/>
          <a:chOff x="311150" y="28625"/>
          <a:chExt cx="792000" cy="714325"/>
        </a:xfrm>
      </xdr:grpSpPr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D181293F-9493-6B4A-1784-1C14A15EDA6F}"/>
              </a:ext>
            </a:extLst>
          </xdr:cNvPr>
          <xdr:cNvSpPr txBox="1"/>
        </xdr:nvSpPr>
        <xdr:spPr>
          <a:xfrm>
            <a:off x="311150" y="526950"/>
            <a:ext cx="792000" cy="216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prstTxWarp prst="textChevronInverted">
              <a:avLst/>
            </a:prstTxWarp>
            <a:spAutoFit/>
          </a:bodyPr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  <a:latin typeface="Baguet Script" panose="020B0604020202020204" pitchFamily="2" charset="0"/>
              </a:rPr>
              <a:t>Café Alura</a:t>
            </a: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196096E8-F7C8-C053-F406-D7DE4CBDB4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3126">
            <a:off x="469902" y="28625"/>
            <a:ext cx="438822" cy="507999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30000</xdr:colOff>
      <xdr:row>1</xdr:row>
      <xdr:rowOff>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83DDF3B-EC61-4A83-9871-403442EE2946}"/>
            </a:ext>
          </a:extLst>
        </xdr:cNvPr>
        <xdr:cNvGrpSpPr/>
      </xdr:nvGrpSpPr>
      <xdr:grpSpPr>
        <a:xfrm>
          <a:off x="0" y="0"/>
          <a:ext cx="713895" cy="762000"/>
          <a:chOff x="311150" y="28625"/>
          <a:chExt cx="792000" cy="714325"/>
        </a:xfrm>
      </xdr:grpSpPr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9EA03307-E836-3CEA-CF07-7E1F963227EA}"/>
              </a:ext>
            </a:extLst>
          </xdr:cNvPr>
          <xdr:cNvSpPr txBox="1"/>
        </xdr:nvSpPr>
        <xdr:spPr>
          <a:xfrm>
            <a:off x="311150" y="526950"/>
            <a:ext cx="792000" cy="216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prstTxWarp prst="textChevronInverted">
              <a:avLst/>
            </a:prstTxWarp>
            <a:spAutoFit/>
          </a:bodyPr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  <a:latin typeface="Baguet Script" panose="020B0604020202020204" pitchFamily="2" charset="0"/>
              </a:rPr>
              <a:t>Café Alura</a:t>
            </a: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CDCED1CF-74FC-7D83-8AC6-FB4BAB6DFD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3126">
            <a:off x="469902" y="28625"/>
            <a:ext cx="438822" cy="507999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78AD2E-2996-4673-93A5-FBABBADBFCAD}" name="TB_Produtos" displayName="TB_Produtos" ref="B4:F31" totalsRowShown="0" headerRowDxfId="34">
  <autoFilter ref="B4:F31" xr:uid="{BF78AD2E-2996-4673-93A5-FBABBADBFCAD}"/>
  <tableColumns count="5">
    <tableColumn id="1" xr3:uid="{377E90C8-0A45-4737-AC04-4C7CDB0AEAE2}" name="Produto" dataDxfId="33"/>
    <tableColumn id="2" xr3:uid="{4EB804C9-8A27-4783-BD36-FB9E656AE6E9}" name="Unidade de Medida" dataDxfId="32"/>
    <tableColumn id="3" xr3:uid="{A21D3E1F-EEC0-4E4A-BE5D-F1FC07B6F8D6}" name="Estoque Mínimo" dataDxfId="31"/>
    <tableColumn id="4" xr3:uid="{56ACBABD-1CFA-40E7-BC2B-DBA4120CD2CF}" name="Custo Unitário" dataDxfId="30" dataCellStyle="Moeda"/>
    <tableColumn id="5" xr3:uid="{96CD541B-A2C4-4577-95D7-DC8135FFC00B}" name="Preço Unitário" dataDxfId="29" dataCellStyle="Moeda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E8CB29-2D3F-4475-8076-85314FAA5C42}" name="TB_Fornecedor" displayName="TB_Fornecedor" ref="B5:E9" totalsRowShown="0" headerRowDxfId="28">
  <autoFilter ref="B5:E9" xr:uid="{3FE8CB29-2D3F-4475-8076-85314FAA5C42}"/>
  <tableColumns count="4">
    <tableColumn id="1" xr3:uid="{5957F8AA-CE75-4BE8-A28F-E63751C6F321}" name="Empresa" dataDxfId="27"/>
    <tableColumn id="2" xr3:uid="{714E240A-6400-4353-BAFA-98056A75BEB8}" name="Telefone" dataDxfId="26"/>
    <tableColumn id="3" xr3:uid="{83F2A368-4F63-4459-A8E0-C24478833107}" name="Responsável" dataDxfId="25"/>
    <tableColumn id="4" xr3:uid="{B26AA4D1-77D3-4E4E-8E26-1DD67159E60C}" name="E-mail" dataDxfId="24" dataCellStyle="Moeda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889516-6D39-4469-A223-4B0F7168EF79}" name="TB_Entradas" displayName="TB_Entradas" ref="B5:G31" totalsRowShown="0" headerRowDxfId="23">
  <autoFilter ref="B5:G31" xr:uid="{96889516-6D39-4469-A223-4B0F7168EF79}"/>
  <tableColumns count="6">
    <tableColumn id="1" xr3:uid="{701AD28A-1CD8-44C9-BCEB-958AEB0E91DD}" name="Data" dataDxfId="22"/>
    <tableColumn id="2" xr3:uid="{F247CE0B-0EF4-4B75-A4B5-2205D8CF8B59}" name="Produto" dataDxfId="21"/>
    <tableColumn id="3" xr3:uid="{1A5D1499-6E9D-496F-95A9-F290D6FBA0EA}" name="Fornecedor" dataDxfId="20"/>
    <tableColumn id="4" xr3:uid="{8E9FF413-1C84-4664-AA13-4DDF2E3D7D9D}" name="Quantidade Comprada" dataDxfId="19" dataCellStyle="Moeda"/>
    <tableColumn id="5" xr3:uid="{2E8E7DC7-A0F0-4E94-AA98-250AD41828A5}" name="Custo Unitário" dataDxfId="18">
      <calculatedColumnFormula>IFERROR(INDEX(TB_Produtos[Custo Unitário],MATCH(TB_Entradas[[#This Row],[Produto]],TB_Produtos[Produto],0)), "Produto não encontrado")</calculatedColumnFormula>
    </tableColumn>
    <tableColumn id="6" xr3:uid="{6C0E756E-508B-4D93-825B-0736CA352BD1}" name="Valor da Compra" dataDxfId="17" dataCellStyle="Moeda">
      <calculatedColumnFormula>IFERROR(TB_Entradas[[#This Row],[Quantidade Comprada]]*TB_Entradas[[#This Row],[Custo Unitário]],"Erro ao calcular")</calculatedColumnFormula>
    </tableColumn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2B0E34-EED0-410F-9DBB-2AFDE3BD7325}" name="TB_Saídas" displayName="TB_Saídas" ref="B5:F33" totalsRowShown="0" headerRowDxfId="16" dataDxfId="15">
  <autoFilter ref="B5:F33" xr:uid="{1C2B0E34-EED0-410F-9DBB-2AFDE3BD7325}"/>
  <tableColumns count="5">
    <tableColumn id="1" xr3:uid="{3EC96A7C-960F-4C1F-B62F-88DC32E5B66B}" name="Data" dataDxfId="14"/>
    <tableColumn id="2" xr3:uid="{EF877C87-9226-4765-8E74-B8D91E7CC449}" name="Produto" dataDxfId="13"/>
    <tableColumn id="3" xr3:uid="{92F8BCF4-624A-434F-9CA4-5813A80E4E77}" name="Quantidade Vendida" dataDxfId="12"/>
    <tableColumn id="4" xr3:uid="{C2F3FBE9-BD24-4742-9294-C5CDB0CFCD61}" name="Preço Unitário" dataDxfId="11" dataCellStyle="Moeda">
      <calculatedColumnFormula>IFERROR(INDEX(TB_Produtos[Preço Unitário],MATCH(TB_Saídas[[#This Row],[Produto]],TB_Saídas[Produto],0)),"Produto não encontrado")</calculatedColumnFormula>
    </tableColumn>
    <tableColumn id="5" xr3:uid="{6E215185-3A99-4A09-A854-E779499F3CAA}" name="Valor da Venda" dataDxfId="10" dataCellStyle="Moeda">
      <calculatedColumnFormula>IFERROR(TB_Saídas[[#This Row],[Quantidade Vendida]]*TB_Saídas[[#This Row],[Preço Unitário]],"Erro ao calcular")</calculatedColumnFormula>
    </tableColumn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02A4B2-0B5E-41D5-ABA1-9F2ADD503E1D}" name="tb_controle_estoque" displayName="tb_controle_estoque" ref="B5:J32" totalsRowShown="0">
  <autoFilter ref="B5:J32" xr:uid="{A002A4B2-0B5E-41D5-ABA1-9F2ADD503E1D}"/>
  <tableColumns count="9">
    <tableColumn id="1" xr3:uid="{96614AEE-C47E-41CF-BC43-67CEC3D70D63}" name="Produto"/>
    <tableColumn id="2" xr3:uid="{EE79C188-6D09-4ED0-A7DB-71D9A0310A74}" name="Entrada" dataDxfId="9">
      <calculatedColumnFormula>IFERROR(SUMIF(TB_Entradas[Produto],tb_controle_estoque[[#This Row],[Produto]],TB_Entradas[Quantidade Comprada]),0)</calculatedColumnFormula>
    </tableColumn>
    <tableColumn id="3" xr3:uid="{39BD2E85-1A63-48BE-BD9D-8DBD22FF006D}" name="Saídas" dataDxfId="8">
      <calculatedColumnFormula>IFERROR(SUMIFS(TB_Saídas[Quantidade Vendida],TB_Saídas[Produto],tb_controle_estoque[[#This Row],[Produto]]),0)</calculatedColumnFormula>
    </tableColumn>
    <tableColumn id="4" xr3:uid="{510502DC-600E-41AB-A248-23FA5173B3A9}" name="Saldo em Estoque" dataDxfId="7">
      <calculatedColumnFormula>tb_controle_estoque[[#This Row],[Entrada]]-tb_controle_estoque[[#This Row],[Saídas]]</calculatedColumnFormula>
    </tableColumn>
    <tableColumn id="5" xr3:uid="{ADED9AD7-E5E1-405E-AEFC-827FB2C9F28B}" name="Estoque Mínimo" dataDxfId="6">
      <calculatedColumnFormula>IFERROR(VLOOKUP(tb_controle_estoque[[#This Row],[Produto]],TB_Produtos[#All],3,FALSE),"")</calculatedColumnFormula>
    </tableColumn>
    <tableColumn id="6" xr3:uid="{4792E255-5B4A-4BF1-935E-C9F86F2AE7B8}" name="Status do Estoque" dataDxfId="5">
      <calculatedColumnFormula>_xlfn.IFS(tb_controle_estoque[[#This Row],[Saldo em Estoque]]&gt;tb_controle_estoque[[#This Row],[Estoque Mínimo]],"Estoque OK",tb_controle_estoque[[#This Row],[Saldo em Estoque]]=0,"Estoque Zerado",1,"Repor Estoque")</calculatedColumnFormula>
    </tableColumn>
    <tableColumn id="7" xr3:uid="{B9A0617B-0B99-4DFE-B1CA-EF7A6E6F9E19}" name="Valor de Venda" dataCellStyle="Moeda">
      <calculatedColumnFormula>SUMIFS(TB_Saídas[Valor da Venda],TB_Saídas[Produto],tb_controle_estoque[[#This Row],[Produto]])</calculatedColumnFormula>
    </tableColumn>
    <tableColumn id="8" xr3:uid="{6C60C860-DC6E-4285-820B-33DE1F596DA3}" name="Custo Total" dataDxfId="4" dataCellStyle="Moeda">
      <calculatedColumnFormula>SUMIFS(TB_Entradas[Valor da Compra],TB_Entradas[Produto],tb_controle_estoque[[#This Row],[Produto]])</calculatedColumnFormula>
    </tableColumn>
    <tableColumn id="9" xr3:uid="{9CF93345-9949-4AD3-9EDB-66D243325D3A}" name="Lucro" dataDxfId="3">
      <calculatedColumnFormula>tb_controle_estoque[[#This Row],[Valor de Venda]]-tb_controle_estoque[[#This Row],[Custo Total]]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3.xml"/><Relationship Id="rId4" Type="http://schemas.openxmlformats.org/officeDocument/2006/relationships/hyperlink" Target="mailto:claudia@salgadosgran.com.b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94C2-88A4-40E4-9333-53C447B20028}">
  <dimension ref="A1:Q40"/>
  <sheetViews>
    <sheetView zoomScale="110" zoomScaleNormal="110" workbookViewId="0">
      <selection activeCell="A7" sqref="A7"/>
    </sheetView>
  </sheetViews>
  <sheetFormatPr defaultColWidth="9.109375" defaultRowHeight="14.4" x14ac:dyDescent="0.3"/>
  <cols>
    <col min="1" max="1" width="14" customWidth="1"/>
    <col min="2" max="2" width="13.44140625" bestFit="1" customWidth="1"/>
    <col min="3" max="3" width="10.6640625" bestFit="1" customWidth="1"/>
    <col min="4" max="4" width="17" customWidth="1"/>
    <col min="5" max="5" width="10.88671875" bestFit="1" customWidth="1"/>
    <col min="6" max="6" width="5.5546875" bestFit="1" customWidth="1"/>
    <col min="7" max="7" width="9.33203125" bestFit="1" customWidth="1"/>
    <col min="8" max="8" width="8.33203125" bestFit="1" customWidth="1"/>
    <col min="9" max="9" width="22.109375" customWidth="1"/>
    <col min="10" max="10" width="9.44140625" bestFit="1" customWidth="1"/>
    <col min="11" max="11" width="12.5546875" bestFit="1" customWidth="1"/>
    <col min="12" max="12" width="11.6640625" bestFit="1" customWidth="1"/>
    <col min="13" max="13" width="10.6640625" bestFit="1" customWidth="1"/>
    <col min="15" max="15" width="15.33203125" bestFit="1" customWidth="1"/>
    <col min="17" max="17" width="12" bestFit="1" customWidth="1"/>
  </cols>
  <sheetData>
    <row r="1" spans="1:17" ht="21" customHeight="1" x14ac:dyDescent="0.3">
      <c r="A1" s="1"/>
      <c r="B1" s="1"/>
      <c r="C1" s="1"/>
      <c r="D1" s="105" t="s">
        <v>0</v>
      </c>
      <c r="E1" s="105"/>
      <c r="F1" s="105"/>
      <c r="G1" s="105"/>
      <c r="H1" s="105"/>
      <c r="I1" s="1"/>
      <c r="J1" s="1"/>
      <c r="K1" s="1"/>
      <c r="O1" s="96" t="s">
        <v>1</v>
      </c>
      <c r="P1" s="96"/>
      <c r="Q1" s="96"/>
    </row>
    <row r="2" spans="1:17" ht="21" customHeight="1" x14ac:dyDescent="0.3">
      <c r="A2" s="1"/>
      <c r="B2" s="1"/>
      <c r="C2" s="1"/>
      <c r="D2" s="105"/>
      <c r="E2" s="105"/>
      <c r="F2" s="105"/>
      <c r="G2" s="105"/>
      <c r="H2" s="105"/>
      <c r="I2" s="1"/>
      <c r="J2" s="1"/>
      <c r="K2" s="1"/>
      <c r="O2" s="2"/>
      <c r="P2" s="2"/>
      <c r="Q2" s="2"/>
    </row>
    <row r="3" spans="1:17" x14ac:dyDescent="0.3">
      <c r="A3" s="1"/>
      <c r="B3" s="1"/>
      <c r="C3" s="1"/>
      <c r="D3" s="105"/>
      <c r="E3" s="105"/>
      <c r="F3" s="105"/>
      <c r="G3" s="105"/>
      <c r="H3" s="105"/>
      <c r="I3" s="1"/>
      <c r="J3" s="1"/>
      <c r="K3" s="1"/>
      <c r="O3" s="96" t="s">
        <v>2</v>
      </c>
      <c r="P3" s="96"/>
      <c r="Q3" s="12">
        <v>1132554029</v>
      </c>
    </row>
    <row r="4" spans="1:17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O4" s="96" t="s">
        <v>3</v>
      </c>
      <c r="P4" s="96"/>
      <c r="Q4" s="12">
        <v>1140082010</v>
      </c>
    </row>
    <row r="5" spans="1:17" x14ac:dyDescent="0.3">
      <c r="O5" s="96" t="s">
        <v>4</v>
      </c>
      <c r="P5" s="96"/>
      <c r="Q5" s="12">
        <v>1155286957</v>
      </c>
    </row>
    <row r="6" spans="1:17" x14ac:dyDescent="0.3">
      <c r="A6" s="3" t="s">
        <v>5</v>
      </c>
      <c r="B6" s="104" t="s">
        <v>6</v>
      </c>
      <c r="C6" s="4" t="s">
        <v>7</v>
      </c>
      <c r="D6" s="104" t="s">
        <v>8</v>
      </c>
      <c r="E6" s="104" t="s">
        <v>9</v>
      </c>
      <c r="F6" s="104" t="s">
        <v>10</v>
      </c>
      <c r="G6" s="5" t="s">
        <v>11</v>
      </c>
      <c r="H6" s="4" t="s">
        <v>12</v>
      </c>
      <c r="I6" s="6" t="s">
        <v>13</v>
      </c>
      <c r="J6" s="5" t="s">
        <v>14</v>
      </c>
      <c r="K6" s="5" t="s">
        <v>15</v>
      </c>
      <c r="L6" s="5" t="s">
        <v>16</v>
      </c>
      <c r="M6" s="104" t="s">
        <v>17</v>
      </c>
      <c r="O6" s="96" t="s">
        <v>18</v>
      </c>
      <c r="P6" s="96"/>
      <c r="Q6" s="12">
        <v>1162253698</v>
      </c>
    </row>
    <row r="7" spans="1:17" ht="15" thickBot="1" x14ac:dyDescent="0.35">
      <c r="A7" s="3" t="s">
        <v>19</v>
      </c>
      <c r="B7" s="104"/>
      <c r="C7" s="4" t="s">
        <v>20</v>
      </c>
      <c r="D7" s="104"/>
      <c r="E7" s="104"/>
      <c r="F7" s="104"/>
      <c r="G7" s="5" t="s">
        <v>21</v>
      </c>
      <c r="H7" s="4" t="s">
        <v>22</v>
      </c>
      <c r="I7" s="6" t="s">
        <v>21</v>
      </c>
      <c r="J7" s="5" t="s">
        <v>23</v>
      </c>
      <c r="K7" s="5" t="s">
        <v>24</v>
      </c>
      <c r="L7" s="5" t="s">
        <v>24</v>
      </c>
      <c r="M7" s="104"/>
      <c r="O7" s="2"/>
      <c r="P7" s="2"/>
      <c r="Q7" s="2"/>
    </row>
    <row r="8" spans="1:17" ht="15" thickBot="1" x14ac:dyDescent="0.35">
      <c r="A8" s="7">
        <v>44774</v>
      </c>
      <c r="B8" s="8" t="s">
        <v>25</v>
      </c>
      <c r="C8" s="9" t="s">
        <v>26</v>
      </c>
      <c r="D8" s="97" t="s">
        <v>2</v>
      </c>
      <c r="E8" s="9">
        <v>100</v>
      </c>
      <c r="F8" s="9">
        <v>10</v>
      </c>
      <c r="G8" s="10">
        <f>E8-F9</f>
        <v>98</v>
      </c>
      <c r="H8" s="9">
        <v>50</v>
      </c>
      <c r="I8" s="8" t="str">
        <f t="shared" ref="I8:I21" si="0">IF(G8&lt;=H8,"Realizar Compra",IF(G8&gt;H8,"Estoque Normal"))</f>
        <v>Estoque Normal</v>
      </c>
      <c r="J8" s="11">
        <v>2</v>
      </c>
      <c r="K8" s="11">
        <v>6</v>
      </c>
      <c r="L8" s="11">
        <f>K8*F8</f>
        <v>60</v>
      </c>
      <c r="M8" s="11">
        <f>L8-J8*F8</f>
        <v>40</v>
      </c>
      <c r="O8" s="2"/>
      <c r="P8" s="2"/>
      <c r="Q8" s="2"/>
    </row>
    <row r="9" spans="1:17" ht="15" thickBot="1" x14ac:dyDescent="0.35">
      <c r="A9" s="7">
        <v>44813</v>
      </c>
      <c r="B9" s="8" t="s">
        <v>27</v>
      </c>
      <c r="C9" s="9" t="s">
        <v>26</v>
      </c>
      <c r="D9" s="109"/>
      <c r="E9" s="9">
        <v>35</v>
      </c>
      <c r="F9" s="9">
        <v>2</v>
      </c>
      <c r="G9" s="10">
        <f t="shared" ref="G9:G21" si="1">E9-F9</f>
        <v>33</v>
      </c>
      <c r="H9" s="9">
        <v>15</v>
      </c>
      <c r="I9" s="8" t="str">
        <f t="shared" si="0"/>
        <v>Estoque Normal</v>
      </c>
      <c r="J9" s="11">
        <v>0.5</v>
      </c>
      <c r="K9" s="11">
        <v>2</v>
      </c>
      <c r="L9" s="11">
        <f t="shared" ref="L9:L37" si="2">K9*F9</f>
        <v>4</v>
      </c>
      <c r="M9" s="11">
        <f>L9-J9*F9</f>
        <v>3</v>
      </c>
      <c r="O9" s="2"/>
      <c r="P9" s="2"/>
      <c r="Q9" s="2"/>
    </row>
    <row r="10" spans="1:17" ht="15" thickBot="1" x14ac:dyDescent="0.35">
      <c r="A10" s="7">
        <v>44782</v>
      </c>
      <c r="B10" s="8" t="s">
        <v>28</v>
      </c>
      <c r="C10" s="9" t="s">
        <v>26</v>
      </c>
      <c r="D10" s="109"/>
      <c r="E10" s="9">
        <v>15</v>
      </c>
      <c r="F10" s="9">
        <v>10</v>
      </c>
      <c r="G10" s="10">
        <f t="shared" si="1"/>
        <v>5</v>
      </c>
      <c r="H10" s="9">
        <v>15</v>
      </c>
      <c r="I10" s="13" t="str">
        <f t="shared" si="0"/>
        <v>Realizar Compra</v>
      </c>
      <c r="J10" s="11">
        <v>1.3</v>
      </c>
      <c r="K10" s="11">
        <v>1</v>
      </c>
      <c r="L10" s="11">
        <f t="shared" si="2"/>
        <v>10</v>
      </c>
      <c r="M10" s="11">
        <f t="shared" ref="M10:M37" si="3">L10-J10*F10</f>
        <v>-3</v>
      </c>
    </row>
    <row r="11" spans="1:17" ht="15" thickBot="1" x14ac:dyDescent="0.35">
      <c r="A11" s="7">
        <v>44866</v>
      </c>
      <c r="B11" s="8" t="s">
        <v>29</v>
      </c>
      <c r="C11" s="9" t="s">
        <v>30</v>
      </c>
      <c r="D11" s="109"/>
      <c r="E11" s="9">
        <v>24</v>
      </c>
      <c r="F11" s="9">
        <v>2</v>
      </c>
      <c r="G11" s="10">
        <f t="shared" si="1"/>
        <v>22</v>
      </c>
      <c r="H11" s="9">
        <v>12</v>
      </c>
      <c r="I11" s="8" t="str">
        <f t="shared" si="0"/>
        <v>Estoque Normal</v>
      </c>
      <c r="J11" s="11">
        <v>10</v>
      </c>
      <c r="K11" s="11">
        <v>5</v>
      </c>
      <c r="L11" s="11">
        <f t="shared" si="2"/>
        <v>10</v>
      </c>
      <c r="M11" s="11">
        <f t="shared" si="3"/>
        <v>-10</v>
      </c>
    </row>
    <row r="12" spans="1:17" ht="15" thickBot="1" x14ac:dyDescent="0.35">
      <c r="A12" s="7">
        <v>44778</v>
      </c>
      <c r="B12" s="8" t="s">
        <v>31</v>
      </c>
      <c r="C12" s="9" t="s">
        <v>32</v>
      </c>
      <c r="D12" s="109"/>
      <c r="E12" s="9">
        <v>8</v>
      </c>
      <c r="F12" s="9">
        <v>5</v>
      </c>
      <c r="G12" s="10">
        <f t="shared" si="1"/>
        <v>3</v>
      </c>
      <c r="H12" s="9">
        <v>4</v>
      </c>
      <c r="I12" s="13" t="str">
        <f t="shared" si="0"/>
        <v>Realizar Compra</v>
      </c>
      <c r="J12" s="11">
        <v>2</v>
      </c>
      <c r="K12" s="11">
        <v>2</v>
      </c>
      <c r="L12" s="11">
        <f t="shared" si="2"/>
        <v>10</v>
      </c>
      <c r="M12" s="11">
        <f t="shared" si="3"/>
        <v>0</v>
      </c>
    </row>
    <row r="13" spans="1:17" ht="15" thickBot="1" x14ac:dyDescent="0.35">
      <c r="A13" s="7">
        <v>44779</v>
      </c>
      <c r="B13" s="8" t="s">
        <v>33</v>
      </c>
      <c r="C13" s="9" t="s">
        <v>26</v>
      </c>
      <c r="D13" s="109"/>
      <c r="E13" s="9">
        <v>50</v>
      </c>
      <c r="F13" s="9">
        <v>20</v>
      </c>
      <c r="G13" s="10">
        <f t="shared" si="1"/>
        <v>30</v>
      </c>
      <c r="H13" s="9">
        <v>10</v>
      </c>
      <c r="I13" s="8" t="str">
        <f t="shared" si="0"/>
        <v>Estoque Normal</v>
      </c>
      <c r="J13" s="11">
        <v>5</v>
      </c>
      <c r="K13" s="11">
        <v>5</v>
      </c>
      <c r="L13" s="11">
        <f t="shared" si="2"/>
        <v>100</v>
      </c>
      <c r="M13" s="11">
        <f t="shared" si="3"/>
        <v>0</v>
      </c>
    </row>
    <row r="14" spans="1:17" ht="15" thickBot="1" x14ac:dyDescent="0.35">
      <c r="A14" s="7">
        <v>44859</v>
      </c>
      <c r="B14" s="8" t="s">
        <v>25</v>
      </c>
      <c r="C14" s="9" t="s">
        <v>26</v>
      </c>
      <c r="D14" s="109"/>
      <c r="E14" s="9">
        <v>100</v>
      </c>
      <c r="F14" s="9">
        <v>50</v>
      </c>
      <c r="G14" s="10">
        <f>E14-E13</f>
        <v>50</v>
      </c>
      <c r="H14" s="9">
        <v>50</v>
      </c>
      <c r="I14" s="8" t="str">
        <f t="shared" ref="I14" si="4">IF(G14&lt;=H14,"Realizar Compra",IF(G14&gt;H14,"Estoque Normal"))</f>
        <v>Realizar Compra</v>
      </c>
      <c r="J14" s="11">
        <v>2</v>
      </c>
      <c r="K14" s="11">
        <v>6</v>
      </c>
      <c r="L14" s="11">
        <f>K14*F14</f>
        <v>300</v>
      </c>
      <c r="M14" s="11">
        <f>L14-J14*F14</f>
        <v>200</v>
      </c>
    </row>
    <row r="15" spans="1:17" ht="15" thickBot="1" x14ac:dyDescent="0.35">
      <c r="A15" s="7">
        <v>44878</v>
      </c>
      <c r="B15" s="8" t="s">
        <v>34</v>
      </c>
      <c r="C15" s="9" t="s">
        <v>32</v>
      </c>
      <c r="D15" s="109"/>
      <c r="E15" s="9">
        <v>5</v>
      </c>
      <c r="F15" s="9">
        <v>2</v>
      </c>
      <c r="G15" s="10">
        <f t="shared" si="1"/>
        <v>3</v>
      </c>
      <c r="H15" s="9">
        <v>2</v>
      </c>
      <c r="I15" s="8" t="str">
        <f>IF(G15&lt;=H15,"Realizar Compra",IF(G15&gt;H15,"Estoque Normal"))</f>
        <v>Estoque Normal</v>
      </c>
      <c r="J15" s="11">
        <v>2</v>
      </c>
      <c r="K15" s="11">
        <v>3</v>
      </c>
      <c r="L15" s="11">
        <f t="shared" si="2"/>
        <v>6</v>
      </c>
      <c r="M15" s="11">
        <f t="shared" si="3"/>
        <v>2</v>
      </c>
    </row>
    <row r="16" spans="1:17" ht="15" thickBot="1" x14ac:dyDescent="0.35">
      <c r="A16" s="7">
        <v>44878</v>
      </c>
      <c r="B16" s="8" t="s">
        <v>35</v>
      </c>
      <c r="C16" s="9" t="s">
        <v>32</v>
      </c>
      <c r="D16" s="109"/>
      <c r="E16" s="9">
        <v>5</v>
      </c>
      <c r="F16" s="9">
        <v>3</v>
      </c>
      <c r="G16" s="10">
        <f t="shared" si="1"/>
        <v>2</v>
      </c>
      <c r="H16" s="9">
        <v>2</v>
      </c>
      <c r="I16" s="8" t="str">
        <f t="shared" si="0"/>
        <v>Realizar Compra</v>
      </c>
      <c r="J16" s="11">
        <v>2.5</v>
      </c>
      <c r="K16" s="11">
        <v>3.5</v>
      </c>
      <c r="L16" s="11">
        <f t="shared" si="2"/>
        <v>10.5</v>
      </c>
      <c r="M16" s="11">
        <f t="shared" si="3"/>
        <v>3</v>
      </c>
    </row>
    <row r="17" spans="1:13" ht="15" thickBot="1" x14ac:dyDescent="0.35">
      <c r="A17" s="7">
        <v>44878</v>
      </c>
      <c r="B17" s="8" t="s">
        <v>36</v>
      </c>
      <c r="C17" s="9" t="s">
        <v>32</v>
      </c>
      <c r="D17" s="109"/>
      <c r="E17" s="9">
        <v>5</v>
      </c>
      <c r="F17" s="9">
        <v>2</v>
      </c>
      <c r="G17" s="10">
        <f t="shared" si="1"/>
        <v>3</v>
      </c>
      <c r="H17" s="9">
        <v>2</v>
      </c>
      <c r="I17" s="8" t="str">
        <f t="shared" si="0"/>
        <v>Estoque Normal</v>
      </c>
      <c r="J17" s="11">
        <v>1.2</v>
      </c>
      <c r="K17" s="11">
        <v>3</v>
      </c>
      <c r="L17" s="11">
        <f t="shared" si="2"/>
        <v>6</v>
      </c>
      <c r="M17" s="11">
        <f t="shared" si="3"/>
        <v>3.6</v>
      </c>
    </row>
    <row r="18" spans="1:13" ht="15" thickBot="1" x14ac:dyDescent="0.35">
      <c r="A18" s="7">
        <v>44878</v>
      </c>
      <c r="B18" s="8" t="s">
        <v>37</v>
      </c>
      <c r="C18" s="9" t="s">
        <v>32</v>
      </c>
      <c r="D18" s="109"/>
      <c r="E18" s="9">
        <v>5</v>
      </c>
      <c r="F18" s="9">
        <v>2</v>
      </c>
      <c r="G18" s="10">
        <f t="shared" si="1"/>
        <v>3</v>
      </c>
      <c r="H18" s="9">
        <v>2</v>
      </c>
      <c r="I18" s="8" t="str">
        <f t="shared" si="0"/>
        <v>Estoque Normal</v>
      </c>
      <c r="J18" s="11">
        <v>3</v>
      </c>
      <c r="K18" s="11">
        <v>4.5</v>
      </c>
      <c r="L18" s="11">
        <f t="shared" si="2"/>
        <v>9</v>
      </c>
      <c r="M18" s="11">
        <f t="shared" si="3"/>
        <v>3</v>
      </c>
    </row>
    <row r="19" spans="1:13" ht="15" thickBot="1" x14ac:dyDescent="0.35">
      <c r="A19" s="7">
        <v>44878</v>
      </c>
      <c r="B19" s="8" t="s">
        <v>38</v>
      </c>
      <c r="C19" s="9" t="s">
        <v>26</v>
      </c>
      <c r="D19" s="109"/>
      <c r="E19" s="9">
        <v>15</v>
      </c>
      <c r="F19" s="9">
        <v>2</v>
      </c>
      <c r="G19" s="10">
        <f t="shared" si="1"/>
        <v>13</v>
      </c>
      <c r="H19" s="9">
        <v>10</v>
      </c>
      <c r="I19" s="8" t="str">
        <f t="shared" si="0"/>
        <v>Estoque Normal</v>
      </c>
      <c r="J19" s="11">
        <v>2</v>
      </c>
      <c r="K19" s="11">
        <v>1</v>
      </c>
      <c r="L19" s="11">
        <f t="shared" si="2"/>
        <v>2</v>
      </c>
      <c r="M19" s="11">
        <f t="shared" si="3"/>
        <v>-2</v>
      </c>
    </row>
    <row r="20" spans="1:13" ht="15" thickBot="1" x14ac:dyDescent="0.35">
      <c r="A20" s="7">
        <v>44878</v>
      </c>
      <c r="B20" s="8" t="s">
        <v>25</v>
      </c>
      <c r="C20" s="9" t="s">
        <v>26</v>
      </c>
      <c r="D20" s="109"/>
      <c r="E20" s="9">
        <v>100</v>
      </c>
      <c r="F20" s="9">
        <v>10</v>
      </c>
      <c r="G20" s="10">
        <f>E20-F21</f>
        <v>95</v>
      </c>
      <c r="H20" s="9">
        <v>50</v>
      </c>
      <c r="I20" s="8" t="str">
        <f t="shared" si="0"/>
        <v>Estoque Normal</v>
      </c>
      <c r="J20" s="11">
        <v>2</v>
      </c>
      <c r="K20" s="11">
        <v>6</v>
      </c>
      <c r="L20" s="11">
        <f>K20*F20</f>
        <v>60</v>
      </c>
      <c r="M20" s="11">
        <f>L20-J20*F20</f>
        <v>40</v>
      </c>
    </row>
    <row r="21" spans="1:13" ht="15" thickBot="1" x14ac:dyDescent="0.35">
      <c r="A21" s="7">
        <v>44878</v>
      </c>
      <c r="B21" s="8" t="s">
        <v>39</v>
      </c>
      <c r="C21" s="9" t="s">
        <v>30</v>
      </c>
      <c r="D21" s="98"/>
      <c r="E21" s="9">
        <v>10</v>
      </c>
      <c r="F21" s="9">
        <v>5</v>
      </c>
      <c r="G21" s="10">
        <f t="shared" si="1"/>
        <v>5</v>
      </c>
      <c r="H21" s="9">
        <v>5</v>
      </c>
      <c r="I21" s="13" t="str">
        <f t="shared" si="0"/>
        <v>Realizar Compra</v>
      </c>
      <c r="J21" s="11">
        <v>1</v>
      </c>
      <c r="K21" s="11">
        <v>7.5</v>
      </c>
      <c r="L21" s="11">
        <f t="shared" si="2"/>
        <v>37.5</v>
      </c>
      <c r="M21" s="11">
        <f t="shared" si="3"/>
        <v>32.5</v>
      </c>
    </row>
    <row r="22" spans="1:13" ht="15" thickBot="1" x14ac:dyDescent="0.35">
      <c r="A22" s="14"/>
      <c r="B22" s="106" t="s">
        <v>40</v>
      </c>
      <c r="C22" s="107"/>
      <c r="D22" s="108"/>
      <c r="E22" s="15">
        <f>SUM(E8:E21)</f>
        <v>477</v>
      </c>
      <c r="F22" s="15">
        <f>SUM(F8:F21)</f>
        <v>125</v>
      </c>
      <c r="G22" s="15">
        <f>SUM(G8:G21)</f>
        <v>365</v>
      </c>
      <c r="H22" s="15"/>
      <c r="I22" s="16"/>
      <c r="J22" s="17">
        <f>SUM(J8:J21)</f>
        <v>36.5</v>
      </c>
      <c r="K22" s="18">
        <f>SUM(K8:K21)</f>
        <v>55.5</v>
      </c>
      <c r="L22" s="18">
        <f>SUM(L8:L21)</f>
        <v>625</v>
      </c>
      <c r="M22" s="18">
        <f t="shared" ref="M22" si="5">SUM(M8:M21)</f>
        <v>312.10000000000002</v>
      </c>
    </row>
    <row r="23" spans="1:13" ht="15" thickBot="1" x14ac:dyDescent="0.35">
      <c r="A23" s="7">
        <v>44880</v>
      </c>
      <c r="B23" s="8" t="s">
        <v>41</v>
      </c>
      <c r="C23" s="9" t="s">
        <v>32</v>
      </c>
      <c r="D23" s="97" t="s">
        <v>18</v>
      </c>
      <c r="E23" s="9">
        <v>10</v>
      </c>
      <c r="F23" s="9">
        <v>2</v>
      </c>
      <c r="G23" s="10">
        <f t="shared" ref="G23:G29" si="6">E23-F23</f>
        <v>8</v>
      </c>
      <c r="H23" s="9">
        <v>5</v>
      </c>
      <c r="I23" s="8" t="str">
        <f t="shared" ref="I23:I29" si="7">IF(G23&lt;=H23,"Realizar Compra",IF(G23&gt;H23,"Estoque Normal"))</f>
        <v>Estoque Normal</v>
      </c>
      <c r="J23" s="11">
        <v>1.5</v>
      </c>
      <c r="K23" s="11">
        <v>3</v>
      </c>
      <c r="L23" s="11">
        <f t="shared" si="2"/>
        <v>6</v>
      </c>
      <c r="M23" s="11">
        <f t="shared" si="3"/>
        <v>3</v>
      </c>
    </row>
    <row r="24" spans="1:13" ht="15" thickBot="1" x14ac:dyDescent="0.35">
      <c r="A24" s="7">
        <v>44841</v>
      </c>
      <c r="B24" s="8" t="s">
        <v>42</v>
      </c>
      <c r="C24" s="9" t="s">
        <v>32</v>
      </c>
      <c r="D24" s="109"/>
      <c r="E24" s="9">
        <v>100</v>
      </c>
      <c r="F24" s="9">
        <v>40</v>
      </c>
      <c r="G24" s="10">
        <f>E24-F22</f>
        <v>-25</v>
      </c>
      <c r="H24" s="9">
        <v>50</v>
      </c>
      <c r="I24" s="13" t="str">
        <f t="shared" si="7"/>
        <v>Realizar Compra</v>
      </c>
      <c r="J24" s="11">
        <v>1</v>
      </c>
      <c r="K24" s="11">
        <v>4.5</v>
      </c>
      <c r="L24" s="11">
        <f t="shared" si="2"/>
        <v>180</v>
      </c>
      <c r="M24" s="11">
        <f t="shared" si="3"/>
        <v>140</v>
      </c>
    </row>
    <row r="25" spans="1:13" ht="15" thickBot="1" x14ac:dyDescent="0.35">
      <c r="A25" s="7">
        <v>44841</v>
      </c>
      <c r="B25" s="8" t="s">
        <v>43</v>
      </c>
      <c r="C25" s="9" t="s">
        <v>32</v>
      </c>
      <c r="D25" s="109"/>
      <c r="E25" s="9">
        <v>100</v>
      </c>
      <c r="F25" s="9">
        <v>40</v>
      </c>
      <c r="G25" s="10">
        <f>E25-F25</f>
        <v>60</v>
      </c>
      <c r="H25" s="9">
        <v>50</v>
      </c>
      <c r="I25" s="8" t="str">
        <f t="shared" si="7"/>
        <v>Estoque Normal</v>
      </c>
      <c r="J25" s="11">
        <v>1</v>
      </c>
      <c r="K25" s="11">
        <v>4.5</v>
      </c>
      <c r="L25" s="11">
        <f t="shared" si="2"/>
        <v>180</v>
      </c>
      <c r="M25" s="11">
        <f t="shared" si="3"/>
        <v>140</v>
      </c>
    </row>
    <row r="26" spans="1:13" ht="15" thickBot="1" x14ac:dyDescent="0.35">
      <c r="A26" s="7">
        <v>44841</v>
      </c>
      <c r="B26" s="8" t="s">
        <v>44</v>
      </c>
      <c r="C26" s="9" t="s">
        <v>32</v>
      </c>
      <c r="D26" s="109"/>
      <c r="E26" s="9">
        <v>100</v>
      </c>
      <c r="F26" s="9">
        <v>40</v>
      </c>
      <c r="G26" s="10">
        <f t="shared" si="6"/>
        <v>60</v>
      </c>
      <c r="H26" s="9">
        <v>50</v>
      </c>
      <c r="I26" s="8" t="str">
        <f t="shared" si="7"/>
        <v>Estoque Normal</v>
      </c>
      <c r="J26" s="11">
        <v>1</v>
      </c>
      <c r="K26" s="11">
        <v>4</v>
      </c>
      <c r="L26" s="11">
        <f t="shared" si="2"/>
        <v>160</v>
      </c>
      <c r="M26" s="11">
        <f t="shared" si="3"/>
        <v>120</v>
      </c>
    </row>
    <row r="27" spans="1:13" ht="15" thickBot="1" x14ac:dyDescent="0.35">
      <c r="A27" s="7">
        <v>44841</v>
      </c>
      <c r="B27" s="8" t="s">
        <v>45</v>
      </c>
      <c r="C27" s="9" t="s">
        <v>32</v>
      </c>
      <c r="D27" s="109"/>
      <c r="E27" s="9">
        <v>100</v>
      </c>
      <c r="F27" s="9">
        <v>40</v>
      </c>
      <c r="G27" s="10">
        <f t="shared" si="6"/>
        <v>60</v>
      </c>
      <c r="H27" s="9">
        <v>50</v>
      </c>
      <c r="I27" s="8" t="str">
        <f t="shared" si="7"/>
        <v>Estoque Normal</v>
      </c>
      <c r="J27" s="11">
        <v>1</v>
      </c>
      <c r="K27" s="11">
        <v>4</v>
      </c>
      <c r="L27" s="11">
        <f t="shared" si="2"/>
        <v>160</v>
      </c>
      <c r="M27" s="11">
        <f t="shared" si="3"/>
        <v>120</v>
      </c>
    </row>
    <row r="28" spans="1:13" ht="15" thickBot="1" x14ac:dyDescent="0.35">
      <c r="A28" s="7">
        <v>44841</v>
      </c>
      <c r="B28" s="8" t="s">
        <v>46</v>
      </c>
      <c r="C28" s="9" t="s">
        <v>32</v>
      </c>
      <c r="D28" s="109"/>
      <c r="E28" s="9">
        <v>100</v>
      </c>
      <c r="F28" s="9">
        <v>40</v>
      </c>
      <c r="G28" s="10">
        <f t="shared" si="6"/>
        <v>60</v>
      </c>
      <c r="H28" s="9">
        <v>50</v>
      </c>
      <c r="I28" s="8" t="str">
        <f t="shared" si="7"/>
        <v>Estoque Normal</v>
      </c>
      <c r="J28" s="11">
        <v>1</v>
      </c>
      <c r="K28" s="11">
        <v>4</v>
      </c>
      <c r="L28" s="11">
        <f t="shared" si="2"/>
        <v>160</v>
      </c>
      <c r="M28" s="11">
        <f t="shared" si="3"/>
        <v>120</v>
      </c>
    </row>
    <row r="29" spans="1:13" ht="15" thickBot="1" x14ac:dyDescent="0.35">
      <c r="A29" s="7">
        <v>44843</v>
      </c>
      <c r="B29" s="8" t="s">
        <v>47</v>
      </c>
      <c r="C29" s="9" t="s">
        <v>32</v>
      </c>
      <c r="D29" s="98"/>
      <c r="E29" s="9">
        <v>40</v>
      </c>
      <c r="F29" s="9">
        <v>30</v>
      </c>
      <c r="G29" s="10">
        <f t="shared" si="6"/>
        <v>10</v>
      </c>
      <c r="H29" s="9">
        <v>10</v>
      </c>
      <c r="I29" s="13" t="str">
        <f t="shared" si="7"/>
        <v>Realizar Compra</v>
      </c>
      <c r="J29" s="11">
        <v>1</v>
      </c>
      <c r="K29" s="11">
        <v>5</v>
      </c>
      <c r="L29" s="11">
        <f t="shared" si="2"/>
        <v>150</v>
      </c>
      <c r="M29" s="11">
        <f t="shared" si="3"/>
        <v>120</v>
      </c>
    </row>
    <row r="30" spans="1:13" ht="15" thickBot="1" x14ac:dyDescent="0.35">
      <c r="A30" s="14"/>
      <c r="B30" s="106" t="s">
        <v>48</v>
      </c>
      <c r="C30" s="107"/>
      <c r="D30" s="108"/>
      <c r="E30" s="15">
        <f>SUM(E23:E29)</f>
        <v>550</v>
      </c>
      <c r="F30" s="15">
        <f>SUM(F12:F29)</f>
        <v>458</v>
      </c>
      <c r="G30" s="15">
        <f>SUM(G12:G29)</f>
        <v>805</v>
      </c>
      <c r="H30" s="15"/>
      <c r="I30" s="16"/>
      <c r="J30" s="17">
        <f>SUM(J12:J29)</f>
        <v>66.7</v>
      </c>
      <c r="K30" s="18">
        <f>SUM(K12:K29)</f>
        <v>126</v>
      </c>
      <c r="L30" s="18">
        <f>SUM(L16:L29)</f>
        <v>1746</v>
      </c>
      <c r="M30" s="18">
        <f t="shared" ref="M30" si="8">SUM(M16:M29)</f>
        <v>1155.2</v>
      </c>
    </row>
    <row r="31" spans="1:13" ht="15" thickBot="1" x14ac:dyDescent="0.35">
      <c r="A31" s="7">
        <v>44878</v>
      </c>
      <c r="B31" s="8" t="s">
        <v>49</v>
      </c>
      <c r="C31" s="9" t="s">
        <v>26</v>
      </c>
      <c r="D31" s="97" t="s">
        <v>4</v>
      </c>
      <c r="E31" s="9">
        <v>15</v>
      </c>
      <c r="F31" s="9">
        <v>13</v>
      </c>
      <c r="G31" s="10">
        <f>E31-F31</f>
        <v>2</v>
      </c>
      <c r="H31" s="9">
        <v>5</v>
      </c>
      <c r="I31" s="13" t="str">
        <f>IF(G31&lt;=H31,"Realizar Compra",IF(G31&gt;H31,"Estoque Normal"))</f>
        <v>Realizar Compra</v>
      </c>
      <c r="J31" s="11">
        <v>0.75</v>
      </c>
      <c r="K31" s="11">
        <v>10</v>
      </c>
      <c r="L31" s="11">
        <f t="shared" si="2"/>
        <v>130</v>
      </c>
      <c r="M31" s="11">
        <f t="shared" si="3"/>
        <v>120.25</v>
      </c>
    </row>
    <row r="32" spans="1:13" ht="15" thickBot="1" x14ac:dyDescent="0.35">
      <c r="A32" s="7">
        <v>44878</v>
      </c>
      <c r="B32" s="8" t="s">
        <v>50</v>
      </c>
      <c r="C32" s="9" t="s">
        <v>26</v>
      </c>
      <c r="D32" s="109"/>
      <c r="E32" s="9">
        <v>20</v>
      </c>
      <c r="F32" s="9">
        <v>3</v>
      </c>
      <c r="G32" s="10">
        <f t="shared" ref="G32" si="9">E32-F32</f>
        <v>17</v>
      </c>
      <c r="H32" s="9">
        <v>10</v>
      </c>
      <c r="I32" s="13" t="str">
        <f>IF(G32&lt;=H32,"Realizar Compra",IF(G32&gt;H32,"Estoque Normal"))</f>
        <v>Estoque Normal</v>
      </c>
      <c r="J32" s="11">
        <v>2.5</v>
      </c>
      <c r="K32" s="11">
        <v>6</v>
      </c>
      <c r="L32" s="11">
        <f t="shared" ref="L32" si="10">K32*F32</f>
        <v>18</v>
      </c>
      <c r="M32" s="11">
        <f t="shared" ref="M32" si="11">L32-J32*F32</f>
        <v>10.5</v>
      </c>
    </row>
    <row r="33" spans="1:13" ht="15" thickBot="1" x14ac:dyDescent="0.35">
      <c r="A33" s="7">
        <v>44835</v>
      </c>
      <c r="B33" s="8" t="s">
        <v>51</v>
      </c>
      <c r="C33" s="9" t="s">
        <v>52</v>
      </c>
      <c r="D33" s="109"/>
      <c r="E33" s="9">
        <v>15</v>
      </c>
      <c r="F33" s="9">
        <v>14</v>
      </c>
      <c r="G33" s="10">
        <f>E33-F33</f>
        <v>1</v>
      </c>
      <c r="H33" s="9">
        <v>5</v>
      </c>
      <c r="I33" s="13" t="str">
        <f>IF(G33&lt;=H33,"Realizar Compra",IF(G33&gt;H33,"Estoque Normal"))</f>
        <v>Realizar Compra</v>
      </c>
      <c r="J33" s="11">
        <v>0.75</v>
      </c>
      <c r="K33" s="11">
        <v>2</v>
      </c>
      <c r="L33" s="11">
        <f t="shared" si="2"/>
        <v>28</v>
      </c>
      <c r="M33" s="11">
        <f t="shared" si="3"/>
        <v>17.5</v>
      </c>
    </row>
    <row r="34" spans="1:13" ht="15" thickBot="1" x14ac:dyDescent="0.35">
      <c r="A34" s="7">
        <v>44835</v>
      </c>
      <c r="B34" s="8" t="s">
        <v>53</v>
      </c>
      <c r="C34" s="9" t="s">
        <v>52</v>
      </c>
      <c r="D34" s="98"/>
      <c r="E34" s="9">
        <v>15</v>
      </c>
      <c r="F34" s="9">
        <v>11</v>
      </c>
      <c r="G34" s="10">
        <f>E34-F34</f>
        <v>4</v>
      </c>
      <c r="H34" s="9">
        <v>5</v>
      </c>
      <c r="I34" s="13" t="str">
        <f>IF(G34&lt;=H34,"Realizar Compra",IF(G34&gt;H34,"Estoque Normal"))</f>
        <v>Realizar Compra</v>
      </c>
      <c r="J34" s="11">
        <v>1.5</v>
      </c>
      <c r="K34" s="11">
        <v>7</v>
      </c>
      <c r="L34" s="11">
        <f t="shared" si="2"/>
        <v>77</v>
      </c>
      <c r="M34" s="11">
        <f t="shared" si="3"/>
        <v>60.5</v>
      </c>
    </row>
    <row r="35" spans="1:13" ht="15" thickBot="1" x14ac:dyDescent="0.35">
      <c r="A35" s="14"/>
      <c r="B35" s="106" t="s">
        <v>54</v>
      </c>
      <c r="C35" s="107"/>
      <c r="D35" s="108"/>
      <c r="E35" s="15">
        <f>SUM(E31:E34)</f>
        <v>65</v>
      </c>
      <c r="F35" s="15">
        <f>SUM(F31:F34)</f>
        <v>41</v>
      </c>
      <c r="G35" s="15">
        <f>SUM(G10:G34)</f>
        <v>1661</v>
      </c>
      <c r="H35" s="15"/>
      <c r="I35" s="16"/>
      <c r="J35" s="19">
        <f>SUM(J31:J34)</f>
        <v>5.5</v>
      </c>
      <c r="K35" s="18">
        <f>SUM(K31:K34)</f>
        <v>25</v>
      </c>
      <c r="L35" s="18">
        <f>SUM(L20:L34)</f>
        <v>3717.5</v>
      </c>
      <c r="M35" s="18">
        <f t="shared" ref="M35" si="12">SUM(M20:M34)</f>
        <v>2511.5500000000002</v>
      </c>
    </row>
    <row r="36" spans="1:13" ht="15" thickBot="1" x14ac:dyDescent="0.35">
      <c r="A36" s="7">
        <v>44878</v>
      </c>
      <c r="B36" s="8" t="s">
        <v>55</v>
      </c>
      <c r="C36" s="9" t="s">
        <v>32</v>
      </c>
      <c r="D36" s="97" t="s">
        <v>3</v>
      </c>
      <c r="E36" s="9">
        <v>6</v>
      </c>
      <c r="F36" s="9">
        <v>3</v>
      </c>
      <c r="G36" s="10">
        <f>E36-F36</f>
        <v>3</v>
      </c>
      <c r="H36" s="9">
        <v>2</v>
      </c>
      <c r="I36" s="8" t="str">
        <f>IF(G36&lt;=H36,"Realizar Compra",IF(G36&gt;H36,"Estoque Normal"))</f>
        <v>Estoque Normal</v>
      </c>
      <c r="J36" s="11">
        <v>12</v>
      </c>
      <c r="K36" s="11">
        <v>15</v>
      </c>
      <c r="L36" s="11">
        <f t="shared" si="2"/>
        <v>45</v>
      </c>
      <c r="M36" s="11">
        <f t="shared" si="3"/>
        <v>9</v>
      </c>
    </row>
    <row r="37" spans="1:13" ht="15" thickBot="1" x14ac:dyDescent="0.35">
      <c r="A37" s="7">
        <v>44878</v>
      </c>
      <c r="B37" s="8" t="s">
        <v>56</v>
      </c>
      <c r="C37" s="9" t="s">
        <v>32</v>
      </c>
      <c r="D37" s="98"/>
      <c r="E37" s="9">
        <v>6</v>
      </c>
      <c r="F37" s="9">
        <v>2</v>
      </c>
      <c r="G37" s="10">
        <f>E37-F37</f>
        <v>4</v>
      </c>
      <c r="H37" s="9">
        <v>2</v>
      </c>
      <c r="I37" s="8" t="str">
        <f>IF(G37&lt;=H37,"Realizar Compra",IF(G37&gt;H37,"Estoque Normal"))</f>
        <v>Estoque Normal</v>
      </c>
      <c r="J37" s="11">
        <v>5</v>
      </c>
      <c r="K37" s="11">
        <v>13</v>
      </c>
      <c r="L37" s="11">
        <f t="shared" si="2"/>
        <v>26</v>
      </c>
      <c r="M37" s="11">
        <f t="shared" si="3"/>
        <v>16</v>
      </c>
    </row>
    <row r="38" spans="1:13" x14ac:dyDescent="0.3">
      <c r="A38" s="37"/>
      <c r="B38" s="99" t="s">
        <v>57</v>
      </c>
      <c r="C38" s="100"/>
      <c r="D38" s="101"/>
      <c r="E38" s="20">
        <f>SUM(E36:E37)</f>
        <v>12</v>
      </c>
      <c r="F38" s="20">
        <f>SUM(F35:F37)</f>
        <v>46</v>
      </c>
      <c r="G38" s="20">
        <f>SUM(G13:G37)</f>
        <v>3299</v>
      </c>
      <c r="H38" s="20"/>
      <c r="I38" s="21"/>
      <c r="J38" s="22">
        <f>SUM(J35:J37)</f>
        <v>22.5</v>
      </c>
      <c r="K38" s="23">
        <f>SUM(K35:K37)</f>
        <v>53</v>
      </c>
      <c r="L38" s="23">
        <f>SUM(L23:L37)</f>
        <v>6783.5</v>
      </c>
      <c r="M38" s="23">
        <f t="shared" ref="M38" si="13">SUM(M23:M37)</f>
        <v>4663.5</v>
      </c>
    </row>
    <row r="39" spans="1:13" x14ac:dyDescent="0.3">
      <c r="A39" s="32"/>
      <c r="B39" s="43"/>
      <c r="C39" s="43"/>
      <c r="D39" s="43"/>
      <c r="E39" s="33"/>
      <c r="F39" s="33"/>
      <c r="G39" s="33"/>
      <c r="H39" s="33"/>
      <c r="I39" s="34"/>
      <c r="J39" s="35"/>
      <c r="K39" s="36"/>
      <c r="L39" s="36"/>
      <c r="M39" s="36"/>
    </row>
    <row r="40" spans="1:13" ht="15" thickBot="1" x14ac:dyDescent="0.35">
      <c r="B40" s="102" t="s">
        <v>58</v>
      </c>
      <c r="C40" s="103"/>
      <c r="D40" s="103"/>
      <c r="E40" s="38">
        <f>SUM(E22,E35,E38)</f>
        <v>554</v>
      </c>
      <c r="F40" s="38">
        <f>SUM(F22,F35,F38)</f>
        <v>212</v>
      </c>
      <c r="G40" s="38">
        <f>SUM(G22,G35,G38)</f>
        <v>5325</v>
      </c>
      <c r="H40" s="39"/>
      <c r="I40" s="39"/>
      <c r="J40" s="40">
        <f>SUM(J22,J35,J38)</f>
        <v>64.5</v>
      </c>
      <c r="K40" s="41">
        <f>SUM(K22,K35,K38)</f>
        <v>133.5</v>
      </c>
      <c r="L40" s="42">
        <f>SUM(L24:L38)</f>
        <v>13561</v>
      </c>
      <c r="M40" s="42">
        <f>SUM(M24:M38)</f>
        <v>9324</v>
      </c>
    </row>
  </sheetData>
  <mergeCells count="20">
    <mergeCell ref="D36:D37"/>
    <mergeCell ref="B38:D38"/>
    <mergeCell ref="B40:D40"/>
    <mergeCell ref="M6:M7"/>
    <mergeCell ref="D1:H3"/>
    <mergeCell ref="B22:D22"/>
    <mergeCell ref="B30:D30"/>
    <mergeCell ref="B35:D35"/>
    <mergeCell ref="B6:B7"/>
    <mergeCell ref="D6:D7"/>
    <mergeCell ref="E6:E7"/>
    <mergeCell ref="F6:F7"/>
    <mergeCell ref="D8:D21"/>
    <mergeCell ref="D23:D29"/>
    <mergeCell ref="D31:D34"/>
    <mergeCell ref="O3:P3"/>
    <mergeCell ref="O4:P4"/>
    <mergeCell ref="O1:Q1"/>
    <mergeCell ref="O5:P5"/>
    <mergeCell ref="O6:P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dimension ref="B1:H31"/>
  <sheetViews>
    <sheetView showGridLines="0" zoomScaleNormal="100" workbookViewId="0">
      <selection activeCell="D5" sqref="D5"/>
    </sheetView>
  </sheetViews>
  <sheetFormatPr defaultColWidth="9.109375" defaultRowHeight="14.4" x14ac:dyDescent="0.3"/>
  <cols>
    <col min="1" max="1" width="5.33203125" customWidth="1"/>
    <col min="2" max="2" width="15.33203125" customWidth="1"/>
    <col min="3" max="3" width="19.6640625" customWidth="1"/>
    <col min="4" max="4" width="17.109375" bestFit="1" customWidth="1"/>
    <col min="5" max="5" width="15.33203125" bestFit="1" customWidth="1"/>
    <col min="6" max="6" width="16.33203125" style="24" bestFit="1" customWidth="1"/>
    <col min="8" max="8" width="11.6640625" bestFit="1" customWidth="1"/>
  </cols>
  <sheetData>
    <row r="1" spans="2:8" s="1" customFormat="1" ht="60" customHeight="1" x14ac:dyDescent="0.3">
      <c r="C1" s="26" t="s">
        <v>59</v>
      </c>
      <c r="F1" s="30"/>
    </row>
    <row r="2" spans="2:8" s="2" customFormat="1" ht="6" customHeight="1" x14ac:dyDescent="0.3">
      <c r="F2" s="31"/>
    </row>
    <row r="4" spans="2:8" x14ac:dyDescent="0.3">
      <c r="B4" s="46" t="s">
        <v>6</v>
      </c>
      <c r="C4" s="46" t="s">
        <v>60</v>
      </c>
      <c r="D4" s="46" t="s">
        <v>61</v>
      </c>
      <c r="E4" s="46" t="s">
        <v>62</v>
      </c>
      <c r="F4" s="46" t="s">
        <v>63</v>
      </c>
    </row>
    <row r="5" spans="2:8" x14ac:dyDescent="0.3">
      <c r="B5" s="47" t="s">
        <v>25</v>
      </c>
      <c r="C5" s="48" t="s">
        <v>64</v>
      </c>
      <c r="D5" s="48">
        <v>50</v>
      </c>
      <c r="E5" s="49">
        <v>2</v>
      </c>
      <c r="F5" s="49">
        <v>6</v>
      </c>
      <c r="G5" s="44"/>
      <c r="H5" s="44"/>
    </row>
    <row r="6" spans="2:8" x14ac:dyDescent="0.3">
      <c r="B6" s="47" t="s">
        <v>41</v>
      </c>
      <c r="C6" s="48" t="s">
        <v>32</v>
      </c>
      <c r="D6" s="48">
        <v>5</v>
      </c>
      <c r="E6" s="49">
        <v>1.5</v>
      </c>
      <c r="F6" s="49">
        <v>3</v>
      </c>
      <c r="H6" s="44"/>
    </row>
    <row r="7" spans="2:8" x14ac:dyDescent="0.3">
      <c r="B7" s="47" t="s">
        <v>42</v>
      </c>
      <c r="C7" s="48" t="s">
        <v>32</v>
      </c>
      <c r="D7" s="48">
        <v>50</v>
      </c>
      <c r="E7" s="49">
        <v>0.5</v>
      </c>
      <c r="F7" s="49">
        <v>6.5</v>
      </c>
      <c r="H7" s="44"/>
    </row>
    <row r="8" spans="2:8" x14ac:dyDescent="0.3">
      <c r="B8" s="47" t="s">
        <v>43</v>
      </c>
      <c r="C8" s="48" t="s">
        <v>32</v>
      </c>
      <c r="D8" s="48">
        <v>50</v>
      </c>
      <c r="E8" s="49">
        <v>1</v>
      </c>
      <c r="F8" s="49">
        <v>4.5</v>
      </c>
      <c r="H8" s="44"/>
    </row>
    <row r="9" spans="2:8" x14ac:dyDescent="0.3">
      <c r="B9" s="47" t="s">
        <v>44</v>
      </c>
      <c r="C9" s="48" t="s">
        <v>32</v>
      </c>
      <c r="D9" s="48">
        <v>50</v>
      </c>
      <c r="E9" s="49">
        <v>1</v>
      </c>
      <c r="F9" s="49">
        <v>4</v>
      </c>
      <c r="H9" s="44"/>
    </row>
    <row r="10" spans="2:8" x14ac:dyDescent="0.3">
      <c r="B10" s="47" t="s">
        <v>45</v>
      </c>
      <c r="C10" s="48" t="s">
        <v>32</v>
      </c>
      <c r="D10" s="48">
        <v>50</v>
      </c>
      <c r="E10" s="49">
        <v>1</v>
      </c>
      <c r="F10" s="49">
        <v>4</v>
      </c>
    </row>
    <row r="11" spans="2:8" x14ac:dyDescent="0.3">
      <c r="B11" s="47" t="s">
        <v>46</v>
      </c>
      <c r="C11" s="48" t="s">
        <v>32</v>
      </c>
      <c r="D11" s="48">
        <v>50</v>
      </c>
      <c r="E11" s="49">
        <v>1</v>
      </c>
      <c r="F11" s="49">
        <v>4</v>
      </c>
    </row>
    <row r="12" spans="2:8" x14ac:dyDescent="0.3">
      <c r="B12" s="47" t="s">
        <v>27</v>
      </c>
      <c r="C12" s="48" t="s">
        <v>26</v>
      </c>
      <c r="D12" s="48">
        <v>15</v>
      </c>
      <c r="E12" s="49">
        <v>0.5</v>
      </c>
      <c r="F12" s="49">
        <v>2</v>
      </c>
    </row>
    <row r="13" spans="2:8" x14ac:dyDescent="0.3">
      <c r="B13" s="47" t="s">
        <v>28</v>
      </c>
      <c r="C13" s="48" t="s">
        <v>26</v>
      </c>
      <c r="D13" s="48">
        <v>15</v>
      </c>
      <c r="E13" s="49">
        <v>0.25</v>
      </c>
      <c r="F13" s="49">
        <v>1</v>
      </c>
    </row>
    <row r="14" spans="2:8" x14ac:dyDescent="0.3">
      <c r="B14" s="47" t="s">
        <v>38</v>
      </c>
      <c r="C14" s="48" t="s">
        <v>26</v>
      </c>
      <c r="D14" s="48">
        <v>15</v>
      </c>
      <c r="E14" s="49">
        <v>0.25</v>
      </c>
      <c r="F14" s="49">
        <v>1</v>
      </c>
    </row>
    <row r="15" spans="2:8" x14ac:dyDescent="0.3">
      <c r="B15" s="47" t="s">
        <v>39</v>
      </c>
      <c r="C15" s="48" t="s">
        <v>30</v>
      </c>
      <c r="D15" s="48">
        <v>10</v>
      </c>
      <c r="E15" s="49">
        <v>0.25</v>
      </c>
      <c r="F15" s="49">
        <v>8.5</v>
      </c>
    </row>
    <row r="16" spans="2:8" x14ac:dyDescent="0.3">
      <c r="B16" s="47" t="s">
        <v>65</v>
      </c>
      <c r="C16" s="48" t="s">
        <v>30</v>
      </c>
      <c r="D16" s="48">
        <v>12</v>
      </c>
      <c r="E16" s="49">
        <v>10</v>
      </c>
      <c r="F16" s="49">
        <v>5</v>
      </c>
    </row>
    <row r="17" spans="2:6" x14ac:dyDescent="0.3">
      <c r="B17" s="47" t="s">
        <v>31</v>
      </c>
      <c r="C17" s="48" t="s">
        <v>32</v>
      </c>
      <c r="D17" s="48">
        <v>4</v>
      </c>
      <c r="E17" s="49">
        <v>2</v>
      </c>
      <c r="F17" s="49">
        <v>2</v>
      </c>
    </row>
    <row r="18" spans="2:6" x14ac:dyDescent="0.3">
      <c r="B18" s="47" t="s">
        <v>33</v>
      </c>
      <c r="C18" s="48" t="s">
        <v>26</v>
      </c>
      <c r="D18" s="48">
        <v>10</v>
      </c>
      <c r="E18" s="49">
        <v>1</v>
      </c>
      <c r="F18" s="49">
        <v>5</v>
      </c>
    </row>
    <row r="19" spans="2:6" x14ac:dyDescent="0.3">
      <c r="B19" s="47" t="s">
        <v>66</v>
      </c>
      <c r="C19" s="48" t="s">
        <v>26</v>
      </c>
      <c r="D19" s="48">
        <v>2</v>
      </c>
      <c r="E19" s="49">
        <v>0.75</v>
      </c>
      <c r="F19" s="49">
        <v>1.5</v>
      </c>
    </row>
    <row r="20" spans="2:6" x14ac:dyDescent="0.3">
      <c r="B20" s="47" t="s">
        <v>67</v>
      </c>
      <c r="C20" s="48" t="s">
        <v>32</v>
      </c>
      <c r="D20" s="48">
        <v>10</v>
      </c>
      <c r="E20" s="49">
        <v>0.25</v>
      </c>
      <c r="F20" s="49">
        <v>7.5</v>
      </c>
    </row>
    <row r="21" spans="2:6" x14ac:dyDescent="0.3">
      <c r="B21" s="47" t="s">
        <v>68</v>
      </c>
      <c r="C21" s="48" t="s">
        <v>26</v>
      </c>
      <c r="D21" s="48">
        <v>5</v>
      </c>
      <c r="E21" s="49">
        <v>0.75</v>
      </c>
      <c r="F21" s="49">
        <v>10</v>
      </c>
    </row>
    <row r="22" spans="2:6" x14ac:dyDescent="0.3">
      <c r="B22" s="47" t="s">
        <v>55</v>
      </c>
      <c r="C22" s="48" t="s">
        <v>32</v>
      </c>
      <c r="D22" s="48">
        <v>2</v>
      </c>
      <c r="E22" s="49">
        <v>8</v>
      </c>
      <c r="F22" s="49">
        <v>15</v>
      </c>
    </row>
    <row r="23" spans="2:6" x14ac:dyDescent="0.3">
      <c r="B23" s="47" t="s">
        <v>56</v>
      </c>
      <c r="C23" s="48" t="s">
        <v>32</v>
      </c>
      <c r="D23" s="48">
        <v>2</v>
      </c>
      <c r="E23" s="49">
        <v>4.5</v>
      </c>
      <c r="F23" s="49">
        <v>15</v>
      </c>
    </row>
    <row r="24" spans="2:6" x14ac:dyDescent="0.3">
      <c r="B24" s="47" t="s">
        <v>69</v>
      </c>
      <c r="C24" s="48" t="s">
        <v>52</v>
      </c>
      <c r="D24" s="48">
        <v>5</v>
      </c>
      <c r="E24" s="49">
        <v>0.75</v>
      </c>
      <c r="F24" s="49">
        <v>2</v>
      </c>
    </row>
    <row r="25" spans="2:6" x14ac:dyDescent="0.3">
      <c r="B25" s="47" t="s">
        <v>53</v>
      </c>
      <c r="C25" s="48" t="s">
        <v>52</v>
      </c>
      <c r="D25" s="48">
        <v>5</v>
      </c>
      <c r="E25" s="49">
        <v>0.75</v>
      </c>
      <c r="F25" s="49">
        <v>8</v>
      </c>
    </row>
    <row r="26" spans="2:6" x14ac:dyDescent="0.3">
      <c r="B26" s="47" t="s">
        <v>34</v>
      </c>
      <c r="C26" s="48" t="s">
        <v>32</v>
      </c>
      <c r="D26" s="48">
        <v>2</v>
      </c>
      <c r="E26" s="49">
        <v>1</v>
      </c>
      <c r="F26" s="49">
        <v>3</v>
      </c>
    </row>
    <row r="27" spans="2:6" x14ac:dyDescent="0.3">
      <c r="B27" s="47" t="s">
        <v>35</v>
      </c>
      <c r="C27" s="48" t="s">
        <v>32</v>
      </c>
      <c r="D27" s="48">
        <v>2</v>
      </c>
      <c r="E27" s="49">
        <v>2.5</v>
      </c>
      <c r="F27" s="49">
        <v>3.5</v>
      </c>
    </row>
    <row r="28" spans="2:6" x14ac:dyDescent="0.3">
      <c r="B28" s="47" t="s">
        <v>36</v>
      </c>
      <c r="C28" s="48" t="s">
        <v>32</v>
      </c>
      <c r="D28" s="48">
        <v>2</v>
      </c>
      <c r="E28" s="49">
        <v>1.5</v>
      </c>
      <c r="F28" s="49">
        <v>3</v>
      </c>
    </row>
    <row r="29" spans="2:6" x14ac:dyDescent="0.3">
      <c r="B29" s="47" t="s">
        <v>37</v>
      </c>
      <c r="C29" s="48" t="s">
        <v>32</v>
      </c>
      <c r="D29" s="48">
        <v>2</v>
      </c>
      <c r="E29" s="49">
        <v>3</v>
      </c>
      <c r="F29" s="49">
        <v>4.5</v>
      </c>
    </row>
    <row r="30" spans="2:6" x14ac:dyDescent="0.3">
      <c r="B30" s="47" t="s">
        <v>50</v>
      </c>
      <c r="C30" s="48" t="s">
        <v>26</v>
      </c>
      <c r="D30" s="48">
        <v>10</v>
      </c>
      <c r="E30" s="49">
        <v>2</v>
      </c>
      <c r="F30" s="49">
        <v>8</v>
      </c>
    </row>
    <row r="31" spans="2:6" x14ac:dyDescent="0.3">
      <c r="B31" s="47" t="s">
        <v>70</v>
      </c>
      <c r="C31" s="48" t="s">
        <v>32</v>
      </c>
      <c r="D31" s="48">
        <v>10</v>
      </c>
      <c r="E31" s="49">
        <v>0.25</v>
      </c>
      <c r="F31" s="49">
        <v>5</v>
      </c>
    </row>
  </sheetData>
  <dataValidations count="1">
    <dataValidation type="custom" allowBlank="1" showInputMessage="1" showErrorMessage="1" errorTitle="Produto Duplicado" error="Não é permitido cadastrar dois produtos com o mesmo nome na base de dados." sqref="B5:B31" xr:uid="{420CF0F4-6C42-4BFE-B7EC-B6B2FB5A1ABB}">
      <formula1>COUNTIF(Lista_Produtos,B5)&lt;=1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dimension ref="B1:H9"/>
  <sheetViews>
    <sheetView showGridLines="0" zoomScale="160" zoomScaleNormal="160" workbookViewId="0">
      <selection activeCell="F8" sqref="F8"/>
    </sheetView>
  </sheetViews>
  <sheetFormatPr defaultColWidth="9.109375" defaultRowHeight="14.4" x14ac:dyDescent="0.3"/>
  <cols>
    <col min="1" max="1" width="5.33203125" customWidth="1"/>
    <col min="2" max="2" width="17.88671875" customWidth="1"/>
    <col min="3" max="3" width="16.88671875" bestFit="1" customWidth="1"/>
    <col min="4" max="4" width="14.33203125" bestFit="1" customWidth="1"/>
    <col min="5" max="5" width="31.88671875" customWidth="1"/>
  </cols>
  <sheetData>
    <row r="1" spans="2:8" s="1" customFormat="1" ht="60" customHeight="1" x14ac:dyDescent="0.3">
      <c r="C1" s="26" t="s">
        <v>71</v>
      </c>
    </row>
    <row r="2" spans="2:8" s="2" customFormat="1" ht="6" customHeight="1" x14ac:dyDescent="0.3"/>
    <row r="5" spans="2:8" x14ac:dyDescent="0.3">
      <c r="B5" s="46" t="s">
        <v>72</v>
      </c>
      <c r="C5" s="46" t="s">
        <v>73</v>
      </c>
      <c r="D5" s="46" t="s">
        <v>74</v>
      </c>
      <c r="E5" s="46" t="s">
        <v>75</v>
      </c>
    </row>
    <row r="6" spans="2:8" x14ac:dyDescent="0.3">
      <c r="B6" s="47" t="s">
        <v>2</v>
      </c>
      <c r="C6" s="48" t="s">
        <v>89</v>
      </c>
      <c r="D6" s="48" t="s">
        <v>76</v>
      </c>
      <c r="E6" s="49" t="s">
        <v>77</v>
      </c>
    </row>
    <row r="7" spans="2:8" x14ac:dyDescent="0.3">
      <c r="B7" s="47" t="s">
        <v>3</v>
      </c>
      <c r="C7" s="48" t="s">
        <v>90</v>
      </c>
      <c r="D7" s="48" t="s">
        <v>78</v>
      </c>
      <c r="E7" s="49" t="s">
        <v>79</v>
      </c>
    </row>
    <row r="8" spans="2:8" x14ac:dyDescent="0.3">
      <c r="B8" s="47" t="s">
        <v>80</v>
      </c>
      <c r="C8" s="48" t="s">
        <v>91</v>
      </c>
      <c r="D8" s="48" t="s">
        <v>81</v>
      </c>
      <c r="E8" s="49" t="s">
        <v>82</v>
      </c>
      <c r="H8" t="s">
        <v>83</v>
      </c>
    </row>
    <row r="9" spans="2:8" x14ac:dyDescent="0.3">
      <c r="B9" s="47" t="s">
        <v>18</v>
      </c>
      <c r="C9" s="48" t="s">
        <v>92</v>
      </c>
      <c r="D9" s="48" t="s">
        <v>84</v>
      </c>
      <c r="E9" s="49" t="s">
        <v>85</v>
      </c>
    </row>
  </sheetData>
  <dataValidations count="1">
    <dataValidation type="custom" allowBlank="1" showInputMessage="1" showErrorMessage="1" errorTitle="Fornecedor Duplicado" error="Não é permitido cadastrar dois fornecedores com o mesmo nome." sqref="B6:B9" xr:uid="{805C6377-6F83-449C-8A63-2976C1445739}">
      <formula1>COUNTIF(Lista_Fornecedores,B6)&lt;=1</formula1>
    </dataValidation>
  </dataValidations>
  <hyperlinks>
    <hyperlink ref="E6" r:id="rId1" display="mailto:maria@mercadoexpress.com.br" xr:uid="{BFA96C7E-CFA4-43C1-BA94-93E939CAF61B}"/>
    <hyperlink ref="E7" r:id="rId2" xr:uid="{B2F5BAB3-8645-48D1-8743-F6B02EAFE6F1}"/>
    <hyperlink ref="E8" r:id="rId3" display="mailto:eduardo@distribuídoraks.com.br" xr:uid="{1E6B527E-51F9-4124-9C35-5E328A13FBAD}"/>
    <hyperlink ref="E9" r:id="rId4" display="mailto:claudia@salgadosgran.com.br" xr:uid="{6C1289BE-A6BD-4250-839B-0A00703A4967}"/>
  </hyperlinks>
  <pageMargins left="0.511811024" right="0.511811024" top="0.78740157499999996" bottom="0.78740157499999996" header="0.31496062000000002" footer="0.31496062000000002"/>
  <drawing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dimension ref="B1:G31"/>
  <sheetViews>
    <sheetView showGridLines="0" topLeftCell="D1" zoomScale="160" zoomScaleNormal="160" workbookViewId="0">
      <selection activeCell="H16" sqref="H16"/>
    </sheetView>
  </sheetViews>
  <sheetFormatPr defaultColWidth="9.109375" defaultRowHeight="14.4" x14ac:dyDescent="0.3"/>
  <cols>
    <col min="1" max="1" width="5.33203125" customWidth="1"/>
    <col min="2" max="2" width="10.6640625" style="25" bestFit="1" customWidth="1"/>
    <col min="3" max="3" width="41" style="25" bestFit="1" customWidth="1"/>
    <col min="4" max="4" width="15" bestFit="1" customWidth="1"/>
    <col min="5" max="5" width="24.77734375" style="25" bestFit="1" customWidth="1"/>
    <col min="6" max="6" width="12.21875" bestFit="1" customWidth="1"/>
    <col min="7" max="7" width="12.44140625" bestFit="1" customWidth="1"/>
  </cols>
  <sheetData>
    <row r="1" spans="2:7" s="1" customFormat="1" ht="60" customHeight="1" x14ac:dyDescent="0.3">
      <c r="B1" s="27"/>
      <c r="C1" s="29" t="s">
        <v>86</v>
      </c>
      <c r="E1" s="27"/>
    </row>
    <row r="2" spans="2:7" s="2" customFormat="1" ht="6" customHeight="1" x14ac:dyDescent="0.3">
      <c r="B2" s="28"/>
      <c r="C2" s="28"/>
      <c r="E2" s="28"/>
    </row>
    <row r="4" spans="2:7" x14ac:dyDescent="0.3">
      <c r="B4"/>
    </row>
    <row r="5" spans="2:7" s="45" customFormat="1" ht="28.8" x14ac:dyDescent="0.3">
      <c r="B5" s="50" t="s">
        <v>97</v>
      </c>
      <c r="C5" s="50" t="s">
        <v>6</v>
      </c>
      <c r="D5" s="50" t="s">
        <v>8</v>
      </c>
      <c r="E5" s="50" t="s">
        <v>93</v>
      </c>
      <c r="F5" s="54" t="s">
        <v>62</v>
      </c>
      <c r="G5" s="54" t="s">
        <v>94</v>
      </c>
    </row>
    <row r="6" spans="2:7" x14ac:dyDescent="0.3">
      <c r="B6" s="51">
        <v>44566</v>
      </c>
      <c r="C6" s="52" t="s">
        <v>25</v>
      </c>
      <c r="D6" s="48" t="s">
        <v>2</v>
      </c>
      <c r="E6" s="53">
        <v>400</v>
      </c>
      <c r="F6" s="55">
        <f>IFERROR(INDEX(TB_Produtos[Custo Unitário],MATCH(TB_Entradas[[#This Row],[Produto]],TB_Produtos[Produto],0)), "Produto não encontrado")</f>
        <v>2</v>
      </c>
      <c r="G6" s="56">
        <f>IFERROR(TB_Entradas[[#This Row],[Quantidade Comprada]]*TB_Entradas[[#This Row],[Custo Unitário]],"Erro ao calcular")</f>
        <v>800</v>
      </c>
    </row>
    <row r="7" spans="2:7" x14ac:dyDescent="0.3">
      <c r="B7" s="51">
        <v>44566</v>
      </c>
      <c r="C7" s="52" t="s">
        <v>42</v>
      </c>
      <c r="D7" s="48" t="s">
        <v>18</v>
      </c>
      <c r="E7" s="53">
        <v>500</v>
      </c>
      <c r="F7" s="55">
        <f>IFERROR(INDEX(TB_Produtos[Custo Unitário],MATCH(TB_Entradas[[#This Row],[Produto]],TB_Produtos[Produto],0)), "Produto não encontrado")</f>
        <v>0.5</v>
      </c>
      <c r="G7" s="56">
        <f>IFERROR(TB_Entradas[[#This Row],[Quantidade Comprada]]*TB_Entradas[[#This Row],[Custo Unitário]],"Erro ao calcular")</f>
        <v>250</v>
      </c>
    </row>
    <row r="8" spans="2:7" x14ac:dyDescent="0.3">
      <c r="B8" s="51">
        <v>44593</v>
      </c>
      <c r="C8" s="52" t="s">
        <v>43</v>
      </c>
      <c r="D8" s="48" t="s">
        <v>18</v>
      </c>
      <c r="E8" s="53">
        <v>550</v>
      </c>
      <c r="F8" s="55">
        <f>IFERROR(INDEX(TB_Produtos[Custo Unitário],MATCH(TB_Entradas[[#This Row],[Produto]],TB_Produtos[Produto],0)), "Produto não encontrado")</f>
        <v>1</v>
      </c>
      <c r="G8" s="56">
        <f>IFERROR(TB_Entradas[[#This Row],[Quantidade Comprada]]*TB_Entradas[[#This Row],[Custo Unitário]],"Erro ao calcular")</f>
        <v>550</v>
      </c>
    </row>
    <row r="9" spans="2:7" x14ac:dyDescent="0.3">
      <c r="B9" s="51">
        <v>44594</v>
      </c>
      <c r="C9" s="52" t="s">
        <v>70</v>
      </c>
      <c r="D9" s="48" t="s">
        <v>2</v>
      </c>
      <c r="E9" s="53">
        <v>300</v>
      </c>
      <c r="F9" s="55">
        <f>IFERROR(INDEX(TB_Produtos[Custo Unitário],MATCH(TB_Entradas[[#This Row],[Produto]],TB_Produtos[Produto],0)), "Produto não encontrado")</f>
        <v>0.25</v>
      </c>
      <c r="G9" s="56">
        <f>IFERROR(TB_Entradas[[#This Row],[Quantidade Comprada]]*TB_Entradas[[#This Row],[Custo Unitário]],"Erro ao calcular")</f>
        <v>75</v>
      </c>
    </row>
    <row r="10" spans="2:7" x14ac:dyDescent="0.3">
      <c r="B10" s="51">
        <v>44598</v>
      </c>
      <c r="C10" s="52" t="s">
        <v>25</v>
      </c>
      <c r="D10" s="48" t="s">
        <v>2</v>
      </c>
      <c r="E10" s="53">
        <v>200</v>
      </c>
      <c r="F10" s="55">
        <f>IFERROR(INDEX(TB_Produtos[Custo Unitário],MATCH(TB_Entradas[[#This Row],[Produto]],TB_Produtos[Produto],0)), "Produto não encontrado")</f>
        <v>2</v>
      </c>
      <c r="G10" s="56">
        <f>IFERROR(TB_Entradas[[#This Row],[Quantidade Comprada]]*TB_Entradas[[#This Row],[Custo Unitário]],"Erro ao calcular")</f>
        <v>400</v>
      </c>
    </row>
    <row r="11" spans="2:7" x14ac:dyDescent="0.3">
      <c r="B11" s="51">
        <v>44625</v>
      </c>
      <c r="C11" s="52" t="s">
        <v>50</v>
      </c>
      <c r="D11" s="48" t="s">
        <v>80</v>
      </c>
      <c r="E11" s="53">
        <v>600</v>
      </c>
      <c r="F11" s="55">
        <f>IFERROR(INDEX(TB_Produtos[Custo Unitário],MATCH(TB_Entradas[[#This Row],[Produto]],TB_Produtos[Produto],0)), "Produto não encontrado")</f>
        <v>2</v>
      </c>
      <c r="G11" s="56">
        <f>IFERROR(TB_Entradas[[#This Row],[Quantidade Comprada]]*TB_Entradas[[#This Row],[Custo Unitário]],"Erro ao calcular")</f>
        <v>1200</v>
      </c>
    </row>
    <row r="12" spans="2:7" x14ac:dyDescent="0.3">
      <c r="B12" s="51">
        <v>44630</v>
      </c>
      <c r="C12" s="52" t="s">
        <v>65</v>
      </c>
      <c r="D12" s="48" t="s">
        <v>2</v>
      </c>
      <c r="E12" s="53">
        <v>200</v>
      </c>
      <c r="F12" s="55">
        <f>IFERROR(INDEX(TB_Produtos[Custo Unitário],MATCH(TB_Entradas[[#This Row],[Produto]],TB_Produtos[Produto],0)), "Produto não encontrado")</f>
        <v>10</v>
      </c>
      <c r="G12" s="56">
        <f>IFERROR(TB_Entradas[[#This Row],[Quantidade Comprada]]*TB_Entradas[[#This Row],[Custo Unitário]],"Erro ao calcular")</f>
        <v>2000</v>
      </c>
    </row>
    <row r="13" spans="2:7" x14ac:dyDescent="0.3">
      <c r="B13" s="51">
        <v>44635</v>
      </c>
      <c r="C13" s="52" t="s">
        <v>25</v>
      </c>
      <c r="D13" s="48" t="s">
        <v>2</v>
      </c>
      <c r="E13" s="53">
        <v>300</v>
      </c>
      <c r="F13" s="55">
        <f>IFERROR(INDEX(TB_Produtos[Custo Unitário],MATCH(TB_Entradas[[#This Row],[Produto]],TB_Produtos[Produto],0)), "Produto não encontrado")</f>
        <v>2</v>
      </c>
      <c r="G13" s="56">
        <f>IFERROR(TB_Entradas[[#This Row],[Quantidade Comprada]]*TB_Entradas[[#This Row],[Custo Unitário]],"Erro ao calcular")</f>
        <v>600</v>
      </c>
    </row>
    <row r="14" spans="2:7" x14ac:dyDescent="0.3">
      <c r="B14" s="51">
        <v>44655</v>
      </c>
      <c r="C14" s="52" t="s">
        <v>53</v>
      </c>
      <c r="D14" s="48" t="s">
        <v>80</v>
      </c>
      <c r="E14" s="53">
        <v>800</v>
      </c>
      <c r="F14" s="55">
        <f>IFERROR(INDEX(TB_Produtos[Custo Unitário],MATCH(TB_Entradas[[#This Row],[Produto]],TB_Produtos[Produto],0)), "Produto não encontrado")</f>
        <v>0.75</v>
      </c>
      <c r="G14" s="56">
        <f>IFERROR(TB_Entradas[[#This Row],[Quantidade Comprada]]*TB_Entradas[[#This Row],[Custo Unitário]],"Erro ao calcular")</f>
        <v>600</v>
      </c>
    </row>
    <row r="15" spans="2:7" x14ac:dyDescent="0.3">
      <c r="B15" s="51">
        <v>44661</v>
      </c>
      <c r="C15" s="52" t="s">
        <v>25</v>
      </c>
      <c r="D15" s="48" t="s">
        <v>2</v>
      </c>
      <c r="E15" s="53">
        <v>700</v>
      </c>
      <c r="F15" s="55">
        <f>IFERROR(INDEX(TB_Produtos[Custo Unitário],MATCH(TB_Entradas[[#This Row],[Produto]],TB_Produtos[Produto],0)), "Produto não encontrado")</f>
        <v>2</v>
      </c>
      <c r="G15" s="56">
        <f>IFERROR(TB_Entradas[[#This Row],[Quantidade Comprada]]*TB_Entradas[[#This Row],[Custo Unitário]],"Erro ao calcular")</f>
        <v>1400</v>
      </c>
    </row>
    <row r="16" spans="2:7" x14ac:dyDescent="0.3">
      <c r="B16" s="51">
        <v>44686</v>
      </c>
      <c r="C16" s="52" t="s">
        <v>55</v>
      </c>
      <c r="D16" s="48" t="s">
        <v>3</v>
      </c>
      <c r="E16" s="53">
        <v>400</v>
      </c>
      <c r="F16" s="55">
        <f>IFERROR(INDEX(TB_Produtos[Custo Unitário],MATCH(TB_Entradas[[#This Row],[Produto]],TB_Produtos[Produto],0)), "Produto não encontrado")</f>
        <v>8</v>
      </c>
      <c r="G16" s="56">
        <f>IFERROR(TB_Entradas[[#This Row],[Quantidade Comprada]]*TB_Entradas[[#This Row],[Custo Unitário]],"Erro ao calcular")</f>
        <v>3200</v>
      </c>
    </row>
    <row r="17" spans="2:7" x14ac:dyDescent="0.3">
      <c r="B17" s="51">
        <v>44691</v>
      </c>
      <c r="C17" s="52" t="s">
        <v>45</v>
      </c>
      <c r="D17" s="48" t="s">
        <v>18</v>
      </c>
      <c r="E17" s="53">
        <v>500</v>
      </c>
      <c r="F17" s="55">
        <f>IFERROR(INDEX(TB_Produtos[Custo Unitário],MATCH(TB_Entradas[[#This Row],[Produto]],TB_Produtos[Produto],0)), "Produto não encontrado")</f>
        <v>1</v>
      </c>
      <c r="G17" s="56">
        <f>IFERROR(TB_Entradas[[#This Row],[Quantidade Comprada]]*TB_Entradas[[#This Row],[Custo Unitário]],"Erro ao calcular")</f>
        <v>500</v>
      </c>
    </row>
    <row r="18" spans="2:7" x14ac:dyDescent="0.3">
      <c r="B18" s="51">
        <v>44691</v>
      </c>
      <c r="C18" s="52" t="s">
        <v>25</v>
      </c>
      <c r="D18" s="48" t="s">
        <v>2</v>
      </c>
      <c r="E18" s="53">
        <v>100</v>
      </c>
      <c r="F18" s="55">
        <f>IFERROR(INDEX(TB_Produtos[Custo Unitário],MATCH(TB_Entradas[[#This Row],[Produto]],TB_Produtos[Produto],0)), "Produto não encontrado")</f>
        <v>2</v>
      </c>
      <c r="G18" s="56">
        <f>IFERROR(TB_Entradas[[#This Row],[Quantidade Comprada]]*TB_Entradas[[#This Row],[Custo Unitário]],"Erro ao calcular")</f>
        <v>200</v>
      </c>
    </row>
    <row r="19" spans="2:7" x14ac:dyDescent="0.3">
      <c r="B19" s="51">
        <v>44714</v>
      </c>
      <c r="C19" s="52" t="s">
        <v>25</v>
      </c>
      <c r="D19" s="48" t="s">
        <v>2</v>
      </c>
      <c r="E19" s="53">
        <v>150</v>
      </c>
      <c r="F19" s="55">
        <f>IFERROR(INDEX(TB_Produtos[Custo Unitário],MATCH(TB_Entradas[[#This Row],[Produto]],TB_Produtos[Produto],0)), "Produto não encontrado")</f>
        <v>2</v>
      </c>
      <c r="G19" s="56">
        <f>IFERROR(TB_Entradas[[#This Row],[Quantidade Comprada]]*TB_Entradas[[#This Row],[Custo Unitário]],"Erro ao calcular")</f>
        <v>300</v>
      </c>
    </row>
    <row r="20" spans="2:7" x14ac:dyDescent="0.3">
      <c r="B20" s="51">
        <v>44719</v>
      </c>
      <c r="C20" s="52" t="s">
        <v>39</v>
      </c>
      <c r="D20" s="48" t="s">
        <v>2</v>
      </c>
      <c r="E20" s="53">
        <v>350</v>
      </c>
      <c r="F20" s="55">
        <f>IFERROR(INDEX(TB_Produtos[Custo Unitário],MATCH(TB_Entradas[[#This Row],[Produto]],TB_Produtos[Produto],0)), "Produto não encontrado")</f>
        <v>0.25</v>
      </c>
      <c r="G20" s="56">
        <f>IFERROR(TB_Entradas[[#This Row],[Quantidade Comprada]]*TB_Entradas[[#This Row],[Custo Unitário]],"Erro ao calcular")</f>
        <v>87.5</v>
      </c>
    </row>
    <row r="21" spans="2:7" x14ac:dyDescent="0.3">
      <c r="B21" s="51">
        <v>44743</v>
      </c>
      <c r="C21" s="52" t="s">
        <v>25</v>
      </c>
      <c r="D21" s="48" t="s">
        <v>2</v>
      </c>
      <c r="E21" s="53">
        <v>400</v>
      </c>
      <c r="F21" s="55">
        <f>IFERROR(INDEX(TB_Produtos[Custo Unitário],MATCH(TB_Entradas[[#This Row],[Produto]],TB_Produtos[Produto],0)), "Produto não encontrado")</f>
        <v>2</v>
      </c>
      <c r="G21" s="56">
        <f>IFERROR(TB_Entradas[[#This Row],[Quantidade Comprada]]*TB_Entradas[[#This Row],[Custo Unitário]],"Erro ao calcular")</f>
        <v>800</v>
      </c>
    </row>
    <row r="22" spans="2:7" x14ac:dyDescent="0.3">
      <c r="B22" s="51">
        <v>44747</v>
      </c>
      <c r="C22" s="52" t="s">
        <v>68</v>
      </c>
      <c r="D22" s="48" t="s">
        <v>80</v>
      </c>
      <c r="E22" s="53">
        <v>450</v>
      </c>
      <c r="F22" s="55">
        <f>IFERROR(INDEX(TB_Produtos[Custo Unitário],MATCH(TB_Entradas[[#This Row],[Produto]],TB_Produtos[Produto],0)), "Produto não encontrado")</f>
        <v>0.75</v>
      </c>
      <c r="G22" s="56">
        <f>IFERROR(TB_Entradas[[#This Row],[Quantidade Comprada]]*TB_Entradas[[#This Row],[Custo Unitário]],"Erro ao calcular")</f>
        <v>337.5</v>
      </c>
    </row>
    <row r="23" spans="2:7" x14ac:dyDescent="0.3">
      <c r="B23" s="51">
        <v>44783</v>
      </c>
      <c r="C23" s="52" t="s">
        <v>33</v>
      </c>
      <c r="D23" s="48" t="s">
        <v>2</v>
      </c>
      <c r="E23" s="53">
        <v>350</v>
      </c>
      <c r="F23" s="55">
        <f>IFERROR(INDEX(TB_Produtos[Custo Unitário],MATCH(TB_Entradas[[#This Row],[Produto]],TB_Produtos[Produto],0)), "Produto não encontrado")</f>
        <v>1</v>
      </c>
      <c r="G23" s="56">
        <f>IFERROR(TB_Entradas[[#This Row],[Quantidade Comprada]]*TB_Entradas[[#This Row],[Custo Unitário]],"Erro ao calcular")</f>
        <v>350</v>
      </c>
    </row>
    <row r="24" spans="2:7" x14ac:dyDescent="0.3">
      <c r="B24" s="51">
        <v>44794</v>
      </c>
      <c r="C24" s="52" t="s">
        <v>67</v>
      </c>
      <c r="D24" s="48" t="s">
        <v>18</v>
      </c>
      <c r="E24" s="53">
        <v>300</v>
      </c>
      <c r="F24" s="55">
        <f>IFERROR(INDEX(TB_Produtos[Custo Unitário],MATCH(TB_Entradas[[#This Row],[Produto]],TB_Produtos[Produto],0)), "Produto não encontrado")</f>
        <v>0.25</v>
      </c>
      <c r="G24" s="56">
        <f>IFERROR(TB_Entradas[[#This Row],[Quantidade Comprada]]*TB_Entradas[[#This Row],[Custo Unitário]],"Erro ao calcular")</f>
        <v>75</v>
      </c>
    </row>
    <row r="25" spans="2:7" x14ac:dyDescent="0.3">
      <c r="B25" s="51">
        <v>44804</v>
      </c>
      <c r="C25" s="52" t="s">
        <v>25</v>
      </c>
      <c r="D25" s="48" t="s">
        <v>2</v>
      </c>
      <c r="E25" s="53">
        <v>400</v>
      </c>
      <c r="F25" s="55">
        <f>IFERROR(INDEX(TB_Produtos[Custo Unitário],MATCH(TB_Entradas[[#This Row],[Produto]],TB_Produtos[Produto],0)), "Produto não encontrado")</f>
        <v>2</v>
      </c>
      <c r="G25" s="56">
        <f>IFERROR(TB_Entradas[[#This Row],[Quantidade Comprada]]*TB_Entradas[[#This Row],[Custo Unitário]],"Erro ao calcular")</f>
        <v>800</v>
      </c>
    </row>
    <row r="26" spans="2:7" x14ac:dyDescent="0.3">
      <c r="B26" s="51">
        <v>44806</v>
      </c>
      <c r="C26" s="52" t="s">
        <v>50</v>
      </c>
      <c r="D26" s="48" t="s">
        <v>80</v>
      </c>
      <c r="E26" s="53">
        <v>550</v>
      </c>
      <c r="F26" s="55">
        <f>IFERROR(INDEX(TB_Produtos[Custo Unitário],MATCH(TB_Entradas[[#This Row],[Produto]],TB_Produtos[Produto],0)), "Produto não encontrado")</f>
        <v>2</v>
      </c>
      <c r="G26" s="56">
        <f>IFERROR(TB_Entradas[[#This Row],[Quantidade Comprada]]*TB_Entradas[[#This Row],[Custo Unitário]],"Erro ao calcular")</f>
        <v>1100</v>
      </c>
    </row>
    <row r="27" spans="2:7" x14ac:dyDescent="0.3">
      <c r="B27" s="51">
        <v>44821</v>
      </c>
      <c r="C27" s="52" t="s">
        <v>56</v>
      </c>
      <c r="D27" s="48" t="s">
        <v>3</v>
      </c>
      <c r="E27" s="53">
        <v>100</v>
      </c>
      <c r="F27" s="55">
        <f>IFERROR(INDEX(TB_Produtos[Custo Unitário],MATCH(TB_Entradas[[#This Row],[Produto]],TB_Produtos[Produto],0)), "Produto não encontrado")</f>
        <v>4.5</v>
      </c>
      <c r="G27" s="56">
        <f>IFERROR(TB_Entradas[[#This Row],[Quantidade Comprada]]*TB_Entradas[[#This Row],[Custo Unitário]],"Erro ao calcular")</f>
        <v>450</v>
      </c>
    </row>
    <row r="28" spans="2:7" x14ac:dyDescent="0.3">
      <c r="B28" s="51">
        <v>44834</v>
      </c>
      <c r="C28" s="52" t="s">
        <v>25</v>
      </c>
      <c r="D28" s="48" t="s">
        <v>2</v>
      </c>
      <c r="E28" s="53">
        <v>100</v>
      </c>
      <c r="F28" s="55">
        <f>IFERROR(INDEX(TB_Produtos[Custo Unitário],MATCH(TB_Entradas[[#This Row],[Produto]],TB_Produtos[Produto],0)), "Produto não encontrado")</f>
        <v>2</v>
      </c>
      <c r="G28" s="56">
        <f>IFERROR(TB_Entradas[[#This Row],[Quantidade Comprada]]*TB_Entradas[[#This Row],[Custo Unitário]],"Erro ao calcular")</f>
        <v>200</v>
      </c>
    </row>
    <row r="29" spans="2:7" x14ac:dyDescent="0.3">
      <c r="B29" s="51">
        <v>44854</v>
      </c>
      <c r="C29" s="52" t="s">
        <v>25</v>
      </c>
      <c r="D29" s="48" t="s">
        <v>2</v>
      </c>
      <c r="E29" s="53">
        <v>400</v>
      </c>
      <c r="F29" s="55">
        <f>IFERROR(INDEX(TB_Produtos[Custo Unitário],MATCH(TB_Entradas[[#This Row],[Produto]],TB_Produtos[Produto],0)), "Produto não encontrado")</f>
        <v>2</v>
      </c>
      <c r="G29" s="56">
        <f>IFERROR(TB_Entradas[[#This Row],[Quantidade Comprada]]*TB_Entradas[[#This Row],[Custo Unitário]],"Erro ao calcular")</f>
        <v>800</v>
      </c>
    </row>
    <row r="30" spans="2:7" x14ac:dyDescent="0.3">
      <c r="B30" s="51">
        <v>44874</v>
      </c>
      <c r="C30" s="52" t="s">
        <v>69</v>
      </c>
      <c r="D30" s="48" t="s">
        <v>80</v>
      </c>
      <c r="E30" s="53">
        <v>150</v>
      </c>
      <c r="F30" s="55">
        <f>IFERROR(INDEX(TB_Produtos[Custo Unitário],MATCH(TB_Entradas[[#This Row],[Produto]],TB_Produtos[Produto],0)), "Produto não encontrado")</f>
        <v>0.75</v>
      </c>
      <c r="G30" s="56">
        <f>IFERROR(TB_Entradas[[#This Row],[Quantidade Comprada]]*TB_Entradas[[#This Row],[Custo Unitário]],"Erro ao calcular")</f>
        <v>112.5</v>
      </c>
    </row>
    <row r="31" spans="2:7" x14ac:dyDescent="0.3">
      <c r="B31" s="51">
        <v>44883</v>
      </c>
      <c r="C31" s="52" t="s">
        <v>53</v>
      </c>
      <c r="D31" s="48" t="s">
        <v>80</v>
      </c>
      <c r="E31" s="53">
        <v>400</v>
      </c>
      <c r="F31" s="55">
        <f>IFERROR(INDEX(TB_Produtos[Custo Unitário],MATCH(TB_Entradas[[#This Row],[Produto]],TB_Produtos[Produto],0)), "Produto não encontrado")</f>
        <v>0.75</v>
      </c>
      <c r="G31" s="56">
        <f>IFERROR(TB_Entradas[[#This Row],[Quantidade Comprada]]*TB_Entradas[[#This Row],[Custo Unitário]],"Erro ao calcular")</f>
        <v>300</v>
      </c>
    </row>
  </sheetData>
  <dataValidations count="2">
    <dataValidation type="list" allowBlank="1" showInputMessage="1" showErrorMessage="1" sqref="C6:C31" xr:uid="{30B5F2FC-77F0-434A-8A4F-A5BAEF973762}">
      <formula1>Lista_Produtos</formula1>
    </dataValidation>
    <dataValidation type="list" allowBlank="1" showInputMessage="1" showErrorMessage="1" sqref="D6:D31" xr:uid="{F5020663-B57F-4FA2-B6FF-49EA94CA2B6E}">
      <formula1>"ListaNomeFornecedor"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dimension ref="B1:F33"/>
  <sheetViews>
    <sheetView showGridLines="0" zoomScale="160" zoomScaleNormal="160" workbookViewId="0">
      <selection activeCell="F6" sqref="F6"/>
    </sheetView>
  </sheetViews>
  <sheetFormatPr defaultColWidth="9.109375" defaultRowHeight="14.4" x14ac:dyDescent="0.3"/>
  <cols>
    <col min="1" max="1" width="5.33203125" customWidth="1"/>
    <col min="2" max="2" width="15.33203125" customWidth="1"/>
    <col min="3" max="3" width="20.88671875" customWidth="1"/>
    <col min="4" max="4" width="20.6640625" bestFit="1" customWidth="1"/>
    <col min="5" max="5" width="12.21875" bestFit="1" customWidth="1"/>
    <col min="6" max="6" width="12.44140625" bestFit="1" customWidth="1"/>
  </cols>
  <sheetData>
    <row r="1" spans="2:6" s="1" customFormat="1" ht="60" customHeight="1" x14ac:dyDescent="0.3">
      <c r="C1" s="26" t="s">
        <v>87</v>
      </c>
    </row>
    <row r="2" spans="2:6" s="2" customFormat="1" ht="6" customHeight="1" x14ac:dyDescent="0.3"/>
    <row r="5" spans="2:6" ht="28.8" x14ac:dyDescent="0.3">
      <c r="B5" s="50" t="s">
        <v>97</v>
      </c>
      <c r="C5" s="50" t="s">
        <v>6</v>
      </c>
      <c r="D5" s="50" t="s">
        <v>88</v>
      </c>
      <c r="E5" s="57" t="s">
        <v>63</v>
      </c>
      <c r="F5" s="57" t="s">
        <v>95</v>
      </c>
    </row>
    <row r="6" spans="2:6" x14ac:dyDescent="0.3">
      <c r="B6" s="51">
        <v>44566</v>
      </c>
      <c r="C6" s="52" t="s">
        <v>42</v>
      </c>
      <c r="D6" s="48">
        <v>150</v>
      </c>
      <c r="E6" s="58">
        <f>IFERROR(INDEX(TB_Produtos[Preço Unitário],MATCH(TB_Saídas[[#This Row],[Produto]],TB_Saídas[Produto],0)),"Produto não encontrado")</f>
        <v>6</v>
      </c>
      <c r="F6" s="58">
        <f>IFERROR(TB_Saídas[[#This Row],[Quantidade Vendida]]*TB_Saídas[[#This Row],[Preço Unitário]],"Erro ao calcular")</f>
        <v>900</v>
      </c>
    </row>
    <row r="7" spans="2:6" x14ac:dyDescent="0.3">
      <c r="B7" s="51">
        <v>44567</v>
      </c>
      <c r="C7" s="52" t="s">
        <v>25</v>
      </c>
      <c r="D7" s="48">
        <v>200</v>
      </c>
      <c r="E7" s="58">
        <f>IFERROR(INDEX(TB_Produtos[Preço Unitário],MATCH(TB_Saídas[[#This Row],[Produto]],TB_Saídas[Produto],0)),"Produto não encontrado")</f>
        <v>3</v>
      </c>
      <c r="F7" s="58">
        <f>IFERROR(TB_Saídas[[#This Row],[Quantidade Vendida]]*TB_Saídas[[#This Row],[Preço Unitário]],"Erro ao calcular")</f>
        <v>600</v>
      </c>
    </row>
    <row r="8" spans="2:6" x14ac:dyDescent="0.3">
      <c r="B8" s="51">
        <v>44597</v>
      </c>
      <c r="C8" s="52" t="s">
        <v>43</v>
      </c>
      <c r="D8" s="48">
        <v>325</v>
      </c>
      <c r="E8" s="58">
        <f>IFERROR(INDEX(TB_Produtos[Preço Unitário],MATCH(TB_Saídas[[#This Row],[Produto]],TB_Saídas[Produto],0)),"Produto não encontrado")</f>
        <v>6.5</v>
      </c>
      <c r="F8" s="58">
        <f>IFERROR(TB_Saídas[[#This Row],[Quantidade Vendida]]*TB_Saídas[[#This Row],[Preço Unitário]],"Erro ao calcular")</f>
        <v>2112.5</v>
      </c>
    </row>
    <row r="9" spans="2:6" x14ac:dyDescent="0.3">
      <c r="B9" s="51">
        <v>44598</v>
      </c>
      <c r="C9" s="52" t="s">
        <v>70</v>
      </c>
      <c r="D9" s="48">
        <v>250</v>
      </c>
      <c r="E9" s="58">
        <f>IFERROR(INDEX(TB_Produtos[Preço Unitário],MATCH(TB_Saídas[[#This Row],[Produto]],TB_Saídas[Produto],0)),"Produto não encontrado")</f>
        <v>4.5</v>
      </c>
      <c r="F9" s="58">
        <f>IFERROR(TB_Saídas[[#This Row],[Quantidade Vendida]]*TB_Saídas[[#This Row],[Preço Unitário]],"Erro ao calcular")</f>
        <v>1125</v>
      </c>
    </row>
    <row r="10" spans="2:6" x14ac:dyDescent="0.3">
      <c r="B10" s="51">
        <v>44626</v>
      </c>
      <c r="C10" s="52" t="s">
        <v>50</v>
      </c>
      <c r="D10" s="48">
        <v>400</v>
      </c>
      <c r="E10" s="58">
        <f>IFERROR(INDEX(TB_Produtos[Preço Unitário],MATCH(TB_Saídas[[#This Row],[Produto]],TB_Saídas[Produto],0)),"Produto não encontrado")</f>
        <v>4</v>
      </c>
      <c r="F10" s="58">
        <f>IFERROR(TB_Saídas[[#This Row],[Quantidade Vendida]]*TB_Saídas[[#This Row],[Preço Unitário]],"Erro ao calcular")</f>
        <v>1600</v>
      </c>
    </row>
    <row r="11" spans="2:6" x14ac:dyDescent="0.3">
      <c r="B11" s="51">
        <v>44630</v>
      </c>
      <c r="C11" s="52" t="s">
        <v>25</v>
      </c>
      <c r="D11" s="48">
        <v>50</v>
      </c>
      <c r="E11" s="58">
        <f>IFERROR(INDEX(TB_Produtos[Preço Unitário],MATCH(TB_Saídas[[#This Row],[Produto]],TB_Saídas[Produto],0)),"Produto não encontrado")</f>
        <v>3</v>
      </c>
      <c r="F11" s="58">
        <f>IFERROR(TB_Saídas[[#This Row],[Quantidade Vendida]]*TB_Saídas[[#This Row],[Preço Unitário]],"Erro ao calcular")</f>
        <v>150</v>
      </c>
    </row>
    <row r="12" spans="2:6" x14ac:dyDescent="0.3">
      <c r="B12" s="51">
        <v>44659</v>
      </c>
      <c r="C12" s="52" t="s">
        <v>42</v>
      </c>
      <c r="D12" s="48">
        <v>100</v>
      </c>
      <c r="E12" s="58">
        <f>IFERROR(INDEX(TB_Produtos[Preço Unitário],MATCH(TB_Saídas[[#This Row],[Produto]],TB_Saídas[Produto],0)),"Produto não encontrado")</f>
        <v>6</v>
      </c>
      <c r="F12" s="58">
        <f>IFERROR(TB_Saídas[[#This Row],[Quantidade Vendida]]*TB_Saídas[[#This Row],[Preço Unitário]],"Erro ao calcular")</f>
        <v>600</v>
      </c>
    </row>
    <row r="13" spans="2:6" x14ac:dyDescent="0.3">
      <c r="B13" s="51">
        <v>44663</v>
      </c>
      <c r="C13" s="52" t="s">
        <v>25</v>
      </c>
      <c r="D13" s="48">
        <v>200</v>
      </c>
      <c r="E13" s="58">
        <f>IFERROR(INDEX(TB_Produtos[Preço Unitário],MATCH(TB_Saídas[[#This Row],[Produto]],TB_Saídas[Produto],0)),"Produto não encontrado")</f>
        <v>3</v>
      </c>
      <c r="F13" s="58">
        <f>IFERROR(TB_Saídas[[#This Row],[Quantidade Vendida]]*TB_Saídas[[#This Row],[Preço Unitário]],"Erro ao calcular")</f>
        <v>600</v>
      </c>
    </row>
    <row r="14" spans="2:6" x14ac:dyDescent="0.3">
      <c r="B14" s="51">
        <v>44667</v>
      </c>
      <c r="C14" s="52" t="s">
        <v>53</v>
      </c>
      <c r="D14" s="48">
        <v>250</v>
      </c>
      <c r="E14" s="58">
        <f>IFERROR(INDEX(TB_Produtos[Preço Unitário],MATCH(TB_Saídas[[#This Row],[Produto]],TB_Saídas[Produto],0)),"Produto não encontrado")</f>
        <v>1</v>
      </c>
      <c r="F14" s="58">
        <f>IFERROR(TB_Saídas[[#This Row],[Quantidade Vendida]]*TB_Saídas[[#This Row],[Preço Unitário]],"Erro ao calcular")</f>
        <v>250</v>
      </c>
    </row>
    <row r="15" spans="2:6" x14ac:dyDescent="0.3">
      <c r="B15" s="51">
        <v>44691</v>
      </c>
      <c r="C15" s="52" t="s">
        <v>42</v>
      </c>
      <c r="D15" s="48">
        <v>200</v>
      </c>
      <c r="E15" s="58">
        <f>IFERROR(INDEX(TB_Produtos[Preço Unitário],MATCH(TB_Saídas[[#This Row],[Produto]],TB_Saídas[Produto],0)),"Produto não encontrado")</f>
        <v>6</v>
      </c>
      <c r="F15" s="58">
        <f>IFERROR(TB_Saídas[[#This Row],[Quantidade Vendida]]*TB_Saídas[[#This Row],[Preço Unitário]],"Erro ao calcular")</f>
        <v>1200</v>
      </c>
    </row>
    <row r="16" spans="2:6" x14ac:dyDescent="0.3">
      <c r="B16" s="51">
        <v>44691</v>
      </c>
      <c r="C16" s="52" t="s">
        <v>43</v>
      </c>
      <c r="D16" s="48">
        <v>175</v>
      </c>
      <c r="E16" s="58">
        <f>IFERROR(INDEX(TB_Produtos[Preço Unitário],MATCH(TB_Saídas[[#This Row],[Produto]],TB_Saídas[Produto],0)),"Produto não encontrado")</f>
        <v>6.5</v>
      </c>
      <c r="F16" s="58">
        <f>IFERROR(TB_Saídas[[#This Row],[Quantidade Vendida]]*TB_Saídas[[#This Row],[Preço Unitário]],"Erro ao calcular")</f>
        <v>1137.5</v>
      </c>
    </row>
    <row r="17" spans="2:6" x14ac:dyDescent="0.3">
      <c r="B17" s="51">
        <v>44692</v>
      </c>
      <c r="C17" s="52" t="s">
        <v>55</v>
      </c>
      <c r="D17" s="48">
        <v>150</v>
      </c>
      <c r="E17" s="58">
        <f>IFERROR(INDEX(TB_Produtos[Preço Unitário],MATCH(TB_Saídas[[#This Row],[Produto]],TB_Saídas[Produto],0)),"Produto não encontrado")</f>
        <v>5</v>
      </c>
      <c r="F17" s="58">
        <f>IFERROR(TB_Saídas[[#This Row],[Quantidade Vendida]]*TB_Saídas[[#This Row],[Preço Unitário]],"Erro ao calcular")</f>
        <v>750</v>
      </c>
    </row>
    <row r="18" spans="2:6" x14ac:dyDescent="0.3">
      <c r="B18" s="51">
        <v>44692</v>
      </c>
      <c r="C18" s="52" t="s">
        <v>25</v>
      </c>
      <c r="D18" s="48">
        <v>350</v>
      </c>
      <c r="E18" s="58">
        <f>IFERROR(INDEX(TB_Produtos[Preço Unitário],MATCH(TB_Saídas[[#This Row],[Produto]],TB_Saídas[Produto],0)),"Produto não encontrado")</f>
        <v>3</v>
      </c>
      <c r="F18" s="58">
        <f>IFERROR(TB_Saídas[[#This Row],[Quantidade Vendida]]*TB_Saídas[[#This Row],[Preço Unitário]],"Erro ao calcular")</f>
        <v>1050</v>
      </c>
    </row>
    <row r="19" spans="2:6" x14ac:dyDescent="0.3">
      <c r="B19" s="51">
        <v>44737</v>
      </c>
      <c r="C19" s="52" t="s">
        <v>39</v>
      </c>
      <c r="D19" s="48">
        <v>150</v>
      </c>
      <c r="E19" s="58">
        <f>IFERROR(INDEX(TB_Produtos[Preço Unitário],MATCH(TB_Saídas[[#This Row],[Produto]],TB_Saídas[Produto],0)),"Produto não encontrado")</f>
        <v>5</v>
      </c>
      <c r="F19" s="58">
        <f>IFERROR(TB_Saídas[[#This Row],[Quantidade Vendida]]*TB_Saídas[[#This Row],[Preço Unitário]],"Erro ao calcular")</f>
        <v>750</v>
      </c>
    </row>
    <row r="20" spans="2:6" x14ac:dyDescent="0.3">
      <c r="B20" s="51">
        <v>44749</v>
      </c>
      <c r="C20" s="52" t="s">
        <v>68</v>
      </c>
      <c r="D20" s="48">
        <v>225</v>
      </c>
      <c r="E20" s="58">
        <f>IFERROR(INDEX(TB_Produtos[Preço Unitário],MATCH(TB_Saídas[[#This Row],[Produto]],TB_Saídas[Produto],0)),"Produto não encontrado")</f>
        <v>1.5</v>
      </c>
      <c r="F20" s="58">
        <f>IFERROR(TB_Saídas[[#This Row],[Quantidade Vendida]]*TB_Saídas[[#This Row],[Preço Unitário]],"Erro ao calcular")</f>
        <v>337.5</v>
      </c>
    </row>
    <row r="21" spans="2:6" x14ac:dyDescent="0.3">
      <c r="B21" s="51">
        <v>44749</v>
      </c>
      <c r="C21" s="52" t="s">
        <v>25</v>
      </c>
      <c r="D21" s="48">
        <v>375</v>
      </c>
      <c r="E21" s="58">
        <f>IFERROR(INDEX(TB_Produtos[Preço Unitário],MATCH(TB_Saídas[[#This Row],[Produto]],TB_Saídas[Produto],0)),"Produto não encontrado")</f>
        <v>3</v>
      </c>
      <c r="F21" s="58">
        <f>IFERROR(TB_Saídas[[#This Row],[Quantidade Vendida]]*TB_Saídas[[#This Row],[Preço Unitário]],"Erro ao calcular")</f>
        <v>1125</v>
      </c>
    </row>
    <row r="22" spans="2:6" x14ac:dyDescent="0.3">
      <c r="B22" s="51">
        <v>44803</v>
      </c>
      <c r="C22" s="52" t="s">
        <v>33</v>
      </c>
      <c r="D22" s="48">
        <v>150</v>
      </c>
      <c r="E22" s="58">
        <f>IFERROR(INDEX(TB_Produtos[Preço Unitário],MATCH(TB_Saídas[[#This Row],[Produto]],TB_Saídas[Produto],0)),"Produto não encontrado")</f>
        <v>10</v>
      </c>
      <c r="F22" s="58">
        <f>IFERROR(TB_Saídas[[#This Row],[Quantidade Vendida]]*TB_Saídas[[#This Row],[Preço Unitário]],"Erro ao calcular")</f>
        <v>1500</v>
      </c>
    </row>
    <row r="23" spans="2:6" x14ac:dyDescent="0.3">
      <c r="B23" s="51">
        <v>44803</v>
      </c>
      <c r="C23" s="52" t="s">
        <v>67</v>
      </c>
      <c r="D23" s="48">
        <v>245</v>
      </c>
      <c r="E23" s="58">
        <f>IFERROR(INDEX(TB_Produtos[Preço Unitário],MATCH(TB_Saídas[[#This Row],[Produto]],TB_Saídas[Produto],0)),"Produto não encontrado")</f>
        <v>15</v>
      </c>
      <c r="F23" s="58">
        <f>IFERROR(TB_Saídas[[#This Row],[Quantidade Vendida]]*TB_Saídas[[#This Row],[Preço Unitário]],"Erro ao calcular")</f>
        <v>3675</v>
      </c>
    </row>
    <row r="24" spans="2:6" x14ac:dyDescent="0.3">
      <c r="B24" s="51">
        <v>44811</v>
      </c>
      <c r="C24" s="52" t="s">
        <v>50</v>
      </c>
      <c r="D24" s="48">
        <v>248</v>
      </c>
      <c r="E24" s="58">
        <f>IFERROR(INDEX(TB_Produtos[Preço Unitário],MATCH(TB_Saídas[[#This Row],[Produto]],TB_Saídas[Produto],0)),"Produto não encontrado")</f>
        <v>4</v>
      </c>
      <c r="F24" s="58">
        <f>IFERROR(TB_Saídas[[#This Row],[Quantidade Vendida]]*TB_Saídas[[#This Row],[Preço Unitário]],"Erro ao calcular")</f>
        <v>992</v>
      </c>
    </row>
    <row r="25" spans="2:6" x14ac:dyDescent="0.3">
      <c r="B25" s="51">
        <v>44811</v>
      </c>
      <c r="C25" s="52" t="s">
        <v>25</v>
      </c>
      <c r="D25" s="48">
        <v>75</v>
      </c>
      <c r="E25" s="58">
        <f>IFERROR(INDEX(TB_Produtos[Preço Unitário],MATCH(TB_Saídas[[#This Row],[Produto]],TB_Saídas[Produto],0)),"Produto não encontrado")</f>
        <v>3</v>
      </c>
      <c r="F25" s="58">
        <f>IFERROR(TB_Saídas[[#This Row],[Quantidade Vendida]]*TB_Saídas[[#This Row],[Preço Unitário]],"Erro ao calcular")</f>
        <v>225</v>
      </c>
    </row>
    <row r="26" spans="2:6" x14ac:dyDescent="0.3">
      <c r="B26" s="51">
        <v>44823</v>
      </c>
      <c r="C26" s="52" t="s">
        <v>56</v>
      </c>
      <c r="D26" s="48">
        <v>35</v>
      </c>
      <c r="E26" s="58">
        <f>IFERROR(INDEX(TB_Produtos[Preço Unitário],MATCH(TB_Saídas[[#This Row],[Produto]],TB_Saídas[Produto],0)),"Produto não encontrado")</f>
        <v>8</v>
      </c>
      <c r="F26" s="58">
        <f>IFERROR(TB_Saídas[[#This Row],[Quantidade Vendida]]*TB_Saídas[[#This Row],[Preço Unitário]],"Erro ao calcular")</f>
        <v>280</v>
      </c>
    </row>
    <row r="27" spans="2:6" x14ac:dyDescent="0.3">
      <c r="B27" s="51">
        <v>44847</v>
      </c>
      <c r="C27" s="52" t="s">
        <v>55</v>
      </c>
      <c r="D27" s="48">
        <v>85</v>
      </c>
      <c r="E27" s="58">
        <f>IFERROR(INDEX(TB_Produtos[Preço Unitário],MATCH(TB_Saídas[[#This Row],[Produto]],TB_Saídas[Produto],0)),"Produto não encontrado")</f>
        <v>5</v>
      </c>
      <c r="F27" s="58">
        <f>IFERROR(TB_Saídas[[#This Row],[Quantidade Vendida]]*TB_Saídas[[#This Row],[Preço Unitário]],"Erro ao calcular")</f>
        <v>425</v>
      </c>
    </row>
    <row r="28" spans="2:6" x14ac:dyDescent="0.3">
      <c r="B28" s="51">
        <v>44865</v>
      </c>
      <c r="C28" s="52" t="s">
        <v>68</v>
      </c>
      <c r="D28" s="48">
        <v>75</v>
      </c>
      <c r="E28" s="58">
        <f>IFERROR(INDEX(TB_Produtos[Preço Unitário],MATCH(TB_Saídas[[#This Row],[Produto]],TB_Saídas[Produto],0)),"Produto não encontrado")</f>
        <v>1.5</v>
      </c>
      <c r="F28" s="58">
        <f>IFERROR(TB_Saídas[[#This Row],[Quantidade Vendida]]*TB_Saídas[[#This Row],[Preço Unitário]],"Erro ao calcular")</f>
        <v>112.5</v>
      </c>
    </row>
    <row r="29" spans="2:6" x14ac:dyDescent="0.3">
      <c r="B29" s="51">
        <v>44866</v>
      </c>
      <c r="C29" s="52" t="s">
        <v>25</v>
      </c>
      <c r="D29" s="48">
        <v>155</v>
      </c>
      <c r="E29" s="58">
        <f>IFERROR(INDEX(TB_Produtos[Preço Unitário],MATCH(TB_Saídas[[#This Row],[Produto]],TB_Saídas[Produto],0)),"Produto não encontrado")</f>
        <v>3</v>
      </c>
      <c r="F29" s="58">
        <f>IFERROR(TB_Saídas[[#This Row],[Quantidade Vendida]]*TB_Saídas[[#This Row],[Preço Unitário]],"Erro ao calcular")</f>
        <v>465</v>
      </c>
    </row>
    <row r="30" spans="2:6" x14ac:dyDescent="0.3">
      <c r="B30" s="51">
        <v>44869</v>
      </c>
      <c r="C30" s="52" t="s">
        <v>42</v>
      </c>
      <c r="D30" s="48">
        <v>50</v>
      </c>
      <c r="E30" s="58">
        <f>IFERROR(INDEX(TB_Produtos[Preço Unitário],MATCH(TB_Saídas[[#This Row],[Produto]],TB_Saídas[Produto],0)),"Produto não encontrado")</f>
        <v>6</v>
      </c>
      <c r="F30" s="58">
        <f>IFERROR(TB_Saídas[[#This Row],[Quantidade Vendida]]*TB_Saídas[[#This Row],[Preço Unitário]],"Erro ao calcular")</f>
        <v>300</v>
      </c>
    </row>
    <row r="31" spans="2:6" x14ac:dyDescent="0.3">
      <c r="B31" s="51">
        <v>44872</v>
      </c>
      <c r="C31" s="52" t="s">
        <v>25</v>
      </c>
      <c r="D31" s="48">
        <v>100</v>
      </c>
      <c r="E31" s="58">
        <f>IFERROR(INDEX(TB_Produtos[Preço Unitário],MATCH(TB_Saídas[[#This Row],[Produto]],TB_Saídas[Produto],0)),"Produto não encontrado")</f>
        <v>3</v>
      </c>
      <c r="F31" s="58">
        <f>IFERROR(TB_Saídas[[#This Row],[Quantidade Vendida]]*TB_Saídas[[#This Row],[Preço Unitário]],"Erro ao calcular")</f>
        <v>300</v>
      </c>
    </row>
    <row r="32" spans="2:6" x14ac:dyDescent="0.3">
      <c r="B32" s="51">
        <v>44886</v>
      </c>
      <c r="C32" s="52" t="s">
        <v>53</v>
      </c>
      <c r="D32" s="48">
        <v>695</v>
      </c>
      <c r="E32" s="58">
        <f>IFERROR(INDEX(TB_Produtos[Preço Unitário],MATCH(TB_Saídas[[#This Row],[Produto]],TB_Saídas[Produto],0)),"Produto não encontrado")</f>
        <v>1</v>
      </c>
      <c r="F32" s="58">
        <f>IFERROR(TB_Saídas[[#This Row],[Quantidade Vendida]]*TB_Saídas[[#This Row],[Preço Unitário]],"Erro ao calcular")</f>
        <v>695</v>
      </c>
    </row>
    <row r="33" spans="2:6" x14ac:dyDescent="0.3">
      <c r="B33" s="51">
        <v>44888</v>
      </c>
      <c r="C33" s="52" t="s">
        <v>25</v>
      </c>
      <c r="D33" s="48">
        <v>86</v>
      </c>
      <c r="E33" s="58">
        <f>IFERROR(INDEX(TB_Produtos[Preço Unitário],MATCH(TB_Saídas[[#This Row],[Produto]],TB_Saídas[Produto],0)),"Produto não encontrado")</f>
        <v>3</v>
      </c>
      <c r="F33" s="58">
        <f>IFERROR(TB_Saídas[[#This Row],[Quantidade Vendida]]*TB_Saídas[[#This Row],[Preço Unitário]],"Erro ao calcular")</f>
        <v>258</v>
      </c>
    </row>
  </sheetData>
  <phoneticPr fontId="7" type="noConversion"/>
  <dataValidations count="1">
    <dataValidation type="list" allowBlank="1" showInputMessage="1" showErrorMessage="1" sqref="C6:C33" xr:uid="{85116FEB-A75F-4125-AD34-AB0054673C62}">
      <formula1>Lista_Produtos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9AC2E-0EB4-4038-B775-7C10F61821FD}">
  <dimension ref="B1:P15"/>
  <sheetViews>
    <sheetView showGridLines="0" workbookViewId="0">
      <selection activeCell="G8" sqref="G8"/>
    </sheetView>
  </sheetViews>
  <sheetFormatPr defaultRowHeight="14.4" x14ac:dyDescent="0.3"/>
  <cols>
    <col min="1" max="1" width="8.88671875" customWidth="1"/>
    <col min="2" max="2" width="2.21875" customWidth="1"/>
    <col min="5" max="5" width="1.6640625" customWidth="1"/>
    <col min="7" max="7" width="10.109375" bestFit="1" customWidth="1"/>
    <col min="16" max="16" width="9.33203125" bestFit="1" customWidth="1"/>
  </cols>
  <sheetData>
    <row r="1" spans="2:16" s="1" customFormat="1" ht="60" customHeight="1" x14ac:dyDescent="0.3">
      <c r="C1" s="26" t="s">
        <v>96</v>
      </c>
    </row>
    <row r="2" spans="2:16" s="2" customFormat="1" ht="6" customHeight="1" x14ac:dyDescent="0.3"/>
    <row r="5" spans="2:16" ht="15" thickBot="1" x14ac:dyDescent="0.35">
      <c r="B5" s="63"/>
      <c r="C5" s="59"/>
      <c r="D5" s="60" t="s">
        <v>97</v>
      </c>
      <c r="E5" s="61"/>
      <c r="F5" s="60" t="s">
        <v>6</v>
      </c>
      <c r="G5" s="61"/>
      <c r="H5" s="59"/>
    </row>
    <row r="6" spans="2:16" ht="15" thickBot="1" x14ac:dyDescent="0.35">
      <c r="B6" s="63"/>
      <c r="C6" s="59"/>
      <c r="D6" s="68" t="str">
        <f>"&lt;10/05/2022"</f>
        <v>&lt;10/05/2022</v>
      </c>
      <c r="E6" s="61"/>
      <c r="F6" s="68" t="str">
        <f>"=Café"</f>
        <v>=Café</v>
      </c>
      <c r="G6" s="61"/>
      <c r="H6" s="59"/>
    </row>
    <row r="7" spans="2:16" ht="15" thickBot="1" x14ac:dyDescent="0.35">
      <c r="B7" s="63"/>
      <c r="C7" s="59"/>
      <c r="D7" s="61"/>
      <c r="E7" s="61"/>
      <c r="F7" s="61"/>
      <c r="G7" s="61"/>
      <c r="H7" s="59"/>
      <c r="P7" s="24"/>
    </row>
    <row r="8" spans="2:16" ht="15" thickBot="1" x14ac:dyDescent="0.35">
      <c r="B8" s="63"/>
      <c r="C8" s="65"/>
      <c r="D8" s="66" t="s">
        <v>88</v>
      </c>
      <c r="E8" s="61"/>
      <c r="F8" s="61"/>
      <c r="G8" s="64">
        <f>DSUM(TB_Saídas[#All],$D$8,$D$5:$F$6)</f>
        <v>450</v>
      </c>
      <c r="H8" s="59"/>
    </row>
    <row r="9" spans="2:16" ht="15" thickBot="1" x14ac:dyDescent="0.35">
      <c r="B9" s="63"/>
      <c r="C9" s="59"/>
      <c r="D9" s="62"/>
      <c r="E9" s="61"/>
      <c r="F9" s="61"/>
      <c r="G9" s="61"/>
      <c r="H9" s="59"/>
    </row>
    <row r="10" spans="2:16" ht="15" thickBot="1" x14ac:dyDescent="0.35">
      <c r="B10" s="63"/>
      <c r="C10" s="65"/>
      <c r="D10" s="67" t="s">
        <v>98</v>
      </c>
      <c r="E10" s="61"/>
      <c r="F10" s="61"/>
      <c r="G10" s="64">
        <f>SUM(DSUM(TB_Entradas[#All],"Quantidade Comprada",$D$5:$F$6)-DSUM(TB_Saídas[#All],"Quantidade Vendida",$D$5:$F$6))</f>
        <v>1150</v>
      </c>
      <c r="H10" s="59"/>
    </row>
    <row r="11" spans="2:16" ht="15" thickBot="1" x14ac:dyDescent="0.35">
      <c r="B11" s="63"/>
      <c r="C11" s="59"/>
      <c r="D11" s="62"/>
      <c r="E11" s="61"/>
      <c r="F11" s="61"/>
      <c r="G11" s="61"/>
      <c r="H11" s="59"/>
    </row>
    <row r="12" spans="2:16" ht="15" thickBot="1" x14ac:dyDescent="0.35">
      <c r="B12" s="63"/>
      <c r="C12" s="65"/>
      <c r="D12" s="66" t="s">
        <v>99</v>
      </c>
      <c r="E12" s="61"/>
      <c r="F12" s="61"/>
      <c r="G12" s="69">
        <f>IFERROR(DSUM(TB_Saídas[#All],"Quantidade Vendida",$D$5:$F$6)*DSUM(TB_Saídas[#All],"Preço Unitário",$D$5:$F$6), "Erro ao calcular")</f>
        <v>4050</v>
      </c>
      <c r="H12" s="59"/>
    </row>
    <row r="13" spans="2:16" x14ac:dyDescent="0.3">
      <c r="B13" s="63"/>
      <c r="C13" s="59"/>
      <c r="D13" s="61"/>
      <c r="E13" s="61"/>
      <c r="F13" s="61"/>
      <c r="G13" s="61"/>
      <c r="H13" s="59"/>
    </row>
    <row r="14" spans="2:16" x14ac:dyDescent="0.3">
      <c r="B14" s="63"/>
      <c r="C14" s="59"/>
      <c r="D14" s="61"/>
      <c r="E14" s="61"/>
      <c r="F14" s="61"/>
      <c r="G14" s="61"/>
      <c r="H14" s="59"/>
    </row>
    <row r="15" spans="2:16" x14ac:dyDescent="0.3">
      <c r="B15" s="63"/>
      <c r="C15" s="63"/>
      <c r="D15" s="63"/>
      <c r="E15" s="63"/>
      <c r="F15" s="63"/>
      <c r="G15" s="63"/>
      <c r="H15" s="63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7428-62FA-49D5-9EA7-C6812EB68C86}">
  <dimension ref="B1:P32"/>
  <sheetViews>
    <sheetView showGridLines="0" workbookViewId="0">
      <selection activeCell="E6" sqref="E6"/>
    </sheetView>
  </sheetViews>
  <sheetFormatPr defaultRowHeight="14.4" x14ac:dyDescent="0.3"/>
  <cols>
    <col min="2" max="2" width="9.44140625" customWidth="1"/>
    <col min="3" max="3" width="9.21875" customWidth="1"/>
    <col min="5" max="5" width="17.33203125" customWidth="1"/>
    <col min="6" max="6" width="16.109375" customWidth="1"/>
    <col min="7" max="7" width="17.44140625" customWidth="1"/>
    <col min="8" max="8" width="15.21875" customWidth="1"/>
    <col min="9" max="10" width="11.88671875" bestFit="1" customWidth="1"/>
    <col min="11" max="11" width="8.88671875" customWidth="1"/>
    <col min="12" max="12" width="1.6640625" customWidth="1"/>
    <col min="13" max="13" width="11.88671875" bestFit="1" customWidth="1"/>
  </cols>
  <sheetData>
    <row r="1" spans="2:16" s="1" customFormat="1" ht="60" customHeight="1" x14ac:dyDescent="0.3">
      <c r="C1" s="26" t="s">
        <v>96</v>
      </c>
    </row>
    <row r="2" spans="2:16" s="2" customFormat="1" ht="6" customHeight="1" x14ac:dyDescent="0.3"/>
    <row r="5" spans="2:16" ht="15" thickBot="1" x14ac:dyDescent="0.35">
      <c r="B5" t="s">
        <v>6</v>
      </c>
      <c r="C5" t="s">
        <v>100</v>
      </c>
      <c r="D5" t="s">
        <v>101</v>
      </c>
      <c r="E5" t="s">
        <v>102</v>
      </c>
      <c r="F5" t="s">
        <v>61</v>
      </c>
      <c r="G5" t="s">
        <v>103</v>
      </c>
      <c r="H5" t="s">
        <v>99</v>
      </c>
      <c r="I5" t="s">
        <v>104</v>
      </c>
      <c r="J5" t="s">
        <v>17</v>
      </c>
      <c r="M5" s="71"/>
      <c r="N5" s="71"/>
      <c r="O5" s="71"/>
      <c r="P5" s="71"/>
    </row>
    <row r="6" spans="2:16" ht="15" thickBot="1" x14ac:dyDescent="0.35">
      <c r="B6" t="s">
        <v>25</v>
      </c>
      <c r="C6">
        <f>IFERROR(SUMIF(TB_Entradas[Produto],tb_controle_estoque[[#This Row],[Produto]],TB_Entradas[Quantidade Comprada]),0)</f>
        <v>3150</v>
      </c>
      <c r="D6">
        <f>IFERROR(SUMIFS(TB_Saídas[Quantidade Vendida],TB_Saídas[Produto],tb_controle_estoque[[#This Row],[Produto]]),0)</f>
        <v>1591</v>
      </c>
      <c r="E6">
        <f>tb_controle_estoque[[#This Row],[Entrada]]-tb_controle_estoque[[#This Row],[Saídas]]</f>
        <v>1559</v>
      </c>
      <c r="F6">
        <f>IFERROR(VLOOKUP(tb_controle_estoque[[#This Row],[Produto]],TB_Produtos[#All],3,FALSE),"")</f>
        <v>50</v>
      </c>
      <c r="G6" t="str">
        <f>_xlfn.IFS(tb_controle_estoque[[#This Row],[Saldo em Estoque]]&gt;tb_controle_estoque[[#This Row],[Estoque Mínimo]],"Estoque OK",tb_controle_estoque[[#This Row],[Saldo em Estoque]]=0,"Estoque Zerado",1,"Repor Estoque")</f>
        <v>Estoque OK</v>
      </c>
      <c r="H6" s="24">
        <f>SUMIFS(TB_Saídas[Valor da Venda],TB_Saídas[Produto],tb_controle_estoque[[#This Row],[Produto]])</f>
        <v>4773</v>
      </c>
      <c r="I6" s="24">
        <f>SUMIFS(TB_Entradas[Valor da Compra],TB_Entradas[Produto],tb_controle_estoque[[#This Row],[Produto]])</f>
        <v>6300</v>
      </c>
      <c r="J6" s="70">
        <f>tb_controle_estoque[[#This Row],[Valor de Venda]]-tb_controle_estoque[[#This Row],[Custo Total]]</f>
        <v>-1527</v>
      </c>
      <c r="L6" s="72"/>
      <c r="M6" s="71"/>
      <c r="N6" s="74" t="s">
        <v>105</v>
      </c>
      <c r="O6" s="75"/>
      <c r="P6" s="71"/>
    </row>
    <row r="7" spans="2:16" ht="15" thickBot="1" x14ac:dyDescent="0.35">
      <c r="B7" t="s">
        <v>41</v>
      </c>
      <c r="C7">
        <f>IFERROR(SUMIF(TB_Entradas[Produto],tb_controle_estoque[[#This Row],[Produto]],TB_Entradas[Quantidade Comprada]),0)</f>
        <v>0</v>
      </c>
      <c r="D7">
        <f>IFERROR(SUMIFS(TB_Saídas[Quantidade Vendida],TB_Saídas[Produto],tb_controle_estoque[[#This Row],[Produto]]),0)</f>
        <v>0</v>
      </c>
      <c r="E7">
        <f>tb_controle_estoque[[#This Row],[Entrada]]-tb_controle_estoque[[#This Row],[Saídas]]</f>
        <v>0</v>
      </c>
      <c r="F7">
        <f>IFERROR(VLOOKUP(tb_controle_estoque[[#This Row],[Produto]],TB_Produtos[#All],3,FALSE),"")</f>
        <v>5</v>
      </c>
      <c r="G7" t="str">
        <f>_xlfn.IFS(tb_controle_estoque[[#This Row],[Saldo em Estoque]]&gt;tb_controle_estoque[[#This Row],[Estoque Mínimo]],"Estoque OK",tb_controle_estoque[[#This Row],[Saldo em Estoque]]=0,"Estoque Zerado",1,"Repor Estoque")</f>
        <v>Estoque Zerado</v>
      </c>
      <c r="H7" s="24">
        <f>SUMIFS(TB_Saídas[Valor da Venda],TB_Saídas[Produto],tb_controle_estoque[[#This Row],[Produto]])</f>
        <v>0</v>
      </c>
      <c r="I7" s="24">
        <f>SUMIFS(TB_Entradas[Valor da Compra],TB_Entradas[Produto],tb_controle_estoque[[#This Row],[Produto]])</f>
        <v>0</v>
      </c>
      <c r="J7" s="70">
        <f>tb_controle_estoque[[#This Row],[Valor de Venda]]-tb_controle_estoque[[#This Row],[Custo Total]]</f>
        <v>0</v>
      </c>
      <c r="L7" s="72"/>
      <c r="M7" s="71"/>
      <c r="N7" s="71"/>
      <c r="O7" s="71"/>
      <c r="P7" s="71"/>
    </row>
    <row r="8" spans="2:16" ht="15" thickBot="1" x14ac:dyDescent="0.35">
      <c r="B8" t="s">
        <v>42</v>
      </c>
      <c r="C8">
        <f>IFERROR(SUMIF(TB_Entradas[Produto],tb_controle_estoque[[#This Row],[Produto]],TB_Entradas[Quantidade Comprada]),0)</f>
        <v>500</v>
      </c>
      <c r="D8">
        <f>IFERROR(SUMIFS(TB_Saídas[Quantidade Vendida],TB_Saídas[Produto],tb_controle_estoque[[#This Row],[Produto]]),0)</f>
        <v>500</v>
      </c>
      <c r="E8">
        <f>tb_controle_estoque[[#This Row],[Entrada]]-tb_controle_estoque[[#This Row],[Saídas]]</f>
        <v>0</v>
      </c>
      <c r="F8">
        <f>IFERROR(VLOOKUP(tb_controle_estoque[[#This Row],[Produto]],TB_Produtos[#All],3,FALSE),"")</f>
        <v>50</v>
      </c>
      <c r="G8" t="str">
        <f>_xlfn.IFS(tb_controle_estoque[[#This Row],[Saldo em Estoque]]&gt;tb_controle_estoque[[#This Row],[Estoque Mínimo]],"Estoque OK",tb_controle_estoque[[#This Row],[Saldo em Estoque]]=0,"Estoque Zerado",1,"Repor Estoque")</f>
        <v>Estoque Zerado</v>
      </c>
      <c r="H8" s="24">
        <f>SUMIFS(TB_Saídas[Valor da Venda],TB_Saídas[Produto],tb_controle_estoque[[#This Row],[Produto]])</f>
        <v>3000</v>
      </c>
      <c r="I8" s="24">
        <f>SUMIFS(TB_Entradas[Valor da Compra],TB_Entradas[Produto],tb_controle_estoque[[#This Row],[Produto]])</f>
        <v>250</v>
      </c>
      <c r="J8" s="70">
        <f>tb_controle_estoque[[#This Row],[Valor de Venda]]-tb_controle_estoque[[#This Row],[Custo Total]]</f>
        <v>2750</v>
      </c>
      <c r="L8" s="72"/>
      <c r="M8" s="79" t="s">
        <v>17</v>
      </c>
      <c r="N8" s="73"/>
      <c r="O8" s="76"/>
      <c r="P8" s="80" t="s">
        <v>6</v>
      </c>
    </row>
    <row r="9" spans="2:16" ht="15" thickBot="1" x14ac:dyDescent="0.35">
      <c r="B9" t="s">
        <v>43</v>
      </c>
      <c r="C9">
        <f>IFERROR(SUMIF(TB_Entradas[Produto],tb_controle_estoque[[#This Row],[Produto]],TB_Entradas[Quantidade Comprada]),0)</f>
        <v>550</v>
      </c>
      <c r="D9">
        <f>IFERROR(SUMIFS(TB_Saídas[Quantidade Vendida],TB_Saídas[Produto],tb_controle_estoque[[#This Row],[Produto]]),0)</f>
        <v>500</v>
      </c>
      <c r="E9">
        <f>tb_controle_estoque[[#This Row],[Entrada]]-tb_controle_estoque[[#This Row],[Saídas]]</f>
        <v>50</v>
      </c>
      <c r="F9">
        <f>IFERROR(VLOOKUP(tb_controle_estoque[[#This Row],[Produto]],TB_Produtos[#All],3,FALSE),"")</f>
        <v>50</v>
      </c>
      <c r="G9" t="str">
        <f>_xlfn.IFS(tb_controle_estoque[[#This Row],[Saldo em Estoque]]&gt;tb_controle_estoque[[#This Row],[Estoque Mínimo]],"Estoque OK",tb_controle_estoque[[#This Row],[Saldo em Estoque]]=0,"Estoque Zerado",1,"Repor Estoque")</f>
        <v>Repor Estoque</v>
      </c>
      <c r="H9" s="24">
        <f>SUMIFS(TB_Saídas[Valor da Venda],TB_Saídas[Produto],tb_controle_estoque[[#This Row],[Produto]])</f>
        <v>3250</v>
      </c>
      <c r="I9" s="24">
        <f>SUMIFS(TB_Entradas[Valor da Compra],TB_Entradas[Produto],tb_controle_estoque[[#This Row],[Produto]])</f>
        <v>550</v>
      </c>
      <c r="J9" s="70">
        <f>tb_controle_estoque[[#This Row],[Valor de Venda]]-tb_controle_estoque[[#This Row],[Custo Total]]</f>
        <v>2700</v>
      </c>
      <c r="L9" s="72"/>
      <c r="M9" s="81">
        <f>LARGE(tb_controle_estoque[Lucro],1)</f>
        <v>3600</v>
      </c>
      <c r="N9" s="78"/>
      <c r="O9" s="77" t="str">
        <f>DGET(tb_controle_estoque[#All],1,$M$8:$M$9)</f>
        <v>Pão de Queijo</v>
      </c>
      <c r="P9" s="78"/>
    </row>
    <row r="10" spans="2:16" x14ac:dyDescent="0.3">
      <c r="B10" t="s">
        <v>44</v>
      </c>
      <c r="C10">
        <f>IFERROR(SUMIF(TB_Entradas[Produto],tb_controle_estoque[[#This Row],[Produto]],TB_Entradas[Quantidade Comprada]),0)</f>
        <v>0</v>
      </c>
      <c r="D10">
        <f>IFERROR(SUMIFS(TB_Saídas[Quantidade Vendida],TB_Saídas[Produto],tb_controle_estoque[[#This Row],[Produto]]),0)</f>
        <v>0</v>
      </c>
      <c r="E10">
        <f>tb_controle_estoque[[#This Row],[Entrada]]-tb_controle_estoque[[#This Row],[Saídas]]</f>
        <v>0</v>
      </c>
      <c r="F10">
        <f>IFERROR(VLOOKUP(tb_controle_estoque[[#This Row],[Produto]],TB_Produtos[#All],3,FALSE),"")</f>
        <v>50</v>
      </c>
      <c r="G10" t="str">
        <f>_xlfn.IFS(tb_controle_estoque[[#This Row],[Saldo em Estoque]]&gt;tb_controle_estoque[[#This Row],[Estoque Mínimo]],"Estoque OK",tb_controle_estoque[[#This Row],[Saldo em Estoque]]=0,"Estoque Zerado",1,"Repor Estoque")</f>
        <v>Estoque Zerado</v>
      </c>
      <c r="H10" s="24">
        <f>SUMIFS(TB_Saídas[Valor da Venda],TB_Saídas[Produto],tb_controle_estoque[[#This Row],[Produto]])</f>
        <v>0</v>
      </c>
      <c r="I10" s="24">
        <f>SUMIFS(TB_Entradas[Valor da Compra],TB_Entradas[Produto],tb_controle_estoque[[#This Row],[Produto]])</f>
        <v>0</v>
      </c>
      <c r="J10" s="70">
        <f>tb_controle_estoque[[#This Row],[Valor de Venda]]-tb_controle_estoque[[#This Row],[Custo Total]]</f>
        <v>0</v>
      </c>
      <c r="L10" s="72"/>
      <c r="M10" s="72"/>
      <c r="N10" s="72"/>
      <c r="O10" s="72"/>
    </row>
    <row r="11" spans="2:16" x14ac:dyDescent="0.3">
      <c r="B11" t="s">
        <v>45</v>
      </c>
      <c r="C11">
        <f>IFERROR(SUMIF(TB_Entradas[Produto],tb_controle_estoque[[#This Row],[Produto]],TB_Entradas[Quantidade Comprada]),0)</f>
        <v>500</v>
      </c>
      <c r="D11">
        <f>IFERROR(SUMIFS(TB_Saídas[Quantidade Vendida],TB_Saídas[Produto],tb_controle_estoque[[#This Row],[Produto]]),0)</f>
        <v>0</v>
      </c>
      <c r="E11">
        <f>tb_controle_estoque[[#This Row],[Entrada]]-tb_controle_estoque[[#This Row],[Saídas]]</f>
        <v>500</v>
      </c>
      <c r="F11">
        <f>IFERROR(VLOOKUP(tb_controle_estoque[[#This Row],[Produto]],TB_Produtos[#All],3,FALSE),"")</f>
        <v>50</v>
      </c>
      <c r="G11" t="str">
        <f>_xlfn.IFS(tb_controle_estoque[[#This Row],[Saldo em Estoque]]&gt;tb_controle_estoque[[#This Row],[Estoque Mínimo]],"Estoque OK",tb_controle_estoque[[#This Row],[Saldo em Estoque]]=0,"Estoque Zerado",1,"Repor Estoque")</f>
        <v>Estoque OK</v>
      </c>
      <c r="H11" s="24">
        <f>SUMIFS(TB_Saídas[Valor da Venda],TB_Saídas[Produto],tb_controle_estoque[[#This Row],[Produto]])</f>
        <v>0</v>
      </c>
      <c r="I11" s="24">
        <f>SUMIFS(TB_Entradas[Valor da Compra],TB_Entradas[Produto],tb_controle_estoque[[#This Row],[Produto]])</f>
        <v>500</v>
      </c>
      <c r="J11" s="70">
        <f>tb_controle_estoque[[#This Row],[Valor de Venda]]-tb_controle_estoque[[#This Row],[Custo Total]]</f>
        <v>-500</v>
      </c>
    </row>
    <row r="12" spans="2:16" x14ac:dyDescent="0.3">
      <c r="B12" t="s">
        <v>46</v>
      </c>
      <c r="C12">
        <f>IFERROR(SUMIF(TB_Entradas[Produto],tb_controle_estoque[[#This Row],[Produto]],TB_Entradas[Quantidade Comprada]),0)</f>
        <v>0</v>
      </c>
      <c r="D12">
        <f>IFERROR(SUMIFS(TB_Saídas[Quantidade Vendida],TB_Saídas[Produto],tb_controle_estoque[[#This Row],[Produto]]),0)</f>
        <v>0</v>
      </c>
      <c r="E12">
        <f>tb_controle_estoque[[#This Row],[Entrada]]-tb_controle_estoque[[#This Row],[Saídas]]</f>
        <v>0</v>
      </c>
      <c r="F12">
        <f>IFERROR(VLOOKUP(tb_controle_estoque[[#This Row],[Produto]],TB_Produtos[#All],3,FALSE),"")</f>
        <v>50</v>
      </c>
      <c r="G12" t="str">
        <f>_xlfn.IFS(tb_controle_estoque[[#This Row],[Saldo em Estoque]]&gt;tb_controle_estoque[[#This Row],[Estoque Mínimo]],"Estoque OK",tb_controle_estoque[[#This Row],[Saldo em Estoque]]=0,"Estoque Zerado",1,"Repor Estoque")</f>
        <v>Estoque Zerado</v>
      </c>
      <c r="H12" s="24">
        <f>SUMIFS(TB_Saídas[Valor da Venda],TB_Saídas[Produto],tb_controle_estoque[[#This Row],[Produto]])</f>
        <v>0</v>
      </c>
      <c r="I12" s="24">
        <f>SUMIFS(TB_Entradas[Valor da Compra],TB_Entradas[Produto],tb_controle_estoque[[#This Row],[Produto]])</f>
        <v>0</v>
      </c>
      <c r="J12" s="70">
        <f>tb_controle_estoque[[#This Row],[Valor de Venda]]-tb_controle_estoque[[#This Row],[Custo Total]]</f>
        <v>0</v>
      </c>
    </row>
    <row r="13" spans="2:16" x14ac:dyDescent="0.3">
      <c r="B13" t="s">
        <v>27</v>
      </c>
      <c r="C13">
        <f>IFERROR(SUMIF(TB_Entradas[Produto],tb_controle_estoque[[#This Row],[Produto]],TB_Entradas[Quantidade Comprada]),0)</f>
        <v>0</v>
      </c>
      <c r="D13">
        <f>IFERROR(SUMIFS(TB_Saídas[Quantidade Vendida],TB_Saídas[Produto],tb_controle_estoque[[#This Row],[Produto]]),0)</f>
        <v>0</v>
      </c>
      <c r="E13">
        <f>tb_controle_estoque[[#This Row],[Entrada]]-tb_controle_estoque[[#This Row],[Saídas]]</f>
        <v>0</v>
      </c>
      <c r="F13">
        <f>IFERROR(VLOOKUP(tb_controle_estoque[[#This Row],[Produto]],TB_Produtos[#All],3,FALSE),"")</f>
        <v>15</v>
      </c>
      <c r="G13" t="str">
        <f>_xlfn.IFS(tb_controle_estoque[[#This Row],[Saldo em Estoque]]&gt;tb_controle_estoque[[#This Row],[Estoque Mínimo]],"Estoque OK",tb_controle_estoque[[#This Row],[Saldo em Estoque]]=0,"Estoque Zerado",1,"Repor Estoque")</f>
        <v>Estoque Zerado</v>
      </c>
      <c r="H13" s="24">
        <f>SUMIFS(TB_Saídas[Valor da Venda],TB_Saídas[Produto],tb_controle_estoque[[#This Row],[Produto]])</f>
        <v>0</v>
      </c>
      <c r="I13" s="24">
        <f>SUMIFS(TB_Entradas[Valor da Compra],TB_Entradas[Produto],tb_controle_estoque[[#This Row],[Produto]])</f>
        <v>0</v>
      </c>
      <c r="J13" s="70">
        <f>tb_controle_estoque[[#This Row],[Valor de Venda]]-tb_controle_estoque[[#This Row],[Custo Total]]</f>
        <v>0</v>
      </c>
    </row>
    <row r="14" spans="2:16" x14ac:dyDescent="0.3">
      <c r="B14" t="s">
        <v>28</v>
      </c>
      <c r="C14">
        <f>IFERROR(SUMIF(TB_Entradas[Produto],tb_controle_estoque[[#This Row],[Produto]],TB_Entradas[Quantidade Comprada]),0)</f>
        <v>0</v>
      </c>
      <c r="D14">
        <f>IFERROR(SUMIFS(TB_Saídas[Quantidade Vendida],TB_Saídas[Produto],tb_controle_estoque[[#This Row],[Produto]]),0)</f>
        <v>0</v>
      </c>
      <c r="E14">
        <f>tb_controle_estoque[[#This Row],[Entrada]]-tb_controle_estoque[[#This Row],[Saídas]]</f>
        <v>0</v>
      </c>
      <c r="F14">
        <f>IFERROR(VLOOKUP(tb_controle_estoque[[#This Row],[Produto]],TB_Produtos[#All],3,FALSE),"")</f>
        <v>15</v>
      </c>
      <c r="G14" t="str">
        <f>_xlfn.IFS(tb_controle_estoque[[#This Row],[Saldo em Estoque]]&gt;tb_controle_estoque[[#This Row],[Estoque Mínimo]],"Estoque OK",tb_controle_estoque[[#This Row],[Saldo em Estoque]]=0,"Estoque Zerado",1,"Repor Estoque")</f>
        <v>Estoque Zerado</v>
      </c>
      <c r="H14" s="24">
        <f>SUMIFS(TB_Saídas[Valor da Venda],TB_Saídas[Produto],tb_controle_estoque[[#This Row],[Produto]])</f>
        <v>0</v>
      </c>
      <c r="I14" s="24">
        <f>SUMIFS(TB_Entradas[Valor da Compra],TB_Entradas[Produto],tb_controle_estoque[[#This Row],[Produto]])</f>
        <v>0</v>
      </c>
      <c r="J14" s="70">
        <f>tb_controle_estoque[[#This Row],[Valor de Venda]]-tb_controle_estoque[[#This Row],[Custo Total]]</f>
        <v>0</v>
      </c>
    </row>
    <row r="15" spans="2:16" x14ac:dyDescent="0.3">
      <c r="B15" t="s">
        <v>38</v>
      </c>
      <c r="C15">
        <f>IFERROR(SUMIF(TB_Entradas[Produto],tb_controle_estoque[[#This Row],[Produto]],TB_Entradas[Quantidade Comprada]),0)</f>
        <v>0</v>
      </c>
      <c r="D15">
        <f>IFERROR(SUMIFS(TB_Saídas[Quantidade Vendida],TB_Saídas[Produto],tb_controle_estoque[[#This Row],[Produto]]),0)</f>
        <v>0</v>
      </c>
      <c r="E15">
        <f>tb_controle_estoque[[#This Row],[Entrada]]-tb_controle_estoque[[#This Row],[Saídas]]</f>
        <v>0</v>
      </c>
      <c r="F15">
        <f>IFERROR(VLOOKUP(tb_controle_estoque[[#This Row],[Produto]],TB_Produtos[#All],3,FALSE),"")</f>
        <v>15</v>
      </c>
      <c r="G15" t="str">
        <f>_xlfn.IFS(tb_controle_estoque[[#This Row],[Saldo em Estoque]]&gt;tb_controle_estoque[[#This Row],[Estoque Mínimo]],"Estoque OK",tb_controle_estoque[[#This Row],[Saldo em Estoque]]=0,"Estoque Zerado",1,"Repor Estoque")</f>
        <v>Estoque Zerado</v>
      </c>
      <c r="H15" s="24">
        <f>SUMIFS(TB_Saídas[Valor da Venda],TB_Saídas[Produto],tb_controle_estoque[[#This Row],[Produto]])</f>
        <v>0</v>
      </c>
      <c r="I15" s="24">
        <f>SUMIFS(TB_Entradas[Valor da Compra],TB_Entradas[Produto],tb_controle_estoque[[#This Row],[Produto]])</f>
        <v>0</v>
      </c>
      <c r="J15" s="70">
        <f>tb_controle_estoque[[#This Row],[Valor de Venda]]-tb_controle_estoque[[#This Row],[Custo Total]]</f>
        <v>0</v>
      </c>
    </row>
    <row r="16" spans="2:16" x14ac:dyDescent="0.3">
      <c r="B16" t="s">
        <v>39</v>
      </c>
      <c r="C16">
        <f>IFERROR(SUMIF(TB_Entradas[Produto],tb_controle_estoque[[#This Row],[Produto]],TB_Entradas[Quantidade Comprada]),0)</f>
        <v>350</v>
      </c>
      <c r="D16">
        <f>IFERROR(SUMIFS(TB_Saídas[Quantidade Vendida],TB_Saídas[Produto],tb_controle_estoque[[#This Row],[Produto]]),0)</f>
        <v>150</v>
      </c>
      <c r="E16">
        <f>tb_controle_estoque[[#This Row],[Entrada]]-tb_controle_estoque[[#This Row],[Saídas]]</f>
        <v>200</v>
      </c>
      <c r="F16">
        <f>IFERROR(VLOOKUP(tb_controle_estoque[[#This Row],[Produto]],TB_Produtos[#All],3,FALSE),"")</f>
        <v>10</v>
      </c>
      <c r="G16" t="str">
        <f>_xlfn.IFS(tb_controle_estoque[[#This Row],[Saldo em Estoque]]&gt;tb_controle_estoque[[#This Row],[Estoque Mínimo]],"Estoque OK",tb_controle_estoque[[#This Row],[Saldo em Estoque]]=0,"Estoque Zerado",1,"Repor Estoque")</f>
        <v>Estoque OK</v>
      </c>
      <c r="H16" s="24">
        <f>SUMIFS(TB_Saídas[Valor da Venda],TB_Saídas[Produto],tb_controle_estoque[[#This Row],[Produto]])</f>
        <v>750</v>
      </c>
      <c r="I16" s="24">
        <f>SUMIFS(TB_Entradas[Valor da Compra],TB_Entradas[Produto],tb_controle_estoque[[#This Row],[Produto]])</f>
        <v>87.5</v>
      </c>
      <c r="J16" s="70">
        <f>tb_controle_estoque[[#This Row],[Valor de Venda]]-tb_controle_estoque[[#This Row],[Custo Total]]</f>
        <v>662.5</v>
      </c>
    </row>
    <row r="17" spans="2:10" x14ac:dyDescent="0.3">
      <c r="B17" t="s">
        <v>65</v>
      </c>
      <c r="C17">
        <f>IFERROR(SUMIF(TB_Entradas[Produto],tb_controle_estoque[[#This Row],[Produto]],TB_Entradas[Quantidade Comprada]),0)</f>
        <v>200</v>
      </c>
      <c r="D17">
        <f>IFERROR(SUMIFS(TB_Saídas[Quantidade Vendida],TB_Saídas[Produto],tb_controle_estoque[[#This Row],[Produto]]),0)</f>
        <v>0</v>
      </c>
      <c r="E17">
        <f>tb_controle_estoque[[#This Row],[Entrada]]-tb_controle_estoque[[#This Row],[Saídas]]</f>
        <v>200</v>
      </c>
      <c r="F17">
        <f>IFERROR(VLOOKUP(tb_controle_estoque[[#This Row],[Produto]],TB_Produtos[#All],3,FALSE),"")</f>
        <v>12</v>
      </c>
      <c r="G17" t="str">
        <f>_xlfn.IFS(tb_controle_estoque[[#This Row],[Saldo em Estoque]]&gt;tb_controle_estoque[[#This Row],[Estoque Mínimo]],"Estoque OK",tb_controle_estoque[[#This Row],[Saldo em Estoque]]=0,"Estoque Zerado",1,"Repor Estoque")</f>
        <v>Estoque OK</v>
      </c>
      <c r="H17" s="24">
        <f>SUMIFS(TB_Saídas[Valor da Venda],TB_Saídas[Produto],tb_controle_estoque[[#This Row],[Produto]])</f>
        <v>0</v>
      </c>
      <c r="I17" s="24">
        <f>SUMIFS(TB_Entradas[Valor da Compra],TB_Entradas[Produto],tb_controle_estoque[[#This Row],[Produto]])</f>
        <v>2000</v>
      </c>
      <c r="J17" s="70">
        <f>tb_controle_estoque[[#This Row],[Valor de Venda]]-tb_controle_estoque[[#This Row],[Custo Total]]</f>
        <v>-2000</v>
      </c>
    </row>
    <row r="18" spans="2:10" x14ac:dyDescent="0.3">
      <c r="B18" t="s">
        <v>31</v>
      </c>
      <c r="C18">
        <f>IFERROR(SUMIF(TB_Entradas[Produto],tb_controle_estoque[[#This Row],[Produto]],TB_Entradas[Quantidade Comprada]),0)</f>
        <v>0</v>
      </c>
      <c r="D18">
        <f>IFERROR(SUMIFS(TB_Saídas[Quantidade Vendida],TB_Saídas[Produto],tb_controle_estoque[[#This Row],[Produto]]),0)</f>
        <v>0</v>
      </c>
      <c r="E18">
        <f>tb_controle_estoque[[#This Row],[Entrada]]-tb_controle_estoque[[#This Row],[Saídas]]</f>
        <v>0</v>
      </c>
      <c r="F18">
        <f>IFERROR(VLOOKUP(tb_controle_estoque[[#This Row],[Produto]],TB_Produtos[#All],3,FALSE),"")</f>
        <v>4</v>
      </c>
      <c r="G18" t="str">
        <f>_xlfn.IFS(tb_controle_estoque[[#This Row],[Saldo em Estoque]]&gt;tb_controle_estoque[[#This Row],[Estoque Mínimo]],"Estoque OK",tb_controle_estoque[[#This Row],[Saldo em Estoque]]=0,"Estoque Zerado",1,"Repor Estoque")</f>
        <v>Estoque Zerado</v>
      </c>
      <c r="H18" s="24">
        <f>SUMIFS(TB_Saídas[Valor da Venda],TB_Saídas[Produto],tb_controle_estoque[[#This Row],[Produto]])</f>
        <v>0</v>
      </c>
      <c r="I18" s="24">
        <f>SUMIFS(TB_Entradas[Valor da Compra],TB_Entradas[Produto],tb_controle_estoque[[#This Row],[Produto]])</f>
        <v>0</v>
      </c>
      <c r="J18" s="70">
        <f>tb_controle_estoque[[#This Row],[Valor de Venda]]-tb_controle_estoque[[#This Row],[Custo Total]]</f>
        <v>0</v>
      </c>
    </row>
    <row r="19" spans="2:10" x14ac:dyDescent="0.3">
      <c r="B19" t="s">
        <v>33</v>
      </c>
      <c r="C19">
        <f>IFERROR(SUMIF(TB_Entradas[Produto],tb_controle_estoque[[#This Row],[Produto]],TB_Entradas[Quantidade Comprada]),0)</f>
        <v>350</v>
      </c>
      <c r="D19">
        <f>IFERROR(SUMIFS(TB_Saídas[Quantidade Vendida],TB_Saídas[Produto],tb_controle_estoque[[#This Row],[Produto]]),0)</f>
        <v>150</v>
      </c>
      <c r="E19">
        <f>tb_controle_estoque[[#This Row],[Entrada]]-tb_controle_estoque[[#This Row],[Saídas]]</f>
        <v>200</v>
      </c>
      <c r="F19">
        <f>IFERROR(VLOOKUP(tb_controle_estoque[[#This Row],[Produto]],TB_Produtos[#All],3,FALSE),"")</f>
        <v>10</v>
      </c>
      <c r="G19" t="str">
        <f>_xlfn.IFS(tb_controle_estoque[[#This Row],[Saldo em Estoque]]&gt;tb_controle_estoque[[#This Row],[Estoque Mínimo]],"Estoque OK",tb_controle_estoque[[#This Row],[Saldo em Estoque]]=0,"Estoque Zerado",1,"Repor Estoque")</f>
        <v>Estoque OK</v>
      </c>
      <c r="H19" s="24">
        <f>SUMIFS(TB_Saídas[Valor da Venda],TB_Saídas[Produto],tb_controle_estoque[[#This Row],[Produto]])</f>
        <v>1500</v>
      </c>
      <c r="I19" s="24">
        <f>SUMIFS(TB_Entradas[Valor da Compra],TB_Entradas[Produto],tb_controle_estoque[[#This Row],[Produto]])</f>
        <v>350</v>
      </c>
      <c r="J19" s="70">
        <f>tb_controle_estoque[[#This Row],[Valor de Venda]]-tb_controle_estoque[[#This Row],[Custo Total]]</f>
        <v>1150</v>
      </c>
    </row>
    <row r="20" spans="2:10" x14ac:dyDescent="0.3">
      <c r="B20" t="s">
        <v>66</v>
      </c>
      <c r="C20">
        <f>IFERROR(SUMIF(TB_Entradas[Produto],tb_controle_estoque[[#This Row],[Produto]],TB_Entradas[Quantidade Comprada]),0)</f>
        <v>0</v>
      </c>
      <c r="D20">
        <f>IFERROR(SUMIFS(TB_Saídas[Quantidade Vendida],TB_Saídas[Produto],tb_controle_estoque[[#This Row],[Produto]]),0)</f>
        <v>0</v>
      </c>
      <c r="E20">
        <f>tb_controle_estoque[[#This Row],[Entrada]]-tb_controle_estoque[[#This Row],[Saídas]]</f>
        <v>0</v>
      </c>
      <c r="F20">
        <f>IFERROR(VLOOKUP(tb_controle_estoque[[#This Row],[Produto]],TB_Produtos[#All],3,FALSE),"")</f>
        <v>2</v>
      </c>
      <c r="G20" t="str">
        <f>_xlfn.IFS(tb_controle_estoque[[#This Row],[Saldo em Estoque]]&gt;tb_controle_estoque[[#This Row],[Estoque Mínimo]],"Estoque OK",tb_controle_estoque[[#This Row],[Saldo em Estoque]]=0,"Estoque Zerado",1,"Repor Estoque")</f>
        <v>Estoque Zerado</v>
      </c>
      <c r="H20" s="24">
        <f>SUMIFS(TB_Saídas[Valor da Venda],TB_Saídas[Produto],tb_controle_estoque[[#This Row],[Produto]])</f>
        <v>0</v>
      </c>
      <c r="I20" s="24">
        <f>SUMIFS(TB_Entradas[Valor da Compra],TB_Entradas[Produto],tb_controle_estoque[[#This Row],[Produto]])</f>
        <v>0</v>
      </c>
      <c r="J20" s="70">
        <f>tb_controle_estoque[[#This Row],[Valor de Venda]]-tb_controle_estoque[[#This Row],[Custo Total]]</f>
        <v>0</v>
      </c>
    </row>
    <row r="21" spans="2:10" x14ac:dyDescent="0.3">
      <c r="B21" t="s">
        <v>67</v>
      </c>
      <c r="C21">
        <f>IFERROR(SUMIF(TB_Entradas[Produto],tb_controle_estoque[[#This Row],[Produto]],TB_Entradas[Quantidade Comprada]),0)</f>
        <v>300</v>
      </c>
      <c r="D21">
        <f>IFERROR(SUMIFS(TB_Saídas[Quantidade Vendida],TB_Saídas[Produto],tb_controle_estoque[[#This Row],[Produto]]),0)</f>
        <v>245</v>
      </c>
      <c r="E21">
        <f>tb_controle_estoque[[#This Row],[Entrada]]-tb_controle_estoque[[#This Row],[Saídas]]</f>
        <v>55</v>
      </c>
      <c r="F21">
        <f>IFERROR(VLOOKUP(tb_controle_estoque[[#This Row],[Produto]],TB_Produtos[#All],3,FALSE),"")</f>
        <v>10</v>
      </c>
      <c r="G21" t="str">
        <f>_xlfn.IFS(tb_controle_estoque[[#This Row],[Saldo em Estoque]]&gt;tb_controle_estoque[[#This Row],[Estoque Mínimo]],"Estoque OK",tb_controle_estoque[[#This Row],[Saldo em Estoque]]=0,"Estoque Zerado",1,"Repor Estoque")</f>
        <v>Estoque OK</v>
      </c>
      <c r="H21" s="24">
        <f>SUMIFS(TB_Saídas[Valor da Venda],TB_Saídas[Produto],tb_controle_estoque[[#This Row],[Produto]])</f>
        <v>3675</v>
      </c>
      <c r="I21" s="24">
        <f>SUMIFS(TB_Entradas[Valor da Compra],TB_Entradas[Produto],tb_controle_estoque[[#This Row],[Produto]])</f>
        <v>75</v>
      </c>
      <c r="J21" s="70">
        <f>tb_controle_estoque[[#This Row],[Valor de Venda]]-tb_controle_estoque[[#This Row],[Custo Total]]</f>
        <v>3600</v>
      </c>
    </row>
    <row r="22" spans="2:10" x14ac:dyDescent="0.3">
      <c r="B22" t="s">
        <v>68</v>
      </c>
      <c r="C22">
        <f>IFERROR(SUMIF(TB_Entradas[Produto],tb_controle_estoque[[#This Row],[Produto]],TB_Entradas[Quantidade Comprada]),0)</f>
        <v>450</v>
      </c>
      <c r="D22">
        <f>IFERROR(SUMIFS(TB_Saídas[Quantidade Vendida],TB_Saídas[Produto],tb_controle_estoque[[#This Row],[Produto]]),0)</f>
        <v>300</v>
      </c>
      <c r="E22">
        <f>tb_controle_estoque[[#This Row],[Entrada]]-tb_controle_estoque[[#This Row],[Saídas]]</f>
        <v>150</v>
      </c>
      <c r="F22">
        <f>IFERROR(VLOOKUP(tb_controle_estoque[[#This Row],[Produto]],TB_Produtos[#All],3,FALSE),"")</f>
        <v>5</v>
      </c>
      <c r="G22" t="str">
        <f>_xlfn.IFS(tb_controle_estoque[[#This Row],[Saldo em Estoque]]&gt;tb_controle_estoque[[#This Row],[Estoque Mínimo]],"Estoque OK",tb_controle_estoque[[#This Row],[Saldo em Estoque]]=0,"Estoque Zerado",1,"Repor Estoque")</f>
        <v>Estoque OK</v>
      </c>
      <c r="H22" s="24">
        <f>SUMIFS(TB_Saídas[Valor da Venda],TB_Saídas[Produto],tb_controle_estoque[[#This Row],[Produto]])</f>
        <v>450</v>
      </c>
      <c r="I22" s="24">
        <f>SUMIFS(TB_Entradas[Valor da Compra],TB_Entradas[Produto],tb_controle_estoque[[#This Row],[Produto]])</f>
        <v>337.5</v>
      </c>
      <c r="J22" s="70">
        <f>tb_controle_estoque[[#This Row],[Valor de Venda]]-tb_controle_estoque[[#This Row],[Custo Total]]</f>
        <v>112.5</v>
      </c>
    </row>
    <row r="23" spans="2:10" x14ac:dyDescent="0.3">
      <c r="B23" t="s">
        <v>55</v>
      </c>
      <c r="C23">
        <f>IFERROR(SUMIF(TB_Entradas[Produto],tb_controle_estoque[[#This Row],[Produto]],TB_Entradas[Quantidade Comprada]),0)</f>
        <v>400</v>
      </c>
      <c r="D23">
        <f>IFERROR(SUMIFS(TB_Saídas[Quantidade Vendida],TB_Saídas[Produto],tb_controle_estoque[[#This Row],[Produto]]),0)</f>
        <v>235</v>
      </c>
      <c r="E23">
        <f>tb_controle_estoque[[#This Row],[Entrada]]-tb_controle_estoque[[#This Row],[Saídas]]</f>
        <v>165</v>
      </c>
      <c r="F23">
        <f>IFERROR(VLOOKUP(tb_controle_estoque[[#This Row],[Produto]],TB_Produtos[#All],3,FALSE),"")</f>
        <v>2</v>
      </c>
      <c r="G23" t="str">
        <f>_xlfn.IFS(tb_controle_estoque[[#This Row],[Saldo em Estoque]]&gt;tb_controle_estoque[[#This Row],[Estoque Mínimo]],"Estoque OK",tb_controle_estoque[[#This Row],[Saldo em Estoque]]=0,"Estoque Zerado",1,"Repor Estoque")</f>
        <v>Estoque OK</v>
      </c>
      <c r="H23" s="24">
        <f>SUMIFS(TB_Saídas[Valor da Venda],TB_Saídas[Produto],tb_controle_estoque[[#This Row],[Produto]])</f>
        <v>1175</v>
      </c>
      <c r="I23" s="24">
        <f>SUMIFS(TB_Entradas[Valor da Compra],TB_Entradas[Produto],tb_controle_estoque[[#This Row],[Produto]])</f>
        <v>3200</v>
      </c>
      <c r="J23" s="70">
        <f>tb_controle_estoque[[#This Row],[Valor de Venda]]-tb_controle_estoque[[#This Row],[Custo Total]]</f>
        <v>-2025</v>
      </c>
    </row>
    <row r="24" spans="2:10" x14ac:dyDescent="0.3">
      <c r="B24" t="s">
        <v>56</v>
      </c>
      <c r="C24">
        <f>IFERROR(SUMIF(TB_Entradas[Produto],tb_controle_estoque[[#This Row],[Produto]],TB_Entradas[Quantidade Comprada]),0)</f>
        <v>100</v>
      </c>
      <c r="D24">
        <f>IFERROR(SUMIFS(TB_Saídas[Quantidade Vendida],TB_Saídas[Produto],tb_controle_estoque[[#This Row],[Produto]]),0)</f>
        <v>35</v>
      </c>
      <c r="E24">
        <f>tb_controle_estoque[[#This Row],[Entrada]]-tb_controle_estoque[[#This Row],[Saídas]]</f>
        <v>65</v>
      </c>
      <c r="F24">
        <f>IFERROR(VLOOKUP(tb_controle_estoque[[#This Row],[Produto]],TB_Produtos[#All],3,FALSE),"")</f>
        <v>2</v>
      </c>
      <c r="G24" t="str">
        <f>_xlfn.IFS(tb_controle_estoque[[#This Row],[Saldo em Estoque]]&gt;tb_controle_estoque[[#This Row],[Estoque Mínimo]],"Estoque OK",tb_controle_estoque[[#This Row],[Saldo em Estoque]]=0,"Estoque Zerado",1,"Repor Estoque")</f>
        <v>Estoque OK</v>
      </c>
      <c r="H24" s="24">
        <f>SUMIFS(TB_Saídas[Valor da Venda],TB_Saídas[Produto],tb_controle_estoque[[#This Row],[Produto]])</f>
        <v>280</v>
      </c>
      <c r="I24" s="24">
        <f>SUMIFS(TB_Entradas[Valor da Compra],TB_Entradas[Produto],tb_controle_estoque[[#This Row],[Produto]])</f>
        <v>450</v>
      </c>
      <c r="J24" s="70">
        <f>tb_controle_estoque[[#This Row],[Valor de Venda]]-tb_controle_estoque[[#This Row],[Custo Total]]</f>
        <v>-170</v>
      </c>
    </row>
    <row r="25" spans="2:10" x14ac:dyDescent="0.3">
      <c r="B25" t="s">
        <v>69</v>
      </c>
      <c r="C25">
        <f>IFERROR(SUMIF(TB_Entradas[Produto],tb_controle_estoque[[#This Row],[Produto]],TB_Entradas[Quantidade Comprada]),0)</f>
        <v>150</v>
      </c>
      <c r="D25">
        <f>IFERROR(SUMIFS(TB_Saídas[Quantidade Vendida],TB_Saídas[Produto],tb_controle_estoque[[#This Row],[Produto]]),0)</f>
        <v>0</v>
      </c>
      <c r="E25">
        <f>tb_controle_estoque[[#This Row],[Entrada]]-tb_controle_estoque[[#This Row],[Saídas]]</f>
        <v>150</v>
      </c>
      <c r="F25">
        <f>IFERROR(VLOOKUP(tb_controle_estoque[[#This Row],[Produto]],TB_Produtos[#All],3,FALSE),"")</f>
        <v>5</v>
      </c>
      <c r="G25" t="str">
        <f>_xlfn.IFS(tb_controle_estoque[[#This Row],[Saldo em Estoque]]&gt;tb_controle_estoque[[#This Row],[Estoque Mínimo]],"Estoque OK",tb_controle_estoque[[#This Row],[Saldo em Estoque]]=0,"Estoque Zerado",1,"Repor Estoque")</f>
        <v>Estoque OK</v>
      </c>
      <c r="H25" s="24">
        <f>SUMIFS(TB_Saídas[Valor da Venda],TB_Saídas[Produto],tb_controle_estoque[[#This Row],[Produto]])</f>
        <v>0</v>
      </c>
      <c r="I25" s="24">
        <f>SUMIFS(TB_Entradas[Valor da Compra],TB_Entradas[Produto],tb_controle_estoque[[#This Row],[Produto]])</f>
        <v>112.5</v>
      </c>
      <c r="J25" s="70">
        <f>tb_controle_estoque[[#This Row],[Valor de Venda]]-tb_controle_estoque[[#This Row],[Custo Total]]</f>
        <v>-112.5</v>
      </c>
    </row>
    <row r="26" spans="2:10" x14ac:dyDescent="0.3">
      <c r="B26" t="s">
        <v>53</v>
      </c>
      <c r="C26">
        <f>IFERROR(SUMIF(TB_Entradas[Produto],tb_controle_estoque[[#This Row],[Produto]],TB_Entradas[Quantidade Comprada]),0)</f>
        <v>1200</v>
      </c>
      <c r="D26">
        <f>IFERROR(SUMIFS(TB_Saídas[Quantidade Vendida],TB_Saídas[Produto],tb_controle_estoque[[#This Row],[Produto]]),0)</f>
        <v>945</v>
      </c>
      <c r="E26">
        <f>tb_controle_estoque[[#This Row],[Entrada]]-tb_controle_estoque[[#This Row],[Saídas]]</f>
        <v>255</v>
      </c>
      <c r="F26">
        <f>IFERROR(VLOOKUP(tb_controle_estoque[[#This Row],[Produto]],TB_Produtos[#All],3,FALSE),"")</f>
        <v>5</v>
      </c>
      <c r="G26" t="str">
        <f>_xlfn.IFS(tb_controle_estoque[[#This Row],[Saldo em Estoque]]&gt;tb_controle_estoque[[#This Row],[Estoque Mínimo]],"Estoque OK",tb_controle_estoque[[#This Row],[Saldo em Estoque]]=0,"Estoque Zerado",1,"Repor Estoque")</f>
        <v>Estoque OK</v>
      </c>
      <c r="H26" s="24">
        <f>SUMIFS(TB_Saídas[Valor da Venda],TB_Saídas[Produto],tb_controle_estoque[[#This Row],[Produto]])</f>
        <v>945</v>
      </c>
      <c r="I26" s="24">
        <f>SUMIFS(TB_Entradas[Valor da Compra],TB_Entradas[Produto],tb_controle_estoque[[#This Row],[Produto]])</f>
        <v>900</v>
      </c>
      <c r="J26" s="70">
        <f>tb_controle_estoque[[#This Row],[Valor de Venda]]-tb_controle_estoque[[#This Row],[Custo Total]]</f>
        <v>45</v>
      </c>
    </row>
    <row r="27" spans="2:10" x14ac:dyDescent="0.3">
      <c r="B27" t="s">
        <v>34</v>
      </c>
      <c r="C27">
        <f>IFERROR(SUMIF(TB_Entradas[Produto],tb_controle_estoque[[#This Row],[Produto]],TB_Entradas[Quantidade Comprada]),0)</f>
        <v>0</v>
      </c>
      <c r="D27">
        <f>IFERROR(SUMIFS(TB_Saídas[Quantidade Vendida],TB_Saídas[Produto],tb_controle_estoque[[#This Row],[Produto]]),0)</f>
        <v>0</v>
      </c>
      <c r="E27">
        <f>tb_controle_estoque[[#This Row],[Entrada]]-tb_controle_estoque[[#This Row],[Saídas]]</f>
        <v>0</v>
      </c>
      <c r="F27">
        <f>IFERROR(VLOOKUP(tb_controle_estoque[[#This Row],[Produto]],TB_Produtos[#All],3,FALSE),"")</f>
        <v>2</v>
      </c>
      <c r="G27" t="str">
        <f>_xlfn.IFS(tb_controle_estoque[[#This Row],[Saldo em Estoque]]&gt;tb_controle_estoque[[#This Row],[Estoque Mínimo]],"Estoque OK",tb_controle_estoque[[#This Row],[Saldo em Estoque]]=0,"Estoque Zerado",1,"Repor Estoque")</f>
        <v>Estoque Zerado</v>
      </c>
      <c r="H27" s="24">
        <f>SUMIFS(TB_Saídas[Valor da Venda],TB_Saídas[Produto],tb_controle_estoque[[#This Row],[Produto]])</f>
        <v>0</v>
      </c>
      <c r="I27" s="24">
        <f>SUMIFS(TB_Entradas[Valor da Compra],TB_Entradas[Produto],tb_controle_estoque[[#This Row],[Produto]])</f>
        <v>0</v>
      </c>
      <c r="J27" s="70">
        <f>tb_controle_estoque[[#This Row],[Valor de Venda]]-tb_controle_estoque[[#This Row],[Custo Total]]</f>
        <v>0</v>
      </c>
    </row>
    <row r="28" spans="2:10" x14ac:dyDescent="0.3">
      <c r="B28" t="s">
        <v>35</v>
      </c>
      <c r="C28">
        <f>IFERROR(SUMIF(TB_Entradas[Produto],tb_controle_estoque[[#This Row],[Produto]],TB_Entradas[Quantidade Comprada]),0)</f>
        <v>0</v>
      </c>
      <c r="D28">
        <f>IFERROR(SUMIFS(TB_Saídas[Quantidade Vendida],TB_Saídas[Produto],tb_controle_estoque[[#This Row],[Produto]]),0)</f>
        <v>0</v>
      </c>
      <c r="E28">
        <f>tb_controle_estoque[[#This Row],[Entrada]]-tb_controle_estoque[[#This Row],[Saídas]]</f>
        <v>0</v>
      </c>
      <c r="F28">
        <f>IFERROR(VLOOKUP(tb_controle_estoque[[#This Row],[Produto]],TB_Produtos[#All],3,FALSE),"")</f>
        <v>2</v>
      </c>
      <c r="G28" t="str">
        <f>_xlfn.IFS(tb_controle_estoque[[#This Row],[Saldo em Estoque]]&gt;tb_controle_estoque[[#This Row],[Estoque Mínimo]],"Estoque OK",tb_controle_estoque[[#This Row],[Saldo em Estoque]]=0,"Estoque Zerado",1,"Repor Estoque")</f>
        <v>Estoque Zerado</v>
      </c>
      <c r="H28" s="24">
        <f>SUMIFS(TB_Saídas[Valor da Venda],TB_Saídas[Produto],tb_controle_estoque[[#This Row],[Produto]])</f>
        <v>0</v>
      </c>
      <c r="I28" s="24">
        <f>SUMIFS(TB_Entradas[Valor da Compra],TB_Entradas[Produto],tb_controle_estoque[[#This Row],[Produto]])</f>
        <v>0</v>
      </c>
      <c r="J28" s="70">
        <f>tb_controle_estoque[[#This Row],[Valor de Venda]]-tb_controle_estoque[[#This Row],[Custo Total]]</f>
        <v>0</v>
      </c>
    </row>
    <row r="29" spans="2:10" x14ac:dyDescent="0.3">
      <c r="B29" t="s">
        <v>36</v>
      </c>
      <c r="C29">
        <f>IFERROR(SUMIF(TB_Entradas[Produto],tb_controle_estoque[[#This Row],[Produto]],TB_Entradas[Quantidade Comprada]),0)</f>
        <v>0</v>
      </c>
      <c r="D29">
        <f>IFERROR(SUMIFS(TB_Saídas[Quantidade Vendida],TB_Saídas[Produto],tb_controle_estoque[[#This Row],[Produto]]),0)</f>
        <v>0</v>
      </c>
      <c r="E29">
        <f>tb_controle_estoque[[#This Row],[Entrada]]-tb_controle_estoque[[#This Row],[Saídas]]</f>
        <v>0</v>
      </c>
      <c r="F29">
        <f>IFERROR(VLOOKUP(tb_controle_estoque[[#This Row],[Produto]],TB_Produtos[#All],3,FALSE),"")</f>
        <v>2</v>
      </c>
      <c r="G29" t="str">
        <f>_xlfn.IFS(tb_controle_estoque[[#This Row],[Saldo em Estoque]]&gt;tb_controle_estoque[[#This Row],[Estoque Mínimo]],"Estoque OK",tb_controle_estoque[[#This Row],[Saldo em Estoque]]=0,"Estoque Zerado",1,"Repor Estoque")</f>
        <v>Estoque Zerado</v>
      </c>
      <c r="H29" s="24">
        <f>SUMIFS(TB_Saídas[Valor da Venda],TB_Saídas[Produto],tb_controle_estoque[[#This Row],[Produto]])</f>
        <v>0</v>
      </c>
      <c r="I29" s="24">
        <f>SUMIFS(TB_Entradas[Valor da Compra],TB_Entradas[Produto],tb_controle_estoque[[#This Row],[Produto]])</f>
        <v>0</v>
      </c>
      <c r="J29" s="70">
        <f>tb_controle_estoque[[#This Row],[Valor de Venda]]-tb_controle_estoque[[#This Row],[Custo Total]]</f>
        <v>0</v>
      </c>
    </row>
    <row r="30" spans="2:10" x14ac:dyDescent="0.3">
      <c r="B30" t="s">
        <v>37</v>
      </c>
      <c r="C30">
        <f>IFERROR(SUMIF(TB_Entradas[Produto],tb_controle_estoque[[#This Row],[Produto]],TB_Entradas[Quantidade Comprada]),0)</f>
        <v>0</v>
      </c>
      <c r="D30">
        <f>IFERROR(SUMIFS(TB_Saídas[Quantidade Vendida],TB_Saídas[Produto],tb_controle_estoque[[#This Row],[Produto]]),0)</f>
        <v>0</v>
      </c>
      <c r="E30">
        <f>tb_controle_estoque[[#This Row],[Entrada]]-tb_controle_estoque[[#This Row],[Saídas]]</f>
        <v>0</v>
      </c>
      <c r="F30">
        <f>IFERROR(VLOOKUP(tb_controle_estoque[[#This Row],[Produto]],TB_Produtos[#All],3,FALSE),"")</f>
        <v>2</v>
      </c>
      <c r="G30" t="str">
        <f>_xlfn.IFS(tb_controle_estoque[[#This Row],[Saldo em Estoque]]&gt;tb_controle_estoque[[#This Row],[Estoque Mínimo]],"Estoque OK",tb_controle_estoque[[#This Row],[Saldo em Estoque]]=0,"Estoque Zerado",1,"Repor Estoque")</f>
        <v>Estoque Zerado</v>
      </c>
      <c r="H30" s="24">
        <f>SUMIFS(TB_Saídas[Valor da Venda],TB_Saídas[Produto],tb_controle_estoque[[#This Row],[Produto]])</f>
        <v>0</v>
      </c>
      <c r="I30" s="24">
        <f>SUMIFS(TB_Entradas[Valor da Compra],TB_Entradas[Produto],tb_controle_estoque[[#This Row],[Produto]])</f>
        <v>0</v>
      </c>
      <c r="J30" s="70">
        <f>tb_controle_estoque[[#This Row],[Valor de Venda]]-tb_controle_estoque[[#This Row],[Custo Total]]</f>
        <v>0</v>
      </c>
    </row>
    <row r="31" spans="2:10" x14ac:dyDescent="0.3">
      <c r="B31" t="s">
        <v>50</v>
      </c>
      <c r="C31">
        <f>IFERROR(SUMIF(TB_Entradas[Produto],tb_controle_estoque[[#This Row],[Produto]],TB_Entradas[Quantidade Comprada]),0)</f>
        <v>1150</v>
      </c>
      <c r="D31">
        <f>IFERROR(SUMIFS(TB_Saídas[Quantidade Vendida],TB_Saídas[Produto],tb_controle_estoque[[#This Row],[Produto]]),0)</f>
        <v>648</v>
      </c>
      <c r="E31">
        <f>tb_controle_estoque[[#This Row],[Entrada]]-tb_controle_estoque[[#This Row],[Saídas]]</f>
        <v>502</v>
      </c>
      <c r="F31">
        <f>IFERROR(VLOOKUP(tb_controle_estoque[[#This Row],[Produto]],TB_Produtos[#All],3,FALSE),"")</f>
        <v>10</v>
      </c>
      <c r="G31" t="str">
        <f>_xlfn.IFS(tb_controle_estoque[[#This Row],[Saldo em Estoque]]&gt;tb_controle_estoque[[#This Row],[Estoque Mínimo]],"Estoque OK",tb_controle_estoque[[#This Row],[Saldo em Estoque]]=0,"Estoque Zerado",1,"Repor Estoque")</f>
        <v>Estoque OK</v>
      </c>
      <c r="H31" s="24">
        <f>SUMIFS(TB_Saídas[Valor da Venda],TB_Saídas[Produto],tb_controle_estoque[[#This Row],[Produto]])</f>
        <v>2592</v>
      </c>
      <c r="I31" s="24">
        <f>SUMIFS(TB_Entradas[Valor da Compra],TB_Entradas[Produto],tb_controle_estoque[[#This Row],[Produto]])</f>
        <v>2300</v>
      </c>
      <c r="J31" s="70">
        <f>tb_controle_estoque[[#This Row],[Valor de Venda]]-tb_controle_estoque[[#This Row],[Custo Total]]</f>
        <v>292</v>
      </c>
    </row>
    <row r="32" spans="2:10" x14ac:dyDescent="0.3">
      <c r="B32" t="s">
        <v>70</v>
      </c>
      <c r="C32">
        <f>IFERROR(SUMIF(TB_Entradas[Produto],tb_controle_estoque[[#This Row],[Produto]],TB_Entradas[Quantidade Comprada]),0)</f>
        <v>300</v>
      </c>
      <c r="D32">
        <f>IFERROR(SUMIFS(TB_Saídas[Quantidade Vendida],TB_Saídas[Produto],tb_controle_estoque[[#This Row],[Produto]]),0)</f>
        <v>250</v>
      </c>
      <c r="E32">
        <f>tb_controle_estoque[[#This Row],[Entrada]]-tb_controle_estoque[[#This Row],[Saídas]]</f>
        <v>50</v>
      </c>
      <c r="F32">
        <f>IFERROR(VLOOKUP(tb_controle_estoque[[#This Row],[Produto]],TB_Produtos[#All],3,FALSE),"")</f>
        <v>10</v>
      </c>
      <c r="G32" t="str">
        <f>_xlfn.IFS(tb_controle_estoque[[#This Row],[Saldo em Estoque]]&gt;tb_controle_estoque[[#This Row],[Estoque Mínimo]],"Estoque OK",tb_controle_estoque[[#This Row],[Saldo em Estoque]]=0,"Estoque Zerado",1,"Repor Estoque")</f>
        <v>Estoque OK</v>
      </c>
      <c r="H32" s="24">
        <f>SUMIFS(TB_Saídas[Valor da Venda],TB_Saídas[Produto],tb_controle_estoque[[#This Row],[Produto]])</f>
        <v>1125</v>
      </c>
      <c r="I32" s="24">
        <f>SUMIFS(TB_Entradas[Valor da Compra],TB_Entradas[Produto],tb_controle_estoque[[#This Row],[Produto]])</f>
        <v>75</v>
      </c>
      <c r="J32" s="70">
        <f>tb_controle_estoque[[#This Row],[Valor de Venda]]-tb_controle_estoque[[#This Row],[Custo Total]]</f>
        <v>1050</v>
      </c>
    </row>
  </sheetData>
  <conditionalFormatting sqref="B6:J32">
    <cfRule type="expression" dxfId="2" priority="1">
      <formula>$G6="Repor Estoque"</formula>
    </cfRule>
    <cfRule type="expression" dxfId="1" priority="2">
      <formula>$G6="Estoque Zerado"</formula>
    </cfRule>
    <cfRule type="expression" dxfId="0" priority="3">
      <formula>$G6="Estoque OK"</formula>
    </cfRule>
  </conditionalFormatting>
  <dataValidations count="1">
    <dataValidation type="list" allowBlank="1" showInputMessage="1" showErrorMessage="1" sqref="B6:B32" xr:uid="{70E216AD-5A78-4C57-9DC8-59355437796D}">
      <formula1>Lista_Produtos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E1A0-7C94-4508-BDC8-9D3652803790}">
  <dimension ref="B1:I12"/>
  <sheetViews>
    <sheetView showGridLines="0" tabSelected="1" workbookViewId="0">
      <selection activeCell="I7" sqref="I7"/>
    </sheetView>
  </sheetViews>
  <sheetFormatPr defaultRowHeight="14.4" x14ac:dyDescent="0.3"/>
  <cols>
    <col min="1" max="1" width="8.88671875" customWidth="1"/>
    <col min="2" max="2" width="1.109375" customWidth="1"/>
    <col min="4" max="4" width="10.44140625" bestFit="1" customWidth="1"/>
    <col min="7" max="7" width="1.109375" customWidth="1"/>
    <col min="9" max="9" width="9.5546875" bestFit="1" customWidth="1"/>
  </cols>
  <sheetData>
    <row r="1" spans="2:9" s="1" customFormat="1" ht="60" customHeight="1" x14ac:dyDescent="0.3">
      <c r="C1" s="26" t="s">
        <v>106</v>
      </c>
    </row>
    <row r="2" spans="2:9" s="2" customFormat="1" ht="6" customHeight="1" x14ac:dyDescent="0.3"/>
    <row r="3" spans="2:9" ht="15" thickBot="1" x14ac:dyDescent="0.35"/>
    <row r="4" spans="2:9" x14ac:dyDescent="0.3">
      <c r="C4" s="82" t="s">
        <v>107</v>
      </c>
      <c r="D4" s="83"/>
      <c r="E4" s="84"/>
      <c r="F4" s="84"/>
      <c r="H4" s="82" t="s">
        <v>113</v>
      </c>
      <c r="I4" s="83"/>
    </row>
    <row r="5" spans="2:9" ht="15" thickBot="1" x14ac:dyDescent="0.35">
      <c r="B5" s="72"/>
      <c r="C5" s="85"/>
      <c r="D5" s="86"/>
      <c r="E5" s="84"/>
      <c r="F5" s="84"/>
      <c r="G5" s="72"/>
      <c r="H5" s="85"/>
      <c r="I5" s="92" t="s">
        <v>6</v>
      </c>
    </row>
    <row r="6" spans="2:9" ht="21" thickBot="1" x14ac:dyDescent="0.35">
      <c r="B6" s="72"/>
      <c r="C6" s="87" t="s">
        <v>108</v>
      </c>
      <c r="D6" s="88">
        <f>SUMPRODUCT(--(FREQUENCY(MATCH(TB_Saídas[Produto],TB_Saídas[Produto],0),ROW(TB_Saídas[Produto])-ROW(TB_Saídas[[#This Row],[Produto]])+1)&gt;0))</f>
        <v>12</v>
      </c>
      <c r="E6" s="84"/>
      <c r="F6" s="84"/>
      <c r="G6" s="72"/>
      <c r="H6" s="87" t="s">
        <v>114</v>
      </c>
      <c r="I6" s="88" t="s">
        <v>25</v>
      </c>
    </row>
    <row r="7" spans="2:9" ht="21" thickBot="1" x14ac:dyDescent="0.35">
      <c r="B7" s="72"/>
      <c r="C7" s="87" t="s">
        <v>109</v>
      </c>
      <c r="D7" s="88">
        <f>SUM(tb_controle_estoque[Saldo em Estoque])</f>
        <v>4101</v>
      </c>
      <c r="E7" s="84"/>
      <c r="F7" s="84"/>
      <c r="G7" s="72"/>
      <c r="H7" s="87" t="s">
        <v>109</v>
      </c>
      <c r="I7" s="95">
        <f>DSUM(tb_controle_estoque[#All],tb_controle_estoque[[#Headers],[Saldo em Estoque]],CriteriosConsultaProduto)</f>
        <v>1559</v>
      </c>
    </row>
    <row r="8" spans="2:9" ht="15" thickBot="1" x14ac:dyDescent="0.35">
      <c r="B8" s="72"/>
      <c r="C8" s="87" t="s">
        <v>115</v>
      </c>
      <c r="D8" s="90">
        <f>SUM(TB_Saídas[Valor da Venda])</f>
        <v>23515</v>
      </c>
      <c r="E8" s="84"/>
      <c r="F8" s="84"/>
      <c r="G8" s="72"/>
      <c r="H8" s="87" t="s">
        <v>115</v>
      </c>
      <c r="I8" s="93">
        <f>DSUM(TB_Saídas[#All],TB_Saídas[[#Headers],[Valor da Venda]],CriteriosConsultaProduto)</f>
        <v>4773</v>
      </c>
    </row>
    <row r="9" spans="2:9" ht="15" thickBot="1" x14ac:dyDescent="0.35">
      <c r="B9" s="72"/>
      <c r="C9" s="87" t="s">
        <v>110</v>
      </c>
      <c r="D9" s="91">
        <f>SUM(TB_Entradas[Valor da Compra])</f>
        <v>17487.5</v>
      </c>
      <c r="E9" s="84"/>
      <c r="F9" s="84"/>
      <c r="G9" s="72"/>
      <c r="H9" s="87" t="s">
        <v>110</v>
      </c>
      <c r="I9" s="93">
        <f>DSUM(TB_Entradas[#All],TB_Entradas[[#Headers],[Valor da Compra]],CriteriosConsultaProduto)</f>
        <v>6300</v>
      </c>
    </row>
    <row r="10" spans="2:9" ht="15" thickBot="1" x14ac:dyDescent="0.35">
      <c r="B10" s="72"/>
      <c r="C10" s="87" t="s">
        <v>111</v>
      </c>
      <c r="D10" s="90">
        <f>$D$8-$D$9</f>
        <v>6027.5</v>
      </c>
      <c r="E10" s="84"/>
      <c r="F10" s="84"/>
      <c r="G10" s="72"/>
      <c r="H10" s="87" t="s">
        <v>111</v>
      </c>
      <c r="I10" s="90">
        <f>I8-I9</f>
        <v>-1527</v>
      </c>
    </row>
    <row r="11" spans="2:9" ht="15" thickBot="1" x14ac:dyDescent="0.35">
      <c r="B11" s="72"/>
      <c r="C11" s="89" t="s">
        <v>112</v>
      </c>
      <c r="D11" s="94">
        <f>$D$10/$D$9</f>
        <v>0.34467476769120803</v>
      </c>
      <c r="E11" s="84"/>
      <c r="F11" s="84"/>
      <c r="G11" s="72"/>
      <c r="H11" s="89" t="s">
        <v>112</v>
      </c>
      <c r="I11" s="94">
        <f>$I$10/$I$9</f>
        <v>-0.24238095238095239</v>
      </c>
    </row>
    <row r="12" spans="2:9" ht="6" customHeight="1" x14ac:dyDescent="0.3">
      <c r="B12" s="72"/>
      <c r="C12" s="72"/>
      <c r="D12" s="72"/>
      <c r="G12" s="72"/>
      <c r="H12" s="72"/>
      <c r="I12" s="72"/>
    </row>
  </sheetData>
  <dataValidations disablePrompts="1" count="1">
    <dataValidation type="list" allowBlank="1" showInputMessage="1" showErrorMessage="1" sqref="I6" xr:uid="{69018C8C-F5DD-4D94-885B-A31D71B5A168}">
      <formula1>Lista_Produtos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3" ma:contentTypeDescription="Crie um novo documento." ma:contentTypeScope="" ma:versionID="b525bbb6548c187a5866d207a61ee26f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d9daf2d0a880eba26c6dec90f44db6ed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2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EE9F2F-8385-4E62-9B94-4D21CAC72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3</vt:i4>
      </vt:variant>
    </vt:vector>
  </HeadingPairs>
  <TitlesOfParts>
    <vt:vector size="11" baseType="lpstr">
      <vt:lpstr>Estoque Café Alura</vt:lpstr>
      <vt:lpstr>dProdutos</vt:lpstr>
      <vt:lpstr>dFornecedor</vt:lpstr>
      <vt:lpstr>fEntradas</vt:lpstr>
      <vt:lpstr>fSaídas</vt:lpstr>
      <vt:lpstr>Consulta</vt:lpstr>
      <vt:lpstr>Controle de Estoque</vt:lpstr>
      <vt:lpstr>Quadro Resumo</vt:lpstr>
      <vt:lpstr>CriteriosConsultaProduto</vt:lpstr>
      <vt:lpstr>Lista_Fornecedores</vt:lpstr>
      <vt:lpstr>Lista_Produtos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Diego Lima</cp:lastModifiedBy>
  <cp:revision/>
  <dcterms:created xsi:type="dcterms:W3CDTF">2022-11-17T13:49:56Z</dcterms:created>
  <dcterms:modified xsi:type="dcterms:W3CDTF">2025-04-09T20:13:22Z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