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recinos/Desktop/SMU Stuff/FINA/FINA 6238/PYPL/"/>
    </mc:Choice>
  </mc:AlternateContent>
  <xr:revisionPtr revIDLastSave="0" documentId="13_ncr:1_{BA5C7A31-9BB7-7B46-8ADE-E775C460D8B8}" xr6:coauthVersionLast="45" xr6:coauthVersionMax="45" xr10:uidLastSave="{00000000-0000-0000-0000-000000000000}"/>
  <bookViews>
    <workbookView xWindow="0" yWindow="460" windowWidth="28800" windowHeight="16280" xr2:uid="{A4FF096F-4E5A-4FCA-BA5A-A5E5FF24BD61}"/>
  </bookViews>
  <sheets>
    <sheet name="Sheet2" sheetId="2" r:id="rId1"/>
  </sheets>
  <calcPr calcId="191029" calcMode="autoNoTable" iterate="1" iterateCount="5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 i="2" l="1"/>
  <c r="H126" i="2"/>
  <c r="I322" i="2" l="1"/>
  <c r="J322" i="2" s="1"/>
  <c r="K322" i="2" s="1"/>
  <c r="L322" i="2" s="1"/>
  <c r="G322" i="2"/>
  <c r="F322" i="2" s="1"/>
  <c r="E322" i="2" s="1"/>
  <c r="D322" i="2" s="1"/>
  <c r="C328" i="2"/>
  <c r="C329" i="2" s="1"/>
  <c r="C330" i="2" s="1"/>
  <c r="C331" i="2" s="1"/>
  <c r="C326" i="2"/>
  <c r="C325" i="2" s="1"/>
  <c r="C324" i="2" s="1"/>
  <c r="C323" i="2" s="1"/>
  <c r="C312" i="2"/>
  <c r="C313" i="2" s="1"/>
  <c r="C314" i="2" s="1"/>
  <c r="C315" i="2" s="1"/>
  <c r="C310" i="2"/>
  <c r="C309" i="2" s="1"/>
  <c r="C308" i="2" s="1"/>
  <c r="C307" i="2" s="1"/>
  <c r="G306" i="2"/>
  <c r="F306" i="2" s="1"/>
  <c r="E306" i="2" s="1"/>
  <c r="D306" i="2" s="1"/>
  <c r="I306" i="2"/>
  <c r="J306" i="2" s="1"/>
  <c r="K306" i="2" s="1"/>
  <c r="L306" i="2" s="1"/>
  <c r="C296" i="2"/>
  <c r="C297" i="2" s="1"/>
  <c r="C298" i="2" s="1"/>
  <c r="C299" i="2" s="1"/>
  <c r="C294" i="2"/>
  <c r="C293" i="2" s="1"/>
  <c r="C292" i="2" s="1"/>
  <c r="C291" i="2" s="1"/>
  <c r="G290" i="2"/>
  <c r="F290" i="2" s="1"/>
  <c r="E290" i="2" s="1"/>
  <c r="D290" i="2" s="1"/>
  <c r="I290" i="2"/>
  <c r="J290" i="2" s="1"/>
  <c r="K290" i="2" s="1"/>
  <c r="L290" i="2" s="1"/>
  <c r="G274" i="2"/>
  <c r="F274" i="2" s="1"/>
  <c r="E274" i="2" s="1"/>
  <c r="D274" i="2" s="1"/>
  <c r="I274" i="2"/>
  <c r="J274" i="2" s="1"/>
  <c r="K274" i="2" s="1"/>
  <c r="L274" i="2" s="1"/>
  <c r="C280" i="2"/>
  <c r="C281" i="2" s="1"/>
  <c r="C282" i="2" s="1"/>
  <c r="C283" i="2" s="1"/>
  <c r="D68" i="2" l="1"/>
  <c r="E68" i="2"/>
  <c r="F68" i="2"/>
  <c r="G68" i="2"/>
  <c r="H68" i="2"/>
  <c r="H148" i="2" s="1"/>
  <c r="I68" i="2"/>
  <c r="J68" i="2"/>
  <c r="K68" i="2"/>
  <c r="L68" i="2"/>
  <c r="D69" i="2"/>
  <c r="D120" i="2" s="1"/>
  <c r="E69" i="2"/>
  <c r="E120" i="2" s="1"/>
  <c r="F69" i="2"/>
  <c r="F120" i="2" s="1"/>
  <c r="G69" i="2"/>
  <c r="G120" i="2" s="1"/>
  <c r="H69" i="2"/>
  <c r="H149" i="2" s="1"/>
  <c r="H191" i="2" s="1"/>
  <c r="I69" i="2"/>
  <c r="I120" i="2" s="1"/>
  <c r="J69" i="2"/>
  <c r="J120" i="2" s="1"/>
  <c r="K69" i="2"/>
  <c r="K120" i="2" s="1"/>
  <c r="L69" i="2"/>
  <c r="L120" i="2" s="1"/>
  <c r="C69" i="2"/>
  <c r="C120" i="2" s="1"/>
  <c r="C68" i="2"/>
  <c r="G48" i="2"/>
  <c r="F48" i="2"/>
  <c r="E48" i="2"/>
  <c r="D48" i="2"/>
  <c r="D47" i="2"/>
  <c r="E47" i="2"/>
  <c r="F47" i="2"/>
  <c r="G47" i="2"/>
  <c r="C47" i="2"/>
  <c r="H120" i="2" l="1"/>
  <c r="K149" i="2"/>
  <c r="L148" i="2"/>
  <c r="L190" i="2" s="1"/>
  <c r="L119" i="2"/>
  <c r="K148" i="2"/>
  <c r="K190" i="2" s="1"/>
  <c r="K119" i="2"/>
  <c r="J148" i="2"/>
  <c r="J190" i="2" s="1"/>
  <c r="J119" i="2"/>
  <c r="J149" i="2"/>
  <c r="I148" i="2"/>
  <c r="I190" i="2" s="1"/>
  <c r="I119" i="2"/>
  <c r="L149" i="2"/>
  <c r="I149" i="2"/>
  <c r="H220" i="2"/>
  <c r="I220" i="2" l="1"/>
  <c r="I191" i="2"/>
  <c r="L220" i="2"/>
  <c r="L191" i="2"/>
  <c r="J220" i="2"/>
  <c r="J191" i="2"/>
  <c r="K220" i="2"/>
  <c r="K191" i="2"/>
  <c r="H104" i="2" l="1"/>
  <c r="I104" i="2" s="1"/>
  <c r="J104" i="2" s="1"/>
  <c r="K104" i="2" s="1"/>
  <c r="L104" i="2" s="1"/>
  <c r="B245" i="2" l="1"/>
  <c r="D247" i="2" l="1"/>
  <c r="B247" i="2"/>
  <c r="D246" i="2"/>
  <c r="B246" i="2"/>
  <c r="D245" i="2"/>
  <c r="B227" i="2"/>
  <c r="B226" i="2"/>
  <c r="H179" i="2"/>
  <c r="C53" i="2" l="1"/>
  <c r="C54" i="2"/>
  <c r="D54" i="2"/>
  <c r="C52" i="2"/>
  <c r="D52" i="2"/>
  <c r="E52" i="2"/>
  <c r="F52" i="2"/>
  <c r="G52" i="2"/>
  <c r="D122" i="2"/>
  <c r="E122" i="2"/>
  <c r="F122" i="2"/>
  <c r="G122" i="2"/>
  <c r="C122" i="2"/>
  <c r="E123" i="2"/>
  <c r="F123" i="2"/>
  <c r="G123" i="2"/>
  <c r="D123" i="2"/>
  <c r="G107" i="2"/>
  <c r="H106" i="2"/>
  <c r="I106" i="2" s="1"/>
  <c r="J106" i="2" s="1"/>
  <c r="K106" i="2" s="1"/>
  <c r="L106" i="2" s="1"/>
  <c r="D53" i="2" l="1"/>
  <c r="E53" i="2"/>
  <c r="F53" i="2"/>
  <c r="G53" i="2"/>
  <c r="E54" i="2"/>
  <c r="F54" i="2"/>
  <c r="G54" i="2"/>
  <c r="H54" i="2" s="1"/>
  <c r="G55" i="2"/>
  <c r="D25" i="2"/>
  <c r="D56" i="2" s="1"/>
  <c r="E25" i="2"/>
  <c r="E30" i="2" s="1"/>
  <c r="F25" i="2"/>
  <c r="F30" i="2" s="1"/>
  <c r="G25" i="2"/>
  <c r="G30" i="2" s="1"/>
  <c r="G61" i="2" s="1"/>
  <c r="C25" i="2"/>
  <c r="C30" i="2" s="1"/>
  <c r="G110" i="2"/>
  <c r="H109" i="2"/>
  <c r="I109" i="2" s="1"/>
  <c r="J109" i="2" s="1"/>
  <c r="K109" i="2" s="1"/>
  <c r="L109" i="2" s="1"/>
  <c r="H93" i="2"/>
  <c r="I93" i="2" s="1"/>
  <c r="J93" i="2" s="1"/>
  <c r="K93" i="2" s="1"/>
  <c r="L93" i="2" s="1"/>
  <c r="H92" i="2"/>
  <c r="I92" i="2" s="1"/>
  <c r="J92" i="2" s="1"/>
  <c r="G134" i="2"/>
  <c r="H85" i="2"/>
  <c r="I85" i="2" s="1"/>
  <c r="J85" i="2" s="1"/>
  <c r="K85" i="2" s="1"/>
  <c r="L85" i="2" s="1"/>
  <c r="H84" i="2"/>
  <c r="I84" i="2" s="1"/>
  <c r="J84" i="2" s="1"/>
  <c r="K84" i="2" s="1"/>
  <c r="L84" i="2" s="1"/>
  <c r="H78" i="2"/>
  <c r="I78" i="2" s="1"/>
  <c r="J78" i="2" s="1"/>
  <c r="H74" i="2"/>
  <c r="I74" i="2" s="1"/>
  <c r="J74" i="2" s="1"/>
  <c r="K74" i="2" s="1"/>
  <c r="L74" i="2" s="1"/>
  <c r="F107" i="2"/>
  <c r="F110" i="2" s="1"/>
  <c r="E107" i="2"/>
  <c r="E110" i="2" s="1"/>
  <c r="D107" i="2"/>
  <c r="D110" i="2" s="1"/>
  <c r="C107" i="2"/>
  <c r="C110" i="2" s="1"/>
  <c r="D137" i="2"/>
  <c r="E137" i="2"/>
  <c r="F137" i="2"/>
  <c r="G137" i="2"/>
  <c r="C137" i="2"/>
  <c r="D134" i="2"/>
  <c r="E134" i="2"/>
  <c r="F134" i="2"/>
  <c r="C134" i="2"/>
  <c r="G131" i="2"/>
  <c r="H131" i="2" s="1"/>
  <c r="H86" i="2" s="1"/>
  <c r="D130" i="2"/>
  <c r="E130" i="2"/>
  <c r="F130" i="2"/>
  <c r="G130" i="2"/>
  <c r="C130" i="2"/>
  <c r="H119" i="2"/>
  <c r="H122" i="2"/>
  <c r="H73" i="2" s="1"/>
  <c r="I73" i="2" s="1"/>
  <c r="J73" i="2" s="1"/>
  <c r="K73" i="2" s="1"/>
  <c r="L73" i="2" s="1"/>
  <c r="E60" i="2"/>
  <c r="F60" i="2"/>
  <c r="G60" i="2"/>
  <c r="D60" i="2"/>
  <c r="D119" i="2"/>
  <c r="E119" i="2"/>
  <c r="F119" i="2"/>
  <c r="G119" i="2"/>
  <c r="C119" i="2"/>
  <c r="G96" i="2"/>
  <c r="G100" i="2" s="1"/>
  <c r="F96" i="2"/>
  <c r="F100" i="2" s="1"/>
  <c r="E96" i="2"/>
  <c r="E100" i="2" s="1"/>
  <c r="D96" i="2"/>
  <c r="D100" i="2" s="1"/>
  <c r="C96" i="2"/>
  <c r="C100" i="2" s="1"/>
  <c r="G82" i="2"/>
  <c r="G126" i="2" s="1"/>
  <c r="F82" i="2"/>
  <c r="F126" i="2" s="1"/>
  <c r="E82" i="2"/>
  <c r="E126" i="2" s="1"/>
  <c r="D82" i="2"/>
  <c r="D126" i="2" s="1"/>
  <c r="C82" i="2"/>
  <c r="C126" i="2" s="1"/>
  <c r="G76" i="2"/>
  <c r="F76" i="2"/>
  <c r="E76" i="2"/>
  <c r="D76" i="2"/>
  <c r="C76" i="2"/>
  <c r="D57" i="2"/>
  <c r="E57" i="2"/>
  <c r="F57" i="2"/>
  <c r="G57" i="2"/>
  <c r="D58" i="2"/>
  <c r="E58" i="2"/>
  <c r="F58" i="2"/>
  <c r="G58" i="2"/>
  <c r="C58" i="2"/>
  <c r="C57" i="2"/>
  <c r="D55" i="2"/>
  <c r="E55" i="2"/>
  <c r="F55" i="2"/>
  <c r="C55" i="2"/>
  <c r="G50" i="2"/>
  <c r="H50" i="2" s="1"/>
  <c r="E49" i="2"/>
  <c r="F49" i="2"/>
  <c r="G49" i="2"/>
  <c r="D49" i="2"/>
  <c r="G51" i="2" l="1"/>
  <c r="F31" i="2"/>
  <c r="F61" i="2"/>
  <c r="C61" i="2"/>
  <c r="C59" i="2"/>
  <c r="E31" i="2"/>
  <c r="E61" i="2"/>
  <c r="H20" i="2"/>
  <c r="H82" i="2" s="1"/>
  <c r="H40" i="2"/>
  <c r="I40" i="2" s="1"/>
  <c r="J40" i="2" s="1"/>
  <c r="K40" i="2" s="1"/>
  <c r="L40" i="2" s="1"/>
  <c r="H190" i="2"/>
  <c r="H219" i="2" s="1"/>
  <c r="H53" i="2"/>
  <c r="H123" i="2"/>
  <c r="H134" i="2"/>
  <c r="G31" i="2"/>
  <c r="C31" i="2"/>
  <c r="H154" i="2"/>
  <c r="H197" i="2" s="1"/>
  <c r="I86" i="2"/>
  <c r="J86" i="2" s="1"/>
  <c r="J160" i="2" s="1"/>
  <c r="J204" i="2" s="1"/>
  <c r="J164" i="2"/>
  <c r="K78" i="2"/>
  <c r="L78" i="2" s="1"/>
  <c r="L164" i="2" s="1"/>
  <c r="H137" i="2"/>
  <c r="F87" i="2"/>
  <c r="G87" i="2"/>
  <c r="H140" i="2" s="1"/>
  <c r="H60" i="2"/>
  <c r="C87" i="2"/>
  <c r="K92" i="2"/>
  <c r="H160" i="2"/>
  <c r="H204" i="2" s="1"/>
  <c r="I164" i="2"/>
  <c r="H164" i="2"/>
  <c r="H55" i="2"/>
  <c r="H57" i="2"/>
  <c r="G56" i="2"/>
  <c r="F56" i="2"/>
  <c r="H58" i="2"/>
  <c r="G34" i="2"/>
  <c r="G59" i="2"/>
  <c r="H59" i="2" s="1"/>
  <c r="C38" i="2"/>
  <c r="C41" i="2" s="1"/>
  <c r="C34" i="2"/>
  <c r="E59" i="2"/>
  <c r="E34" i="2"/>
  <c r="F34" i="2"/>
  <c r="F59" i="2"/>
  <c r="F33" i="2" s="1"/>
  <c r="F35" i="2" s="1"/>
  <c r="F138" i="2" s="1"/>
  <c r="E56" i="2"/>
  <c r="D87" i="2"/>
  <c r="E87" i="2"/>
  <c r="D30" i="2"/>
  <c r="D61" i="2" s="1"/>
  <c r="C56" i="2"/>
  <c r="D112" i="2"/>
  <c r="G112" i="2"/>
  <c r="C112" i="2"/>
  <c r="C115" i="2" s="1"/>
  <c r="F112" i="2"/>
  <c r="E112" i="2"/>
  <c r="F38" i="2"/>
  <c r="F41" i="2" s="1"/>
  <c r="E38" i="2"/>
  <c r="E41" i="2" s="1"/>
  <c r="I219" i="2" l="1"/>
  <c r="H75" i="2"/>
  <c r="I75" i="2" s="1"/>
  <c r="H181" i="2"/>
  <c r="I20" i="2"/>
  <c r="J20" i="2" s="1"/>
  <c r="H23" i="2"/>
  <c r="H22" i="2"/>
  <c r="H24" i="2"/>
  <c r="H27" i="2"/>
  <c r="H21" i="2"/>
  <c r="H26" i="2"/>
  <c r="H61" i="2"/>
  <c r="H29" i="2" s="1"/>
  <c r="E33" i="2"/>
  <c r="E35" i="2" s="1"/>
  <c r="E138" i="2" s="1"/>
  <c r="K86" i="2"/>
  <c r="L86" i="2" s="1"/>
  <c r="L160" i="2" s="1"/>
  <c r="L204" i="2" s="1"/>
  <c r="K164" i="2"/>
  <c r="C33" i="2"/>
  <c r="C35" i="2" s="1"/>
  <c r="C138" i="2" s="1"/>
  <c r="G33" i="2"/>
  <c r="G35" i="2" s="1"/>
  <c r="G138" i="2" s="1"/>
  <c r="F115" i="2"/>
  <c r="I160" i="2"/>
  <c r="I204" i="2" s="1"/>
  <c r="G115" i="2"/>
  <c r="D31" i="2"/>
  <c r="I154" i="2"/>
  <c r="I197" i="2" s="1"/>
  <c r="L92" i="2"/>
  <c r="H56" i="2"/>
  <c r="E115" i="2"/>
  <c r="D59" i="2"/>
  <c r="D38" i="2"/>
  <c r="D41" i="2" s="1"/>
  <c r="D34" i="2"/>
  <c r="D115" i="2"/>
  <c r="H94" i="2" l="1"/>
  <c r="I26" i="2"/>
  <c r="I27" i="2"/>
  <c r="I181" i="2"/>
  <c r="J23" i="2"/>
  <c r="J22" i="2"/>
  <c r="J24" i="2"/>
  <c r="J21" i="2"/>
  <c r="K160" i="2"/>
  <c r="K204" i="2" s="1"/>
  <c r="H155" i="2"/>
  <c r="H198" i="2" s="1"/>
  <c r="I21" i="2"/>
  <c r="I22" i="2"/>
  <c r="I24" i="2"/>
  <c r="I23" i="2"/>
  <c r="I82" i="2"/>
  <c r="J75" i="2"/>
  <c r="K75" i="2" s="1"/>
  <c r="L75" i="2" s="1"/>
  <c r="I155" i="2"/>
  <c r="I198" i="2" s="1"/>
  <c r="J219" i="2"/>
  <c r="H157" i="2"/>
  <c r="H200" i="2" s="1"/>
  <c r="H25" i="2"/>
  <c r="D33" i="2"/>
  <c r="D35" i="2" s="1"/>
  <c r="D138" i="2" s="1"/>
  <c r="H138" i="2" s="1"/>
  <c r="J181" i="2"/>
  <c r="J154" i="2"/>
  <c r="J197" i="2" s="1"/>
  <c r="J27" i="2"/>
  <c r="K20" i="2"/>
  <c r="J82" i="2"/>
  <c r="J26" i="2"/>
  <c r="H91" i="2"/>
  <c r="H156" i="2" s="1"/>
  <c r="H199" i="2" s="1"/>
  <c r="I94" i="2" l="1"/>
  <c r="I157" i="2" s="1"/>
  <c r="I200" i="2" s="1"/>
  <c r="J25" i="2"/>
  <c r="L219" i="2"/>
  <c r="K219" i="2"/>
  <c r="I91" i="2"/>
  <c r="I156" i="2" s="1"/>
  <c r="I199" i="2" s="1"/>
  <c r="I25" i="2"/>
  <c r="L20" i="2"/>
  <c r="K21" i="2"/>
  <c r="K22" i="2"/>
  <c r="K23" i="2"/>
  <c r="K24" i="2"/>
  <c r="J155" i="2"/>
  <c r="J198" i="2" s="1"/>
  <c r="J94" i="2"/>
  <c r="K181" i="2"/>
  <c r="K154" i="2"/>
  <c r="K197" i="2" s="1"/>
  <c r="K155" i="2"/>
  <c r="K198" i="2" s="1"/>
  <c r="K82" i="2"/>
  <c r="K26" i="2"/>
  <c r="K27" i="2"/>
  <c r="J91" i="2"/>
  <c r="J157" i="2" l="1"/>
  <c r="J200" i="2" s="1"/>
  <c r="J156" i="2"/>
  <c r="J199" i="2" s="1"/>
  <c r="L23" i="2"/>
  <c r="L24" i="2"/>
  <c r="L21" i="2"/>
  <c r="L22" i="2"/>
  <c r="K91" i="2"/>
  <c r="K25" i="2"/>
  <c r="K94" i="2"/>
  <c r="K157" i="2" s="1"/>
  <c r="K200" i="2" s="1"/>
  <c r="L181" i="2"/>
  <c r="L154" i="2"/>
  <c r="L197" i="2" s="1"/>
  <c r="L82" i="2"/>
  <c r="L155" i="2"/>
  <c r="L198" i="2" s="1"/>
  <c r="L27" i="2"/>
  <c r="L26" i="2"/>
  <c r="K156" i="2"/>
  <c r="K199" i="2" s="1"/>
  <c r="L25" i="2" l="1"/>
  <c r="L94" i="2"/>
  <c r="L157" i="2" s="1"/>
  <c r="L200" i="2" s="1"/>
  <c r="L91" i="2"/>
  <c r="L156" i="2" s="1"/>
  <c r="L199" i="2" s="1"/>
  <c r="G38" i="2" l="1"/>
  <c r="G41" i="2" s="1"/>
  <c r="I29" i="2" l="1"/>
  <c r="J29" i="2" s="1"/>
  <c r="H31" i="2"/>
  <c r="H33" i="2" s="1"/>
  <c r="H139" i="2" s="1"/>
  <c r="H98" i="2" s="1"/>
  <c r="I31" i="2"/>
  <c r="I33" i="2" s="1"/>
  <c r="K29" i="2" l="1"/>
  <c r="J31" i="2"/>
  <c r="J33" i="2" s="1"/>
  <c r="J139" i="2" s="1"/>
  <c r="H35" i="2"/>
  <c r="H95" i="2" s="1"/>
  <c r="I139" i="2"/>
  <c r="I98" i="2" s="1"/>
  <c r="L29" i="2"/>
  <c r="L31" i="2" s="1"/>
  <c r="K31" i="2"/>
  <c r="H159" i="2"/>
  <c r="H203" i="2" s="1"/>
  <c r="I35" i="2"/>
  <c r="H105" i="2" l="1"/>
  <c r="H151" i="2"/>
  <c r="H193" i="2" s="1"/>
  <c r="H96" i="2"/>
  <c r="H158" i="2"/>
  <c r="H201" i="2" s="1"/>
  <c r="J35" i="2"/>
  <c r="I95" i="2"/>
  <c r="I151" i="2"/>
  <c r="I193" i="2" s="1"/>
  <c r="I105" i="2"/>
  <c r="K33" i="2"/>
  <c r="K139" i="2" s="1"/>
  <c r="I159" i="2"/>
  <c r="I203" i="2" s="1"/>
  <c r="J98" i="2"/>
  <c r="L33" i="2"/>
  <c r="L139" i="2" l="1"/>
  <c r="J95" i="2"/>
  <c r="J151" i="2"/>
  <c r="J193" i="2" s="1"/>
  <c r="K35" i="2"/>
  <c r="L35" i="2"/>
  <c r="J159" i="2"/>
  <c r="J203" i="2" s="1"/>
  <c r="K98" i="2"/>
  <c r="J105" i="2"/>
  <c r="I158" i="2"/>
  <c r="I201" i="2" s="1"/>
  <c r="I96" i="2"/>
  <c r="J158" i="2" l="1"/>
  <c r="J201" i="2" s="1"/>
  <c r="J96" i="2"/>
  <c r="K105" i="2"/>
  <c r="K159" i="2"/>
  <c r="K203" i="2" s="1"/>
  <c r="L98" i="2"/>
  <c r="L159" i="2" s="1"/>
  <c r="L203" i="2" s="1"/>
  <c r="L95" i="2"/>
  <c r="L151" i="2"/>
  <c r="L193" i="2" s="1"/>
  <c r="K95" i="2"/>
  <c r="K151" i="2"/>
  <c r="K193" i="2" s="1"/>
  <c r="L96" i="2" l="1"/>
  <c r="L158" i="2"/>
  <c r="L201" i="2" s="1"/>
  <c r="K158" i="2"/>
  <c r="K201" i="2" s="1"/>
  <c r="K96" i="2"/>
  <c r="L105" i="2"/>
  <c r="H170" i="2" l="1"/>
  <c r="I170" i="2"/>
  <c r="J170" i="2"/>
  <c r="K170" i="2"/>
  <c r="L170" i="2"/>
  <c r="C278" i="2"/>
  <c r="C277" i="2" s="1"/>
  <c r="C276" i="2" s="1"/>
  <c r="C275" i="2" s="1"/>
  <c r="H37" i="2" l="1"/>
  <c r="I37" i="2"/>
  <c r="J37" i="2"/>
  <c r="K37" i="2"/>
  <c r="L37" i="2"/>
  <c r="H38" i="2"/>
  <c r="I38" i="2"/>
  <c r="J38" i="2"/>
  <c r="K38" i="2"/>
  <c r="L38" i="2"/>
  <c r="H41" i="2"/>
  <c r="I41" i="2"/>
  <c r="J41" i="2"/>
  <c r="K41" i="2"/>
  <c r="L41" i="2"/>
  <c r="H72" i="2"/>
  <c r="I72" i="2"/>
  <c r="J72" i="2"/>
  <c r="K72" i="2"/>
  <c r="L72" i="2"/>
  <c r="H76" i="2"/>
  <c r="I76" i="2"/>
  <c r="J76" i="2"/>
  <c r="K76" i="2"/>
  <c r="L76" i="2"/>
  <c r="H80" i="2"/>
  <c r="I80" i="2"/>
  <c r="J80" i="2"/>
  <c r="K80" i="2"/>
  <c r="L80" i="2"/>
  <c r="H81" i="2"/>
  <c r="I81" i="2"/>
  <c r="J81" i="2"/>
  <c r="K81" i="2"/>
  <c r="L81" i="2"/>
  <c r="H87" i="2"/>
  <c r="I87" i="2"/>
  <c r="J87" i="2"/>
  <c r="K87" i="2"/>
  <c r="L87" i="2"/>
  <c r="H99" i="2"/>
  <c r="I99" i="2"/>
  <c r="J99" i="2"/>
  <c r="K99" i="2"/>
  <c r="L99" i="2"/>
  <c r="H100" i="2"/>
  <c r="I100" i="2"/>
  <c r="J100" i="2"/>
  <c r="K100" i="2"/>
  <c r="L100" i="2"/>
  <c r="H103" i="2"/>
  <c r="I103" i="2"/>
  <c r="J103" i="2"/>
  <c r="K103" i="2"/>
  <c r="L103" i="2"/>
  <c r="H107" i="2"/>
  <c r="I107" i="2"/>
  <c r="J107" i="2"/>
  <c r="K107" i="2"/>
  <c r="L107" i="2"/>
  <c r="H110" i="2"/>
  <c r="I110" i="2"/>
  <c r="J110" i="2"/>
  <c r="K110" i="2"/>
  <c r="L110" i="2"/>
  <c r="H112" i="2"/>
  <c r="I112" i="2"/>
  <c r="J112" i="2"/>
  <c r="K112" i="2"/>
  <c r="L112" i="2"/>
  <c r="H115" i="2"/>
  <c r="I115" i="2"/>
  <c r="J115" i="2"/>
  <c r="K115" i="2"/>
  <c r="L115" i="2"/>
  <c r="H152" i="2"/>
  <c r="I152" i="2"/>
  <c r="J152" i="2"/>
  <c r="K152" i="2"/>
  <c r="L152" i="2"/>
  <c r="H161" i="2"/>
  <c r="I161" i="2"/>
  <c r="J161" i="2"/>
  <c r="K161" i="2"/>
  <c r="L161" i="2"/>
  <c r="H165" i="2"/>
  <c r="I165" i="2"/>
  <c r="J165" i="2"/>
  <c r="K165" i="2"/>
  <c r="L165" i="2"/>
  <c r="H166" i="2"/>
  <c r="I166" i="2"/>
  <c r="J166" i="2"/>
  <c r="K166" i="2"/>
  <c r="L166" i="2"/>
  <c r="H169" i="2"/>
  <c r="I169" i="2"/>
  <c r="J169" i="2"/>
  <c r="K169" i="2"/>
  <c r="L169" i="2"/>
  <c r="H171" i="2"/>
  <c r="I171" i="2"/>
  <c r="J171" i="2"/>
  <c r="K171" i="2"/>
  <c r="L171" i="2"/>
  <c r="H172" i="2"/>
  <c r="I172" i="2"/>
  <c r="J172" i="2"/>
  <c r="K172" i="2"/>
  <c r="L172" i="2"/>
  <c r="H174" i="2"/>
  <c r="I174" i="2"/>
  <c r="J174" i="2"/>
  <c r="K174" i="2"/>
  <c r="L174" i="2"/>
  <c r="I179" i="2"/>
  <c r="J179" i="2"/>
  <c r="K179" i="2"/>
  <c r="L179" i="2"/>
  <c r="H180" i="2"/>
  <c r="I180" i="2"/>
  <c r="J180" i="2"/>
  <c r="K180" i="2"/>
  <c r="L180" i="2"/>
  <c r="H182" i="2"/>
  <c r="I182" i="2"/>
  <c r="J182" i="2"/>
  <c r="K182" i="2"/>
  <c r="L182" i="2"/>
  <c r="H195" i="2"/>
  <c r="I195" i="2"/>
  <c r="J195" i="2"/>
  <c r="K195" i="2"/>
  <c r="L195" i="2"/>
  <c r="H205" i="2"/>
  <c r="I205" i="2"/>
  <c r="J205" i="2"/>
  <c r="K205" i="2"/>
  <c r="L205" i="2"/>
  <c r="H207" i="2"/>
  <c r="I207" i="2"/>
  <c r="J207" i="2"/>
  <c r="K207" i="2"/>
  <c r="L207" i="2"/>
  <c r="H221" i="2"/>
  <c r="I221" i="2"/>
  <c r="J221" i="2"/>
  <c r="K221" i="2"/>
  <c r="L221" i="2"/>
  <c r="L222" i="2"/>
  <c r="Q222" i="2"/>
  <c r="H223" i="2"/>
  <c r="I223" i="2"/>
  <c r="J223" i="2"/>
  <c r="K223" i="2"/>
  <c r="L223" i="2"/>
  <c r="Q223" i="2"/>
  <c r="B225" i="2"/>
  <c r="B229" i="2"/>
  <c r="B231" i="2"/>
  <c r="B249" i="2"/>
  <c r="D249" i="2"/>
  <c r="B250" i="2"/>
  <c r="D250" i="2"/>
  <c r="B251" i="2"/>
  <c r="D251" i="2"/>
  <c r="B253" i="2"/>
  <c r="B254" i="2"/>
  <c r="D254" i="2"/>
  <c r="B255" i="2"/>
  <c r="D255" i="2"/>
  <c r="B256" i="2"/>
  <c r="D256" i="2"/>
  <c r="B258" i="2"/>
  <c r="D258" i="2"/>
  <c r="B259" i="2"/>
  <c r="D259" i="2"/>
  <c r="B260" i="2"/>
  <c r="D260" i="2"/>
  <c r="B262" i="2"/>
  <c r="D262" i="2"/>
  <c r="B263" i="2"/>
  <c r="D263" i="2"/>
  <c r="B264" i="2"/>
  <c r="D264" i="2"/>
  <c r="C274" i="2"/>
  <c r="C290" i="2"/>
  <c r="C306" i="2"/>
  <c r="C322" i="2"/>
</calcChain>
</file>

<file path=xl/sharedStrings.xml><?xml version="1.0" encoding="utf-8"?>
<sst xmlns="http://schemas.openxmlformats.org/spreadsheetml/2006/main" count="299" uniqueCount="192">
  <si>
    <t>Valuation Model for Paypal</t>
  </si>
  <si>
    <t>General Information</t>
  </si>
  <si>
    <t>Company Name</t>
  </si>
  <si>
    <t>Paypal</t>
  </si>
  <si>
    <t>Latest Fiscal Year End</t>
  </si>
  <si>
    <t>Current Date</t>
  </si>
  <si>
    <t>Shares Outstanding (millions)</t>
  </si>
  <si>
    <t>Circular Reference Breaker</t>
  </si>
  <si>
    <t>Off=1, On=0</t>
  </si>
  <si>
    <t>Income Statement ($millions)(shares in millions)</t>
  </si>
  <si>
    <t>Revenues</t>
  </si>
  <si>
    <t>Gross Profit</t>
  </si>
  <si>
    <t>R&amp;D</t>
  </si>
  <si>
    <t>SG&amp;A</t>
  </si>
  <si>
    <t>Net Income</t>
  </si>
  <si>
    <t>EBITDA</t>
  </si>
  <si>
    <t>Restructuring Expense</t>
  </si>
  <si>
    <t>Revenue Growth (Sales Growth)</t>
  </si>
  <si>
    <t>Gross Profit Margin</t>
  </si>
  <si>
    <t>R&amp;D % of sales</t>
  </si>
  <si>
    <t>SG&amp;A % of sales</t>
  </si>
  <si>
    <t>Tax Rate</t>
  </si>
  <si>
    <t>Compound Sales Growth</t>
  </si>
  <si>
    <t>Average Year-Over-Year Sales Growth (5 year)</t>
  </si>
  <si>
    <t>Depreciation/Average Gross Fixed Assets</t>
  </si>
  <si>
    <t>Repurchases Schedule</t>
  </si>
  <si>
    <t>Calculation of Repurchases</t>
  </si>
  <si>
    <t>Cash at Beginning of Period</t>
  </si>
  <si>
    <t>Cash Flows Before Repurchases</t>
  </si>
  <si>
    <t>Total cash available for repurchases (equity issuance)</t>
  </si>
  <si>
    <t>Balance Sheet</t>
  </si>
  <si>
    <t>ASSETS</t>
  </si>
  <si>
    <t>Current assets:</t>
  </si>
  <si>
    <t>Accounts receivable, net</t>
  </si>
  <si>
    <t>Prepaid expenses and other current assets</t>
  </si>
  <si>
    <t>Total current assets</t>
  </si>
  <si>
    <t>Long-term investments</t>
  </si>
  <si>
    <t>Property and equipment, net</t>
  </si>
  <si>
    <t>Goodwill</t>
  </si>
  <si>
    <t>Intangible assets, net</t>
  </si>
  <si>
    <t>Other assets</t>
  </si>
  <si>
    <t>Total assets</t>
  </si>
  <si>
    <t>LIABILITIES AND EQUITY</t>
  </si>
  <si>
    <t>Current liabilities:</t>
  </si>
  <si>
    <t>Accounts payable</t>
  </si>
  <si>
    <t>Short-term debt</t>
  </si>
  <si>
    <t>Funds payable and amounts due to customers</t>
  </si>
  <si>
    <t>Accrued expenses and other current liabilities</t>
  </si>
  <si>
    <t>Income taxes payable</t>
  </si>
  <si>
    <t>Total current liabilities</t>
  </si>
  <si>
    <t>Deferred tax liability and other long-term liabilities</t>
  </si>
  <si>
    <t>Total liabilities</t>
  </si>
  <si>
    <t>Equity:</t>
  </si>
  <si>
    <t>Treasury Stock</t>
  </si>
  <si>
    <t>Additional paid-in-capital</t>
  </si>
  <si>
    <t>Retained earnings</t>
  </si>
  <si>
    <t>Accumulated other comprehensive income (loss)</t>
  </si>
  <si>
    <t>Total PayPal Stockholders' equity</t>
  </si>
  <si>
    <t>Noncontrolling interest</t>
  </si>
  <si>
    <t>Total equity</t>
  </si>
  <si>
    <t>Total liabilities and equity</t>
  </si>
  <si>
    <t>Balance Check</t>
  </si>
  <si>
    <t>Balance Sheet Ratio Analysis &amp; Assumptions</t>
  </si>
  <si>
    <t>Funds receivable and funds payable arise due to the time required to initiate collection from and clear transactions through external payment networks. Therefore, there is no historical trend related to these two accts -&gt; assum these will be hold constant</t>
  </si>
  <si>
    <t>Net PP&amp;E/Sales</t>
  </si>
  <si>
    <t>Long term investment</t>
  </si>
  <si>
    <t>Constant</t>
  </si>
  <si>
    <t>Other assets/Sales</t>
  </si>
  <si>
    <t>Other Assets Compound Growth Rate</t>
  </si>
  <si>
    <t>Accounts Payable Days</t>
  </si>
  <si>
    <t xml:space="preserve">Short term debt </t>
  </si>
  <si>
    <t>Accrued expenses and other current liabilities/(COGS+SG&amp;A)</t>
  </si>
  <si>
    <t xml:space="preserve"> </t>
  </si>
  <si>
    <t>Statement of Cash Flows</t>
  </si>
  <si>
    <t>Analysts project the firm to grow at 19.17% year over year for the next five years and the industry growth at 17.6%.</t>
  </si>
  <si>
    <t>D&amp;A</t>
  </si>
  <si>
    <t>Other Income (Expense)</t>
  </si>
  <si>
    <t>Property, plant and equipment, gross</t>
  </si>
  <si>
    <t>Accumulated depreciation</t>
  </si>
  <si>
    <t>Assuming no short-term borrow</t>
  </si>
  <si>
    <t>Cash flow from operating activities</t>
  </si>
  <si>
    <t>Add: Depreciation</t>
  </si>
  <si>
    <t>Changes in Working Capital</t>
  </si>
  <si>
    <t>Accounts Receivable, Net</t>
  </si>
  <si>
    <t>Change in Other Assets</t>
  </si>
  <si>
    <t>Cash Flows from Operations</t>
  </si>
  <si>
    <t>Cash flow from investing activities</t>
  </si>
  <si>
    <t>Purchase of Long-term investments</t>
  </si>
  <si>
    <t>Net cash used in investing activities</t>
  </si>
  <si>
    <t>Cash flow from financing activities</t>
  </si>
  <si>
    <t>Change in Debt</t>
  </si>
  <si>
    <t>Treasury Stock Repurchases</t>
  </si>
  <si>
    <t>Net cash from financing activities</t>
  </si>
  <si>
    <t>Net increase in cash and cash equivalents</t>
  </si>
  <si>
    <t>Accounts Payable</t>
  </si>
  <si>
    <t>Accrued Expenses and Other Liabilities</t>
  </si>
  <si>
    <t>Income Taxes Payable</t>
  </si>
  <si>
    <t>Change in Deferred Tax Liablities and Other Long Term Liabilities</t>
  </si>
  <si>
    <t>Additional Paid-In-Capital</t>
  </si>
  <si>
    <t>Other Income (Expense)/Operating Income</t>
  </si>
  <si>
    <t>Net Income - Pro Forma</t>
  </si>
  <si>
    <t>EBIT - Pro Forma</t>
  </si>
  <si>
    <t>EBIT - Actual</t>
  </si>
  <si>
    <t>Net Income - Actual</t>
  </si>
  <si>
    <t>Income Tax - Actual</t>
  </si>
  <si>
    <t>Income Tax - Pro Forma</t>
  </si>
  <si>
    <t>Funds and Loans Receivable</t>
  </si>
  <si>
    <t> </t>
  </si>
  <si>
    <t>Transaction Expense</t>
  </si>
  <si>
    <t>Transaction and Loan Losses</t>
  </si>
  <si>
    <t>Customer Support and Operations</t>
  </si>
  <si>
    <t>Sales and Marketing</t>
  </si>
  <si>
    <t>Sales and Marketing % of sales</t>
  </si>
  <si>
    <t>Transaction and Loan Losses % of sales</t>
  </si>
  <si>
    <t>Customer Support and Operations % of sales</t>
  </si>
  <si>
    <t>Long term Debt % of Assets</t>
  </si>
  <si>
    <t>Prepaid Expenses and Other Current Assets Growth with SG&amp;A</t>
  </si>
  <si>
    <t>Accounts Receivable % of Sales</t>
  </si>
  <si>
    <t>Cash and short term investments</t>
  </si>
  <si>
    <t>Transaction Expense % of Sales</t>
  </si>
  <si>
    <t>Stock Based Compensation</t>
  </si>
  <si>
    <t>Adjusted EBITDA</t>
  </si>
  <si>
    <t>Discounted Cash Flow Model</t>
  </si>
  <si>
    <t>FREE CASH FLOW (FCFF)</t>
  </si>
  <si>
    <t>Add Back Non-Cash Charges</t>
  </si>
  <si>
    <t xml:space="preserve">    Depreciation and Amortization</t>
  </si>
  <si>
    <t>Adjustments for Changes in Working Capital</t>
  </si>
  <si>
    <t>Changes in Deferred Tax Assets and Liabilities</t>
  </si>
  <si>
    <t>FCFF using Net Income</t>
  </si>
  <si>
    <t>VALUATION</t>
  </si>
  <si>
    <t>WACC</t>
  </si>
  <si>
    <t>Long-Term Free Cash Flow Growth Rate</t>
  </si>
  <si>
    <t>FCFF</t>
  </si>
  <si>
    <t>Terminal Value</t>
  </si>
  <si>
    <t>Total</t>
  </si>
  <si>
    <t>Enterprise Value</t>
  </si>
  <si>
    <t>Add: Initial Excess Cash</t>
  </si>
  <si>
    <t>Subtract : debt</t>
  </si>
  <si>
    <t>Implied Equity Value</t>
  </si>
  <si>
    <t>Number of Share outstanding</t>
  </si>
  <si>
    <t>Implied Value per Share</t>
  </si>
  <si>
    <t>Debt ("Notes")</t>
  </si>
  <si>
    <t>%Terminal Value</t>
  </si>
  <si>
    <t>Terminal Value - Multiples Method</t>
  </si>
  <si>
    <t>Similar Companies</t>
  </si>
  <si>
    <t>Enterprise Value/EBITDA</t>
  </si>
  <si>
    <t>2019 EBITDA</t>
  </si>
  <si>
    <t>Forecast 2020 EBITDA</t>
  </si>
  <si>
    <t>Mastercard</t>
  </si>
  <si>
    <t>Visa</t>
  </si>
  <si>
    <t>Average</t>
  </si>
  <si>
    <t>Maximum</t>
  </si>
  <si>
    <t>Minimum</t>
  </si>
  <si>
    <t>Terminal Value - Average</t>
  </si>
  <si>
    <t>Terminal Value - Maximum</t>
  </si>
  <si>
    <t>Terminal Value - Minimum</t>
  </si>
  <si>
    <t>Discounted FCFF</t>
  </si>
  <si>
    <t>Discounted Terminal Value - Average</t>
  </si>
  <si>
    <t>Discounted Terminal Value - Maximum</t>
  </si>
  <si>
    <t>Discounted Terminal Value - Minimum</t>
  </si>
  <si>
    <t>Enterprise Value - Average</t>
  </si>
  <si>
    <t>Enterprise Value - Maximum</t>
  </si>
  <si>
    <t>Enterprise Value - Minimum</t>
  </si>
  <si>
    <t>Implied Value Per Share - Average</t>
  </si>
  <si>
    <t>Implied Value Per Share - Maximum</t>
  </si>
  <si>
    <t>Implied Value Per Share - Minimum</t>
  </si>
  <si>
    <t>Purchase of Property and equipment</t>
  </si>
  <si>
    <t>American Express</t>
  </si>
  <si>
    <t>Purchase of Fixed Assets</t>
  </si>
  <si>
    <t>Minimum Cash Balance (5% Sales)</t>
  </si>
  <si>
    <t>Ticker</t>
  </si>
  <si>
    <t>PYPL</t>
  </si>
  <si>
    <t>Margin/Growth Analysis &amp; Assumptions</t>
  </si>
  <si>
    <t>2015A</t>
  </si>
  <si>
    <t>2016A</t>
  </si>
  <si>
    <t>2017A</t>
  </si>
  <si>
    <t>2018A</t>
  </si>
  <si>
    <t>2019A</t>
  </si>
  <si>
    <t>2020P</t>
  </si>
  <si>
    <t>2021P</t>
  </si>
  <si>
    <t>2022P</t>
  </si>
  <si>
    <t>2023P</t>
  </si>
  <si>
    <t>2024P</t>
  </si>
  <si>
    <t>Terminal Value - Perpetuity Method</t>
  </si>
  <si>
    <t>Sensitivity Analysis</t>
  </si>
  <si>
    <t>Sensitivity of Stock Valuation to WACC and Long-Term Growth Rate</t>
  </si>
  <si>
    <t>Sales Growth</t>
  </si>
  <si>
    <t>Sensitivity of Stock Valuation to Sales growth and Net PPE % of Sales Assumption</t>
  </si>
  <si>
    <t>Net PPE/Sales</t>
  </si>
  <si>
    <t>Sensitivity of Stock Valuation to Sales growth and Transaction Expense % of Sales Assumption</t>
  </si>
  <si>
    <t>Sensitivity of Stock Valuation to Transaction Expense % of Sales and Net PPE % of Sales Assumption</t>
  </si>
  <si>
    <t>Latest Closing Stock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</si>
</sst>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8" formatCode="&quot;$&quot;#,##0.00_);[Red]\(&quot;$&quot;#,##0.00\)"/>
    <numFmt numFmtId="44" formatCode="_(&quot;$&quot;* #,##0.00_);_(&quot;$&quot;* \(#,##0.00\);_(&quot;$&quot;* &quot;-&quot;??_);_(@_)"/>
    <numFmt numFmtId="43" formatCode="_(* #,##0.00_);_(* \(#,##0.00\);_(* &quot;-&quot;??_);_(@_)"/>
    <numFmt numFmtId="164" formatCode="0_);\(0\)"/>
    <numFmt numFmtId="165" formatCode="_(* #,##0_);_(* \(#,##0\);_(* &quot;-&quot;??_);_(@_)"/>
    <numFmt numFmtId="166" formatCode="#,##0.000000000000000000"/>
    <numFmt numFmtId="167" formatCode="0.00\x"/>
    <numFmt numFmtId="168" formatCode="0.0%"/>
    <numFmt numFmtId="169" formatCode="mm/dd/yy;@"/>
    <numFmt numFmtId="170" formatCode="m/d/yy;@"/>
    <numFmt numFmtId="171" formatCode=";;"/>
  </numFmts>
  <fonts count="28" x14ac:knownFonts="1">
    <font>
      <sz val="11"/>
      <color theme="1"/>
      <name val="Calibri"/>
      <family val="2"/>
      <scheme val="minor"/>
    </font>
    <font>
      <sz val="11"/>
      <color theme="1"/>
      <name val="Calibri"/>
      <family val="2"/>
      <scheme val="minor"/>
    </font>
    <font>
      <sz val="10"/>
      <name val="Arial"/>
      <family val="2"/>
    </font>
    <font>
      <sz val="11"/>
      <color theme="1"/>
      <name val="Arial"/>
      <family val="2"/>
    </font>
    <font>
      <b/>
      <sz val="12"/>
      <color rgb="FF000000"/>
      <name val="Arial"/>
      <family val="2"/>
    </font>
    <font>
      <sz val="11"/>
      <color rgb="FF000000"/>
      <name val="Arial"/>
      <family val="2"/>
    </font>
    <font>
      <b/>
      <sz val="11"/>
      <name val="Arial"/>
      <family val="2"/>
    </font>
    <font>
      <sz val="11"/>
      <name val="Arial"/>
      <family val="2"/>
    </font>
    <font>
      <sz val="11"/>
      <color rgb="FF0000FF"/>
      <name val="Arial"/>
      <family val="2"/>
    </font>
    <font>
      <i/>
      <sz val="11"/>
      <color rgb="FF000000"/>
      <name val="Arial"/>
      <family val="2"/>
    </font>
    <font>
      <b/>
      <sz val="13"/>
      <name val="Arial"/>
      <family val="2"/>
    </font>
    <font>
      <b/>
      <sz val="11"/>
      <color rgb="FF000000"/>
      <name val="Arial"/>
      <family val="2"/>
    </font>
    <font>
      <i/>
      <sz val="11"/>
      <name val="Arial"/>
      <family val="2"/>
    </font>
    <font>
      <sz val="10"/>
      <color rgb="FF0000FF"/>
      <name val="Arial"/>
      <family val="2"/>
    </font>
    <font>
      <b/>
      <sz val="11"/>
      <color theme="1"/>
      <name val="Arial"/>
      <family val="2"/>
    </font>
    <font>
      <b/>
      <u/>
      <sz val="11"/>
      <name val="Arial"/>
      <family val="2"/>
    </font>
    <font>
      <sz val="13"/>
      <name val="Arial"/>
      <family val="2"/>
    </font>
    <font>
      <b/>
      <sz val="11"/>
      <color theme="0"/>
      <name val="Arial"/>
      <family val="2"/>
    </font>
    <font>
      <b/>
      <sz val="11"/>
      <color rgb="FFFFFFFF"/>
      <name val="Arial"/>
      <family val="2"/>
    </font>
    <font>
      <u/>
      <sz val="10"/>
      <name val="Arial"/>
      <family val="2"/>
    </font>
    <font>
      <sz val="10"/>
      <color rgb="FF000000"/>
      <name val="Arial"/>
      <family val="2"/>
    </font>
    <font>
      <sz val="11"/>
      <color theme="4"/>
      <name val="Arial"/>
      <family val="2"/>
    </font>
    <font>
      <b/>
      <sz val="10"/>
      <name val="Arial"/>
      <family val="2"/>
    </font>
    <font>
      <i/>
      <sz val="10"/>
      <name val="Arial"/>
      <family val="2"/>
    </font>
    <font>
      <sz val="10"/>
      <color theme="1"/>
      <name val="Arial"/>
      <family val="2"/>
    </font>
    <font>
      <b/>
      <sz val="10"/>
      <color theme="1"/>
      <name val="Arial"/>
      <family val="2"/>
    </font>
    <font>
      <b/>
      <sz val="13"/>
      <color theme="1"/>
      <name val="Arial"/>
      <family val="2"/>
    </font>
    <font>
      <b/>
      <u/>
      <sz val="11"/>
      <color theme="1"/>
      <name val="Arial"/>
      <family val="2"/>
    </font>
  </fonts>
  <fills count="19">
    <fill>
      <patternFill patternType="none"/>
    </fill>
    <fill>
      <patternFill patternType="gray125"/>
    </fill>
    <fill>
      <patternFill patternType="solid">
        <fgColor rgb="FFFFFFFF"/>
        <bgColor rgb="FF000000"/>
      </patternFill>
    </fill>
    <fill>
      <patternFill patternType="solid">
        <fgColor rgb="FFFFFF00"/>
        <bgColor rgb="FF000000"/>
      </patternFill>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00FF00"/>
        <bgColor rgb="FF000000"/>
      </patternFill>
    </fill>
    <fill>
      <patternFill patternType="solid">
        <fgColor theme="2"/>
        <bgColor rgb="FF000000"/>
      </patternFill>
    </fill>
    <fill>
      <patternFill patternType="solid">
        <fgColor theme="2" tint="-0.249977111117893"/>
        <bgColor indexed="64"/>
      </patternFill>
    </fill>
    <fill>
      <patternFill patternType="solid">
        <fgColor rgb="FFFFFFFF"/>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tint="-4.9989318521683403E-2"/>
        <bgColor rgb="FF000000"/>
      </patternFill>
    </fill>
    <fill>
      <patternFill patternType="solid">
        <fgColor theme="9" tint="0.39997558519241921"/>
        <bgColor rgb="FF000000"/>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8" tint="0.79998168889431442"/>
        <bgColor indexed="64"/>
      </patternFill>
    </fill>
    <fill>
      <patternFill patternType="solid">
        <fgColor theme="9" tint="0.79998168889431442"/>
        <bgColor indexed="64"/>
      </patternFill>
    </fill>
  </fills>
  <borders count="2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ck">
        <color auto="1"/>
      </top>
      <bottom style="thick">
        <color auto="1"/>
      </bottom>
      <diagonal/>
    </border>
    <border>
      <left style="thin">
        <color indexed="64"/>
      </left>
      <right/>
      <top style="thin">
        <color indexed="64"/>
      </top>
      <bottom/>
      <diagonal/>
    </border>
    <border>
      <left/>
      <right/>
      <top style="thin">
        <color indexed="64"/>
      </top>
      <bottom style="double">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medium">
        <color auto="1"/>
      </right>
      <top/>
      <bottom/>
      <diagonal/>
    </border>
    <border>
      <left/>
      <right/>
      <top style="medium">
        <color indexed="64"/>
      </top>
      <bottom style="thin">
        <color indexed="64"/>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xf numFmtId="0" fontId="2" fillId="0" borderId="0"/>
    <xf numFmtId="44" fontId="1" fillId="0" borderId="0" applyFont="0" applyFill="0" applyBorder="0" applyAlignment="0" applyProtection="0"/>
  </cellStyleXfs>
  <cellXfs count="201">
    <xf numFmtId="0" fontId="0" fillId="0" borderId="0" xfId="0"/>
    <xf numFmtId="0" fontId="2" fillId="2" borderId="0" xfId="0" applyFont="1" applyFill="1"/>
    <xf numFmtId="0" fontId="2" fillId="5" borderId="0" xfId="0" applyFont="1" applyFill="1"/>
    <xf numFmtId="0" fontId="3" fillId="4" borderId="0" xfId="0" applyFont="1" applyFill="1"/>
    <xf numFmtId="0" fontId="5" fillId="4" borderId="14" xfId="0" applyFont="1" applyFill="1" applyBorder="1"/>
    <xf numFmtId="0" fontId="5" fillId="5" borderId="14" xfId="0" applyFont="1" applyFill="1" applyBorder="1"/>
    <xf numFmtId="0" fontId="3" fillId="4" borderId="14" xfId="0" applyFont="1" applyFill="1" applyBorder="1"/>
    <xf numFmtId="0" fontId="5" fillId="4" borderId="0" xfId="0" applyFont="1" applyFill="1"/>
    <xf numFmtId="0" fontId="5" fillId="5" borderId="0" xfId="0" applyFont="1" applyFill="1"/>
    <xf numFmtId="0" fontId="3" fillId="0" borderId="0" xfId="0" applyFont="1"/>
    <xf numFmtId="0" fontId="6" fillId="5" borderId="0" xfId="0" applyFont="1" applyFill="1"/>
    <xf numFmtId="0" fontId="7" fillId="5" borderId="0" xfId="0" applyFont="1" applyFill="1"/>
    <xf numFmtId="0" fontId="7" fillId="4" borderId="0" xfId="0" applyFont="1" applyFill="1"/>
    <xf numFmtId="0" fontId="8" fillId="5" borderId="0" xfId="0" applyFont="1" applyFill="1" applyAlignment="1">
      <alignment horizontal="center"/>
    </xf>
    <xf numFmtId="14" fontId="8" fillId="5" borderId="0" xfId="0" applyNumberFormat="1" applyFont="1" applyFill="1" applyAlignment="1">
      <alignment horizontal="center"/>
    </xf>
    <xf numFmtId="8" fontId="8" fillId="5" borderId="0" xfId="0" applyNumberFormat="1" applyFont="1" applyFill="1" applyAlignment="1">
      <alignment horizontal="center"/>
    </xf>
    <xf numFmtId="2" fontId="8" fillId="5" borderId="0" xfId="0" applyNumberFormat="1" applyFont="1" applyFill="1" applyAlignment="1">
      <alignment horizontal="center"/>
    </xf>
    <xf numFmtId="0" fontId="9" fillId="5" borderId="0" xfId="0" applyFont="1" applyFill="1"/>
    <xf numFmtId="0" fontId="8" fillId="3" borderId="2" xfId="0" applyFont="1" applyFill="1" applyBorder="1" applyAlignment="1">
      <alignment horizontal="center"/>
    </xf>
    <xf numFmtId="0" fontId="8" fillId="5" borderId="0" xfId="0" applyFont="1" applyFill="1"/>
    <xf numFmtId="0" fontId="11" fillId="5" borderId="3" xfId="0" applyFont="1" applyFill="1" applyBorder="1" applyAlignment="1">
      <alignment horizontal="centerContinuous"/>
    </xf>
    <xf numFmtId="0" fontId="6" fillId="5" borderId="0" xfId="0" applyFont="1" applyFill="1" applyAlignment="1">
      <alignment horizontal="center"/>
    </xf>
    <xf numFmtId="170" fontId="12" fillId="5" borderId="3" xfId="0" applyNumberFormat="1" applyFont="1" applyFill="1" applyBorder="1" applyAlignment="1">
      <alignment horizontal="center"/>
    </xf>
    <xf numFmtId="37" fontId="8" fillId="4" borderId="0" xfId="0" applyNumberFormat="1" applyFont="1" applyFill="1" applyAlignment="1">
      <alignment horizontal="center"/>
    </xf>
    <xf numFmtId="37" fontId="8" fillId="2" borderId="0" xfId="0" applyNumberFormat="1" applyFont="1" applyFill="1" applyAlignment="1">
      <alignment horizontal="center"/>
    </xf>
    <xf numFmtId="37" fontId="3" fillId="6" borderId="0" xfId="0" applyNumberFormat="1" applyFont="1" applyFill="1" applyAlignment="1">
      <alignment horizontal="center"/>
    </xf>
    <xf numFmtId="37" fontId="13" fillId="4" borderId="0" xfId="0" applyNumberFormat="1" applyFont="1" applyFill="1" applyAlignment="1">
      <alignment horizontal="center"/>
    </xf>
    <xf numFmtId="37" fontId="8" fillId="4" borderId="3" xfId="0" applyNumberFormat="1" applyFont="1" applyFill="1" applyBorder="1" applyAlignment="1">
      <alignment horizontal="center"/>
    </xf>
    <xf numFmtId="37" fontId="13" fillId="4" borderId="3" xfId="0" applyNumberFormat="1" applyFont="1" applyFill="1" applyBorder="1" applyAlignment="1">
      <alignment horizontal="center"/>
    </xf>
    <xf numFmtId="37" fontId="3" fillId="6" borderId="3" xfId="0" applyNumberFormat="1" applyFont="1" applyFill="1" applyBorder="1" applyAlignment="1">
      <alignment horizontal="center"/>
    </xf>
    <xf numFmtId="0" fontId="14" fillId="4" borderId="0" xfId="0" applyFont="1" applyFill="1"/>
    <xf numFmtId="37" fontId="14" fillId="4" borderId="0" xfId="0" applyNumberFormat="1" applyFont="1" applyFill="1" applyAlignment="1">
      <alignment horizontal="center"/>
    </xf>
    <xf numFmtId="37" fontId="3" fillId="9" borderId="0" xfId="0" applyNumberFormat="1" applyFont="1" applyFill="1" applyAlignment="1">
      <alignment horizontal="center"/>
    </xf>
    <xf numFmtId="37" fontId="8" fillId="2" borderId="3" xfId="0" applyNumberFormat="1" applyFont="1" applyFill="1" applyBorder="1" applyAlignment="1">
      <alignment horizontal="center"/>
    </xf>
    <xf numFmtId="37" fontId="6" fillId="2" borderId="0" xfId="0" applyNumberFormat="1" applyFont="1" applyFill="1" applyAlignment="1">
      <alignment horizontal="center"/>
    </xf>
    <xf numFmtId="37" fontId="6" fillId="4" borderId="0" xfId="0" applyNumberFormat="1" applyFont="1" applyFill="1" applyAlignment="1">
      <alignment horizontal="center"/>
    </xf>
    <xf numFmtId="37" fontId="7" fillId="9" borderId="0" xfId="0" applyNumberFormat="1" applyFont="1" applyFill="1" applyAlignment="1">
      <alignment horizontal="center"/>
    </xf>
    <xf numFmtId="37" fontId="6" fillId="8" borderId="0" xfId="0" applyNumberFormat="1" applyFont="1" applyFill="1" applyAlignment="1">
      <alignment horizontal="center"/>
    </xf>
    <xf numFmtId="37" fontId="8" fillId="4" borderId="0" xfId="0" applyNumberFormat="1" applyFont="1" applyFill="1" applyBorder="1" applyAlignment="1">
      <alignment horizontal="center"/>
    </xf>
    <xf numFmtId="37" fontId="8" fillId="2" borderId="0" xfId="0" applyNumberFormat="1" applyFont="1" applyFill="1" applyBorder="1" applyAlignment="1">
      <alignment horizontal="center"/>
    </xf>
    <xf numFmtId="37" fontId="3" fillId="9" borderId="0" xfId="0" applyNumberFormat="1" applyFont="1" applyFill="1" applyBorder="1" applyAlignment="1">
      <alignment horizontal="center"/>
    </xf>
    <xf numFmtId="37" fontId="7" fillId="4" borderId="0" xfId="0" applyNumberFormat="1" applyFont="1" applyFill="1" applyBorder="1" applyAlignment="1">
      <alignment horizontal="center"/>
    </xf>
    <xf numFmtId="37" fontId="7" fillId="6" borderId="0" xfId="0" applyNumberFormat="1" applyFont="1" applyFill="1" applyBorder="1" applyAlignment="1">
      <alignment horizontal="center"/>
    </xf>
    <xf numFmtId="37" fontId="14" fillId="6" borderId="0" xfId="0" applyNumberFormat="1" applyFont="1" applyFill="1" applyAlignment="1">
      <alignment horizontal="center"/>
    </xf>
    <xf numFmtId="37" fontId="3" fillId="4" borderId="0" xfId="0" applyNumberFormat="1" applyFont="1" applyFill="1" applyAlignment="1">
      <alignment horizontal="center"/>
    </xf>
    <xf numFmtId="37" fontId="7" fillId="2" borderId="0" xfId="0" applyNumberFormat="1" applyFont="1" applyFill="1" applyAlignment="1">
      <alignment horizontal="center"/>
    </xf>
    <xf numFmtId="37" fontId="7" fillId="8" borderId="3" xfId="0" applyNumberFormat="1" applyFont="1" applyFill="1" applyBorder="1" applyAlignment="1">
      <alignment horizontal="center"/>
    </xf>
    <xf numFmtId="3" fontId="3" fillId="4" borderId="0" xfId="0" applyNumberFormat="1" applyFont="1" applyFill="1" applyAlignment="1">
      <alignment horizontal="center"/>
    </xf>
    <xf numFmtId="0" fontId="15" fillId="5" borderId="0" xfId="0" applyFont="1" applyFill="1" applyAlignment="1">
      <alignment horizontal="left"/>
    </xf>
    <xf numFmtId="0" fontId="7" fillId="5" borderId="0" xfId="0" applyFont="1" applyFill="1" applyAlignment="1">
      <alignment horizontal="left"/>
    </xf>
    <xf numFmtId="0" fontId="3" fillId="4" borderId="0" xfId="0" applyFont="1" applyFill="1" applyAlignment="1">
      <alignment horizontal="center"/>
    </xf>
    <xf numFmtId="169" fontId="12" fillId="5" borderId="3" xfId="0" applyNumberFormat="1" applyFont="1" applyFill="1" applyBorder="1" applyAlignment="1">
      <alignment horizontal="center"/>
    </xf>
    <xf numFmtId="10" fontId="3" fillId="4" borderId="0" xfId="1" applyNumberFormat="1" applyFont="1" applyFill="1" applyAlignment="1">
      <alignment horizontal="center"/>
    </xf>
    <xf numFmtId="10" fontId="3" fillId="12" borderId="0" xfId="0" applyNumberFormat="1" applyFont="1" applyFill="1" applyAlignment="1">
      <alignment horizontal="center"/>
    </xf>
    <xf numFmtId="0" fontId="5" fillId="2" borderId="0" xfId="0" applyFont="1" applyFill="1"/>
    <xf numFmtId="0" fontId="10" fillId="5" borderId="0" xfId="0" applyFont="1" applyFill="1" applyBorder="1" applyAlignment="1">
      <alignment horizontal="left"/>
    </xf>
    <xf numFmtId="0" fontId="16" fillId="5" borderId="0" xfId="0" applyFont="1" applyFill="1" applyBorder="1" applyAlignment="1">
      <alignment horizontal="left"/>
    </xf>
    <xf numFmtId="0" fontId="16" fillId="4" borderId="0" xfId="0" applyFont="1" applyFill="1" applyBorder="1"/>
    <xf numFmtId="0" fontId="6" fillId="5" borderId="4" xfId="0" applyFont="1" applyFill="1" applyBorder="1" applyAlignment="1">
      <alignment horizontal="center"/>
    </xf>
    <xf numFmtId="0" fontId="6" fillId="2" borderId="0" xfId="0" applyFont="1" applyFill="1" applyAlignment="1">
      <alignment wrapText="1"/>
    </xf>
    <xf numFmtId="0" fontId="8" fillId="2" borderId="0" xfId="0" applyFont="1" applyFill="1" applyAlignment="1">
      <alignment horizontal="center"/>
    </xf>
    <xf numFmtId="0" fontId="7" fillId="2" borderId="0" xfId="0" applyFont="1" applyFill="1" applyAlignment="1">
      <alignment wrapText="1"/>
    </xf>
    <xf numFmtId="3" fontId="8" fillId="2" borderId="0" xfId="0" applyNumberFormat="1" applyFont="1" applyFill="1" applyAlignment="1">
      <alignment horizontal="center"/>
    </xf>
    <xf numFmtId="3" fontId="3" fillId="4" borderId="0" xfId="0" applyNumberFormat="1" applyFont="1" applyFill="1"/>
    <xf numFmtId="3" fontId="8" fillId="5" borderId="0" xfId="0" applyNumberFormat="1" applyFont="1" applyFill="1" applyAlignment="1">
      <alignment horizontal="center"/>
    </xf>
    <xf numFmtId="0" fontId="8" fillId="2" borderId="3" xfId="0" applyFont="1" applyFill="1" applyBorder="1" applyAlignment="1">
      <alignment horizontal="center"/>
    </xf>
    <xf numFmtId="3" fontId="6" fillId="2" borderId="0" xfId="0" applyNumberFormat="1" applyFont="1" applyFill="1" applyAlignment="1">
      <alignment horizontal="center"/>
    </xf>
    <xf numFmtId="3" fontId="8" fillId="2" borderId="3" xfId="0" applyNumberFormat="1" applyFont="1" applyFill="1" applyBorder="1" applyAlignment="1">
      <alignment horizontal="center"/>
    </xf>
    <xf numFmtId="3" fontId="7" fillId="2" borderId="0" xfId="0" applyNumberFormat="1" applyFont="1" applyFill="1" applyAlignment="1">
      <alignment horizontal="center"/>
    </xf>
    <xf numFmtId="37" fontId="7" fillId="8" borderId="0" xfId="0" applyNumberFormat="1" applyFont="1" applyFill="1" applyAlignment="1">
      <alignment horizontal="center"/>
    </xf>
    <xf numFmtId="0" fontId="7" fillId="2" borderId="0" xfId="0" applyFont="1" applyFill="1" applyAlignment="1">
      <alignment horizontal="center"/>
    </xf>
    <xf numFmtId="0" fontId="7" fillId="2" borderId="0" xfId="0" applyFont="1" applyFill="1"/>
    <xf numFmtId="37" fontId="6" fillId="5" borderId="0" xfId="0" applyNumberFormat="1" applyFont="1" applyFill="1" applyAlignment="1">
      <alignment horizontal="center"/>
    </xf>
    <xf numFmtId="0" fontId="6" fillId="2" borderId="0" xfId="0" applyFont="1" applyFill="1"/>
    <xf numFmtId="0" fontId="6" fillId="2" borderId="0" xfId="0" applyFont="1" applyFill="1" applyBorder="1" applyAlignment="1">
      <alignment wrapText="1"/>
    </xf>
    <xf numFmtId="0" fontId="3" fillId="4" borderId="0" xfId="0" applyFont="1" applyFill="1" applyBorder="1"/>
    <xf numFmtId="3" fontId="5" fillId="2" borderId="16" xfId="0" applyNumberFormat="1" applyFont="1" applyFill="1" applyBorder="1" applyAlignment="1">
      <alignment horizontal="center"/>
    </xf>
    <xf numFmtId="37" fontId="5" fillId="2" borderId="16" xfId="0" applyNumberFormat="1" applyFont="1" applyFill="1" applyBorder="1" applyAlignment="1">
      <alignment horizontal="center"/>
    </xf>
    <xf numFmtId="0" fontId="5" fillId="4" borderId="0" xfId="0" applyFont="1" applyFill="1" applyBorder="1"/>
    <xf numFmtId="0" fontId="15" fillId="4" borderId="0" xfId="0" applyFont="1" applyFill="1" applyAlignment="1">
      <alignment horizontal="left"/>
    </xf>
    <xf numFmtId="0" fontId="7" fillId="4" borderId="0" xfId="0" applyFont="1" applyFill="1" applyAlignment="1">
      <alignment horizontal="left"/>
    </xf>
    <xf numFmtId="0" fontId="7" fillId="4" borderId="0" xfId="0" applyFont="1" applyFill="1" applyBorder="1" applyAlignment="1">
      <alignment horizontal="left"/>
    </xf>
    <xf numFmtId="0" fontId="17" fillId="4" borderId="0" xfId="0" applyFont="1" applyFill="1" applyAlignment="1">
      <alignment horizontal="left"/>
    </xf>
    <xf numFmtId="0" fontId="6" fillId="4" borderId="4" xfId="3" applyFont="1" applyFill="1" applyBorder="1" applyAlignment="1">
      <alignment horizontal="center"/>
    </xf>
    <xf numFmtId="0" fontId="6" fillId="4" borderId="0" xfId="3" applyFont="1" applyFill="1" applyBorder="1" applyAlignment="1">
      <alignment horizontal="center"/>
    </xf>
    <xf numFmtId="170" fontId="12" fillId="4" borderId="3" xfId="3" applyNumberFormat="1" applyFont="1" applyFill="1" applyBorder="1" applyAlignment="1">
      <alignment horizontal="center"/>
    </xf>
    <xf numFmtId="0" fontId="3" fillId="4" borderId="0" xfId="0" applyFont="1" applyFill="1" applyAlignment="1">
      <alignment horizontal="center" vertical="center"/>
    </xf>
    <xf numFmtId="10" fontId="3" fillId="4" borderId="0" xfId="1" applyNumberFormat="1" applyFont="1" applyFill="1" applyAlignment="1">
      <alignment horizontal="center" vertical="center"/>
    </xf>
    <xf numFmtId="10" fontId="3" fillId="12" borderId="5" xfId="1" applyNumberFormat="1" applyFont="1" applyFill="1" applyBorder="1" applyAlignment="1">
      <alignment horizontal="center" vertical="center"/>
    </xf>
    <xf numFmtId="10" fontId="3" fillId="12" borderId="6" xfId="0" applyNumberFormat="1" applyFont="1" applyFill="1" applyBorder="1" applyAlignment="1">
      <alignment horizontal="center" vertical="center"/>
    </xf>
    <xf numFmtId="0" fontId="7" fillId="4" borderId="0" xfId="3" applyFont="1" applyFill="1" applyAlignment="1">
      <alignment wrapText="1"/>
    </xf>
    <xf numFmtId="0" fontId="3" fillId="12" borderId="6" xfId="0" applyFont="1" applyFill="1" applyBorder="1" applyAlignment="1">
      <alignment horizontal="center" vertical="center"/>
    </xf>
    <xf numFmtId="10" fontId="3" fillId="12" borderId="6" xfId="1" applyNumberFormat="1" applyFont="1" applyFill="1" applyBorder="1" applyAlignment="1">
      <alignment horizontal="center" vertical="center"/>
    </xf>
    <xf numFmtId="9" fontId="3" fillId="12" borderId="6" xfId="1" applyFont="1" applyFill="1" applyBorder="1" applyAlignment="1">
      <alignment horizontal="center" vertical="center"/>
    </xf>
    <xf numFmtId="2" fontId="3" fillId="4" borderId="0" xfId="0" applyNumberFormat="1" applyFont="1" applyFill="1" applyAlignment="1">
      <alignment horizontal="center" vertical="center"/>
    </xf>
    <xf numFmtId="2" fontId="3" fillId="12" borderId="6" xfId="0" applyNumberFormat="1" applyFont="1" applyFill="1" applyBorder="1" applyAlignment="1">
      <alignment horizontal="center" vertical="center"/>
    </xf>
    <xf numFmtId="0" fontId="7" fillId="4" borderId="0" xfId="3" applyFont="1" applyFill="1"/>
    <xf numFmtId="10" fontId="3" fillId="12" borderId="17" xfId="1" applyNumberFormat="1" applyFont="1" applyFill="1" applyBorder="1" applyAlignment="1">
      <alignment horizontal="center" vertical="center"/>
    </xf>
    <xf numFmtId="10" fontId="3" fillId="12" borderId="8" xfId="1" applyNumberFormat="1" applyFont="1" applyFill="1" applyBorder="1" applyAlignment="1">
      <alignment horizontal="center" vertical="center"/>
    </xf>
    <xf numFmtId="10" fontId="3" fillId="12" borderId="9" xfId="1" applyNumberFormat="1" applyFont="1" applyFill="1" applyBorder="1" applyAlignment="1">
      <alignment horizontal="center" vertical="center"/>
    </xf>
    <xf numFmtId="10" fontId="3" fillId="4" borderId="0" xfId="1" applyNumberFormat="1" applyFont="1" applyFill="1"/>
    <xf numFmtId="0" fontId="3" fillId="12" borderId="7" xfId="0" applyFont="1" applyFill="1" applyBorder="1" applyAlignment="1">
      <alignment horizontal="center" vertical="center"/>
    </xf>
    <xf numFmtId="0" fontId="10" fillId="4" borderId="0" xfId="0" applyFont="1" applyFill="1" applyBorder="1" applyAlignment="1">
      <alignment horizontal="left"/>
    </xf>
    <xf numFmtId="0" fontId="16" fillId="4" borderId="0" xfId="0" applyFont="1" applyFill="1" applyBorder="1" applyAlignment="1">
      <alignment horizontal="left"/>
    </xf>
    <xf numFmtId="0" fontId="6" fillId="4" borderId="0" xfId="3" applyFont="1" applyFill="1" applyAlignment="1">
      <alignment horizontal="center"/>
    </xf>
    <xf numFmtId="0" fontId="7" fillId="4" borderId="0" xfId="4" applyFont="1" applyFill="1"/>
    <xf numFmtId="0" fontId="7" fillId="4" borderId="0" xfId="4" applyFont="1" applyFill="1" applyAlignment="1">
      <alignment horizontal="left" indent="2"/>
    </xf>
    <xf numFmtId="164" fontId="7" fillId="4" borderId="0" xfId="4" applyNumberFormat="1" applyFont="1" applyFill="1"/>
    <xf numFmtId="0" fontId="6" fillId="4" borderId="0" xfId="4" applyFont="1" applyFill="1" applyAlignment="1">
      <alignment horizontal="left"/>
    </xf>
    <xf numFmtId="0" fontId="6" fillId="4" borderId="0" xfId="4" applyFont="1" applyFill="1"/>
    <xf numFmtId="0" fontId="18" fillId="2" borderId="0" xfId="0" applyFont="1" applyFill="1"/>
    <xf numFmtId="0" fontId="19" fillId="10" borderId="0" xfId="0" applyFont="1" applyFill="1"/>
    <xf numFmtId="0" fontId="2" fillId="10" borderId="0" xfId="0" applyFont="1" applyFill="1"/>
    <xf numFmtId="0" fontId="20" fillId="2" borderId="0" xfId="0" applyFont="1" applyFill="1"/>
    <xf numFmtId="0" fontId="2" fillId="10" borderId="4" xfId="0" applyFont="1" applyFill="1" applyBorder="1"/>
    <xf numFmtId="0" fontId="22" fillId="4" borderId="0" xfId="3" applyFont="1" applyFill="1" applyAlignment="1">
      <alignment horizontal="center"/>
    </xf>
    <xf numFmtId="0" fontId="22" fillId="4" borderId="4" xfId="3" applyFont="1" applyFill="1" applyBorder="1" applyAlignment="1">
      <alignment horizontal="center"/>
    </xf>
    <xf numFmtId="170" fontId="23" fillId="4" borderId="3" xfId="3" applyNumberFormat="1" applyFont="1" applyFill="1" applyBorder="1" applyAlignment="1">
      <alignment horizontal="center"/>
    </xf>
    <xf numFmtId="0" fontId="22" fillId="4" borderId="0" xfId="3" applyFont="1" applyFill="1" applyAlignment="1">
      <alignment wrapText="1"/>
    </xf>
    <xf numFmtId="166" fontId="3" fillId="4" borderId="0" xfId="0" applyNumberFormat="1" applyFont="1" applyFill="1"/>
    <xf numFmtId="0" fontId="24" fillId="4" borderId="0" xfId="0" applyFont="1" applyFill="1"/>
    <xf numFmtId="37" fontId="24" fillId="4" borderId="0" xfId="0" applyNumberFormat="1" applyFont="1" applyFill="1"/>
    <xf numFmtId="0" fontId="2" fillId="4" borderId="0" xfId="4" applyFont="1" applyFill="1"/>
    <xf numFmtId="0" fontId="25" fillId="4" borderId="16" xfId="0" applyFont="1" applyFill="1" applyBorder="1"/>
    <xf numFmtId="0" fontId="3" fillId="4" borderId="16" xfId="0" applyFont="1" applyFill="1" applyBorder="1"/>
    <xf numFmtId="0" fontId="26" fillId="4" borderId="0" xfId="0" applyFont="1" applyFill="1" applyBorder="1"/>
    <xf numFmtId="0" fontId="26" fillId="0" borderId="0" xfId="0" applyFont="1" applyBorder="1"/>
    <xf numFmtId="10" fontId="3" fillId="4" borderId="0" xfId="1" applyNumberFormat="1" applyFont="1" applyFill="1" applyBorder="1"/>
    <xf numFmtId="2" fontId="3" fillId="6" borderId="9" xfId="0" applyNumberFormat="1" applyFont="1" applyFill="1" applyBorder="1"/>
    <xf numFmtId="10" fontId="3" fillId="6" borderId="11" xfId="1" applyNumberFormat="1" applyFont="1" applyFill="1" applyBorder="1"/>
    <xf numFmtId="5" fontId="3" fillId="11" borderId="2" xfId="5" applyNumberFormat="1" applyFont="1" applyFill="1" applyBorder="1" applyAlignment="1">
      <alignment horizontal="center"/>
    </xf>
    <xf numFmtId="0" fontId="20" fillId="4" borderId="3" xfId="0" applyFont="1" applyFill="1" applyBorder="1"/>
    <xf numFmtId="0" fontId="20" fillId="4" borderId="0" xfId="0" applyFont="1" applyFill="1"/>
    <xf numFmtId="0" fontId="20" fillId="5" borderId="0" xfId="0" applyFont="1" applyFill="1"/>
    <xf numFmtId="0" fontId="20" fillId="5" borderId="3" xfId="0" applyFont="1" applyFill="1" applyBorder="1"/>
    <xf numFmtId="167" fontId="24" fillId="4" borderId="0" xfId="0" applyNumberFormat="1" applyFont="1" applyFill="1" applyAlignment="1">
      <alignment horizontal="center"/>
    </xf>
    <xf numFmtId="8" fontId="2" fillId="14" borderId="13" xfId="0" applyNumberFormat="1" applyFont="1" applyFill="1" applyBorder="1"/>
    <xf numFmtId="8" fontId="2" fillId="16" borderId="13" xfId="0" applyNumberFormat="1" applyFont="1" applyFill="1" applyBorder="1"/>
    <xf numFmtId="8" fontId="2" fillId="15" borderId="13" xfId="0" applyNumberFormat="1" applyFont="1" applyFill="1" applyBorder="1"/>
    <xf numFmtId="0" fontId="7" fillId="5" borderId="14" xfId="0" applyFont="1" applyFill="1" applyBorder="1" applyAlignment="1">
      <alignment horizontal="center" vertical="center"/>
    </xf>
    <xf numFmtId="0" fontId="7" fillId="4" borderId="14" xfId="0" applyFont="1" applyFill="1" applyBorder="1" applyAlignment="1">
      <alignment horizontal="center" vertical="center"/>
    </xf>
    <xf numFmtId="0" fontId="10" fillId="5" borderId="14" xfId="0" applyFont="1" applyFill="1" applyBorder="1" applyAlignment="1">
      <alignment horizontal="left" vertical="center"/>
    </xf>
    <xf numFmtId="0" fontId="4" fillId="4" borderId="14" xfId="0" applyFont="1" applyFill="1" applyBorder="1" applyAlignment="1">
      <alignment vertical="center"/>
    </xf>
    <xf numFmtId="0" fontId="16" fillId="5" borderId="14" xfId="0" applyFont="1" applyFill="1" applyBorder="1" applyAlignment="1">
      <alignment horizontal="left" vertical="center"/>
    </xf>
    <xf numFmtId="0" fontId="16" fillId="4" borderId="14" xfId="0" applyFont="1" applyFill="1" applyBorder="1" applyAlignment="1">
      <alignment vertical="center"/>
    </xf>
    <xf numFmtId="0" fontId="10" fillId="4" borderId="14" xfId="0" applyFont="1" applyFill="1" applyBorder="1" applyAlignment="1">
      <alignment horizontal="left" vertical="center"/>
    </xf>
    <xf numFmtId="0" fontId="16" fillId="4" borderId="14" xfId="0" applyFont="1" applyFill="1" applyBorder="1" applyAlignment="1">
      <alignment horizontal="left" vertical="center"/>
    </xf>
    <xf numFmtId="0" fontId="26" fillId="4" borderId="14" xfId="0" applyFont="1" applyFill="1" applyBorder="1" applyAlignment="1">
      <alignment vertical="center"/>
    </xf>
    <xf numFmtId="0" fontId="3" fillId="17" borderId="12" xfId="0" applyFont="1" applyFill="1" applyBorder="1"/>
    <xf numFmtId="10" fontId="3" fillId="17" borderId="9" xfId="0" applyNumberFormat="1" applyFont="1" applyFill="1" applyBorder="1"/>
    <xf numFmtId="0" fontId="3" fillId="17" borderId="10" xfId="0" applyFont="1" applyFill="1" applyBorder="1"/>
    <xf numFmtId="10" fontId="3" fillId="17" borderId="11" xfId="1" applyNumberFormat="1" applyFont="1" applyFill="1" applyBorder="1"/>
    <xf numFmtId="0" fontId="27" fillId="4" borderId="0" xfId="0" applyFont="1" applyFill="1"/>
    <xf numFmtId="0" fontId="27" fillId="4" borderId="0" xfId="0" applyFont="1" applyFill="1" applyBorder="1"/>
    <xf numFmtId="168" fontId="3" fillId="4" borderId="0" xfId="0" applyNumberFormat="1" applyFont="1" applyFill="1" applyAlignment="1">
      <alignment horizontal="center"/>
    </xf>
    <xf numFmtId="171" fontId="3" fillId="4" borderId="0" xfId="0" applyNumberFormat="1" applyFont="1" applyFill="1"/>
    <xf numFmtId="2" fontId="3" fillId="4" borderId="15" xfId="0" applyNumberFormat="1" applyFont="1" applyFill="1" applyBorder="1"/>
    <xf numFmtId="2" fontId="3" fillId="4" borderId="4" xfId="0" applyNumberFormat="1" applyFont="1" applyFill="1" applyBorder="1"/>
    <xf numFmtId="2" fontId="3" fillId="4" borderId="18" xfId="0" applyNumberFormat="1" applyFont="1" applyFill="1" applyBorder="1"/>
    <xf numFmtId="2" fontId="3" fillId="4" borderId="17" xfId="0" applyNumberFormat="1" applyFont="1" applyFill="1" applyBorder="1"/>
    <xf numFmtId="2" fontId="3" fillId="4" borderId="0" xfId="0" applyNumberFormat="1" applyFont="1" applyFill="1" applyBorder="1"/>
    <xf numFmtId="2" fontId="3" fillId="4" borderId="19" xfId="0" applyNumberFormat="1" applyFont="1" applyFill="1" applyBorder="1"/>
    <xf numFmtId="2" fontId="3" fillId="4" borderId="10" xfId="0" applyNumberFormat="1" applyFont="1" applyFill="1" applyBorder="1"/>
    <xf numFmtId="2" fontId="3" fillId="4" borderId="3" xfId="0" applyNumberFormat="1" applyFont="1" applyFill="1" applyBorder="1"/>
    <xf numFmtId="2" fontId="3" fillId="4" borderId="11" xfId="0" applyNumberFormat="1" applyFont="1" applyFill="1" applyBorder="1"/>
    <xf numFmtId="10" fontId="3" fillId="4" borderId="3" xfId="0" applyNumberFormat="1" applyFont="1" applyFill="1" applyBorder="1" applyAlignment="1">
      <alignment horizontal="center" vertical="center"/>
    </xf>
    <xf numFmtId="10" fontId="3" fillId="4" borderId="0" xfId="0" applyNumberFormat="1" applyFont="1" applyFill="1" applyAlignment="1">
      <alignment horizontal="center"/>
    </xf>
    <xf numFmtId="0" fontId="6" fillId="4" borderId="3" xfId="3" applyFont="1" applyFill="1" applyBorder="1" applyAlignment="1">
      <alignment wrapText="1"/>
    </xf>
    <xf numFmtId="0" fontId="6" fillId="0" borderId="3" xfId="3" applyFont="1" applyBorder="1" applyAlignment="1">
      <alignment wrapText="1"/>
    </xf>
    <xf numFmtId="165" fontId="20" fillId="8" borderId="0" xfId="2" applyNumberFormat="1" applyFont="1" applyFill="1"/>
    <xf numFmtId="165" fontId="20" fillId="8" borderId="3" xfId="2" applyNumberFormat="1" applyFont="1" applyFill="1" applyBorder="1"/>
    <xf numFmtId="10" fontId="21" fillId="5" borderId="2" xfId="0" applyNumberFormat="1" applyFont="1" applyFill="1" applyBorder="1"/>
    <xf numFmtId="37" fontId="24" fillId="6" borderId="0" xfId="0" applyNumberFormat="1" applyFont="1" applyFill="1"/>
    <xf numFmtId="37" fontId="25" fillId="6" borderId="16" xfId="0" applyNumberFormat="1" applyFont="1" applyFill="1" applyBorder="1"/>
    <xf numFmtId="37" fontId="3" fillId="6" borderId="0" xfId="0" applyNumberFormat="1" applyFont="1" applyFill="1"/>
    <xf numFmtId="0" fontId="3" fillId="6" borderId="0" xfId="0" applyFont="1" applyFill="1"/>
    <xf numFmtId="3" fontId="20" fillId="5" borderId="0" xfId="0" applyNumberFormat="1" applyFont="1" applyFill="1" applyAlignment="1">
      <alignment horizontal="center" vertical="center"/>
    </xf>
    <xf numFmtId="0" fontId="20" fillId="5" borderId="0" xfId="0" applyFont="1" applyFill="1" applyAlignment="1">
      <alignment horizontal="center" vertical="center"/>
    </xf>
    <xf numFmtId="0" fontId="20" fillId="4" borderId="0" xfId="0" applyFont="1" applyFill="1" applyAlignment="1">
      <alignment horizontal="center" vertical="center"/>
    </xf>
    <xf numFmtId="2" fontId="3" fillId="18" borderId="2" xfId="0" applyNumberFormat="1" applyFont="1" applyFill="1" applyBorder="1"/>
    <xf numFmtId="0" fontId="26" fillId="4" borderId="4"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4" borderId="21" xfId="0" applyFont="1" applyFill="1" applyBorder="1" applyAlignment="1">
      <alignment horizontal="center" vertical="center"/>
    </xf>
    <xf numFmtId="0" fontId="14" fillId="4" borderId="19" xfId="0" applyFont="1" applyFill="1" applyBorder="1" applyAlignment="1">
      <alignment horizontal="right" vertical="center" textRotation="90" wrapText="1"/>
    </xf>
    <xf numFmtId="0" fontId="26" fillId="4" borderId="4" xfId="0" applyFont="1" applyFill="1" applyBorder="1" applyAlignment="1">
      <alignment horizontal="center" vertical="center"/>
    </xf>
    <xf numFmtId="0" fontId="26" fillId="4" borderId="1" xfId="0" applyFont="1" applyFill="1" applyBorder="1" applyAlignment="1">
      <alignment horizontal="center" vertical="center"/>
    </xf>
    <xf numFmtId="0" fontId="11" fillId="5" borderId="3" xfId="0" applyFont="1" applyFill="1" applyBorder="1" applyAlignment="1">
      <alignment horizontal="center"/>
    </xf>
    <xf numFmtId="49" fontId="26" fillId="4" borderId="20" xfId="0" applyNumberFormat="1" applyFont="1" applyFill="1" applyBorder="1" applyAlignment="1">
      <alignment horizontal="right" vertical="center" textRotation="90"/>
    </xf>
    <xf numFmtId="0" fontId="3" fillId="6" borderId="12" xfId="0" applyFont="1" applyFill="1" applyBorder="1" applyAlignment="1">
      <alignment horizontal="center"/>
    </xf>
    <xf numFmtId="0" fontId="3" fillId="6" borderId="8" xfId="0" applyFont="1" applyFill="1" applyBorder="1" applyAlignment="1">
      <alignment horizontal="center"/>
    </xf>
    <xf numFmtId="0" fontId="3" fillId="6" borderId="10" xfId="0" applyFont="1" applyFill="1" applyBorder="1" applyAlignment="1">
      <alignment horizontal="center"/>
    </xf>
    <xf numFmtId="0" fontId="3" fillId="6" borderId="3" xfId="0" applyFont="1" applyFill="1" applyBorder="1" applyAlignment="1">
      <alignment horizontal="center"/>
    </xf>
    <xf numFmtId="0" fontId="20" fillId="4" borderId="3" xfId="0" applyFont="1" applyFill="1" applyBorder="1"/>
    <xf numFmtId="0" fontId="5" fillId="7" borderId="0" xfId="0" applyFont="1" applyFill="1" applyAlignment="1">
      <alignment horizontal="center" vertical="top" wrapText="1"/>
    </xf>
    <xf numFmtId="0" fontId="5" fillId="13" borderId="0" xfId="0" applyFont="1" applyFill="1" applyBorder="1" applyAlignment="1">
      <alignment horizontal="center" vertical="top" wrapText="1"/>
    </xf>
    <xf numFmtId="0" fontId="3" fillId="0" borderId="0" xfId="0" applyFont="1" applyBorder="1"/>
    <xf numFmtId="0" fontId="7" fillId="4" borderId="0" xfId="0" applyFont="1" applyFill="1" applyBorder="1" applyAlignment="1">
      <alignment horizontal="center" vertical="center"/>
    </xf>
    <xf numFmtId="0" fontId="16" fillId="5" borderId="0" xfId="0" applyFont="1" applyFill="1" applyBorder="1" applyAlignment="1">
      <alignment horizontal="left" vertical="center"/>
    </xf>
    <xf numFmtId="0" fontId="16" fillId="4" borderId="0" xfId="0" applyFont="1" applyFill="1" applyBorder="1" applyAlignment="1">
      <alignment vertical="center"/>
    </xf>
    <xf numFmtId="0" fontId="26" fillId="4" borderId="0" xfId="0" applyFont="1" applyFill="1" applyBorder="1" applyAlignment="1">
      <alignment vertical="center"/>
    </xf>
    <xf numFmtId="0" fontId="26" fillId="0" borderId="0" xfId="0" applyFont="1" applyBorder="1" applyAlignment="1">
      <alignment vertical="center"/>
    </xf>
  </cellXfs>
  <cellStyles count="6">
    <cellStyle name="Comma" xfId="2" builtinId="3"/>
    <cellStyle name="Currency" xfId="5" builtinId="4"/>
    <cellStyle name="Normal" xfId="0" builtinId="0"/>
    <cellStyle name="Normal 2" xfId="3" xr:uid="{D2489B65-AA81-4CC0-9E31-11055FA9316A}"/>
    <cellStyle name="Normal 3" xfId="4" xr:uid="{9A9B1D51-6529-4531-8D69-1FECCCDEDE84}"/>
    <cellStyle name="Percent" xfId="1"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09D48-45AC-4818-B8F0-F66201070208}">
  <sheetPr>
    <pageSetUpPr fitToPage="1"/>
  </sheetPr>
  <dimension ref="A1:BK341"/>
  <sheetViews>
    <sheetView tabSelected="1" topLeftCell="A98" workbookViewId="0">
      <selection activeCell="P204" sqref="P204"/>
    </sheetView>
  </sheetViews>
  <sheetFormatPr baseColWidth="10" defaultColWidth="9.1640625" defaultRowHeight="14" outlineLevelRow="1" x14ac:dyDescent="0.15"/>
  <cols>
    <col min="1" max="1" width="47.5" style="9" bestFit="1" customWidth="1"/>
    <col min="2" max="2" width="11.5" style="9" bestFit="1" customWidth="1"/>
    <col min="3" max="3" width="12" style="9" bestFit="1" customWidth="1"/>
    <col min="4" max="7" width="10.33203125" style="9" bestFit="1" customWidth="1"/>
    <col min="8" max="8" width="12.1640625" style="9" bestFit="1" customWidth="1"/>
    <col min="9" max="9" width="10.6640625" style="9" bestFit="1" customWidth="1"/>
    <col min="10" max="12" width="10.33203125" style="9" bestFit="1" customWidth="1"/>
    <col min="13" max="16" width="9.1640625" style="9"/>
    <col min="17" max="17" width="9.33203125" style="9" bestFit="1" customWidth="1"/>
    <col min="18" max="24" width="9.1640625" style="9"/>
    <col min="25" max="57" width="9.1640625" style="3"/>
    <col min="58" max="16384" width="9.1640625" style="9"/>
  </cols>
  <sheetData>
    <row r="1" spans="1:57" s="3" customFormat="1" ht="15" thickBot="1" x14ac:dyDescent="0.2"/>
    <row r="2" spans="1:57" s="195" customFormat="1" ht="25" customHeight="1" thickTop="1" thickBot="1" x14ac:dyDescent="0.2">
      <c r="A2" s="142" t="s">
        <v>0</v>
      </c>
      <c r="B2" s="4"/>
      <c r="C2" s="5"/>
      <c r="D2" s="5"/>
      <c r="E2" s="5"/>
      <c r="F2" s="5"/>
      <c r="G2" s="5"/>
      <c r="H2" s="5"/>
      <c r="I2" s="5"/>
      <c r="J2" s="5"/>
      <c r="K2" s="5"/>
      <c r="L2" s="5"/>
      <c r="M2" s="6"/>
      <c r="N2" s="6"/>
      <c r="O2" s="6"/>
      <c r="P2" s="6"/>
      <c r="Q2" s="6"/>
      <c r="R2" s="6"/>
      <c r="S2" s="6"/>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row>
    <row r="3" spans="1:57" ht="15" thickTop="1" x14ac:dyDescent="0.15">
      <c r="A3" s="7"/>
      <c r="B3" s="7"/>
      <c r="C3" s="8"/>
      <c r="D3" s="8"/>
      <c r="E3" s="8"/>
      <c r="F3" s="8"/>
      <c r="G3" s="8"/>
      <c r="H3" s="8"/>
      <c r="I3" s="8"/>
      <c r="J3" s="8"/>
      <c r="K3" s="8"/>
      <c r="L3" s="8"/>
      <c r="M3" s="3"/>
      <c r="N3" s="3"/>
      <c r="O3" s="3"/>
      <c r="P3" s="3"/>
      <c r="Q3" s="3"/>
      <c r="R3" s="3"/>
      <c r="S3" s="3"/>
      <c r="T3" s="3"/>
      <c r="U3" s="3"/>
      <c r="V3" s="3"/>
      <c r="W3" s="3"/>
      <c r="X3" s="3"/>
    </row>
    <row r="4" spans="1:57" s="12" customFormat="1" x14ac:dyDescent="0.15">
      <c r="A4" s="10" t="s">
        <v>1</v>
      </c>
      <c r="B4" s="10"/>
      <c r="C4" s="11"/>
      <c r="D4" s="11"/>
      <c r="E4" s="11"/>
      <c r="F4" s="11"/>
      <c r="G4" s="11"/>
      <c r="H4" s="11"/>
      <c r="I4" s="11"/>
      <c r="J4" s="11"/>
      <c r="K4" s="11"/>
      <c r="L4" s="11"/>
    </row>
    <row r="5" spans="1:57" x14ac:dyDescent="0.15">
      <c r="A5" s="8" t="s">
        <v>2</v>
      </c>
      <c r="B5" s="13" t="s">
        <v>3</v>
      </c>
      <c r="C5" s="8"/>
      <c r="D5" s="8"/>
      <c r="E5" s="8"/>
      <c r="F5" s="8"/>
      <c r="G5" s="8"/>
      <c r="H5" s="8"/>
      <c r="I5" s="8"/>
      <c r="J5" s="8"/>
      <c r="K5" s="8"/>
      <c r="L5" s="8"/>
      <c r="M5" s="3"/>
      <c r="N5" s="3"/>
      <c r="O5" s="3"/>
      <c r="P5" s="3"/>
      <c r="Q5" s="3"/>
      <c r="R5" s="3"/>
      <c r="S5" s="3"/>
      <c r="T5" s="3"/>
      <c r="U5" s="3"/>
      <c r="V5" s="3"/>
      <c r="W5" s="3"/>
      <c r="X5" s="3"/>
    </row>
    <row r="6" spans="1:57" x14ac:dyDescent="0.15">
      <c r="A6" s="8" t="s">
        <v>170</v>
      </c>
      <c r="B6" s="13" t="s">
        <v>171</v>
      </c>
      <c r="C6" s="8"/>
      <c r="D6" s="8"/>
      <c r="E6" s="8"/>
      <c r="F6" s="8"/>
      <c r="G6" s="8"/>
      <c r="H6" s="8"/>
      <c r="I6" s="8"/>
      <c r="J6" s="8"/>
      <c r="K6" s="8"/>
      <c r="L6" s="8"/>
      <c r="M6" s="3"/>
      <c r="N6" s="3"/>
      <c r="O6" s="3"/>
      <c r="P6" s="3"/>
      <c r="Q6" s="3"/>
      <c r="R6" s="3"/>
      <c r="S6" s="3"/>
      <c r="T6" s="3"/>
      <c r="U6" s="3"/>
      <c r="V6" s="3"/>
      <c r="W6" s="3"/>
      <c r="X6" s="3"/>
    </row>
    <row r="7" spans="1:57" x14ac:dyDescent="0.15">
      <c r="A7" s="8" t="s">
        <v>4</v>
      </c>
      <c r="B7" s="14">
        <v>43830</v>
      </c>
      <c r="C7" s="8"/>
      <c r="D7" s="8"/>
      <c r="E7" s="8"/>
      <c r="F7" s="8"/>
      <c r="G7" s="8"/>
      <c r="H7" s="8"/>
      <c r="I7" s="8"/>
      <c r="J7" s="8"/>
      <c r="K7" s="8"/>
      <c r="L7" s="8"/>
      <c r="M7" s="3"/>
      <c r="N7" s="3"/>
      <c r="O7" s="3"/>
      <c r="P7" s="3"/>
      <c r="Q7" s="3"/>
      <c r="R7" s="3"/>
      <c r="S7" s="3"/>
      <c r="T7" s="3"/>
      <c r="U7" s="3"/>
      <c r="V7" s="3"/>
      <c r="W7" s="3"/>
      <c r="X7" s="3"/>
    </row>
    <row r="8" spans="1:57" x14ac:dyDescent="0.15">
      <c r="A8" s="8" t="s">
        <v>5</v>
      </c>
      <c r="B8" s="14">
        <v>43831</v>
      </c>
      <c r="C8" s="8"/>
      <c r="D8" s="8"/>
      <c r="E8" s="8"/>
      <c r="F8" s="8"/>
      <c r="G8" s="8"/>
      <c r="H8" s="8"/>
      <c r="I8" s="8"/>
      <c r="J8" s="8"/>
      <c r="K8" s="8"/>
      <c r="L8" s="8"/>
      <c r="M8" s="3"/>
      <c r="N8" s="3"/>
      <c r="O8" s="3"/>
      <c r="P8" s="3"/>
      <c r="Q8" s="3"/>
      <c r="R8" s="3"/>
      <c r="S8" s="3"/>
      <c r="T8" s="3"/>
      <c r="U8" s="3"/>
      <c r="V8" s="3"/>
      <c r="W8" s="3"/>
      <c r="X8" s="3"/>
    </row>
    <row r="9" spans="1:57" x14ac:dyDescent="0.15">
      <c r="A9" s="8" t="s">
        <v>191</v>
      </c>
      <c r="B9" s="15">
        <v>108.17</v>
      </c>
      <c r="C9" s="8"/>
      <c r="D9" s="8"/>
      <c r="E9" s="8"/>
      <c r="F9" s="8"/>
      <c r="G9" s="8"/>
      <c r="H9" s="8"/>
      <c r="I9" s="8"/>
      <c r="J9" s="8"/>
      <c r="K9" s="8"/>
      <c r="L9" s="8"/>
      <c r="M9" s="3"/>
      <c r="N9" s="3"/>
      <c r="O9" s="3"/>
      <c r="P9" s="3"/>
      <c r="Q9" s="3"/>
      <c r="R9" s="3"/>
      <c r="S9" s="3"/>
      <c r="T9" s="3"/>
      <c r="U9" s="3"/>
      <c r="V9" s="3"/>
      <c r="W9" s="3"/>
      <c r="X9" s="3"/>
    </row>
    <row r="10" spans="1:57" x14ac:dyDescent="0.15">
      <c r="A10" s="8" t="s">
        <v>6</v>
      </c>
      <c r="B10" s="16">
        <v>1188</v>
      </c>
      <c r="C10" s="8"/>
      <c r="D10" s="8"/>
      <c r="E10" s="8"/>
      <c r="F10" s="8"/>
      <c r="G10" s="8"/>
      <c r="H10" s="8"/>
      <c r="I10" s="8"/>
      <c r="J10" s="8"/>
      <c r="K10" s="8"/>
      <c r="L10" s="8"/>
      <c r="M10" s="3"/>
      <c r="N10" s="3"/>
      <c r="O10" s="3"/>
      <c r="P10" s="3"/>
      <c r="Q10" s="3"/>
      <c r="R10" s="3"/>
      <c r="S10" s="3"/>
      <c r="T10" s="3"/>
      <c r="U10" s="3"/>
      <c r="V10" s="3"/>
      <c r="W10" s="3"/>
      <c r="X10" s="3"/>
    </row>
    <row r="11" spans="1:57" x14ac:dyDescent="0.15">
      <c r="A11" s="17"/>
      <c r="B11" s="8"/>
      <c r="C11" s="8"/>
      <c r="D11" s="8"/>
      <c r="E11" s="8"/>
      <c r="F11" s="8"/>
      <c r="G11" s="8"/>
      <c r="H11" s="8"/>
      <c r="I11" s="8"/>
      <c r="J11" s="8"/>
      <c r="K11" s="8"/>
      <c r="L11" s="8"/>
      <c r="M11" s="3"/>
      <c r="N11" s="3"/>
      <c r="O11" s="3"/>
      <c r="P11" s="3"/>
      <c r="Q11" s="3"/>
      <c r="R11" s="3"/>
      <c r="S11" s="3"/>
      <c r="T11" s="3"/>
      <c r="U11" s="3"/>
      <c r="V11" s="3"/>
      <c r="W11" s="3"/>
      <c r="X11" s="3"/>
    </row>
    <row r="12" spans="1:57" s="12" customFormat="1" x14ac:dyDescent="0.15">
      <c r="A12" s="10" t="s">
        <v>7</v>
      </c>
      <c r="B12" s="10"/>
      <c r="C12" s="11"/>
      <c r="D12" s="11"/>
      <c r="E12" s="11"/>
      <c r="F12" s="11"/>
      <c r="G12" s="11"/>
      <c r="H12" s="11"/>
      <c r="I12" s="11"/>
      <c r="J12" s="11"/>
      <c r="K12" s="11"/>
      <c r="L12" s="11"/>
    </row>
    <row r="13" spans="1:57" x14ac:dyDescent="0.15">
      <c r="A13" s="8"/>
      <c r="B13" s="7"/>
      <c r="C13" s="8"/>
      <c r="D13" s="8"/>
      <c r="E13" s="8"/>
      <c r="F13" s="8"/>
      <c r="G13" s="8"/>
      <c r="H13" s="8"/>
      <c r="I13" s="8"/>
      <c r="J13" s="8"/>
      <c r="K13" s="8"/>
      <c r="L13" s="8"/>
      <c r="M13" s="3"/>
      <c r="N13" s="3"/>
      <c r="O13" s="3"/>
      <c r="P13" s="3"/>
      <c r="Q13" s="3"/>
      <c r="R13" s="3"/>
      <c r="S13" s="3"/>
      <c r="T13" s="3"/>
      <c r="U13" s="3"/>
      <c r="V13" s="3"/>
      <c r="W13" s="3"/>
      <c r="X13" s="3"/>
    </row>
    <row r="14" spans="1:57" x14ac:dyDescent="0.15">
      <c r="A14" s="11" t="s">
        <v>8</v>
      </c>
      <c r="B14" s="18">
        <v>1</v>
      </c>
      <c r="C14" s="8"/>
      <c r="D14" s="8"/>
      <c r="E14" s="8"/>
      <c r="F14" s="8"/>
      <c r="G14" s="8"/>
      <c r="H14" s="8"/>
      <c r="I14" s="8"/>
      <c r="J14" s="8"/>
      <c r="K14" s="8"/>
      <c r="L14" s="8"/>
      <c r="M14" s="3"/>
      <c r="N14" s="3"/>
      <c r="O14" s="3"/>
      <c r="P14" s="3"/>
      <c r="Q14" s="3"/>
      <c r="R14" s="3"/>
      <c r="S14" s="3"/>
      <c r="T14" s="3"/>
      <c r="U14" s="3"/>
      <c r="V14" s="3"/>
      <c r="W14" s="3"/>
      <c r="X14" s="3"/>
    </row>
    <row r="15" spans="1:57" ht="15" thickBot="1" x14ac:dyDescent="0.2">
      <c r="A15" s="11"/>
      <c r="B15" s="19"/>
      <c r="C15" s="8"/>
      <c r="D15" s="8"/>
      <c r="E15" s="8"/>
      <c r="F15" s="8"/>
      <c r="G15" s="8"/>
      <c r="H15" s="8"/>
      <c r="I15" s="8"/>
      <c r="J15" s="8"/>
      <c r="K15" s="8"/>
      <c r="L15" s="8"/>
      <c r="M15" s="3"/>
      <c r="N15" s="3"/>
      <c r="O15" s="3"/>
      <c r="P15" s="3"/>
      <c r="Q15" s="3"/>
      <c r="R15" s="3"/>
      <c r="S15" s="3"/>
      <c r="T15" s="3"/>
      <c r="U15" s="3"/>
      <c r="V15" s="3"/>
      <c r="W15" s="3"/>
      <c r="X15" s="3"/>
    </row>
    <row r="16" spans="1:57" s="196" customFormat="1" ht="25" customHeight="1" thickTop="1" thickBot="1" x14ac:dyDescent="0.25">
      <c r="A16" s="141" t="s">
        <v>9</v>
      </c>
      <c r="B16" s="139"/>
      <c r="C16" s="139"/>
      <c r="D16" s="139"/>
      <c r="E16" s="139"/>
      <c r="F16" s="139"/>
      <c r="G16" s="139"/>
      <c r="H16" s="139"/>
      <c r="I16" s="139"/>
      <c r="J16" s="139"/>
      <c r="K16" s="139"/>
      <c r="L16" s="139"/>
      <c r="M16" s="140"/>
      <c r="N16" s="140"/>
      <c r="O16" s="140"/>
      <c r="P16" s="140"/>
      <c r="Q16" s="140"/>
      <c r="R16" s="140"/>
      <c r="S16" s="140"/>
    </row>
    <row r="17" spans="1:24" ht="15" thickTop="1" x14ac:dyDescent="0.15">
      <c r="A17" s="3"/>
      <c r="B17" s="3"/>
      <c r="C17" s="20"/>
      <c r="D17" s="186"/>
      <c r="E17" s="186"/>
      <c r="F17" s="186"/>
      <c r="G17" s="186"/>
      <c r="H17" s="186"/>
      <c r="I17" s="186"/>
      <c r="J17" s="186"/>
      <c r="K17" s="186"/>
      <c r="L17" s="186"/>
      <c r="M17" s="3"/>
      <c r="N17" s="3"/>
      <c r="O17" s="3"/>
      <c r="P17" s="3"/>
      <c r="Q17" s="3"/>
      <c r="R17" s="3"/>
      <c r="S17" s="3"/>
      <c r="T17" s="3"/>
      <c r="U17" s="3"/>
      <c r="V17" s="3"/>
      <c r="W17" s="3"/>
      <c r="X17" s="3"/>
    </row>
    <row r="18" spans="1:24" x14ac:dyDescent="0.15">
      <c r="A18" s="3"/>
      <c r="B18" s="3"/>
      <c r="C18" s="21" t="s">
        <v>173</v>
      </c>
      <c r="D18" s="21" t="s">
        <v>174</v>
      </c>
      <c r="E18" s="21" t="s">
        <v>175</v>
      </c>
      <c r="F18" s="21" t="s">
        <v>176</v>
      </c>
      <c r="G18" s="21" t="s">
        <v>177</v>
      </c>
      <c r="H18" s="21" t="s">
        <v>178</v>
      </c>
      <c r="I18" s="21" t="s">
        <v>179</v>
      </c>
      <c r="J18" s="21" t="s">
        <v>180</v>
      </c>
      <c r="K18" s="21" t="s">
        <v>181</v>
      </c>
      <c r="L18" s="21" t="s">
        <v>182</v>
      </c>
      <c r="M18" s="3"/>
      <c r="N18" s="3"/>
      <c r="O18" s="3"/>
      <c r="P18" s="3"/>
      <c r="Q18" s="3"/>
      <c r="R18" s="3"/>
      <c r="S18" s="3"/>
      <c r="T18" s="3"/>
      <c r="U18" s="3"/>
      <c r="V18" s="3"/>
      <c r="W18" s="3"/>
      <c r="X18" s="3"/>
    </row>
    <row r="19" spans="1:24" x14ac:dyDescent="0.15">
      <c r="A19" s="3"/>
      <c r="B19" s="3"/>
      <c r="C19" s="22">
        <v>42369</v>
      </c>
      <c r="D19" s="22">
        <v>42735</v>
      </c>
      <c r="E19" s="22">
        <v>43100</v>
      </c>
      <c r="F19" s="22">
        <v>43465</v>
      </c>
      <c r="G19" s="22">
        <v>43830</v>
      </c>
      <c r="H19" s="22">
        <v>44196</v>
      </c>
      <c r="I19" s="22">
        <v>44561</v>
      </c>
      <c r="J19" s="22">
        <v>44926</v>
      </c>
      <c r="K19" s="22">
        <v>45291</v>
      </c>
      <c r="L19" s="22">
        <v>45657</v>
      </c>
      <c r="M19" s="3"/>
      <c r="N19" s="3"/>
      <c r="O19" s="3"/>
      <c r="P19" s="3"/>
      <c r="Q19" s="3"/>
      <c r="R19" s="3"/>
      <c r="S19" s="3"/>
      <c r="T19" s="3"/>
      <c r="U19" s="3"/>
      <c r="V19" s="3"/>
      <c r="W19" s="3"/>
      <c r="X19" s="3"/>
    </row>
    <row r="20" spans="1:24" x14ac:dyDescent="0.15">
      <c r="A20" s="3" t="s">
        <v>10</v>
      </c>
      <c r="B20" s="3"/>
      <c r="C20" s="23">
        <v>9248</v>
      </c>
      <c r="D20" s="24">
        <v>10842</v>
      </c>
      <c r="E20" s="23">
        <v>13094</v>
      </c>
      <c r="F20" s="23">
        <v>15451</v>
      </c>
      <c r="G20" s="24">
        <v>17772</v>
      </c>
      <c r="H20" s="25">
        <f>G20*(1+$H$49)</f>
        <v>21178.892400000001</v>
      </c>
      <c r="I20" s="25">
        <f>H20*(1+$H$49)</f>
        <v>25238.886073080001</v>
      </c>
      <c r="J20" s="25">
        <f t="shared" ref="J20:K20" si="0">I20*(1+$H$49)</f>
        <v>30077.180533289436</v>
      </c>
      <c r="K20" s="25">
        <f t="shared" si="0"/>
        <v>35842.976041521018</v>
      </c>
      <c r="L20" s="25">
        <f>K20*(1+$H$49)</f>
        <v>42714.074548680597</v>
      </c>
      <c r="M20" s="3"/>
      <c r="N20" s="3"/>
      <c r="O20" s="3"/>
      <c r="P20" s="3"/>
      <c r="Q20" s="3"/>
      <c r="R20" s="3"/>
      <c r="S20" s="3"/>
      <c r="T20" s="3"/>
      <c r="U20" s="3"/>
      <c r="V20" s="3"/>
      <c r="W20" s="3"/>
      <c r="X20" s="3"/>
    </row>
    <row r="21" spans="1:24" x14ac:dyDescent="0.15">
      <c r="A21" s="3" t="s">
        <v>108</v>
      </c>
      <c r="B21" s="3"/>
      <c r="C21" s="23">
        <v>2610</v>
      </c>
      <c r="D21" s="26">
        <v>3346</v>
      </c>
      <c r="E21" s="26">
        <v>4419</v>
      </c>
      <c r="F21" s="26">
        <v>5581</v>
      </c>
      <c r="G21" s="26">
        <v>6790</v>
      </c>
      <c r="H21" s="25">
        <f>H20*$H$52</f>
        <v>7080.4794900714778</v>
      </c>
      <c r="I21" s="25">
        <f t="shared" ref="I21:L21" si="1">I20*$H$52</f>
        <v>8437.80740831818</v>
      </c>
      <c r="J21" s="25">
        <f t="shared" si="1"/>
        <v>10055.335088492775</v>
      </c>
      <c r="K21" s="25">
        <f t="shared" si="1"/>
        <v>11982.942824956839</v>
      </c>
      <c r="L21" s="25">
        <f t="shared" si="1"/>
        <v>14280.072964501065</v>
      </c>
      <c r="M21" s="3"/>
      <c r="N21" s="3"/>
      <c r="O21" s="3"/>
      <c r="P21" s="3"/>
      <c r="Q21" s="3"/>
      <c r="R21" s="3"/>
      <c r="S21" s="3"/>
      <c r="T21" s="3"/>
      <c r="U21" s="3"/>
      <c r="V21" s="3"/>
      <c r="W21" s="3"/>
      <c r="X21" s="3"/>
    </row>
    <row r="22" spans="1:24" x14ac:dyDescent="0.15">
      <c r="A22" s="3" t="s">
        <v>109</v>
      </c>
      <c r="B22" s="3"/>
      <c r="C22" s="23">
        <v>809</v>
      </c>
      <c r="D22" s="26">
        <v>1088</v>
      </c>
      <c r="E22" s="26">
        <v>1011</v>
      </c>
      <c r="F22" s="26">
        <v>1274</v>
      </c>
      <c r="G22" s="26">
        <v>1380</v>
      </c>
      <c r="H22" s="25">
        <f>H20*$H$53</f>
        <v>1800.8168449644268</v>
      </c>
      <c r="I22" s="25">
        <f t="shared" ref="I22:L22" si="2">I20*$H$53</f>
        <v>2146.0334341441076</v>
      </c>
      <c r="J22" s="25">
        <f t="shared" si="2"/>
        <v>2557.4280434695329</v>
      </c>
      <c r="K22" s="25">
        <f t="shared" si="2"/>
        <v>3047.686999402642</v>
      </c>
      <c r="L22" s="25">
        <f t="shared" si="2"/>
        <v>3631.9285971881286</v>
      </c>
      <c r="M22" s="3"/>
      <c r="N22" s="3"/>
      <c r="O22" s="3"/>
      <c r="P22" s="3"/>
      <c r="Q22" s="3"/>
      <c r="R22" s="3"/>
      <c r="S22" s="3"/>
      <c r="T22" s="3"/>
      <c r="U22" s="3"/>
      <c r="V22" s="3"/>
      <c r="W22" s="3"/>
      <c r="X22" s="3"/>
    </row>
    <row r="23" spans="1:24" x14ac:dyDescent="0.15">
      <c r="A23" s="3" t="s">
        <v>110</v>
      </c>
      <c r="B23" s="3"/>
      <c r="C23" s="23">
        <v>1110</v>
      </c>
      <c r="D23" s="26">
        <v>1267</v>
      </c>
      <c r="E23" s="26">
        <v>1265</v>
      </c>
      <c r="F23" s="26">
        <v>1407</v>
      </c>
      <c r="G23" s="26">
        <v>1615</v>
      </c>
      <c r="H23" s="25">
        <f>H20*$H$54</f>
        <v>2183.250666749228</v>
      </c>
      <c r="I23" s="25">
        <f t="shared" ref="I23:L23" si="3">I20*$H$54</f>
        <v>2601.7798195650553</v>
      </c>
      <c r="J23" s="25">
        <f t="shared" si="3"/>
        <v>3100.5410109756763</v>
      </c>
      <c r="K23" s="25">
        <f t="shared" si="3"/>
        <v>3694.914722779713</v>
      </c>
      <c r="L23" s="25">
        <f t="shared" si="3"/>
        <v>4403.2298751365843</v>
      </c>
      <c r="M23" s="3"/>
      <c r="N23" s="3"/>
      <c r="O23" s="3"/>
      <c r="P23" s="3"/>
      <c r="Q23" s="3"/>
      <c r="R23" s="3"/>
      <c r="S23" s="3"/>
      <c r="T23" s="3"/>
      <c r="U23" s="3"/>
      <c r="V23" s="3"/>
      <c r="W23" s="3"/>
      <c r="X23" s="3"/>
    </row>
    <row r="24" spans="1:24" x14ac:dyDescent="0.15">
      <c r="A24" s="3" t="s">
        <v>111</v>
      </c>
      <c r="B24" s="3"/>
      <c r="C24" s="27">
        <v>937</v>
      </c>
      <c r="D24" s="28">
        <v>969</v>
      </c>
      <c r="E24" s="28">
        <v>1142</v>
      </c>
      <c r="F24" s="28">
        <v>1314</v>
      </c>
      <c r="G24" s="28">
        <v>1401</v>
      </c>
      <c r="H24" s="29">
        <f>H20*$H$55</f>
        <v>1871.3003734596205</v>
      </c>
      <c r="I24" s="29">
        <f t="shared" ref="I24:L24" si="4">I20*$H$55</f>
        <v>2230.0286550518294</v>
      </c>
      <c r="J24" s="29">
        <f t="shared" si="4"/>
        <v>2657.5251482252652</v>
      </c>
      <c r="K24" s="29">
        <f t="shared" si="4"/>
        <v>3166.9727191400484</v>
      </c>
      <c r="L24" s="29">
        <f t="shared" si="4"/>
        <v>3774.0813893991958</v>
      </c>
      <c r="M24" s="3"/>
      <c r="N24" s="3"/>
      <c r="O24" s="3"/>
      <c r="P24" s="3"/>
      <c r="Q24" s="3"/>
      <c r="R24" s="3"/>
      <c r="S24" s="3"/>
      <c r="T24" s="3"/>
      <c r="U24" s="3"/>
      <c r="V24" s="3"/>
      <c r="W24" s="3"/>
      <c r="X24" s="3"/>
    </row>
    <row r="25" spans="1:24" x14ac:dyDescent="0.15">
      <c r="A25" s="30" t="s">
        <v>11</v>
      </c>
      <c r="B25" s="3"/>
      <c r="C25" s="31">
        <f>C20-C24-C21-C22-C23</f>
        <v>3782</v>
      </c>
      <c r="D25" s="31">
        <f t="shared" ref="D25:L25" si="5">D20-D24-D21-D22-D23</f>
        <v>4172</v>
      </c>
      <c r="E25" s="31">
        <f t="shared" si="5"/>
        <v>5257</v>
      </c>
      <c r="F25" s="31">
        <f t="shared" si="5"/>
        <v>5875</v>
      </c>
      <c r="G25" s="31">
        <f t="shared" si="5"/>
        <v>6586</v>
      </c>
      <c r="H25" s="31">
        <f t="shared" si="5"/>
        <v>8243.0450247552471</v>
      </c>
      <c r="I25" s="31">
        <f t="shared" si="5"/>
        <v>9823.2367560008297</v>
      </c>
      <c r="J25" s="31">
        <f t="shared" si="5"/>
        <v>11706.351242126189</v>
      </c>
      <c r="K25" s="31">
        <f t="shared" si="5"/>
        <v>13950.458775241774</v>
      </c>
      <c r="L25" s="31">
        <f t="shared" si="5"/>
        <v>16624.761722455623</v>
      </c>
      <c r="M25" s="3"/>
      <c r="N25" s="3"/>
      <c r="O25" s="3"/>
      <c r="P25" s="3"/>
      <c r="Q25" s="3"/>
      <c r="R25" s="3"/>
      <c r="S25" s="3"/>
      <c r="T25" s="3"/>
      <c r="U25" s="3"/>
      <c r="V25" s="3"/>
      <c r="W25" s="3"/>
      <c r="X25" s="3"/>
    </row>
    <row r="26" spans="1:24" x14ac:dyDescent="0.15">
      <c r="A26" s="3" t="s">
        <v>12</v>
      </c>
      <c r="B26" s="3"/>
      <c r="C26" s="23">
        <v>873</v>
      </c>
      <c r="D26" s="24">
        <v>1028</v>
      </c>
      <c r="E26" s="23">
        <v>1258</v>
      </c>
      <c r="F26" s="23">
        <v>1541</v>
      </c>
      <c r="G26" s="24">
        <v>2085</v>
      </c>
      <c r="H26" s="25">
        <f>H20*$H$57</f>
        <v>2127.8170797005027</v>
      </c>
      <c r="I26" s="25">
        <f t="shared" ref="I26:L26" si="6">I20*$H$57</f>
        <v>2535.7196138790887</v>
      </c>
      <c r="J26" s="25">
        <f t="shared" si="6"/>
        <v>3021.8170638597103</v>
      </c>
      <c r="K26" s="25">
        <f t="shared" si="6"/>
        <v>3601.0993950016164</v>
      </c>
      <c r="L26" s="25">
        <f t="shared" si="6"/>
        <v>4291.4301490234266</v>
      </c>
      <c r="M26" s="3"/>
      <c r="N26" s="3"/>
      <c r="O26" s="3"/>
      <c r="P26" s="3"/>
      <c r="Q26" s="3"/>
      <c r="R26" s="3"/>
      <c r="S26" s="3"/>
      <c r="T26" s="3"/>
      <c r="U26" s="3"/>
      <c r="V26" s="3"/>
      <c r="W26" s="3"/>
      <c r="X26" s="3"/>
    </row>
    <row r="27" spans="1:24" x14ac:dyDescent="0.15">
      <c r="A27" s="3" t="s">
        <v>13</v>
      </c>
      <c r="B27" s="3"/>
      <c r="C27" s="24">
        <v>792</v>
      </c>
      <c r="D27" s="24">
        <v>834</v>
      </c>
      <c r="E27" s="23">
        <v>1740</v>
      </c>
      <c r="F27" s="23">
        <v>1831</v>
      </c>
      <c r="G27" s="24">
        <v>1711</v>
      </c>
      <c r="H27" s="25">
        <f>H20*$H$58</f>
        <v>2161.2094038932628</v>
      </c>
      <c r="I27" s="25">
        <f t="shared" ref="I27:L27" si="7">I20*$H$58</f>
        <v>2575.5132466196014</v>
      </c>
      <c r="J27" s="25">
        <f t="shared" si="7"/>
        <v>3069.2391359965791</v>
      </c>
      <c r="K27" s="25">
        <f t="shared" si="7"/>
        <v>3657.6122783671226</v>
      </c>
      <c r="L27" s="25">
        <f t="shared" si="7"/>
        <v>4358.7765521300998</v>
      </c>
      <c r="M27" s="3"/>
      <c r="N27" s="3"/>
      <c r="O27" s="3"/>
      <c r="P27" s="3"/>
      <c r="Q27" s="3"/>
      <c r="R27" s="3"/>
      <c r="S27" s="3"/>
      <c r="T27" s="3"/>
      <c r="U27" s="3"/>
      <c r="V27" s="3"/>
      <c r="W27" s="3"/>
      <c r="X27" s="3"/>
    </row>
    <row r="28" spans="1:24" x14ac:dyDescent="0.15">
      <c r="A28" s="3" t="s">
        <v>16</v>
      </c>
      <c r="B28" s="3"/>
      <c r="C28" s="24">
        <v>48</v>
      </c>
      <c r="D28" s="24">
        <v>0</v>
      </c>
      <c r="E28" s="23">
        <v>132</v>
      </c>
      <c r="F28" s="23">
        <v>309</v>
      </c>
      <c r="G28" s="24">
        <v>71</v>
      </c>
      <c r="H28" s="32"/>
      <c r="I28" s="32"/>
      <c r="J28" s="32"/>
      <c r="K28" s="32"/>
      <c r="L28" s="32"/>
      <c r="M28" s="3"/>
      <c r="N28" s="3"/>
      <c r="O28" s="3"/>
      <c r="P28" s="3"/>
      <c r="Q28" s="3"/>
      <c r="R28" s="3"/>
      <c r="S28" s="3"/>
      <c r="T28" s="3"/>
      <c r="U28" s="3"/>
      <c r="V28" s="3"/>
      <c r="W28" s="3"/>
      <c r="X28" s="3"/>
    </row>
    <row r="29" spans="1:24" x14ac:dyDescent="0.15">
      <c r="A29" s="3" t="s">
        <v>76</v>
      </c>
      <c r="B29" s="3"/>
      <c r="C29" s="33">
        <v>27</v>
      </c>
      <c r="D29" s="33">
        <v>45</v>
      </c>
      <c r="E29" s="27">
        <v>73</v>
      </c>
      <c r="F29" s="27">
        <v>182</v>
      </c>
      <c r="G29" s="33">
        <v>279</v>
      </c>
      <c r="H29" s="29">
        <f>G29*(1+$H$61)</f>
        <v>292.87069607734577</v>
      </c>
      <c r="I29" s="29">
        <f t="shared" ref="I29:L29" si="8">H29*(1+$H$61)</f>
        <v>307.43098430404672</v>
      </c>
      <c r="J29" s="29">
        <f t="shared" si="8"/>
        <v>322.71514827551874</v>
      </c>
      <c r="K29" s="29">
        <f t="shared" si="8"/>
        <v>338.75917602206101</v>
      </c>
      <c r="L29" s="29">
        <f t="shared" si="8"/>
        <v>355.60084474612586</v>
      </c>
      <c r="M29" s="3"/>
      <c r="N29" s="3"/>
      <c r="O29" s="3"/>
      <c r="P29" s="3"/>
      <c r="Q29" s="3"/>
      <c r="R29" s="3"/>
      <c r="S29" s="3"/>
      <c r="T29" s="3"/>
      <c r="U29" s="3"/>
      <c r="V29" s="3"/>
      <c r="W29" s="3"/>
      <c r="X29" s="3"/>
    </row>
    <row r="30" spans="1:24" x14ac:dyDescent="0.15">
      <c r="A30" s="30" t="s">
        <v>102</v>
      </c>
      <c r="B30" s="3"/>
      <c r="C30" s="34">
        <f>C25-C26-C27-C28+C29-C37</f>
        <v>1488</v>
      </c>
      <c r="D30" s="34">
        <f>D25-D26-D27-D28+D29-D37</f>
        <v>1631</v>
      </c>
      <c r="E30" s="35">
        <f>E25-E26-E27-E28+E29</f>
        <v>2200</v>
      </c>
      <c r="F30" s="35">
        <f t="shared" ref="F30" si="9">F25-F26-F27-F28+F29</f>
        <v>2376</v>
      </c>
      <c r="G30" s="35">
        <f>G25-G26-G27-G28+G29</f>
        <v>2998</v>
      </c>
      <c r="H30" s="36"/>
      <c r="I30" s="36"/>
      <c r="J30" s="36"/>
      <c r="K30" s="36"/>
      <c r="L30" s="36"/>
      <c r="M30" s="3"/>
      <c r="N30" s="3"/>
      <c r="O30" s="3"/>
      <c r="P30" s="3"/>
      <c r="Q30" s="3"/>
      <c r="R30" s="3"/>
      <c r="S30" s="3"/>
      <c r="T30" s="3"/>
      <c r="U30" s="3"/>
      <c r="V30" s="3"/>
      <c r="W30" s="3"/>
      <c r="X30" s="3"/>
    </row>
    <row r="31" spans="1:24" x14ac:dyDescent="0.15">
      <c r="A31" s="30" t="s">
        <v>101</v>
      </c>
      <c r="B31" s="3"/>
      <c r="C31" s="34">
        <f>C30+C28</f>
        <v>1536</v>
      </c>
      <c r="D31" s="34">
        <f t="shared" ref="D31:G31" si="10">D30+D28</f>
        <v>1631</v>
      </c>
      <c r="E31" s="34">
        <f t="shared" si="10"/>
        <v>2332</v>
      </c>
      <c r="F31" s="34">
        <f t="shared" si="10"/>
        <v>2685</v>
      </c>
      <c r="G31" s="34">
        <f t="shared" si="10"/>
        <v>3069</v>
      </c>
      <c r="H31" s="37">
        <f>H25-H26-H27+H29</f>
        <v>4246.8892372388282</v>
      </c>
      <c r="I31" s="37">
        <f t="shared" ref="I31:J31" si="11">I25-I26-I27+I29</f>
        <v>5019.4348798061856</v>
      </c>
      <c r="J31" s="37">
        <f t="shared" si="11"/>
        <v>5938.0101905454203</v>
      </c>
      <c r="K31" s="37">
        <f>K25-K26-K27+K29</f>
        <v>7030.506277895096</v>
      </c>
      <c r="L31" s="37">
        <f>L25-L26-L27+L29</f>
        <v>8330.1558660482224</v>
      </c>
      <c r="M31" s="3"/>
      <c r="N31" s="3"/>
      <c r="O31" s="3"/>
      <c r="P31" s="3"/>
      <c r="Q31" s="3"/>
      <c r="R31" s="3"/>
      <c r="S31" s="3"/>
      <c r="T31" s="3"/>
      <c r="U31" s="3"/>
      <c r="V31" s="3"/>
      <c r="W31" s="3"/>
      <c r="X31" s="3"/>
    </row>
    <row r="32" spans="1:24" x14ac:dyDescent="0.15">
      <c r="A32" s="3" t="s">
        <v>104</v>
      </c>
      <c r="B32" s="3"/>
      <c r="C32" s="38">
        <v>260</v>
      </c>
      <c r="D32" s="38">
        <v>230</v>
      </c>
      <c r="E32" s="38">
        <v>405</v>
      </c>
      <c r="F32" s="38">
        <v>319</v>
      </c>
      <c r="G32" s="39">
        <v>539</v>
      </c>
      <c r="H32" s="40"/>
      <c r="I32" s="40"/>
      <c r="J32" s="40"/>
      <c r="K32" s="40"/>
      <c r="L32" s="40"/>
      <c r="M32" s="3"/>
      <c r="N32" s="3"/>
      <c r="O32" s="3"/>
      <c r="P32" s="3"/>
      <c r="Q32" s="3"/>
      <c r="R32" s="3"/>
      <c r="S32" s="3"/>
      <c r="T32" s="3"/>
      <c r="U32" s="3"/>
      <c r="V32" s="3"/>
      <c r="W32" s="3"/>
      <c r="X32" s="3"/>
    </row>
    <row r="33" spans="1:63" x14ac:dyDescent="0.15">
      <c r="A33" s="3" t="s">
        <v>105</v>
      </c>
      <c r="B33" s="3"/>
      <c r="C33" s="41">
        <f>C31*C59</f>
        <v>268.38709677419354</v>
      </c>
      <c r="D33" s="41">
        <f t="shared" ref="D33:G33" si="12">D31*D59</f>
        <v>230</v>
      </c>
      <c r="E33" s="41">
        <f t="shared" si="12"/>
        <v>429.29999999999995</v>
      </c>
      <c r="F33" s="41">
        <f t="shared" si="12"/>
        <v>360.48611111111114</v>
      </c>
      <c r="G33" s="41">
        <f t="shared" si="12"/>
        <v>551.76484322881925</v>
      </c>
      <c r="H33" s="42">
        <f>H31*$H$59</f>
        <v>763.53345526074997</v>
      </c>
      <c r="I33" s="42">
        <f t="shared" ref="I33:L33" si="13">I31*$H$59</f>
        <v>902.42675123933759</v>
      </c>
      <c r="J33" s="42">
        <f t="shared" si="13"/>
        <v>1067.5742137104676</v>
      </c>
      <c r="K33" s="42">
        <f t="shared" si="13"/>
        <v>1263.990288120566</v>
      </c>
      <c r="L33" s="42">
        <f t="shared" si="13"/>
        <v>1497.6497704469618</v>
      </c>
      <c r="M33" s="3"/>
      <c r="N33" s="3"/>
      <c r="O33" s="3"/>
      <c r="P33" s="3"/>
      <c r="Q33" s="3"/>
      <c r="R33" s="3"/>
      <c r="S33" s="3"/>
      <c r="T33" s="3"/>
      <c r="U33" s="3"/>
      <c r="V33" s="3"/>
      <c r="W33" s="3"/>
      <c r="X33" s="3"/>
    </row>
    <row r="34" spans="1:63" x14ac:dyDescent="0.15">
      <c r="A34" s="30" t="s">
        <v>103</v>
      </c>
      <c r="B34" s="3"/>
      <c r="C34" s="34">
        <f>C30-C32</f>
        <v>1228</v>
      </c>
      <c r="D34" s="34">
        <f>D30-D32</f>
        <v>1401</v>
      </c>
      <c r="E34" s="35">
        <f>E30-E32</f>
        <v>1795</v>
      </c>
      <c r="F34" s="35">
        <f t="shared" ref="F34:G34" si="14">F30-F32</f>
        <v>2057</v>
      </c>
      <c r="G34" s="35">
        <f t="shared" si="14"/>
        <v>2459</v>
      </c>
      <c r="H34" s="36"/>
      <c r="I34" s="36"/>
      <c r="J34" s="36"/>
      <c r="K34" s="36"/>
      <c r="L34" s="36"/>
      <c r="M34" s="3"/>
      <c r="N34" s="3"/>
      <c r="O34" s="3"/>
      <c r="P34" s="3"/>
      <c r="Q34" s="3"/>
      <c r="R34" s="3"/>
      <c r="S34" s="3"/>
      <c r="T34" s="3"/>
      <c r="U34" s="3"/>
      <c r="V34" s="3"/>
      <c r="W34" s="3"/>
      <c r="X34" s="3"/>
    </row>
    <row r="35" spans="1:63" x14ac:dyDescent="0.15">
      <c r="A35" s="3" t="s">
        <v>100</v>
      </c>
      <c r="B35" s="3"/>
      <c r="C35" s="31">
        <f>C31-C33</f>
        <v>1267.6129032258063</v>
      </c>
      <c r="D35" s="31">
        <f t="shared" ref="D35:G35" si="15">D31-D33</f>
        <v>1401</v>
      </c>
      <c r="E35" s="31">
        <f t="shared" si="15"/>
        <v>1902.7</v>
      </c>
      <c r="F35" s="31">
        <f t="shared" si="15"/>
        <v>2324.5138888888887</v>
      </c>
      <c r="G35" s="31">
        <f t="shared" si="15"/>
        <v>2517.2351567711808</v>
      </c>
      <c r="H35" s="43">
        <f>H31-H33</f>
        <v>3483.3557819780781</v>
      </c>
      <c r="I35" s="43">
        <f t="shared" ref="I35" si="16">I31-I33</f>
        <v>4117.0081285668475</v>
      </c>
      <c r="J35" s="43">
        <f t="shared" ref="J35" si="17">J31-J33</f>
        <v>4870.4359768349532</v>
      </c>
      <c r="K35" s="43">
        <f t="shared" ref="K35" si="18">K31-K33</f>
        <v>5766.5159897745298</v>
      </c>
      <c r="L35" s="43">
        <f t="shared" ref="L35" si="19">L31-L33</f>
        <v>6832.5060956012603</v>
      </c>
      <c r="M35" s="3"/>
      <c r="N35" s="3"/>
      <c r="O35" s="3"/>
      <c r="P35" s="3"/>
      <c r="Q35" s="3"/>
      <c r="R35" s="3"/>
      <c r="S35" s="3"/>
      <c r="T35" s="3"/>
      <c r="U35" s="3"/>
      <c r="V35" s="3"/>
      <c r="W35" s="3"/>
      <c r="X35" s="3"/>
    </row>
    <row r="36" spans="1:63" x14ac:dyDescent="0.15">
      <c r="A36" s="3"/>
      <c r="B36" s="3"/>
      <c r="C36" s="3"/>
      <c r="D36" s="3"/>
      <c r="E36" s="24"/>
      <c r="F36" s="24"/>
      <c r="G36" s="24"/>
      <c r="H36" s="44"/>
      <c r="I36" s="44"/>
      <c r="J36" s="44"/>
      <c r="K36" s="44"/>
      <c r="L36" s="44"/>
      <c r="M36" s="3"/>
      <c r="N36" s="3"/>
      <c r="O36" s="3"/>
      <c r="P36" s="3"/>
      <c r="Q36" s="3"/>
      <c r="R36" s="3"/>
      <c r="S36" s="3"/>
      <c r="T36" s="3"/>
      <c r="U36" s="3"/>
      <c r="V36" s="3"/>
      <c r="W36" s="3"/>
      <c r="X36" s="3"/>
    </row>
    <row r="37" spans="1:63" x14ac:dyDescent="0.15">
      <c r="A37" s="3" t="s">
        <v>75</v>
      </c>
      <c r="B37" s="3"/>
      <c r="C37" s="33">
        <v>608</v>
      </c>
      <c r="D37" s="33">
        <v>724</v>
      </c>
      <c r="E37" s="33">
        <v>805</v>
      </c>
      <c r="F37" s="33">
        <v>776</v>
      </c>
      <c r="G37" s="33">
        <v>912</v>
      </c>
      <c r="H37" s="29">
        <f ca="1">$H$60*AVERAGE(G80:H80)</f>
        <v>1121.569553193812</v>
      </c>
      <c r="I37" s="29">
        <f ca="1">$H$60*AVERAGE(H80:I80)</f>
        <v>1373.4306387545153</v>
      </c>
      <c r="J37" s="29">
        <f ca="1">$H$60*AVERAGE(I80:J80)</f>
        <v>1679.8573302584566</v>
      </c>
      <c r="K37" s="29">
        <f ca="1">$H$60*AVERAGE(J80:K80)</f>
        <v>2052.3812233750127</v>
      </c>
      <c r="L37" s="29">
        <f ca="1">$H$60*AVERAGE(K80:L80)</f>
        <v>2504.9271848170692</v>
      </c>
      <c r="M37" s="3"/>
      <c r="N37" s="3"/>
      <c r="O37" s="3"/>
      <c r="P37" s="3"/>
      <c r="Q37" s="3"/>
      <c r="R37" s="3"/>
      <c r="S37" s="3"/>
      <c r="T37" s="3"/>
      <c r="U37" s="3"/>
      <c r="V37" s="3"/>
      <c r="W37" s="3"/>
      <c r="X37" s="3"/>
    </row>
    <row r="38" spans="1:63" x14ac:dyDescent="0.15">
      <c r="A38" s="30" t="s">
        <v>15</v>
      </c>
      <c r="B38" s="3"/>
      <c r="C38" s="34">
        <f>C30+C37</f>
        <v>2096</v>
      </c>
      <c r="D38" s="34">
        <f>D30+D37</f>
        <v>2355</v>
      </c>
      <c r="E38" s="31">
        <f t="shared" ref="E38:F38" si="20">E30+E37</f>
        <v>3005</v>
      </c>
      <c r="F38" s="31">
        <f t="shared" si="20"/>
        <v>3152</v>
      </c>
      <c r="G38" s="31">
        <f>G30+G37</f>
        <v>3910</v>
      </c>
      <c r="H38" s="43">
        <f ca="1">H31+H37</f>
        <v>5368.4587904326399</v>
      </c>
      <c r="I38" s="43">
        <f t="shared" ref="I38:K38" ca="1" si="21">I31+I37</f>
        <v>6392.8655185607004</v>
      </c>
      <c r="J38" s="43">
        <f t="shared" ca="1" si="21"/>
        <v>7617.8675208038767</v>
      </c>
      <c r="K38" s="43">
        <f t="shared" ca="1" si="21"/>
        <v>9082.8875012701083</v>
      </c>
      <c r="L38" s="43">
        <f ca="1">L31+L37</f>
        <v>10835.083050865291</v>
      </c>
      <c r="M38" s="3"/>
      <c r="N38" s="3"/>
      <c r="O38" s="3"/>
      <c r="P38" s="3"/>
      <c r="Q38" s="3"/>
      <c r="R38" s="3"/>
      <c r="S38" s="3"/>
      <c r="T38" s="3"/>
      <c r="U38" s="3"/>
      <c r="V38" s="3"/>
      <c r="W38" s="3"/>
      <c r="X38" s="3"/>
    </row>
    <row r="39" spans="1:63" x14ac:dyDescent="0.15">
      <c r="A39" s="30"/>
      <c r="B39" s="3"/>
      <c r="C39" s="45"/>
      <c r="D39" s="45"/>
      <c r="E39" s="44"/>
      <c r="F39" s="44"/>
      <c r="G39" s="44"/>
      <c r="H39" s="44"/>
      <c r="I39" s="44"/>
      <c r="J39" s="44"/>
      <c r="K39" s="44"/>
      <c r="L39" s="44"/>
      <c r="M39" s="3"/>
      <c r="N39" s="3"/>
      <c r="O39" s="3"/>
      <c r="P39" s="3"/>
      <c r="Q39" s="3"/>
      <c r="R39" s="3"/>
      <c r="S39" s="3"/>
      <c r="T39" s="3"/>
      <c r="U39" s="3"/>
      <c r="V39" s="3"/>
      <c r="W39" s="3"/>
      <c r="X39" s="3"/>
    </row>
    <row r="40" spans="1:63" x14ac:dyDescent="0.15">
      <c r="A40" s="3" t="s">
        <v>120</v>
      </c>
      <c r="B40" s="3"/>
      <c r="C40" s="33">
        <v>185</v>
      </c>
      <c r="D40" s="33">
        <v>449</v>
      </c>
      <c r="E40" s="33">
        <v>756</v>
      </c>
      <c r="F40" s="33">
        <v>891</v>
      </c>
      <c r="G40" s="33">
        <v>1059</v>
      </c>
      <c r="H40" s="46">
        <f>G40*(1+$H$49)</f>
        <v>1262.0102999999999</v>
      </c>
      <c r="I40" s="46">
        <f t="shared" ref="I40:L40" si="22">H40*(1+$H$49)</f>
        <v>1503.9376745099999</v>
      </c>
      <c r="J40" s="46">
        <f t="shared" si="22"/>
        <v>1792.2425267135668</v>
      </c>
      <c r="K40" s="46">
        <f t="shared" si="22"/>
        <v>2135.8154190845576</v>
      </c>
      <c r="L40" s="46">
        <f t="shared" si="22"/>
        <v>2545.2512349230674</v>
      </c>
      <c r="M40" s="3"/>
      <c r="N40" s="3"/>
      <c r="O40" s="3"/>
      <c r="P40" s="3"/>
      <c r="Q40" s="3"/>
      <c r="R40" s="3"/>
      <c r="S40" s="3"/>
      <c r="T40" s="3"/>
      <c r="U40" s="3"/>
      <c r="V40" s="3"/>
      <c r="W40" s="3"/>
      <c r="X40" s="3"/>
    </row>
    <row r="41" spans="1:63" x14ac:dyDescent="0.15">
      <c r="A41" s="30" t="s">
        <v>121</v>
      </c>
      <c r="B41" s="3"/>
      <c r="C41" s="34">
        <f>C38+C40</f>
        <v>2281</v>
      </c>
      <c r="D41" s="34">
        <f t="shared" ref="D41:L41" si="23">D38+D40</f>
        <v>2804</v>
      </c>
      <c r="E41" s="34">
        <f t="shared" si="23"/>
        <v>3761</v>
      </c>
      <c r="F41" s="34">
        <f t="shared" si="23"/>
        <v>4043</v>
      </c>
      <c r="G41" s="34">
        <f>G38+G40</f>
        <v>4969</v>
      </c>
      <c r="H41" s="37">
        <f t="shared" ca="1" si="23"/>
        <v>6630.4690904326399</v>
      </c>
      <c r="I41" s="37">
        <f t="shared" ca="1" si="23"/>
        <v>7896.8031930707002</v>
      </c>
      <c r="J41" s="37">
        <f t="shared" ca="1" si="23"/>
        <v>9410.1100475174426</v>
      </c>
      <c r="K41" s="37">
        <f t="shared" ca="1" si="23"/>
        <v>11218.702920354666</v>
      </c>
      <c r="L41" s="37">
        <f t="shared" ca="1" si="23"/>
        <v>13380.334285788358</v>
      </c>
      <c r="M41" s="3"/>
      <c r="N41" s="3"/>
      <c r="O41" s="3"/>
      <c r="P41" s="3"/>
      <c r="Q41" s="3"/>
      <c r="R41" s="3"/>
      <c r="S41" s="3"/>
      <c r="T41" s="3"/>
      <c r="U41" s="3"/>
      <c r="V41" s="3"/>
      <c r="W41" s="3"/>
      <c r="X41" s="3"/>
    </row>
    <row r="42" spans="1:63" x14ac:dyDescent="0.15">
      <c r="A42" s="3"/>
      <c r="B42" s="3"/>
      <c r="C42" s="47"/>
      <c r="D42" s="47"/>
      <c r="E42" s="47"/>
      <c r="F42" s="47"/>
      <c r="G42" s="47"/>
      <c r="H42" s="44"/>
      <c r="I42" s="44"/>
      <c r="J42" s="44"/>
      <c r="K42" s="44"/>
      <c r="L42" s="44"/>
      <c r="M42" s="3"/>
      <c r="N42" s="3"/>
      <c r="O42" s="3"/>
      <c r="P42" s="3"/>
      <c r="Q42" s="3"/>
      <c r="R42" s="3"/>
      <c r="S42" s="3"/>
      <c r="T42" s="3"/>
      <c r="U42" s="3"/>
      <c r="V42" s="3"/>
      <c r="W42" s="3"/>
      <c r="X42" s="3"/>
    </row>
    <row r="43" spans="1:63" x14ac:dyDescent="0.15">
      <c r="A43" s="3"/>
      <c r="B43" s="3"/>
      <c r="C43" s="47"/>
      <c r="D43" s="47"/>
      <c r="E43" s="47"/>
      <c r="F43" s="47"/>
      <c r="G43" s="47"/>
      <c r="H43" s="44"/>
      <c r="I43" s="44"/>
      <c r="J43" s="44"/>
      <c r="K43" s="44"/>
      <c r="L43" s="44"/>
      <c r="M43" s="3"/>
      <c r="N43" s="3"/>
      <c r="O43" s="3"/>
      <c r="P43" s="3"/>
      <c r="Q43" s="3"/>
      <c r="R43" s="3"/>
      <c r="S43" s="3"/>
      <c r="T43" s="3"/>
      <c r="U43" s="3"/>
      <c r="V43" s="3"/>
      <c r="W43" s="3"/>
      <c r="X43" s="3"/>
    </row>
    <row r="44" spans="1:63" x14ac:dyDescent="0.15">
      <c r="A44" s="3"/>
      <c r="B44" s="3"/>
      <c r="C44" s="47"/>
      <c r="D44" s="47"/>
      <c r="E44" s="47"/>
      <c r="F44" s="47"/>
      <c r="G44" s="47"/>
      <c r="H44" s="44"/>
      <c r="I44" s="44"/>
      <c r="J44" s="44"/>
      <c r="K44" s="44"/>
      <c r="L44" s="44"/>
      <c r="M44" s="3"/>
      <c r="N44" s="3"/>
      <c r="O44" s="3"/>
      <c r="P44" s="3"/>
      <c r="Q44" s="3"/>
      <c r="R44" s="3"/>
      <c r="S44" s="3"/>
      <c r="T44" s="3"/>
      <c r="U44" s="3"/>
      <c r="V44" s="3"/>
      <c r="W44" s="3"/>
      <c r="X44" s="3"/>
    </row>
    <row r="45" spans="1:63" s="12" customFormat="1" x14ac:dyDescent="0.15">
      <c r="A45" s="48" t="s">
        <v>172</v>
      </c>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row>
    <row r="46" spans="1:63" s="3" customFormat="1" x14ac:dyDescent="0.15">
      <c r="C46" s="186"/>
      <c r="D46" s="186"/>
      <c r="E46" s="186"/>
      <c r="F46" s="186"/>
      <c r="G46" s="186"/>
      <c r="H46" s="50"/>
      <c r="I46" s="50"/>
      <c r="J46" s="50"/>
      <c r="K46" s="50"/>
      <c r="L46" s="50"/>
    </row>
    <row r="47" spans="1:63" s="3" customFormat="1" x14ac:dyDescent="0.15">
      <c r="C47" s="21" t="str">
        <f>C18</f>
        <v>2015A</v>
      </c>
      <c r="D47" s="21" t="str">
        <f t="shared" ref="D47:G47" si="24">D18</f>
        <v>2016A</v>
      </c>
      <c r="E47" s="21" t="str">
        <f t="shared" si="24"/>
        <v>2017A</v>
      </c>
      <c r="F47" s="21" t="str">
        <f t="shared" si="24"/>
        <v>2018A</v>
      </c>
      <c r="G47" s="21" t="str">
        <f t="shared" si="24"/>
        <v>2019A</v>
      </c>
      <c r="H47" s="50"/>
      <c r="I47" s="50"/>
      <c r="J47" s="50"/>
      <c r="K47" s="50"/>
      <c r="L47" s="50"/>
    </row>
    <row r="48" spans="1:63" s="3" customFormat="1" x14ac:dyDescent="0.15">
      <c r="C48" s="51">
        <v>42369</v>
      </c>
      <c r="D48" s="51">
        <f>D19</f>
        <v>42735</v>
      </c>
      <c r="E48" s="51">
        <f>E19</f>
        <v>43100</v>
      </c>
      <c r="F48" s="51">
        <f>F19</f>
        <v>43465</v>
      </c>
      <c r="G48" s="51">
        <f>G19</f>
        <v>43830</v>
      </c>
      <c r="H48" s="50"/>
      <c r="I48" s="50"/>
      <c r="J48" s="50"/>
      <c r="K48" s="50"/>
      <c r="L48" s="50"/>
    </row>
    <row r="49" spans="1:12" s="3" customFormat="1" x14ac:dyDescent="0.15">
      <c r="A49" s="3" t="s">
        <v>17</v>
      </c>
      <c r="C49" s="50"/>
      <c r="D49" s="52">
        <f>D20/C20-1</f>
        <v>0.17236159169550169</v>
      </c>
      <c r="E49" s="52">
        <f t="shared" ref="E49:G49" si="25">E20/D20-1</f>
        <v>0.20771075447334431</v>
      </c>
      <c r="F49" s="52">
        <f t="shared" si="25"/>
        <v>0.18000610966855057</v>
      </c>
      <c r="G49" s="52">
        <f t="shared" si="25"/>
        <v>0.15021681444566704</v>
      </c>
      <c r="H49" s="53">
        <v>0.19170000000000001</v>
      </c>
      <c r="I49" s="194" t="s">
        <v>74</v>
      </c>
      <c r="J49" s="194"/>
      <c r="K49" s="194"/>
      <c r="L49" s="50"/>
    </row>
    <row r="50" spans="1:12" s="3" customFormat="1" x14ac:dyDescent="0.15">
      <c r="A50" s="3" t="s">
        <v>22</v>
      </c>
      <c r="C50" s="50"/>
      <c r="D50" s="52"/>
      <c r="E50" s="52"/>
      <c r="F50" s="52"/>
      <c r="G50" s="52">
        <f>(G20/C20)^(1/5)-1</f>
        <v>0.13956131236161995</v>
      </c>
      <c r="H50" s="53">
        <f>G50</f>
        <v>0.13956131236161995</v>
      </c>
      <c r="I50" s="194"/>
      <c r="J50" s="194"/>
      <c r="K50" s="194"/>
      <c r="L50" s="50"/>
    </row>
    <row r="51" spans="1:12" s="3" customFormat="1" x14ac:dyDescent="0.15">
      <c r="A51" s="3" t="s">
        <v>23</v>
      </c>
      <c r="C51" s="50"/>
      <c r="D51" s="52"/>
      <c r="E51" s="52"/>
      <c r="F51" s="52"/>
      <c r="G51" s="52">
        <f>AVERAGE(D49:G49)</f>
        <v>0.1775738175707659</v>
      </c>
      <c r="H51" s="53"/>
      <c r="I51" s="194"/>
      <c r="J51" s="194"/>
      <c r="K51" s="194"/>
      <c r="L51" s="50"/>
    </row>
    <row r="52" spans="1:12" s="3" customFormat="1" x14ac:dyDescent="0.15">
      <c r="A52" s="3" t="s">
        <v>119</v>
      </c>
      <c r="C52" s="52">
        <f>C21/C20</f>
        <v>0.28222318339100344</v>
      </c>
      <c r="D52" s="52">
        <f t="shared" ref="D52:G52" si="26">D21/D20</f>
        <v>0.30861464674414313</v>
      </c>
      <c r="E52" s="52">
        <f t="shared" si="26"/>
        <v>0.33748281655720175</v>
      </c>
      <c r="F52" s="52">
        <f t="shared" si="26"/>
        <v>0.36120639440812891</v>
      </c>
      <c r="G52" s="52">
        <f t="shared" si="26"/>
        <v>0.38206167004276392</v>
      </c>
      <c r="H52" s="53">
        <f t="shared" ref="H52:H54" si="27">AVERAGE(C52:G52)</f>
        <v>0.33431774222864824</v>
      </c>
      <c r="I52" s="194"/>
      <c r="J52" s="194"/>
      <c r="K52" s="194"/>
      <c r="L52" s="50"/>
    </row>
    <row r="53" spans="1:12" s="3" customFormat="1" x14ac:dyDescent="0.15">
      <c r="A53" s="3" t="s">
        <v>113</v>
      </c>
      <c r="C53" s="52">
        <f>C22/C20</f>
        <v>8.7478373702422146E-2</v>
      </c>
      <c r="D53" s="52">
        <f t="shared" ref="D53:G53" si="28">D22/D20</f>
        <v>0.10035048883969747</v>
      </c>
      <c r="E53" s="52">
        <f t="shared" si="28"/>
        <v>7.7210936306705363E-2</v>
      </c>
      <c r="F53" s="52">
        <f t="shared" si="28"/>
        <v>8.2454210083489743E-2</v>
      </c>
      <c r="G53" s="52">
        <f t="shared" si="28"/>
        <v>7.7650236326806218E-2</v>
      </c>
      <c r="H53" s="53">
        <f t="shared" si="27"/>
        <v>8.5028849051824201E-2</v>
      </c>
      <c r="I53" s="194"/>
      <c r="J53" s="194"/>
      <c r="K53" s="194"/>
      <c r="L53" s="50"/>
    </row>
    <row r="54" spans="1:12" s="3" customFormat="1" x14ac:dyDescent="0.15">
      <c r="A54" s="3" t="s">
        <v>114</v>
      </c>
      <c r="C54" s="52">
        <f>C23/C20</f>
        <v>0.12002595155709342</v>
      </c>
      <c r="D54" s="52">
        <f t="shared" ref="D54:G54" si="29">D23/D20</f>
        <v>0.11686035786755211</v>
      </c>
      <c r="E54" s="52">
        <f t="shared" si="29"/>
        <v>9.6609133954482965E-2</v>
      </c>
      <c r="F54" s="52">
        <f t="shared" si="29"/>
        <v>9.1062067180117792E-2</v>
      </c>
      <c r="G54" s="52">
        <f t="shared" si="29"/>
        <v>9.0873283817240608E-2</v>
      </c>
      <c r="H54" s="53">
        <f t="shared" si="27"/>
        <v>0.10308615887529737</v>
      </c>
      <c r="I54" s="194"/>
      <c r="J54" s="194"/>
      <c r="K54" s="194"/>
      <c r="L54" s="50"/>
    </row>
    <row r="55" spans="1:12" s="3" customFormat="1" x14ac:dyDescent="0.15">
      <c r="A55" s="3" t="s">
        <v>112</v>
      </c>
      <c r="C55" s="52">
        <f>C24/C20</f>
        <v>0.10131920415224914</v>
      </c>
      <c r="D55" s="52">
        <f t="shared" ref="D55:F55" si="30">D24/D20</f>
        <v>8.9374654122855557E-2</v>
      </c>
      <c r="E55" s="52">
        <f t="shared" si="30"/>
        <v>8.7215518558118224E-2</v>
      </c>
      <c r="F55" s="52">
        <f t="shared" si="30"/>
        <v>8.5043039285483138E-2</v>
      </c>
      <c r="G55" s="52">
        <f>G24/G20</f>
        <v>7.8831870357866304E-2</v>
      </c>
      <c r="H55" s="53">
        <f>AVERAGE(C55:G55)</f>
        <v>8.8356857295314478E-2</v>
      </c>
      <c r="I55" s="194"/>
      <c r="J55" s="194"/>
      <c r="K55" s="194"/>
      <c r="L55" s="50"/>
    </row>
    <row r="56" spans="1:12" s="3" customFormat="1" x14ac:dyDescent="0.15">
      <c r="A56" s="3" t="s">
        <v>18</v>
      </c>
      <c r="C56" s="52">
        <f>C25/C20</f>
        <v>0.40895328719723184</v>
      </c>
      <c r="D56" s="52">
        <f t="shared" ref="D56:G56" si="31">D25/D20</f>
        <v>0.38479985242575171</v>
      </c>
      <c r="E56" s="52">
        <f t="shared" si="31"/>
        <v>0.4014815946234917</v>
      </c>
      <c r="F56" s="52">
        <f t="shared" si="31"/>
        <v>0.38023428904278039</v>
      </c>
      <c r="G56" s="52">
        <f t="shared" si="31"/>
        <v>0.370582939455323</v>
      </c>
      <c r="H56" s="53">
        <f t="shared" ref="H56:H58" si="32">AVERAGE(C56:G56)</f>
        <v>0.38921039254891576</v>
      </c>
      <c r="I56" s="194"/>
      <c r="J56" s="194"/>
      <c r="K56" s="194"/>
      <c r="L56" s="50"/>
    </row>
    <row r="57" spans="1:12" s="3" customFormat="1" x14ac:dyDescent="0.15">
      <c r="A57" s="3" t="s">
        <v>19</v>
      </c>
      <c r="C57" s="52">
        <f>C26/C20</f>
        <v>9.4398788927335636E-2</v>
      </c>
      <c r="D57" s="52">
        <f t="shared" ref="D57:G57" si="33">D26/D20</f>
        <v>9.4816454528684743E-2</v>
      </c>
      <c r="E57" s="52">
        <f t="shared" si="33"/>
        <v>9.6074537956315875E-2</v>
      </c>
      <c r="F57" s="52">
        <f t="shared" si="33"/>
        <v>9.9734645006795672E-2</v>
      </c>
      <c r="G57" s="52">
        <f t="shared" si="33"/>
        <v>0.11731937879810939</v>
      </c>
      <c r="H57" s="53">
        <f t="shared" si="32"/>
        <v>0.10046876104344826</v>
      </c>
      <c r="I57" s="50"/>
      <c r="J57" s="50"/>
      <c r="K57" s="50"/>
      <c r="L57" s="50"/>
    </row>
    <row r="58" spans="1:12" s="3" customFormat="1" x14ac:dyDescent="0.15">
      <c r="A58" s="3" t="s">
        <v>20</v>
      </c>
      <c r="C58" s="52">
        <f>C27/C20</f>
        <v>8.5640138408304492E-2</v>
      </c>
      <c r="D58" s="52">
        <f t="shared" ref="D58:G58" si="34">D27/D20</f>
        <v>7.6923076923076927E-2</v>
      </c>
      <c r="E58" s="52">
        <f t="shared" si="34"/>
        <v>0.13288529097296473</v>
      </c>
      <c r="F58" s="52">
        <f t="shared" si="34"/>
        <v>0.11850365672124781</v>
      </c>
      <c r="G58" s="52">
        <f t="shared" si="34"/>
        <v>9.6275039387801034E-2</v>
      </c>
      <c r="H58" s="53">
        <f t="shared" si="32"/>
        <v>0.10204544048267901</v>
      </c>
      <c r="I58" s="50"/>
      <c r="J58" s="50"/>
      <c r="K58" s="50"/>
      <c r="L58" s="50"/>
    </row>
    <row r="59" spans="1:12" s="3" customFormat="1" x14ac:dyDescent="0.15">
      <c r="A59" s="3" t="s">
        <v>21</v>
      </c>
      <c r="C59" s="52">
        <f>C32/C30</f>
        <v>0.17473118279569894</v>
      </c>
      <c r="D59" s="52">
        <f t="shared" ref="D59:G59" si="35">D32/D30</f>
        <v>0.14101778050275904</v>
      </c>
      <c r="E59" s="52">
        <f t="shared" si="35"/>
        <v>0.18409090909090908</v>
      </c>
      <c r="F59" s="52">
        <f t="shared" si="35"/>
        <v>0.13425925925925927</v>
      </c>
      <c r="G59" s="52">
        <f t="shared" si="35"/>
        <v>0.17978652434956638</v>
      </c>
      <c r="H59" s="53">
        <f>G59</f>
        <v>0.17978652434956638</v>
      </c>
      <c r="I59" s="50"/>
      <c r="J59" s="50"/>
      <c r="K59" s="50"/>
      <c r="L59" s="50"/>
    </row>
    <row r="60" spans="1:12" s="3" customFormat="1" x14ac:dyDescent="0.15">
      <c r="A60" s="54" t="s">
        <v>24</v>
      </c>
      <c r="C60" s="52"/>
      <c r="D60" s="52">
        <f>D37/AVERAGE(C80:D80)</f>
        <v>0.17343394418493233</v>
      </c>
      <c r="E60" s="52">
        <f>E37/AVERAGE(D80:E80)</f>
        <v>0.16670118036860634</v>
      </c>
      <c r="F60" s="52">
        <f>F37/AVERAGE(E80:F80)</f>
        <v>0.1402620876638048</v>
      </c>
      <c r="G60" s="52">
        <f>G37/AVERAGE(F80:G80)</f>
        <v>0.14801590521788527</v>
      </c>
      <c r="H60" s="53">
        <f>AVERAGE(D60:G60)</f>
        <v>0.15710327935880719</v>
      </c>
      <c r="I60" s="50"/>
      <c r="J60" s="50"/>
      <c r="K60" s="50"/>
      <c r="L60" s="50"/>
    </row>
    <row r="61" spans="1:12" s="3" customFormat="1" x14ac:dyDescent="0.15">
      <c r="A61" s="54" t="s">
        <v>99</v>
      </c>
      <c r="C61" s="52">
        <f>C29/C30</f>
        <v>1.8145161290322582E-2</v>
      </c>
      <c r="D61" s="52">
        <f t="shared" ref="D61:F61" si="36">D29/D30</f>
        <v>2.7590435315757205E-2</v>
      </c>
      <c r="E61" s="52">
        <f t="shared" si="36"/>
        <v>3.318181818181818E-2</v>
      </c>
      <c r="F61" s="52">
        <f t="shared" si="36"/>
        <v>7.6599326599326598E-2</v>
      </c>
      <c r="G61" s="52">
        <f>G29/G30</f>
        <v>9.3062041360907274E-2</v>
      </c>
      <c r="H61" s="53">
        <f>AVERAGE(C61:G61)</f>
        <v>4.9715756549626365E-2</v>
      </c>
      <c r="I61" s="50"/>
      <c r="J61" s="50"/>
      <c r="K61" s="50"/>
      <c r="L61" s="50"/>
    </row>
    <row r="62" spans="1:12" s="3" customFormat="1" x14ac:dyDescent="0.15"/>
    <row r="63" spans="1:12" s="3" customFormat="1" x14ac:dyDescent="0.15"/>
    <row r="64" spans="1:12" s="3" customFormat="1" x14ac:dyDescent="0.15"/>
    <row r="65" spans="1:63" s="3" customFormat="1" ht="15" thickBot="1" x14ac:dyDescent="0.2"/>
    <row r="66" spans="1:63" s="198" customFormat="1" ht="25" customHeight="1" thickTop="1" thickBot="1" x14ac:dyDescent="0.25">
      <c r="A66" s="141" t="s">
        <v>30</v>
      </c>
      <c r="B66" s="143"/>
      <c r="C66" s="143"/>
      <c r="D66" s="143"/>
      <c r="E66" s="143"/>
      <c r="F66" s="143"/>
      <c r="G66" s="143"/>
      <c r="H66" s="143"/>
      <c r="I66" s="143"/>
      <c r="J66" s="143"/>
      <c r="K66" s="143"/>
      <c r="L66" s="143"/>
      <c r="M66" s="143"/>
      <c r="N66" s="143"/>
      <c r="O66" s="143"/>
      <c r="P66" s="143"/>
      <c r="Q66" s="143"/>
      <c r="R66" s="143"/>
      <c r="S66" s="143"/>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c r="AX66" s="197"/>
      <c r="AY66" s="197"/>
      <c r="AZ66" s="197"/>
      <c r="BA66" s="197"/>
      <c r="BB66" s="197"/>
      <c r="BC66" s="197"/>
      <c r="BD66" s="197"/>
      <c r="BE66" s="197"/>
      <c r="BF66" s="197"/>
      <c r="BG66" s="197"/>
      <c r="BH66" s="197"/>
      <c r="BI66" s="197"/>
      <c r="BJ66" s="197"/>
      <c r="BK66" s="197"/>
    </row>
    <row r="67" spans="1:63" s="57" customFormat="1" ht="18" thickTop="1" x14ac:dyDescent="0.2">
      <c r="A67" s="55"/>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row>
    <row r="68" spans="1:63" s="3" customFormat="1" x14ac:dyDescent="0.15">
      <c r="C68" s="58" t="str">
        <f>C18</f>
        <v>2015A</v>
      </c>
      <c r="D68" s="58" t="str">
        <f t="shared" ref="D68:L68" si="37">D18</f>
        <v>2016A</v>
      </c>
      <c r="E68" s="58" t="str">
        <f t="shared" si="37"/>
        <v>2017A</v>
      </c>
      <c r="F68" s="58" t="str">
        <f t="shared" si="37"/>
        <v>2018A</v>
      </c>
      <c r="G68" s="58" t="str">
        <f t="shared" si="37"/>
        <v>2019A</v>
      </c>
      <c r="H68" s="58" t="str">
        <f t="shared" si="37"/>
        <v>2020P</v>
      </c>
      <c r="I68" s="58" t="str">
        <f t="shared" si="37"/>
        <v>2021P</v>
      </c>
      <c r="J68" s="58" t="str">
        <f t="shared" si="37"/>
        <v>2022P</v>
      </c>
      <c r="K68" s="58" t="str">
        <f t="shared" si="37"/>
        <v>2023P</v>
      </c>
      <c r="L68" s="58" t="str">
        <f t="shared" si="37"/>
        <v>2024P</v>
      </c>
    </row>
    <row r="69" spans="1:63" s="3" customFormat="1" x14ac:dyDescent="0.15">
      <c r="C69" s="22">
        <f>C19</f>
        <v>42369</v>
      </c>
      <c r="D69" s="22">
        <f t="shared" ref="D69:L69" si="38">D19</f>
        <v>42735</v>
      </c>
      <c r="E69" s="22">
        <f t="shared" si="38"/>
        <v>43100</v>
      </c>
      <c r="F69" s="22">
        <f t="shared" si="38"/>
        <v>43465</v>
      </c>
      <c r="G69" s="22">
        <f t="shared" si="38"/>
        <v>43830</v>
      </c>
      <c r="H69" s="22">
        <f t="shared" si="38"/>
        <v>44196</v>
      </c>
      <c r="I69" s="22">
        <f t="shared" si="38"/>
        <v>44561</v>
      </c>
      <c r="J69" s="22">
        <f t="shared" si="38"/>
        <v>44926</v>
      </c>
      <c r="K69" s="22">
        <f t="shared" si="38"/>
        <v>45291</v>
      </c>
      <c r="L69" s="22">
        <f t="shared" si="38"/>
        <v>45657</v>
      </c>
    </row>
    <row r="70" spans="1:63" s="3" customFormat="1" ht="15" x14ac:dyDescent="0.15">
      <c r="A70" s="59" t="s">
        <v>31</v>
      </c>
      <c r="C70" s="54"/>
      <c r="D70" s="54"/>
      <c r="E70" s="54"/>
      <c r="F70" s="54"/>
      <c r="G70" s="54"/>
      <c r="H70" s="50"/>
      <c r="I70" s="50"/>
      <c r="J70" s="50"/>
      <c r="K70" s="50"/>
      <c r="L70" s="50"/>
    </row>
    <row r="71" spans="1:63" s="3" customFormat="1" ht="15" x14ac:dyDescent="0.15">
      <c r="A71" s="59" t="s">
        <v>32</v>
      </c>
      <c r="C71" s="60"/>
      <c r="D71" s="60"/>
      <c r="E71" s="60"/>
      <c r="F71" s="60"/>
      <c r="G71" s="60"/>
      <c r="H71" s="50"/>
      <c r="I71" s="50"/>
      <c r="J71" s="50"/>
      <c r="K71" s="50"/>
      <c r="L71" s="50"/>
    </row>
    <row r="72" spans="1:63" s="3" customFormat="1" ht="15" x14ac:dyDescent="0.15">
      <c r="A72" s="61" t="s">
        <v>118</v>
      </c>
      <c r="C72" s="62">
        <v>3411</v>
      </c>
      <c r="D72" s="62">
        <v>4975</v>
      </c>
      <c r="E72" s="62">
        <v>5695</v>
      </c>
      <c r="F72" s="62">
        <v>9109</v>
      </c>
      <c r="G72" s="62">
        <v>10761</v>
      </c>
      <c r="H72" s="25">
        <f ca="1">G72+H174</f>
        <v>1058.9446199999984</v>
      </c>
      <c r="I72" s="25">
        <f ca="1">H72+I174</f>
        <v>1261.9443036536904</v>
      </c>
      <c r="J72" s="25">
        <f ca="1">I72+J174</f>
        <v>1503.8590266337742</v>
      </c>
      <c r="K72" s="25">
        <f ca="1">J72+K174</f>
        <v>1792.1488003621262</v>
      </c>
      <c r="L72" s="25">
        <f ca="1">K72+L174</f>
        <v>2135.7036643588472</v>
      </c>
      <c r="M72" s="63"/>
      <c r="N72" s="63"/>
      <c r="O72" s="63"/>
      <c r="P72" s="63"/>
      <c r="Q72" s="63"/>
      <c r="R72" s="63"/>
      <c r="S72" s="63"/>
      <c r="T72" s="63"/>
      <c r="U72" s="63"/>
      <c r="V72" s="63"/>
    </row>
    <row r="73" spans="1:63" s="3" customFormat="1" ht="15" x14ac:dyDescent="0.15">
      <c r="A73" s="61" t="s">
        <v>33</v>
      </c>
      <c r="C73" s="60">
        <v>137</v>
      </c>
      <c r="D73" s="60">
        <v>214</v>
      </c>
      <c r="E73" s="60">
        <v>283</v>
      </c>
      <c r="F73" s="60">
        <v>313</v>
      </c>
      <c r="G73" s="60">
        <v>435</v>
      </c>
      <c r="H73" s="25">
        <f>G73*(1+$H$122)</f>
        <v>443.77824044694592</v>
      </c>
      <c r="I73" s="25">
        <f t="shared" ref="I73:L73" si="39">H73*(1+$H$122)</f>
        <v>452.73362458433871</v>
      </c>
      <c r="J73" s="25">
        <f t="shared" si="39"/>
        <v>461.86972714760003</v>
      </c>
      <c r="K73" s="25">
        <f t="shared" si="39"/>
        <v>471.19019500982284</v>
      </c>
      <c r="L73" s="25">
        <f t="shared" si="39"/>
        <v>480.69874863749999</v>
      </c>
      <c r="M73" s="63" t="s">
        <v>72</v>
      </c>
      <c r="N73" s="63"/>
      <c r="O73" s="63"/>
      <c r="P73" s="63"/>
      <c r="Q73" s="63"/>
    </row>
    <row r="74" spans="1:63" s="3" customFormat="1" ht="15" x14ac:dyDescent="0.15">
      <c r="A74" s="61" t="s">
        <v>106</v>
      </c>
      <c r="C74" s="64">
        <v>16445</v>
      </c>
      <c r="D74" s="64">
        <v>19711</v>
      </c>
      <c r="E74" s="64">
        <v>25954</v>
      </c>
      <c r="F74" s="64">
        <v>22594</v>
      </c>
      <c r="G74" s="64">
        <v>26499</v>
      </c>
      <c r="H74" s="25">
        <f>G74</f>
        <v>26499</v>
      </c>
      <c r="I74" s="25">
        <f t="shared" ref="I74:L74" si="40">H74</f>
        <v>26499</v>
      </c>
      <c r="J74" s="25">
        <f t="shared" si="40"/>
        <v>26499</v>
      </c>
      <c r="K74" s="25">
        <f t="shared" si="40"/>
        <v>26499</v>
      </c>
      <c r="L74" s="25">
        <f t="shared" si="40"/>
        <v>26499</v>
      </c>
    </row>
    <row r="75" spans="1:63" s="3" customFormat="1" ht="15" x14ac:dyDescent="0.15">
      <c r="A75" s="61" t="s">
        <v>34</v>
      </c>
      <c r="C75" s="65">
        <v>655</v>
      </c>
      <c r="D75" s="65">
        <v>833</v>
      </c>
      <c r="E75" s="65">
        <v>713</v>
      </c>
      <c r="F75" s="65">
        <v>947</v>
      </c>
      <c r="G75" s="65">
        <v>800</v>
      </c>
      <c r="H75" s="29">
        <f>G75*(1+$H$123)</f>
        <v>1025.2244262912973</v>
      </c>
      <c r="I75" s="29">
        <f t="shared" ref="I75:L75" si="41">H75*(1+$H$123)</f>
        <v>1313.8564053303994</v>
      </c>
      <c r="J75" s="29">
        <f t="shared" si="41"/>
        <v>1683.7470992300061</v>
      </c>
      <c r="K75" s="29">
        <f t="shared" si="41"/>
        <v>2157.7733172846488</v>
      </c>
      <c r="L75" s="29">
        <f t="shared" si="41"/>
        <v>2765.2523890997791</v>
      </c>
    </row>
    <row r="76" spans="1:63" s="3" customFormat="1" ht="15" x14ac:dyDescent="0.15">
      <c r="A76" s="59" t="s">
        <v>35</v>
      </c>
      <c r="C76" s="66">
        <f t="shared" ref="C76:L76" si="42">SUM(C72:C75)</f>
        <v>20648</v>
      </c>
      <c r="D76" s="66">
        <f t="shared" si="42"/>
        <v>25733</v>
      </c>
      <c r="E76" s="66">
        <f t="shared" si="42"/>
        <v>32645</v>
      </c>
      <c r="F76" s="66">
        <f t="shared" si="42"/>
        <v>32963</v>
      </c>
      <c r="G76" s="66">
        <f t="shared" si="42"/>
        <v>38495</v>
      </c>
      <c r="H76" s="37">
        <f t="shared" ca="1" si="42"/>
        <v>29026.947286738243</v>
      </c>
      <c r="I76" s="37">
        <f t="shared" ca="1" si="42"/>
        <v>29527.53433356843</v>
      </c>
      <c r="J76" s="37">
        <f t="shared" ca="1" si="42"/>
        <v>30148.475853011383</v>
      </c>
      <c r="K76" s="37">
        <f t="shared" ca="1" si="42"/>
        <v>30920.112312656598</v>
      </c>
      <c r="L76" s="37">
        <f t="shared" ca="1" si="42"/>
        <v>31880.654802096127</v>
      </c>
    </row>
    <row r="77" spans="1:63" s="3" customFormat="1" x14ac:dyDescent="0.15">
      <c r="A77" s="59"/>
      <c r="C77" s="60"/>
      <c r="D77" s="60"/>
      <c r="E77" s="60"/>
      <c r="F77" s="60"/>
      <c r="G77" s="60"/>
      <c r="H77" s="44"/>
      <c r="I77" s="44"/>
      <c r="J77" s="44"/>
      <c r="K77" s="44"/>
      <c r="L77" s="44"/>
    </row>
    <row r="78" spans="1:63" s="3" customFormat="1" ht="15" x14ac:dyDescent="0.15">
      <c r="A78" s="61" t="s">
        <v>36</v>
      </c>
      <c r="C78" s="62">
        <v>2348</v>
      </c>
      <c r="D78" s="62">
        <v>1539</v>
      </c>
      <c r="E78" s="62">
        <v>1961</v>
      </c>
      <c r="F78" s="60">
        <v>971</v>
      </c>
      <c r="G78" s="62">
        <v>2863</v>
      </c>
      <c r="H78" s="25">
        <f>G78</f>
        <v>2863</v>
      </c>
      <c r="I78" s="25">
        <f t="shared" ref="I78:L78" si="43">H78</f>
        <v>2863</v>
      </c>
      <c r="J78" s="25">
        <f t="shared" si="43"/>
        <v>2863</v>
      </c>
      <c r="K78" s="25">
        <f t="shared" si="43"/>
        <v>2863</v>
      </c>
      <c r="L78" s="25">
        <f t="shared" si="43"/>
        <v>2863</v>
      </c>
    </row>
    <row r="79" spans="1:63" s="3" customFormat="1" x14ac:dyDescent="0.15">
      <c r="A79" s="61"/>
      <c r="C79" s="62"/>
      <c r="D79" s="62"/>
      <c r="E79" s="62"/>
      <c r="F79" s="60"/>
      <c r="G79" s="62"/>
      <c r="H79" s="44"/>
      <c r="I79" s="44"/>
      <c r="J79" s="44"/>
      <c r="K79" s="44"/>
      <c r="L79" s="44"/>
    </row>
    <row r="80" spans="1:63" s="3" customFormat="1" ht="15" x14ac:dyDescent="0.15">
      <c r="A80" s="61" t="s">
        <v>77</v>
      </c>
      <c r="C80" s="24">
        <v>3849</v>
      </c>
      <c r="D80" s="24">
        <v>4500</v>
      </c>
      <c r="E80" s="24">
        <v>5158</v>
      </c>
      <c r="F80" s="24">
        <v>5907</v>
      </c>
      <c r="G80" s="62">
        <v>6416</v>
      </c>
      <c r="H80" s="25">
        <f ca="1">H81+H82</f>
        <v>7862.1176531938117</v>
      </c>
      <c r="I80" s="25">
        <f t="shared" ref="I80:L80" ca="1" si="44">I81+I82</f>
        <v>9622.3122627183275</v>
      </c>
      <c r="J80" s="25">
        <f t="shared" ca="1" si="44"/>
        <v>11763.076216943398</v>
      </c>
      <c r="K80" s="25">
        <f t="shared" ca="1" si="44"/>
        <v>14364.71986409947</v>
      </c>
      <c r="L80" s="25">
        <f t="shared" ca="1" si="44"/>
        <v>17524.203079336763</v>
      </c>
    </row>
    <row r="81" spans="1:12" s="3" customFormat="1" ht="15" x14ac:dyDescent="0.15">
      <c r="A81" s="61" t="s">
        <v>78</v>
      </c>
      <c r="C81" s="33">
        <v>2505</v>
      </c>
      <c r="D81" s="33">
        <v>3018</v>
      </c>
      <c r="E81" s="33">
        <v>3630</v>
      </c>
      <c r="F81" s="33">
        <v>4183</v>
      </c>
      <c r="G81" s="67">
        <v>4723</v>
      </c>
      <c r="H81" s="29">
        <f ca="1">G81+H37</f>
        <v>5844.5695531938118</v>
      </c>
      <c r="I81" s="29">
        <f ca="1">H81+I37</f>
        <v>7218.0001919483275</v>
      </c>
      <c r="J81" s="29">
        <f ca="1">I81+J37</f>
        <v>8897.8575222067848</v>
      </c>
      <c r="K81" s="29">
        <f ca="1">J81+K37</f>
        <v>10950.238745581797</v>
      </c>
      <c r="L81" s="29">
        <f ca="1">K81+L37</f>
        <v>13455.165930398867</v>
      </c>
    </row>
    <row r="82" spans="1:12" s="3" customFormat="1" ht="15" x14ac:dyDescent="0.15">
      <c r="A82" s="61" t="s">
        <v>37</v>
      </c>
      <c r="C82" s="68">
        <f t="shared" ref="C82:F82" si="45">C80-C81</f>
        <v>1344</v>
      </c>
      <c r="D82" s="68">
        <f t="shared" si="45"/>
        <v>1482</v>
      </c>
      <c r="E82" s="68">
        <f t="shared" si="45"/>
        <v>1528</v>
      </c>
      <c r="F82" s="68">
        <f t="shared" si="45"/>
        <v>1724</v>
      </c>
      <c r="G82" s="68">
        <f>G80-G81</f>
        <v>1693</v>
      </c>
      <c r="H82" s="69">
        <f>$H$126*H20</f>
        <v>2017.5481000000002</v>
      </c>
      <c r="I82" s="69">
        <f>$H$126*I20</f>
        <v>2404.31207077</v>
      </c>
      <c r="J82" s="69">
        <f>$H$126*J20</f>
        <v>2865.218694736609</v>
      </c>
      <c r="K82" s="69">
        <f>$H$126*K20</f>
        <v>3414.4811185176168</v>
      </c>
      <c r="L82" s="69">
        <f>$H$126*L20</f>
        <v>4069.0371489374438</v>
      </c>
    </row>
    <row r="83" spans="1:12" s="3" customFormat="1" x14ac:dyDescent="0.15">
      <c r="A83" s="61"/>
      <c r="C83" s="68"/>
      <c r="D83" s="68"/>
      <c r="E83" s="68"/>
      <c r="F83" s="68"/>
      <c r="G83" s="68"/>
      <c r="H83" s="44"/>
      <c r="I83" s="44"/>
      <c r="J83" s="44"/>
      <c r="K83" s="44"/>
      <c r="L83" s="44"/>
    </row>
    <row r="84" spans="1:12" s="3" customFormat="1" ht="15" x14ac:dyDescent="0.15">
      <c r="A84" s="61" t="s">
        <v>38</v>
      </c>
      <c r="C84" s="62">
        <v>4069</v>
      </c>
      <c r="D84" s="62">
        <v>4059</v>
      </c>
      <c r="E84" s="62">
        <v>4339</v>
      </c>
      <c r="F84" s="62">
        <v>6284</v>
      </c>
      <c r="G84" s="62">
        <v>6212</v>
      </c>
      <c r="H84" s="25">
        <f>G84</f>
        <v>6212</v>
      </c>
      <c r="I84" s="25">
        <f t="shared" ref="I84:L84" si="46">H84</f>
        <v>6212</v>
      </c>
      <c r="J84" s="25">
        <f t="shared" si="46"/>
        <v>6212</v>
      </c>
      <c r="K84" s="25">
        <f t="shared" si="46"/>
        <v>6212</v>
      </c>
      <c r="L84" s="25">
        <f t="shared" si="46"/>
        <v>6212</v>
      </c>
    </row>
    <row r="85" spans="1:12" s="3" customFormat="1" ht="15" x14ac:dyDescent="0.15">
      <c r="A85" s="61" t="s">
        <v>39</v>
      </c>
      <c r="C85" s="60">
        <v>358</v>
      </c>
      <c r="D85" s="60">
        <v>211</v>
      </c>
      <c r="E85" s="60">
        <v>168</v>
      </c>
      <c r="F85" s="60">
        <v>825</v>
      </c>
      <c r="G85" s="60">
        <v>778</v>
      </c>
      <c r="H85" s="25">
        <f>G85</f>
        <v>778</v>
      </c>
      <c r="I85" s="25">
        <f t="shared" ref="I85:L85" si="47">H85</f>
        <v>778</v>
      </c>
      <c r="J85" s="25">
        <f t="shared" si="47"/>
        <v>778</v>
      </c>
      <c r="K85" s="25">
        <f t="shared" si="47"/>
        <v>778</v>
      </c>
      <c r="L85" s="25">
        <f t="shared" si="47"/>
        <v>778</v>
      </c>
    </row>
    <row r="86" spans="1:12" s="3" customFormat="1" ht="15" x14ac:dyDescent="0.15">
      <c r="A86" s="61" t="s">
        <v>40</v>
      </c>
      <c r="C86" s="65">
        <v>114</v>
      </c>
      <c r="D86" s="65">
        <v>79</v>
      </c>
      <c r="E86" s="65">
        <v>133</v>
      </c>
      <c r="F86" s="65">
        <v>565</v>
      </c>
      <c r="G86" s="67">
        <v>1292</v>
      </c>
      <c r="H86" s="29">
        <f>G86*(1+$H$131)</f>
        <v>1342.7625218920321</v>
      </c>
      <c r="I86" s="29">
        <f>H86*(1+$H$131)</f>
        <v>1395.5194970571592</v>
      </c>
      <c r="J86" s="29">
        <f>I86*(1+$H$131)</f>
        <v>1450.3492873204113</v>
      </c>
      <c r="K86" s="29">
        <f>J86*(1+$H$131)</f>
        <v>1507.3333333333335</v>
      </c>
      <c r="L86" s="29">
        <f>K86*(1+$H$131)</f>
        <v>1566.5562755407043</v>
      </c>
    </row>
    <row r="87" spans="1:12" s="3" customFormat="1" ht="15" x14ac:dyDescent="0.15">
      <c r="A87" s="59" t="s">
        <v>41</v>
      </c>
      <c r="C87" s="66">
        <f t="shared" ref="C87:F87" si="48">C76+C78+SUM(C82:C86)</f>
        <v>28881</v>
      </c>
      <c r="D87" s="66">
        <f t="shared" si="48"/>
        <v>33103</v>
      </c>
      <c r="E87" s="66">
        <f t="shared" si="48"/>
        <v>40774</v>
      </c>
      <c r="F87" s="66">
        <f t="shared" si="48"/>
        <v>43332</v>
      </c>
      <c r="G87" s="66">
        <f>G76+G78+SUM(G82:G86)</f>
        <v>51333</v>
      </c>
      <c r="H87" s="37">
        <f ca="1">H76+H78+SUM(H82:H86)</f>
        <v>42240.257908630272</v>
      </c>
      <c r="I87" s="37">
        <f t="shared" ref="I87:L87" ca="1" si="49">I76+I78+SUM(I82:I86)</f>
        <v>43180.365901395591</v>
      </c>
      <c r="J87" s="37">
        <f t="shared" ca="1" si="49"/>
        <v>44317.043835068405</v>
      </c>
      <c r="K87" s="37">
        <f t="shared" ca="1" si="49"/>
        <v>45694.926764507545</v>
      </c>
      <c r="L87" s="37">
        <f t="shared" ca="1" si="49"/>
        <v>47369.248226574273</v>
      </c>
    </row>
    <row r="88" spans="1:12" s="3" customFormat="1" x14ac:dyDescent="0.15">
      <c r="A88" s="61"/>
      <c r="C88" s="70"/>
      <c r="D88" s="70"/>
      <c r="E88" s="70"/>
      <c r="F88" s="70"/>
      <c r="G88" s="70"/>
      <c r="H88" s="44"/>
      <c r="I88" s="44"/>
      <c r="J88" s="44"/>
      <c r="K88" s="44"/>
      <c r="L88" s="44"/>
    </row>
    <row r="89" spans="1:12" s="3" customFormat="1" ht="15" x14ac:dyDescent="0.15">
      <c r="A89" s="59" t="s">
        <v>42</v>
      </c>
      <c r="C89" s="70"/>
      <c r="D89" s="70"/>
      <c r="E89" s="70"/>
      <c r="F89" s="70"/>
      <c r="G89" s="70"/>
      <c r="H89" s="44"/>
      <c r="I89" s="44"/>
      <c r="J89" s="44"/>
      <c r="K89" s="44"/>
      <c r="L89" s="44"/>
    </row>
    <row r="90" spans="1:12" s="3" customFormat="1" ht="15" x14ac:dyDescent="0.15">
      <c r="A90" s="59" t="s">
        <v>43</v>
      </c>
      <c r="C90" s="70"/>
      <c r="D90" s="70"/>
      <c r="E90" s="70"/>
      <c r="F90" s="70"/>
      <c r="G90" s="70"/>
      <c r="H90" s="44"/>
      <c r="I90" s="44"/>
      <c r="J90" s="44"/>
      <c r="K90" s="44"/>
      <c r="L90" s="44"/>
    </row>
    <row r="91" spans="1:12" s="3" customFormat="1" ht="15" x14ac:dyDescent="0.15">
      <c r="A91" s="61" t="s">
        <v>44</v>
      </c>
      <c r="C91" s="60">
        <v>145</v>
      </c>
      <c r="D91" s="60">
        <v>192</v>
      </c>
      <c r="E91" s="60">
        <v>257</v>
      </c>
      <c r="F91" s="60">
        <v>281</v>
      </c>
      <c r="G91" s="60">
        <v>232</v>
      </c>
      <c r="H91" s="25">
        <f>$H$134*H24/365</f>
        <v>358.30994762734315</v>
      </c>
      <c r="I91" s="25">
        <f>$H$134*I24/365</f>
        <v>426.99796458750484</v>
      </c>
      <c r="J91" s="25">
        <f>$H$134*J24/365</f>
        <v>508.85347439892945</v>
      </c>
      <c r="K91" s="25">
        <f>$H$134*K24/365</f>
        <v>606.40068544120425</v>
      </c>
      <c r="L91" s="25">
        <f>$H$134*L24/365</f>
        <v>722.64769684028306</v>
      </c>
    </row>
    <row r="92" spans="1:12" s="3" customFormat="1" ht="15" x14ac:dyDescent="0.15">
      <c r="A92" s="61" t="s">
        <v>45</v>
      </c>
      <c r="C92" s="60">
        <v>0</v>
      </c>
      <c r="D92" s="60">
        <v>0</v>
      </c>
      <c r="E92" s="62">
        <v>1000</v>
      </c>
      <c r="F92" s="62">
        <v>1998</v>
      </c>
      <c r="G92" s="60">
        <v>0</v>
      </c>
      <c r="H92" s="25">
        <f>G92</f>
        <v>0</v>
      </c>
      <c r="I92" s="25">
        <f t="shared" ref="I92:L92" si="50">H92</f>
        <v>0</v>
      </c>
      <c r="J92" s="25">
        <f t="shared" si="50"/>
        <v>0</v>
      </c>
      <c r="K92" s="25">
        <f t="shared" si="50"/>
        <v>0</v>
      </c>
      <c r="L92" s="25">
        <f t="shared" si="50"/>
        <v>0</v>
      </c>
    </row>
    <row r="93" spans="1:12" s="3" customFormat="1" ht="15" x14ac:dyDescent="0.15">
      <c r="A93" s="61" t="s">
        <v>46</v>
      </c>
      <c r="C93" s="62">
        <v>12261</v>
      </c>
      <c r="D93" s="62">
        <v>15163</v>
      </c>
      <c r="E93" s="62">
        <v>19742</v>
      </c>
      <c r="F93" s="62">
        <v>21562</v>
      </c>
      <c r="G93" s="62">
        <v>24527</v>
      </c>
      <c r="H93" s="25">
        <f>G93</f>
        <v>24527</v>
      </c>
      <c r="I93" s="25">
        <f t="shared" ref="I93:L93" si="51">H93</f>
        <v>24527</v>
      </c>
      <c r="J93" s="25">
        <f t="shared" si="51"/>
        <v>24527</v>
      </c>
      <c r="K93" s="25">
        <f t="shared" si="51"/>
        <v>24527</v>
      </c>
      <c r="L93" s="25">
        <f t="shared" si="51"/>
        <v>24527</v>
      </c>
    </row>
    <row r="94" spans="1:12" s="3" customFormat="1" ht="15" x14ac:dyDescent="0.15">
      <c r="A94" s="61" t="s">
        <v>47</v>
      </c>
      <c r="C94" s="62">
        <v>1179</v>
      </c>
      <c r="D94" s="62">
        <v>1459</v>
      </c>
      <c r="E94" s="62">
        <v>1781</v>
      </c>
      <c r="F94" s="62">
        <v>2002</v>
      </c>
      <c r="G94" s="62">
        <v>2087</v>
      </c>
      <c r="H94" s="25">
        <f>$H$137*(H24+H27)</f>
        <v>2755.2311411992741</v>
      </c>
      <c r="I94" s="25">
        <f>$H$137*(I24+I27)</f>
        <v>3283.4089509671749</v>
      </c>
      <c r="J94" s="25">
        <f>$H$137*(J24+J27)</f>
        <v>3912.8384468675827</v>
      </c>
      <c r="K94" s="25">
        <f>$H$137*(K24+K27)</f>
        <v>4662.9295771320967</v>
      </c>
      <c r="L94" s="25">
        <f>$H$137*(L24+L27)</f>
        <v>5556.8131770683194</v>
      </c>
    </row>
    <row r="95" spans="1:12" s="3" customFormat="1" x14ac:dyDescent="0.15">
      <c r="A95" s="71" t="s">
        <v>48</v>
      </c>
      <c r="C95" s="65">
        <v>32</v>
      </c>
      <c r="D95" s="65">
        <v>64</v>
      </c>
      <c r="E95" s="65">
        <v>83</v>
      </c>
      <c r="F95" s="65">
        <v>61</v>
      </c>
      <c r="G95" s="65">
        <v>73</v>
      </c>
      <c r="H95" s="29">
        <f>H35*$H$138</f>
        <v>118.28800060771708</v>
      </c>
      <c r="I95" s="29">
        <f>I35*$H$138</f>
        <v>139.8056042777649</v>
      </c>
      <c r="J95" s="29">
        <f>J35*$H$138</f>
        <v>165.39055148152127</v>
      </c>
      <c r="K95" s="29">
        <f>K35*$H$138</f>
        <v>195.81968928695341</v>
      </c>
      <c r="L95" s="29">
        <f>L35*$H$138</f>
        <v>232.01864402428671</v>
      </c>
    </row>
    <row r="96" spans="1:12" s="3" customFormat="1" ht="15" x14ac:dyDescent="0.15">
      <c r="A96" s="59" t="s">
        <v>49</v>
      </c>
      <c r="C96" s="66">
        <f>SUM(C91:C95)</f>
        <v>13617</v>
      </c>
      <c r="D96" s="66">
        <f t="shared" ref="D96:G96" si="52">SUM(D91:D95)</f>
        <v>16878</v>
      </c>
      <c r="E96" s="66">
        <f t="shared" si="52"/>
        <v>22863</v>
      </c>
      <c r="F96" s="66">
        <f t="shared" si="52"/>
        <v>25904</v>
      </c>
      <c r="G96" s="66">
        <f t="shared" si="52"/>
        <v>26919</v>
      </c>
      <c r="H96" s="37">
        <f>SUM(H91:H95)</f>
        <v>27758.829089434334</v>
      </c>
      <c r="I96" s="37">
        <f t="shared" ref="I96:L96" si="53">SUM(I91:I95)</f>
        <v>28377.212519832447</v>
      </c>
      <c r="J96" s="37">
        <f t="shared" si="53"/>
        <v>29114.082472748032</v>
      </c>
      <c r="K96" s="37">
        <f t="shared" si="53"/>
        <v>29992.149951860254</v>
      </c>
      <c r="L96" s="37">
        <f t="shared" si="53"/>
        <v>31038.47951793289</v>
      </c>
    </row>
    <row r="97" spans="1:19" s="3" customFormat="1" x14ac:dyDescent="0.15">
      <c r="A97" s="59"/>
      <c r="C97" s="66"/>
      <c r="D97" s="66"/>
      <c r="E97" s="66"/>
      <c r="F97" s="66"/>
      <c r="G97" s="66"/>
      <c r="H97" s="72"/>
      <c r="I97" s="72"/>
      <c r="J97" s="72"/>
      <c r="K97" s="72"/>
      <c r="L97" s="72"/>
    </row>
    <row r="98" spans="1:19" s="3" customFormat="1" x14ac:dyDescent="0.15">
      <c r="A98" s="71" t="s">
        <v>50</v>
      </c>
      <c r="C98" s="62">
        <v>1505</v>
      </c>
      <c r="D98" s="62">
        <v>1513</v>
      </c>
      <c r="E98" s="62">
        <v>1917</v>
      </c>
      <c r="F98" s="62">
        <v>2042</v>
      </c>
      <c r="G98" s="62">
        <v>2520</v>
      </c>
      <c r="H98" s="25">
        <f>G98*(1+H139)</f>
        <v>3487.1817783779229</v>
      </c>
      <c r="I98" s="25">
        <f>H98*(1+I139)</f>
        <v>4121.5301065857238</v>
      </c>
      <c r="J98" s="25">
        <f>I98*(1+J139)</f>
        <v>4875.7854937029842</v>
      </c>
      <c r="K98" s="25">
        <f>J98*(1+K139)</f>
        <v>5772.8497296499318</v>
      </c>
      <c r="L98" s="25">
        <f>K98*(1+L139)</f>
        <v>6840.0106817991264</v>
      </c>
    </row>
    <row r="99" spans="1:19" s="3" customFormat="1" ht="15" thickTop="1" x14ac:dyDescent="0.15">
      <c r="A99" s="71" t="s">
        <v>141</v>
      </c>
      <c r="C99" s="65">
        <v>0</v>
      </c>
      <c r="D99" s="65">
        <v>0</v>
      </c>
      <c r="E99" s="65">
        <v>0</v>
      </c>
      <c r="F99" s="65">
        <v>0</v>
      </c>
      <c r="G99" s="67">
        <v>4965</v>
      </c>
      <c r="H99" s="29">
        <f ca="1">$H$140*H87</f>
        <v>4085.5371888716677</v>
      </c>
      <c r="I99" s="29">
        <f ca="1">$H$140*I87</f>
        <v>4176.4657569288593</v>
      </c>
      <c r="J99" s="29">
        <f ca="1">$H$140*J87</f>
        <v>4286.4068462999367</v>
      </c>
      <c r="K99" s="29">
        <f ca="1">$H$140*K87</f>
        <v>4419.6776223049492</v>
      </c>
      <c r="L99" s="29">
        <f ca="1">$H$140*L87</f>
        <v>4581.6203503582738</v>
      </c>
    </row>
    <row r="100" spans="1:19" s="3" customFormat="1" ht="15" x14ac:dyDescent="0.15">
      <c r="A100" s="59" t="s">
        <v>51</v>
      </c>
      <c r="C100" s="66">
        <f>SUM(C96:C99)</f>
        <v>15122</v>
      </c>
      <c r="D100" s="66">
        <f t="shared" ref="D100:G100" si="54">SUM(D96:D99)</f>
        <v>18391</v>
      </c>
      <c r="E100" s="66">
        <f t="shared" si="54"/>
        <v>24780</v>
      </c>
      <c r="F100" s="66">
        <f t="shared" si="54"/>
        <v>27946</v>
      </c>
      <c r="G100" s="66">
        <f t="shared" si="54"/>
        <v>34404</v>
      </c>
      <c r="H100" s="37">
        <f ca="1">SUM(H96:H99)</f>
        <v>35331.548056683925</v>
      </c>
      <c r="I100" s="37">
        <f t="shared" ref="I100:L100" ca="1" si="55">SUM(I96:I99)</f>
        <v>36675.208383347031</v>
      </c>
      <c r="J100" s="37">
        <f t="shared" ca="1" si="55"/>
        <v>38276.274812750948</v>
      </c>
      <c r="K100" s="37">
        <f t="shared" ca="1" si="55"/>
        <v>40184.67730381513</v>
      </c>
      <c r="L100" s="37">
        <f t="shared" ca="1" si="55"/>
        <v>42460.110550090292</v>
      </c>
    </row>
    <row r="101" spans="1:19" s="3" customFormat="1" x14ac:dyDescent="0.15">
      <c r="A101" s="71"/>
      <c r="C101" s="60"/>
      <c r="D101" s="60"/>
      <c r="E101" s="60"/>
      <c r="F101" s="60"/>
      <c r="G101" s="60"/>
      <c r="H101" s="44"/>
      <c r="I101" s="44"/>
      <c r="J101" s="44"/>
      <c r="K101" s="44"/>
      <c r="L101" s="44"/>
    </row>
    <row r="102" spans="1:19" s="3" customFormat="1" x14ac:dyDescent="0.15">
      <c r="A102" s="73" t="s">
        <v>52</v>
      </c>
      <c r="C102" s="60"/>
      <c r="D102" s="60"/>
      <c r="E102" s="60"/>
      <c r="F102" s="60"/>
      <c r="G102" s="60"/>
      <c r="H102" s="44"/>
      <c r="I102" s="44"/>
      <c r="J102" s="44"/>
      <c r="K102" s="44"/>
      <c r="L102" s="44"/>
    </row>
    <row r="103" spans="1:19" s="3" customFormat="1" x14ac:dyDescent="0.15">
      <c r="A103" s="71" t="s">
        <v>53</v>
      </c>
      <c r="C103" s="60">
        <v>0</v>
      </c>
      <c r="D103" s="60">
        <v>995</v>
      </c>
      <c r="E103" s="62">
        <v>2001</v>
      </c>
      <c r="F103" s="62">
        <v>5511</v>
      </c>
      <c r="G103" s="62">
        <v>6872</v>
      </c>
      <c r="H103" s="25">
        <f ca="1">IF(H182&gt;0, H182+G103,G103)</f>
        <v>20375.645930031729</v>
      </c>
      <c r="I103" s="25">
        <f ca="1">IF(I182&gt;0, I182+H103,H103)</f>
        <v>24896.206392496319</v>
      </c>
      <c r="J103" s="25">
        <f ca="1">IF(J182&gt;0, J182+I103,I103)</f>
        <v>30231.030865050263</v>
      </c>
      <c r="K103" s="25">
        <f ca="1">IF(K182&gt;0, K182+J103,J103)</f>
        <v>36528.066415529735</v>
      </c>
      <c r="L103" s="25">
        <f ca="1">IF(L182&gt;0, L182+K103,K103)</f>
        <v>43961.684255501888</v>
      </c>
    </row>
    <row r="104" spans="1:19" s="3" customFormat="1" x14ac:dyDescent="0.15">
      <c r="A104" s="71" t="s">
        <v>54</v>
      </c>
      <c r="C104" s="62">
        <v>13100</v>
      </c>
      <c r="D104" s="62">
        <v>13579</v>
      </c>
      <c r="E104" s="62">
        <v>14314</v>
      </c>
      <c r="F104" s="62">
        <v>14939</v>
      </c>
      <c r="G104" s="62">
        <v>15588</v>
      </c>
      <c r="H104" s="25">
        <f>G104</f>
        <v>15588</v>
      </c>
      <c r="I104" s="25">
        <f t="shared" ref="I104:L104" si="56">H104</f>
        <v>15588</v>
      </c>
      <c r="J104" s="25">
        <f t="shared" si="56"/>
        <v>15588</v>
      </c>
      <c r="K104" s="25">
        <f t="shared" si="56"/>
        <v>15588</v>
      </c>
      <c r="L104" s="25">
        <f t="shared" si="56"/>
        <v>15588</v>
      </c>
    </row>
    <row r="105" spans="1:19" s="3" customFormat="1" x14ac:dyDescent="0.15">
      <c r="A105" s="71" t="s">
        <v>55</v>
      </c>
      <c r="C105" s="60">
        <v>668</v>
      </c>
      <c r="D105" s="62">
        <v>2069</v>
      </c>
      <c r="E105" s="62">
        <v>3823</v>
      </c>
      <c r="F105" s="62">
        <v>5880</v>
      </c>
      <c r="G105" s="62">
        <v>8342</v>
      </c>
      <c r="H105" s="25">
        <f>G105+H35</f>
        <v>11825.355781978078</v>
      </c>
      <c r="I105" s="25">
        <f>H105+I35</f>
        <v>15942.363910544926</v>
      </c>
      <c r="J105" s="25">
        <f>I105+J35</f>
        <v>20812.799887379879</v>
      </c>
      <c r="K105" s="25">
        <f>J105+K35</f>
        <v>26579.315877154408</v>
      </c>
      <c r="L105" s="25">
        <f>K105+L35</f>
        <v>33411.821972755672</v>
      </c>
    </row>
    <row r="106" spans="1:19" s="3" customFormat="1" x14ac:dyDescent="0.15">
      <c r="A106" s="71" t="s">
        <v>56</v>
      </c>
      <c r="C106" s="65">
        <v>-9</v>
      </c>
      <c r="D106" s="65">
        <v>59</v>
      </c>
      <c r="E106" s="65">
        <v>-142</v>
      </c>
      <c r="F106" s="65">
        <v>78</v>
      </c>
      <c r="G106" s="65">
        <v>-173</v>
      </c>
      <c r="H106" s="29">
        <f>G106</f>
        <v>-173</v>
      </c>
      <c r="I106" s="29">
        <f t="shared" ref="I106:L106" si="57">H106</f>
        <v>-173</v>
      </c>
      <c r="J106" s="29">
        <f t="shared" si="57"/>
        <v>-173</v>
      </c>
      <c r="K106" s="29">
        <f t="shared" si="57"/>
        <v>-173</v>
      </c>
      <c r="L106" s="29">
        <f t="shared" si="57"/>
        <v>-173</v>
      </c>
    </row>
    <row r="107" spans="1:19" s="3" customFormat="1" ht="15" x14ac:dyDescent="0.15">
      <c r="A107" s="59" t="s">
        <v>57</v>
      </c>
      <c r="C107" s="66">
        <f t="shared" ref="C107:F107" si="58">SUM(C104:C106)-C103</f>
        <v>13759</v>
      </c>
      <c r="D107" s="66">
        <f t="shared" si="58"/>
        <v>14712</v>
      </c>
      <c r="E107" s="66">
        <f t="shared" si="58"/>
        <v>15994</v>
      </c>
      <c r="F107" s="66">
        <f t="shared" si="58"/>
        <v>15386</v>
      </c>
      <c r="G107" s="66">
        <f>SUM(G104:G106)-G103</f>
        <v>16885</v>
      </c>
      <c r="H107" s="37">
        <f ca="1">SUM(H104:H106)-H103</f>
        <v>6864.709851946347</v>
      </c>
      <c r="I107" s="37">
        <f t="shared" ref="I107:K107" ca="1" si="59">SUM(I104:I106)-I103</f>
        <v>6461.157518048607</v>
      </c>
      <c r="J107" s="37">
        <f t="shared" ca="1" si="59"/>
        <v>5996.7690223296158</v>
      </c>
      <c r="K107" s="37">
        <f t="shared" ca="1" si="59"/>
        <v>5466.2494616246768</v>
      </c>
      <c r="L107" s="37">
        <f ca="1">SUM(L104:L106)-L103</f>
        <v>4865.1377172537832</v>
      </c>
    </row>
    <row r="108" spans="1:19" s="3" customFormat="1" x14ac:dyDescent="0.15">
      <c r="A108" s="59"/>
      <c r="C108" s="66"/>
      <c r="D108" s="66"/>
      <c r="E108" s="66"/>
      <c r="F108" s="66"/>
      <c r="G108" s="66"/>
      <c r="H108" s="72"/>
      <c r="I108" s="72"/>
      <c r="J108" s="72"/>
      <c r="K108" s="72"/>
      <c r="L108" s="72"/>
    </row>
    <row r="109" spans="1:19" s="3" customFormat="1" ht="15" x14ac:dyDescent="0.15">
      <c r="A109" s="61" t="s">
        <v>58</v>
      </c>
      <c r="C109" s="65">
        <v>0</v>
      </c>
      <c r="D109" s="65">
        <v>0</v>
      </c>
      <c r="E109" s="65">
        <v>0</v>
      </c>
      <c r="F109" s="65">
        <v>0</v>
      </c>
      <c r="G109" s="65">
        <v>44</v>
      </c>
      <c r="H109" s="29">
        <f>G109</f>
        <v>44</v>
      </c>
      <c r="I109" s="29">
        <f t="shared" ref="I109:L109" si="60">H109</f>
        <v>44</v>
      </c>
      <c r="J109" s="29">
        <f t="shared" si="60"/>
        <v>44</v>
      </c>
      <c r="K109" s="29">
        <f t="shared" si="60"/>
        <v>44</v>
      </c>
      <c r="L109" s="29">
        <f t="shared" si="60"/>
        <v>44</v>
      </c>
    </row>
    <row r="110" spans="1:19" s="3" customFormat="1" ht="15" x14ac:dyDescent="0.15">
      <c r="A110" s="59" t="s">
        <v>59</v>
      </c>
      <c r="C110" s="66">
        <f>SUM(C107:C109)</f>
        <v>13759</v>
      </c>
      <c r="D110" s="66">
        <f t="shared" ref="D110:L110" si="61">SUM(D107:D109)</f>
        <v>14712</v>
      </c>
      <c r="E110" s="66">
        <f t="shared" si="61"/>
        <v>15994</v>
      </c>
      <c r="F110" s="66">
        <f t="shared" si="61"/>
        <v>15386</v>
      </c>
      <c r="G110" s="66">
        <f>SUM(G107:G109)</f>
        <v>16929</v>
      </c>
      <c r="H110" s="37">
        <f t="shared" ca="1" si="61"/>
        <v>6908.709851946347</v>
      </c>
      <c r="I110" s="37">
        <f t="shared" ca="1" si="61"/>
        <v>6505.157518048607</v>
      </c>
      <c r="J110" s="37">
        <f t="shared" ca="1" si="61"/>
        <v>6040.7690223296158</v>
      </c>
      <c r="K110" s="37">
        <f t="shared" ca="1" si="61"/>
        <v>5510.2494616246768</v>
      </c>
      <c r="L110" s="37">
        <f t="shared" ca="1" si="61"/>
        <v>4909.1377172537832</v>
      </c>
      <c r="M110" s="7"/>
      <c r="N110" s="7"/>
      <c r="O110" s="7"/>
      <c r="P110" s="7"/>
      <c r="Q110" s="7"/>
      <c r="R110" s="7"/>
      <c r="S110" s="7"/>
    </row>
    <row r="111" spans="1:19" s="3" customFormat="1" x14ac:dyDescent="0.15">
      <c r="C111" s="50"/>
      <c r="D111" s="50"/>
      <c r="E111" s="50"/>
      <c r="F111" s="50"/>
      <c r="G111" s="50"/>
      <c r="H111" s="44"/>
      <c r="I111" s="44"/>
      <c r="J111" s="44"/>
      <c r="K111" s="44"/>
      <c r="L111" s="44"/>
    </row>
    <row r="112" spans="1:19" s="3" customFormat="1" ht="15" x14ac:dyDescent="0.15">
      <c r="A112" s="59" t="s">
        <v>60</v>
      </c>
      <c r="C112" s="66">
        <f>C110+C100</f>
        <v>28881</v>
      </c>
      <c r="D112" s="66">
        <f t="shared" ref="D112:L112" si="62">D110+D100</f>
        <v>33103</v>
      </c>
      <c r="E112" s="66">
        <f t="shared" si="62"/>
        <v>40774</v>
      </c>
      <c r="F112" s="66">
        <f t="shared" si="62"/>
        <v>43332</v>
      </c>
      <c r="G112" s="66">
        <f t="shared" si="62"/>
        <v>51333</v>
      </c>
      <c r="H112" s="37">
        <f t="shared" ca="1" si="62"/>
        <v>42240.257908630272</v>
      </c>
      <c r="I112" s="37">
        <f t="shared" ca="1" si="62"/>
        <v>43180.365901395635</v>
      </c>
      <c r="J112" s="37">
        <f t="shared" ca="1" si="62"/>
        <v>44317.043835080563</v>
      </c>
      <c r="K112" s="37">
        <f t="shared" ca="1" si="62"/>
        <v>45694.926765439806</v>
      </c>
      <c r="L112" s="37">
        <f t="shared" ca="1" si="62"/>
        <v>47369.248267344075</v>
      </c>
      <c r="M112" s="7"/>
      <c r="N112" s="7"/>
      <c r="O112" s="7"/>
      <c r="P112" s="7"/>
      <c r="Q112" s="7"/>
      <c r="R112" s="7"/>
      <c r="S112" s="7"/>
    </row>
    <row r="113" spans="1:24" s="3" customFormat="1" x14ac:dyDescent="0.15">
      <c r="C113" s="50"/>
      <c r="D113" s="50"/>
      <c r="E113" s="50"/>
      <c r="F113" s="50"/>
      <c r="G113" s="50"/>
      <c r="H113" s="44"/>
      <c r="I113" s="44"/>
      <c r="J113" s="44"/>
      <c r="K113" s="44"/>
      <c r="L113" s="44"/>
    </row>
    <row r="114" spans="1:24" s="3" customFormat="1" x14ac:dyDescent="0.15">
      <c r="C114" s="50"/>
      <c r="D114" s="50"/>
      <c r="E114" s="50"/>
      <c r="F114" s="50"/>
      <c r="G114" s="50"/>
      <c r="H114" s="44"/>
      <c r="I114" s="44"/>
      <c r="J114" s="44"/>
      <c r="K114" s="44"/>
      <c r="L114" s="44"/>
    </row>
    <row r="115" spans="1:24" s="75" customFormat="1" ht="16" thickBot="1" x14ac:dyDescent="0.2">
      <c r="A115" s="74" t="s">
        <v>61</v>
      </c>
      <c r="C115" s="76">
        <f>C87-C112</f>
        <v>0</v>
      </c>
      <c r="D115" s="76">
        <f t="shared" ref="D115:K115" si="63">D87-D112</f>
        <v>0</v>
      </c>
      <c r="E115" s="76">
        <f t="shared" si="63"/>
        <v>0</v>
      </c>
      <c r="F115" s="76">
        <f t="shared" si="63"/>
        <v>0</v>
      </c>
      <c r="G115" s="76">
        <f t="shared" si="63"/>
        <v>0</v>
      </c>
      <c r="H115" s="77">
        <f t="shared" ca="1" si="63"/>
        <v>0</v>
      </c>
      <c r="I115" s="77">
        <f t="shared" ca="1" si="63"/>
        <v>0</v>
      </c>
      <c r="J115" s="77">
        <f t="shared" ca="1" si="63"/>
        <v>-1.2158125173300505E-8</v>
      </c>
      <c r="K115" s="77">
        <f t="shared" ca="1" si="63"/>
        <v>-9.3226117314770818E-7</v>
      </c>
      <c r="L115" s="77">
        <f ca="1">L87-L112</f>
        <v>-4.0769802581053227E-5</v>
      </c>
      <c r="M115" s="78"/>
      <c r="N115" s="78"/>
      <c r="O115" s="78"/>
      <c r="P115" s="78"/>
      <c r="Q115" s="78"/>
      <c r="R115" s="78"/>
      <c r="S115" s="78"/>
    </row>
    <row r="116" spans="1:24" s="3" customFormat="1" ht="15" thickTop="1" x14ac:dyDescent="0.15"/>
    <row r="117" spans="1:24" s="3" customFormat="1" x14ac:dyDescent="0.15"/>
    <row r="118" spans="1:24" s="12" customFormat="1" x14ac:dyDescent="0.15">
      <c r="A118" s="79" t="s">
        <v>62</v>
      </c>
      <c r="B118" s="80"/>
      <c r="C118" s="80"/>
      <c r="D118" s="80"/>
      <c r="E118" s="80"/>
      <c r="F118" s="80"/>
      <c r="G118" s="80"/>
      <c r="H118" s="80"/>
      <c r="I118" s="80"/>
      <c r="J118" s="80"/>
      <c r="K118" s="80"/>
      <c r="L118" s="80"/>
      <c r="M118" s="81"/>
      <c r="N118" s="81"/>
      <c r="O118" s="81"/>
      <c r="P118" s="81"/>
      <c r="Q118" s="81"/>
    </row>
    <row r="119" spans="1:24" outlineLevel="1" x14ac:dyDescent="0.15">
      <c r="A119" s="82"/>
      <c r="B119" s="82"/>
      <c r="C119" s="83" t="str">
        <f t="shared" ref="C119:H119" si="64">C68</f>
        <v>2015A</v>
      </c>
      <c r="D119" s="83" t="str">
        <f t="shared" si="64"/>
        <v>2016A</v>
      </c>
      <c r="E119" s="83" t="str">
        <f t="shared" si="64"/>
        <v>2017A</v>
      </c>
      <c r="F119" s="83" t="str">
        <f t="shared" si="64"/>
        <v>2018A</v>
      </c>
      <c r="G119" s="83" t="str">
        <f t="shared" si="64"/>
        <v>2019A</v>
      </c>
      <c r="H119" s="83" t="str">
        <f t="shared" si="64"/>
        <v>2020P</v>
      </c>
      <c r="I119" s="83" t="str">
        <f t="shared" ref="I119:L119" si="65">I68</f>
        <v>2021P</v>
      </c>
      <c r="J119" s="83" t="str">
        <f t="shared" si="65"/>
        <v>2022P</v>
      </c>
      <c r="K119" s="83" t="str">
        <f t="shared" si="65"/>
        <v>2023P</v>
      </c>
      <c r="L119" s="83" t="str">
        <f t="shared" si="65"/>
        <v>2024P</v>
      </c>
      <c r="M119" s="84"/>
      <c r="N119" s="84"/>
      <c r="O119" s="84"/>
      <c r="P119" s="84"/>
      <c r="Q119" s="84"/>
      <c r="R119" s="3"/>
      <c r="S119" s="3"/>
      <c r="T119" s="3"/>
      <c r="U119" s="3"/>
      <c r="V119" s="3"/>
      <c r="W119" s="3"/>
      <c r="X119" s="3"/>
    </row>
    <row r="120" spans="1:24" outlineLevel="1" x14ac:dyDescent="0.15">
      <c r="A120" s="82"/>
      <c r="B120" s="82"/>
      <c r="C120" s="85">
        <f>C69</f>
        <v>42369</v>
      </c>
      <c r="D120" s="85">
        <f t="shared" ref="D120:H120" si="66">D69</f>
        <v>42735</v>
      </c>
      <c r="E120" s="85">
        <f t="shared" si="66"/>
        <v>43100</v>
      </c>
      <c r="F120" s="85">
        <f t="shared" si="66"/>
        <v>43465</v>
      </c>
      <c r="G120" s="85">
        <f t="shared" si="66"/>
        <v>43830</v>
      </c>
      <c r="H120" s="85">
        <f t="shared" si="66"/>
        <v>44196</v>
      </c>
      <c r="I120" s="85">
        <f t="shared" ref="I120:L120" si="67">I69</f>
        <v>44561</v>
      </c>
      <c r="J120" s="85">
        <f t="shared" si="67"/>
        <v>44926</v>
      </c>
      <c r="K120" s="85">
        <f t="shared" si="67"/>
        <v>45291</v>
      </c>
      <c r="L120" s="85">
        <f t="shared" si="67"/>
        <v>45657</v>
      </c>
      <c r="M120" s="84"/>
      <c r="N120" s="84"/>
      <c r="O120" s="84"/>
      <c r="P120" s="84"/>
      <c r="Q120" s="84"/>
      <c r="R120" s="3"/>
      <c r="S120" s="3"/>
      <c r="T120" s="3"/>
      <c r="U120" s="3"/>
      <c r="V120" s="3"/>
      <c r="W120" s="3"/>
      <c r="X120" s="3"/>
    </row>
    <row r="121" spans="1:24" ht="15" x14ac:dyDescent="0.15">
      <c r="A121" s="168" t="s">
        <v>31</v>
      </c>
      <c r="B121" s="3"/>
      <c r="C121" s="86"/>
      <c r="D121" s="86"/>
      <c r="E121" s="86"/>
      <c r="F121" s="86"/>
      <c r="G121" s="86"/>
      <c r="H121" s="3"/>
      <c r="I121" s="3"/>
      <c r="J121" s="3"/>
      <c r="K121" s="3"/>
      <c r="L121" s="3"/>
      <c r="M121" s="3"/>
      <c r="N121" s="3"/>
      <c r="O121" s="3"/>
      <c r="P121" s="3"/>
      <c r="Q121" s="3"/>
      <c r="R121" s="3"/>
      <c r="S121" s="3"/>
      <c r="T121" s="3"/>
      <c r="U121" s="3"/>
      <c r="V121" s="3"/>
      <c r="W121" s="3"/>
      <c r="X121" s="3"/>
    </row>
    <row r="122" spans="1:24" x14ac:dyDescent="0.15">
      <c r="A122" s="3" t="s">
        <v>117</v>
      </c>
      <c r="B122" s="3"/>
      <c r="C122" s="87">
        <f>C73/C20</f>
        <v>1.481401384083045E-2</v>
      </c>
      <c r="D122" s="87">
        <f>D73/D20</f>
        <v>1.973805570927873E-2</v>
      </c>
      <c r="E122" s="87">
        <f>E73/E20</f>
        <v>2.1612952497327021E-2</v>
      </c>
      <c r="F122" s="87">
        <f>F73/F20</f>
        <v>2.0257588505598344E-2</v>
      </c>
      <c r="G122" s="87">
        <f>G73/G20</f>
        <v>2.4476704929101957E-2</v>
      </c>
      <c r="H122" s="88">
        <f>AVERAGE(C122:G122)</f>
        <v>2.0179863096427303E-2</v>
      </c>
      <c r="I122" s="3"/>
      <c r="J122" s="3"/>
      <c r="K122" s="3"/>
      <c r="L122" s="3"/>
      <c r="M122" s="3"/>
      <c r="N122" s="3"/>
      <c r="O122" s="3"/>
      <c r="P122" s="3"/>
      <c r="Q122" s="3"/>
      <c r="R122" s="3"/>
      <c r="S122" s="3"/>
      <c r="T122" s="3"/>
      <c r="U122" s="3"/>
      <c r="V122" s="3"/>
      <c r="W122" s="3"/>
      <c r="X122" s="3"/>
    </row>
    <row r="123" spans="1:24" x14ac:dyDescent="0.15">
      <c r="A123" s="3" t="s">
        <v>116</v>
      </c>
      <c r="B123" s="3"/>
      <c r="C123" s="87"/>
      <c r="D123" s="87">
        <f>(D27-C27)/C27</f>
        <v>5.3030303030303032E-2</v>
      </c>
      <c r="E123" s="87">
        <f>(E27-D27)/D27</f>
        <v>1.0863309352517985</v>
      </c>
      <c r="F123" s="87">
        <f>(F27-E27)/E27</f>
        <v>5.2298850574712646E-2</v>
      </c>
      <c r="G123" s="87">
        <f>(G27-F27)/F27</f>
        <v>-6.5537957400327695E-2</v>
      </c>
      <c r="H123" s="89">
        <f>AVERAGE(C123:G123)</f>
        <v>0.28153053286412161</v>
      </c>
      <c r="I123" s="3"/>
      <c r="J123" s="3"/>
      <c r="K123" s="3"/>
      <c r="L123" s="3"/>
      <c r="M123" s="3"/>
      <c r="N123" s="3"/>
      <c r="O123" s="3"/>
      <c r="P123" s="3"/>
      <c r="Q123" s="3"/>
      <c r="R123" s="3"/>
      <c r="S123" s="3"/>
      <c r="T123" s="3"/>
      <c r="U123" s="3"/>
      <c r="V123" s="3"/>
      <c r="W123" s="3"/>
      <c r="X123" s="3"/>
    </row>
    <row r="124" spans="1:24" ht="15" x14ac:dyDescent="0.15">
      <c r="A124" s="90" t="s">
        <v>106</v>
      </c>
      <c r="B124" s="3"/>
      <c r="C124" s="86"/>
      <c r="D124" s="86"/>
      <c r="E124" s="86"/>
      <c r="F124" s="86"/>
      <c r="G124" s="86"/>
      <c r="H124" s="91" t="s">
        <v>66</v>
      </c>
      <c r="I124" s="193" t="s">
        <v>63</v>
      </c>
      <c r="J124" s="193"/>
      <c r="K124" s="193"/>
      <c r="L124" s="193"/>
      <c r="M124" s="193"/>
      <c r="N124" s="193"/>
      <c r="O124" s="193"/>
      <c r="P124" s="193"/>
      <c r="Q124" s="193"/>
      <c r="R124" s="193"/>
      <c r="S124" s="193"/>
      <c r="T124" s="3"/>
      <c r="U124" s="3"/>
      <c r="V124" s="3"/>
      <c r="W124" s="3"/>
      <c r="X124" s="3"/>
    </row>
    <row r="125" spans="1:24" x14ac:dyDescent="0.15">
      <c r="A125" s="3"/>
      <c r="B125" s="3"/>
      <c r="C125" s="86"/>
      <c r="D125" s="86"/>
      <c r="E125" s="86"/>
      <c r="F125" s="86"/>
      <c r="G125" s="86"/>
      <c r="H125" s="91"/>
      <c r="I125" s="193"/>
      <c r="J125" s="193"/>
      <c r="K125" s="193"/>
      <c r="L125" s="193"/>
      <c r="M125" s="193"/>
      <c r="N125" s="193"/>
      <c r="O125" s="193"/>
      <c r="P125" s="193"/>
      <c r="Q125" s="193"/>
      <c r="R125" s="193"/>
      <c r="S125" s="193"/>
      <c r="T125" s="3"/>
      <c r="U125" s="3"/>
      <c r="V125" s="3"/>
      <c r="W125" s="3"/>
      <c r="X125" s="3"/>
    </row>
    <row r="126" spans="1:24" x14ac:dyDescent="0.15">
      <c r="A126" s="3" t="s">
        <v>64</v>
      </c>
      <c r="B126" s="3"/>
      <c r="C126" s="87">
        <f>C82/C20</f>
        <v>0.1453287197231834</v>
      </c>
      <c r="D126" s="87">
        <f>D82/D20</f>
        <v>0.1366906474820144</v>
      </c>
      <c r="E126" s="87">
        <f>E82/E20</f>
        <v>0.1166946693141897</v>
      </c>
      <c r="F126" s="87">
        <f>F82/F20</f>
        <v>0.11157853860591548</v>
      </c>
      <c r="G126" s="87">
        <f>G82/G20</f>
        <v>9.5262210218320958E-2</v>
      </c>
      <c r="H126" s="92">
        <f>G126</f>
        <v>9.5262210218320958E-2</v>
      </c>
      <c r="I126" s="3"/>
      <c r="J126" s="3"/>
      <c r="K126" s="3"/>
      <c r="L126" s="3"/>
      <c r="M126" s="3"/>
      <c r="N126" s="3"/>
      <c r="O126" s="3"/>
      <c r="P126" s="3"/>
      <c r="Q126" s="3"/>
      <c r="R126" s="3"/>
      <c r="S126" s="3"/>
      <c r="T126" s="3"/>
      <c r="U126" s="3"/>
      <c r="V126" s="3"/>
      <c r="W126" s="3"/>
      <c r="X126" s="3"/>
    </row>
    <row r="127" spans="1:24" x14ac:dyDescent="0.15">
      <c r="A127" s="3" t="s">
        <v>65</v>
      </c>
      <c r="B127" s="3"/>
      <c r="C127" s="86"/>
      <c r="D127" s="86"/>
      <c r="E127" s="86"/>
      <c r="F127" s="86"/>
      <c r="G127" s="86"/>
      <c r="H127" s="91" t="s">
        <v>66</v>
      </c>
      <c r="I127" s="3"/>
      <c r="J127" s="3"/>
      <c r="K127" s="3"/>
      <c r="L127" s="3"/>
      <c r="M127" s="3"/>
      <c r="N127" s="3"/>
      <c r="O127" s="3"/>
      <c r="P127" s="3"/>
      <c r="Q127" s="3"/>
      <c r="R127" s="3"/>
      <c r="S127" s="3"/>
      <c r="T127" s="3"/>
      <c r="U127" s="3"/>
      <c r="V127" s="3"/>
      <c r="W127" s="3"/>
      <c r="X127" s="3"/>
    </row>
    <row r="128" spans="1:24" ht="15" x14ac:dyDescent="0.15">
      <c r="A128" s="90" t="s">
        <v>38</v>
      </c>
      <c r="B128" s="3"/>
      <c r="C128" s="86"/>
      <c r="D128" s="86"/>
      <c r="E128" s="86"/>
      <c r="F128" s="86"/>
      <c r="G128" s="86"/>
      <c r="H128" s="91" t="s">
        <v>66</v>
      </c>
      <c r="I128" s="3"/>
      <c r="J128" s="3"/>
      <c r="K128" s="3"/>
      <c r="L128" s="3"/>
      <c r="M128" s="3"/>
      <c r="N128" s="3"/>
      <c r="O128" s="3"/>
      <c r="P128" s="3"/>
      <c r="Q128" s="3"/>
      <c r="R128" s="3"/>
      <c r="S128" s="3"/>
      <c r="T128" s="3"/>
      <c r="U128" s="3"/>
      <c r="V128" s="3"/>
      <c r="W128" s="3"/>
      <c r="X128" s="3"/>
    </row>
    <row r="129" spans="1:24" ht="15" x14ac:dyDescent="0.15">
      <c r="A129" s="90" t="s">
        <v>39</v>
      </c>
      <c r="B129" s="3"/>
      <c r="C129" s="86"/>
      <c r="D129" s="86"/>
      <c r="E129" s="86"/>
      <c r="F129" s="86"/>
      <c r="G129" s="86"/>
      <c r="H129" s="91" t="s">
        <v>66</v>
      </c>
      <c r="I129" s="3"/>
      <c r="J129" s="3"/>
      <c r="K129" s="3"/>
      <c r="L129" s="3"/>
      <c r="M129" s="3"/>
      <c r="N129" s="3"/>
      <c r="O129" s="3"/>
      <c r="P129" s="3"/>
      <c r="Q129" s="3"/>
      <c r="R129" s="3"/>
      <c r="S129" s="3"/>
      <c r="T129" s="3"/>
      <c r="U129" s="3"/>
      <c r="V129" s="3"/>
      <c r="W129" s="3"/>
      <c r="X129" s="3"/>
    </row>
    <row r="130" spans="1:24" x14ac:dyDescent="0.15">
      <c r="A130" s="3" t="s">
        <v>67</v>
      </c>
      <c r="B130" s="3"/>
      <c r="C130" s="87">
        <f>C86/C20</f>
        <v>1.2326989619377162E-2</v>
      </c>
      <c r="D130" s="87">
        <f>D86/D20</f>
        <v>7.2864785095000922E-3</v>
      </c>
      <c r="E130" s="87">
        <f>E86/E20</f>
        <v>1.0157323965174889E-2</v>
      </c>
      <c r="F130" s="87">
        <f>F86/F20</f>
        <v>3.6567212478156752E-2</v>
      </c>
      <c r="G130" s="87">
        <f>G86/G20</f>
        <v>7.2698627053792486E-2</v>
      </c>
      <c r="H130" s="93"/>
      <c r="I130" s="3"/>
      <c r="J130" s="3"/>
      <c r="K130" s="3"/>
      <c r="L130" s="3"/>
      <c r="M130" s="3"/>
      <c r="N130" s="3"/>
      <c r="O130" s="3"/>
      <c r="P130" s="3"/>
      <c r="Q130" s="3"/>
      <c r="R130" s="3"/>
      <c r="S130" s="3"/>
      <c r="T130" s="3"/>
      <c r="U130" s="3"/>
      <c r="V130" s="3"/>
      <c r="W130" s="3"/>
      <c r="X130" s="3"/>
    </row>
    <row r="131" spans="1:24" x14ac:dyDescent="0.15">
      <c r="A131" s="3" t="s">
        <v>68</v>
      </c>
      <c r="B131" s="3"/>
      <c r="C131" s="86"/>
      <c r="D131" s="86"/>
      <c r="E131" s="86"/>
      <c r="F131" s="86"/>
      <c r="G131" s="87">
        <f>(E86/C86)^(1/4)-1</f>
        <v>3.9289877625411807E-2</v>
      </c>
      <c r="H131" s="89">
        <f>G131</f>
        <v>3.9289877625411807E-2</v>
      </c>
      <c r="I131" s="3"/>
      <c r="J131" s="3"/>
      <c r="K131" s="3"/>
      <c r="L131" s="3"/>
      <c r="M131" s="3"/>
      <c r="N131" s="3"/>
      <c r="O131" s="3"/>
      <c r="P131" s="3"/>
      <c r="Q131" s="3"/>
      <c r="R131" s="3"/>
      <c r="S131" s="3"/>
      <c r="T131" s="3"/>
      <c r="U131" s="3"/>
      <c r="V131" s="3"/>
      <c r="W131" s="3"/>
      <c r="X131" s="3"/>
    </row>
    <row r="132" spans="1:24" x14ac:dyDescent="0.15">
      <c r="B132" s="3"/>
      <c r="C132" s="86"/>
      <c r="D132" s="86"/>
      <c r="E132" s="86"/>
      <c r="F132" s="86"/>
      <c r="G132" s="87"/>
      <c r="H132" s="89"/>
      <c r="I132" s="3"/>
      <c r="J132" s="3"/>
      <c r="K132" s="3"/>
      <c r="L132" s="3"/>
      <c r="M132" s="3"/>
      <c r="N132" s="3"/>
      <c r="O132" s="3"/>
      <c r="P132" s="3"/>
      <c r="Q132" s="3"/>
      <c r="R132" s="3"/>
      <c r="S132" s="3"/>
      <c r="T132" s="3"/>
      <c r="U132" s="3"/>
      <c r="V132" s="3"/>
      <c r="W132" s="3"/>
      <c r="X132" s="3"/>
    </row>
    <row r="133" spans="1:24" ht="15" x14ac:dyDescent="0.15">
      <c r="A133" s="167" t="s">
        <v>42</v>
      </c>
      <c r="B133" s="3"/>
      <c r="C133" s="86"/>
      <c r="D133" s="86"/>
      <c r="E133" s="86"/>
      <c r="F133" s="86"/>
      <c r="G133" s="86"/>
      <c r="H133" s="91"/>
      <c r="I133" s="3"/>
      <c r="J133" s="3"/>
      <c r="K133" s="3"/>
      <c r="L133" s="3"/>
      <c r="M133" s="3"/>
      <c r="N133" s="3"/>
      <c r="O133" s="3"/>
      <c r="P133" s="3"/>
      <c r="Q133" s="3"/>
      <c r="R133" s="3"/>
      <c r="S133" s="3"/>
      <c r="T133" s="3"/>
      <c r="U133" s="3"/>
      <c r="V133" s="3"/>
      <c r="W133" s="3"/>
      <c r="X133" s="3"/>
    </row>
    <row r="134" spans="1:24" x14ac:dyDescent="0.15">
      <c r="A134" s="3" t="s">
        <v>69</v>
      </c>
      <c r="B134" s="3"/>
      <c r="C134" s="94">
        <f>C91/C24*365</f>
        <v>56.483457844183562</v>
      </c>
      <c r="D134" s="94">
        <f>D91/D24*365</f>
        <v>72.321981424148618</v>
      </c>
      <c r="E134" s="94">
        <f>E91/E24*365</f>
        <v>82.140980735551665</v>
      </c>
      <c r="F134" s="94">
        <f>F91/F24*365</f>
        <v>78.055555555555557</v>
      </c>
      <c r="G134" s="94">
        <f>G91/G24*365</f>
        <v>60.442541042112779</v>
      </c>
      <c r="H134" s="95">
        <f>AVERAGE(C134:G134)</f>
        <v>69.888903320310447</v>
      </c>
      <c r="I134" s="3"/>
      <c r="J134" s="3"/>
      <c r="K134" s="3"/>
      <c r="L134" s="3"/>
      <c r="M134" s="3"/>
      <c r="N134" s="3"/>
      <c r="O134" s="3"/>
      <c r="P134" s="3"/>
      <c r="Q134" s="3"/>
      <c r="R134" s="3"/>
      <c r="S134" s="3"/>
      <c r="T134" s="3"/>
      <c r="U134" s="3"/>
      <c r="V134" s="3"/>
      <c r="W134" s="3"/>
      <c r="X134" s="3"/>
    </row>
    <row r="135" spans="1:24" x14ac:dyDescent="0.15">
      <c r="A135" s="3" t="s">
        <v>70</v>
      </c>
      <c r="B135" s="3"/>
      <c r="C135" s="86"/>
      <c r="D135" s="86"/>
      <c r="E135" s="86"/>
      <c r="F135" s="86"/>
      <c r="G135" s="86"/>
      <c r="H135" s="91">
        <v>0</v>
      </c>
      <c r="I135" s="3" t="s">
        <v>79</v>
      </c>
      <c r="J135" s="3"/>
      <c r="K135" s="3"/>
      <c r="L135" s="3"/>
      <c r="M135" s="3"/>
      <c r="N135" s="3"/>
      <c r="O135" s="3"/>
      <c r="P135" s="3"/>
      <c r="Q135" s="3"/>
      <c r="R135" s="3"/>
      <c r="S135" s="3"/>
      <c r="T135" s="3"/>
      <c r="U135" s="3"/>
      <c r="V135" s="3"/>
      <c r="W135" s="3"/>
      <c r="X135" s="3"/>
    </row>
    <row r="136" spans="1:24" ht="15" x14ac:dyDescent="0.15">
      <c r="A136" s="90" t="s">
        <v>46</v>
      </c>
      <c r="B136" s="3"/>
      <c r="C136" s="86"/>
      <c r="D136" s="86"/>
      <c r="E136" s="86"/>
      <c r="F136" s="86"/>
      <c r="G136" s="86"/>
      <c r="H136" s="91" t="s">
        <v>66</v>
      </c>
      <c r="I136" s="3"/>
      <c r="J136" s="3"/>
      <c r="K136" s="3"/>
      <c r="L136" s="3"/>
      <c r="M136" s="3"/>
      <c r="N136" s="3"/>
      <c r="O136" s="3"/>
      <c r="P136" s="3"/>
      <c r="Q136" s="3"/>
      <c r="R136" s="3"/>
      <c r="S136" s="3"/>
      <c r="T136" s="3"/>
      <c r="U136" s="3"/>
      <c r="V136" s="3"/>
      <c r="W136" s="3"/>
      <c r="X136" s="3"/>
    </row>
    <row r="137" spans="1:24" ht="30" x14ac:dyDescent="0.15">
      <c r="A137" s="90" t="s">
        <v>71</v>
      </c>
      <c r="B137" s="3"/>
      <c r="C137" s="87">
        <f>C94/(C24+C27)</f>
        <v>0.68189705031810299</v>
      </c>
      <c r="D137" s="87">
        <f>D94/(D24+D27)</f>
        <v>0.80920687742651132</v>
      </c>
      <c r="E137" s="87">
        <f>E94/(E24+E27)</f>
        <v>0.61797362942401113</v>
      </c>
      <c r="F137" s="87">
        <f>F94/(F24+F27)</f>
        <v>0.63656597774244839</v>
      </c>
      <c r="G137" s="87">
        <f>G94/(G24+G27)</f>
        <v>0.67062982005141392</v>
      </c>
      <c r="H137" s="89">
        <f>AVERAGE(C137:G137)</f>
        <v>0.68325467099249759</v>
      </c>
      <c r="I137" s="3"/>
      <c r="J137" s="3"/>
      <c r="K137" s="3"/>
      <c r="L137" s="3"/>
      <c r="M137" s="3"/>
      <c r="N137" s="3"/>
      <c r="O137" s="3"/>
      <c r="P137" s="3"/>
      <c r="Q137" s="3"/>
      <c r="R137" s="3"/>
      <c r="S137" s="3"/>
      <c r="T137" s="3"/>
      <c r="U137" s="3"/>
      <c r="V137" s="3"/>
      <c r="W137" s="3"/>
      <c r="X137" s="3"/>
    </row>
    <row r="138" spans="1:24" x14ac:dyDescent="0.15">
      <c r="A138" s="96" t="s">
        <v>48</v>
      </c>
      <c r="B138" s="3"/>
      <c r="C138" s="87">
        <f>C95/C35</f>
        <v>2.5244299674267102E-2</v>
      </c>
      <c r="D138" s="87">
        <f>D95/D35</f>
        <v>4.5681655960028551E-2</v>
      </c>
      <c r="E138" s="87">
        <f>E95/E35</f>
        <v>4.3622221054291269E-2</v>
      </c>
      <c r="F138" s="87">
        <f>F95/F35</f>
        <v>2.6242045827980762E-2</v>
      </c>
      <c r="G138" s="87">
        <f>G95/G35</f>
        <v>2.9000071687237988E-2</v>
      </c>
      <c r="H138" s="89">
        <f>AVERAGE(C138:G138)</f>
        <v>3.3958058840761134E-2</v>
      </c>
      <c r="I138" s="3"/>
      <c r="J138" s="3"/>
      <c r="K138" s="3"/>
      <c r="L138" s="3"/>
      <c r="M138" s="3"/>
      <c r="N138" s="3"/>
      <c r="O138" s="3"/>
      <c r="P138" s="3"/>
      <c r="Q138" s="3"/>
      <c r="R138" s="3"/>
      <c r="S138" s="3"/>
      <c r="T138" s="3"/>
      <c r="U138" s="3"/>
      <c r="V138" s="3"/>
      <c r="W138" s="3"/>
      <c r="X138" s="3"/>
    </row>
    <row r="139" spans="1:24" x14ac:dyDescent="0.15">
      <c r="A139" s="96" t="s">
        <v>50</v>
      </c>
      <c r="B139" s="3"/>
      <c r="D139" s="87"/>
      <c r="E139" s="87"/>
      <c r="F139" s="87"/>
      <c r="G139" s="87"/>
      <c r="H139" s="97">
        <f>H33/G33-1</f>
        <v>0.38380229300711233</v>
      </c>
      <c r="I139" s="98">
        <f>I33/H33-1</f>
        <v>0.18190859224518841</v>
      </c>
      <c r="J139" s="98">
        <f>J33/I33-1</f>
        <v>0.18300373104446055</v>
      </c>
      <c r="K139" s="98">
        <f>K33/J33-1</f>
        <v>0.18398353190588357</v>
      </c>
      <c r="L139" s="99">
        <f>L33/K33-1</f>
        <v>0.1848586057364614</v>
      </c>
      <c r="M139" s="75"/>
      <c r="N139" s="3"/>
      <c r="O139" s="3"/>
      <c r="P139" s="3"/>
      <c r="Q139" s="3"/>
      <c r="R139" s="3"/>
      <c r="S139" s="3"/>
      <c r="T139" s="3"/>
      <c r="U139" s="3"/>
      <c r="V139" s="3"/>
      <c r="W139" s="3"/>
      <c r="X139" s="3"/>
    </row>
    <row r="140" spans="1:24" x14ac:dyDescent="0.15">
      <c r="A140" s="96" t="s">
        <v>115</v>
      </c>
      <c r="B140" s="3"/>
      <c r="C140" s="86"/>
      <c r="D140" s="86"/>
      <c r="E140" s="86"/>
      <c r="F140" s="86"/>
      <c r="G140" s="86"/>
      <c r="H140" s="92">
        <f>G99/G87</f>
        <v>9.6721407281865471E-2</v>
      </c>
      <c r="I140" s="3"/>
      <c r="J140" s="3"/>
      <c r="K140" s="3"/>
      <c r="L140" s="3"/>
      <c r="M140" s="3"/>
      <c r="N140" s="3"/>
      <c r="O140" s="3"/>
      <c r="P140" s="3"/>
      <c r="Q140" s="3"/>
      <c r="R140" s="3"/>
      <c r="S140" s="3"/>
      <c r="T140" s="3"/>
      <c r="U140" s="3"/>
      <c r="V140" s="3"/>
      <c r="W140" s="3"/>
      <c r="X140" s="3"/>
    </row>
    <row r="141" spans="1:24" x14ac:dyDescent="0.15">
      <c r="A141" s="96" t="s">
        <v>54</v>
      </c>
      <c r="B141" s="3"/>
      <c r="C141" s="100"/>
      <c r="D141" s="100"/>
      <c r="E141" s="100"/>
      <c r="F141" s="100"/>
      <c r="G141" s="100"/>
      <c r="H141" s="89" t="s">
        <v>66</v>
      </c>
      <c r="I141" s="3"/>
      <c r="J141" s="3"/>
      <c r="K141" s="3"/>
      <c r="L141" s="3"/>
      <c r="M141" s="3"/>
      <c r="N141" s="3"/>
      <c r="O141" s="3"/>
      <c r="P141" s="3"/>
      <c r="Q141" s="3"/>
      <c r="R141" s="3"/>
      <c r="S141" s="3"/>
      <c r="T141" s="3"/>
      <c r="U141" s="3"/>
      <c r="V141" s="3"/>
      <c r="W141" s="3"/>
      <c r="X141" s="3"/>
    </row>
    <row r="142" spans="1:24" x14ac:dyDescent="0.15">
      <c r="A142" s="96" t="s">
        <v>56</v>
      </c>
      <c r="B142" s="3"/>
      <c r="C142" s="3"/>
      <c r="D142" s="3"/>
      <c r="E142" s="3"/>
      <c r="F142" s="3"/>
      <c r="G142" s="3"/>
      <c r="H142" s="91" t="s">
        <v>66</v>
      </c>
      <c r="I142" s="3"/>
      <c r="J142" s="3"/>
      <c r="K142" s="3"/>
      <c r="L142" s="3"/>
      <c r="M142" s="3"/>
      <c r="N142" s="3"/>
      <c r="O142" s="3"/>
      <c r="P142" s="3"/>
      <c r="Q142" s="3"/>
      <c r="R142" s="3"/>
      <c r="S142" s="3"/>
      <c r="T142" s="3"/>
      <c r="U142" s="3"/>
      <c r="V142" s="3"/>
      <c r="W142" s="3"/>
      <c r="X142" s="3"/>
    </row>
    <row r="143" spans="1:24" ht="15" x14ac:dyDescent="0.15">
      <c r="A143" s="90" t="s">
        <v>58</v>
      </c>
      <c r="B143" s="3"/>
      <c r="C143" s="3"/>
      <c r="D143" s="3"/>
      <c r="E143" s="3"/>
      <c r="F143" s="3"/>
      <c r="G143" s="3"/>
      <c r="H143" s="101" t="s">
        <v>66</v>
      </c>
      <c r="I143" s="3"/>
      <c r="J143" s="3"/>
      <c r="K143" s="3"/>
      <c r="L143" s="3"/>
      <c r="M143" s="3"/>
      <c r="N143" s="3"/>
      <c r="O143" s="3"/>
      <c r="P143" s="3"/>
      <c r="Q143" s="3"/>
      <c r="R143" s="3"/>
      <c r="S143" s="3"/>
      <c r="T143" s="3"/>
      <c r="U143" s="3"/>
      <c r="V143" s="3"/>
      <c r="W143" s="3"/>
      <c r="X143" s="3"/>
    </row>
    <row r="144" spans="1:24" ht="15" thickBo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row>
    <row r="145" spans="1:24" s="198" customFormat="1" ht="25" customHeight="1" thickTop="1" thickBot="1" x14ac:dyDescent="0.25">
      <c r="A145" s="145" t="s">
        <v>73</v>
      </c>
      <c r="B145" s="145"/>
      <c r="C145" s="146"/>
      <c r="D145" s="146"/>
      <c r="E145" s="146"/>
      <c r="F145" s="146"/>
      <c r="G145" s="146"/>
      <c r="H145" s="146"/>
      <c r="I145" s="146"/>
      <c r="J145" s="146"/>
      <c r="K145" s="146"/>
      <c r="L145" s="146"/>
      <c r="M145" s="144"/>
      <c r="N145" s="144"/>
      <c r="O145" s="144"/>
      <c r="P145" s="144"/>
      <c r="Q145" s="144"/>
      <c r="R145" s="144"/>
      <c r="S145" s="144"/>
    </row>
    <row r="146" spans="1:24" s="57" customFormat="1" ht="18" thickTop="1" x14ac:dyDescent="0.2">
      <c r="A146" s="102"/>
      <c r="B146" s="102"/>
      <c r="C146" s="103"/>
      <c r="D146" s="103"/>
      <c r="E146" s="103"/>
      <c r="F146" s="103"/>
      <c r="G146" s="103"/>
      <c r="H146" s="103"/>
      <c r="I146" s="103"/>
      <c r="J146" s="103"/>
      <c r="K146" s="103"/>
      <c r="L146" s="103"/>
    </row>
    <row r="147" spans="1:24" s="57" customFormat="1" ht="17" x14ac:dyDescent="0.2">
      <c r="A147" s="102"/>
      <c r="B147" s="102"/>
      <c r="C147" s="103"/>
      <c r="D147" s="103"/>
      <c r="E147" s="103"/>
      <c r="F147" s="103"/>
      <c r="G147" s="103"/>
      <c r="H147" s="103"/>
      <c r="I147" s="103"/>
      <c r="J147" s="103"/>
      <c r="K147" s="103"/>
      <c r="L147" s="103"/>
    </row>
    <row r="148" spans="1:24" s="3" customFormat="1" x14ac:dyDescent="0.15">
      <c r="A148" s="82"/>
      <c r="B148" s="82"/>
      <c r="C148" s="104"/>
      <c r="D148" s="104"/>
      <c r="E148" s="104"/>
      <c r="F148" s="104"/>
      <c r="G148" s="104"/>
      <c r="H148" s="83" t="str">
        <f t="shared" ref="H148:L149" si="68">H68</f>
        <v>2020P</v>
      </c>
      <c r="I148" s="83" t="str">
        <f t="shared" si="68"/>
        <v>2021P</v>
      </c>
      <c r="J148" s="83" t="str">
        <f t="shared" si="68"/>
        <v>2022P</v>
      </c>
      <c r="K148" s="83" t="str">
        <f t="shared" si="68"/>
        <v>2023P</v>
      </c>
      <c r="L148" s="83" t="str">
        <f t="shared" si="68"/>
        <v>2024P</v>
      </c>
    </row>
    <row r="149" spans="1:24" s="3" customFormat="1" x14ac:dyDescent="0.15">
      <c r="A149" s="82"/>
      <c r="B149" s="82"/>
      <c r="C149" s="104"/>
      <c r="D149" s="104"/>
      <c r="E149" s="104"/>
      <c r="F149" s="104"/>
      <c r="G149" s="104"/>
      <c r="H149" s="85">
        <f t="shared" si="68"/>
        <v>44196</v>
      </c>
      <c r="I149" s="85">
        <f t="shared" si="68"/>
        <v>44561</v>
      </c>
      <c r="J149" s="85">
        <f t="shared" si="68"/>
        <v>44926</v>
      </c>
      <c r="K149" s="85">
        <f t="shared" si="68"/>
        <v>45291</v>
      </c>
      <c r="L149" s="85">
        <f t="shared" si="68"/>
        <v>45657</v>
      </c>
    </row>
    <row r="150" spans="1:24" s="3" customFormat="1" x14ac:dyDescent="0.15">
      <c r="A150" s="30" t="s">
        <v>80</v>
      </c>
      <c r="H150" s="44"/>
      <c r="I150" s="44"/>
      <c r="J150" s="44"/>
      <c r="K150" s="44"/>
      <c r="L150" s="44"/>
    </row>
    <row r="151" spans="1:24" x14ac:dyDescent="0.15">
      <c r="A151" s="105" t="s">
        <v>14</v>
      </c>
      <c r="B151" s="3"/>
      <c r="C151" s="3"/>
      <c r="D151" s="3"/>
      <c r="E151" s="3"/>
      <c r="F151" s="3"/>
      <c r="G151" s="3"/>
      <c r="H151" s="25">
        <f>H35</f>
        <v>3483.3557819780781</v>
      </c>
      <c r="I151" s="25">
        <f>I35</f>
        <v>4117.0081285668475</v>
      </c>
      <c r="J151" s="25">
        <f>J35</f>
        <v>4870.4359768349532</v>
      </c>
      <c r="K151" s="25">
        <f>K35</f>
        <v>5766.5159897745298</v>
      </c>
      <c r="L151" s="25">
        <f>L35</f>
        <v>6832.5060956012603</v>
      </c>
      <c r="M151" s="3"/>
      <c r="N151" s="3"/>
      <c r="O151" s="3"/>
      <c r="P151" s="3"/>
      <c r="Q151" s="3"/>
      <c r="R151" s="3"/>
      <c r="S151" s="3"/>
      <c r="T151" s="3"/>
      <c r="U151" s="3"/>
      <c r="V151" s="3"/>
      <c r="W151" s="3"/>
      <c r="X151" s="3"/>
    </row>
    <row r="152" spans="1:24" x14ac:dyDescent="0.15">
      <c r="A152" s="105" t="s">
        <v>81</v>
      </c>
      <c r="B152" s="3"/>
      <c r="C152" s="3"/>
      <c r="D152" s="3"/>
      <c r="E152" s="3"/>
      <c r="F152" s="3"/>
      <c r="G152" s="3"/>
      <c r="H152" s="25">
        <f ca="1">H37</f>
        <v>1121.569553193812</v>
      </c>
      <c r="I152" s="25">
        <f ca="1">I37</f>
        <v>1373.4306387545153</v>
      </c>
      <c r="J152" s="25">
        <f ca="1">J37</f>
        <v>1679.8573302584566</v>
      </c>
      <c r="K152" s="25">
        <f ca="1">K37</f>
        <v>2052.3812233750127</v>
      </c>
      <c r="L152" s="25">
        <f ca="1">L37</f>
        <v>2504.9271848170692</v>
      </c>
      <c r="M152" s="3"/>
      <c r="N152" s="3"/>
      <c r="O152" s="3"/>
      <c r="P152" s="3"/>
      <c r="Q152" s="3"/>
      <c r="R152" s="3"/>
      <c r="S152" s="3"/>
      <c r="T152" s="3"/>
      <c r="U152" s="3"/>
      <c r="V152" s="3"/>
      <c r="W152" s="3"/>
      <c r="X152" s="3"/>
    </row>
    <row r="153" spans="1:24" x14ac:dyDescent="0.15">
      <c r="A153" s="105" t="s">
        <v>82</v>
      </c>
      <c r="B153" s="3"/>
      <c r="C153" s="3"/>
      <c r="D153" s="3"/>
      <c r="E153" s="3"/>
      <c r="F153" s="3"/>
      <c r="G153" s="3"/>
      <c r="H153" s="44"/>
      <c r="I153" s="44"/>
      <c r="J153" s="44"/>
      <c r="K153" s="44"/>
      <c r="L153" s="44"/>
      <c r="M153" s="3"/>
      <c r="N153" s="3"/>
      <c r="O153" s="3"/>
      <c r="P153" s="3"/>
      <c r="Q153" s="3"/>
      <c r="R153" s="3"/>
      <c r="S153" s="3"/>
      <c r="T153" s="3"/>
      <c r="U153" s="3"/>
      <c r="V153" s="3"/>
      <c r="W153" s="3"/>
      <c r="X153" s="3"/>
    </row>
    <row r="154" spans="1:24" x14ac:dyDescent="0.15">
      <c r="A154" s="106" t="s">
        <v>83</v>
      </c>
      <c r="B154" s="3"/>
      <c r="C154" s="3"/>
      <c r="D154" s="3"/>
      <c r="E154" s="3"/>
      <c r="F154" s="3"/>
      <c r="G154" s="3"/>
      <c r="H154" s="25">
        <f>-(H73-G73)</f>
        <v>-8.7782404469459152</v>
      </c>
      <c r="I154" s="25">
        <f>-(I73-H73)</f>
        <v>-8.955384137392798</v>
      </c>
      <c r="J154" s="25">
        <f>-(J73-I73)</f>
        <v>-9.1361025632613178</v>
      </c>
      <c r="K154" s="25">
        <f>-(K73-J73)</f>
        <v>-9.320467862222813</v>
      </c>
      <c r="L154" s="25">
        <f>-(L73-K73)</f>
        <v>-9.508553627677145</v>
      </c>
      <c r="M154" s="3"/>
      <c r="N154" s="3"/>
      <c r="O154" s="3"/>
      <c r="P154" s="3"/>
      <c r="Q154" s="3"/>
      <c r="R154" s="3"/>
      <c r="S154" s="3"/>
      <c r="T154" s="3"/>
      <c r="U154" s="3"/>
      <c r="V154" s="3"/>
      <c r="W154" s="3"/>
      <c r="X154" s="3"/>
    </row>
    <row r="155" spans="1:24" x14ac:dyDescent="0.15">
      <c r="A155" s="106" t="s">
        <v>34</v>
      </c>
      <c r="B155" s="3"/>
      <c r="C155" s="3"/>
      <c r="D155" s="3"/>
      <c r="E155" s="3"/>
      <c r="F155" s="3"/>
      <c r="G155" s="3"/>
      <c r="H155" s="25">
        <f>-(H75-G75)</f>
        <v>-225.22442629129728</v>
      </c>
      <c r="I155" s="25">
        <f>-(I75-H75)</f>
        <v>-288.63197903910213</v>
      </c>
      <c r="J155" s="25">
        <f>-(J75-I75)</f>
        <v>-369.89069389960673</v>
      </c>
      <c r="K155" s="25">
        <f>-(K75-J75)</f>
        <v>-474.02621805464264</v>
      </c>
      <c r="L155" s="25">
        <f>-(L75-K75)</f>
        <v>-607.47907181513028</v>
      </c>
      <c r="M155" s="3"/>
      <c r="N155" s="3"/>
      <c r="O155" s="3"/>
      <c r="P155" s="3"/>
      <c r="Q155" s="3"/>
      <c r="R155" s="3"/>
      <c r="S155" s="3"/>
      <c r="T155" s="3"/>
      <c r="U155" s="3"/>
      <c r="V155" s="3"/>
      <c r="W155" s="3"/>
      <c r="X155" s="3"/>
    </row>
    <row r="156" spans="1:24" x14ac:dyDescent="0.15">
      <c r="A156" s="106" t="s">
        <v>94</v>
      </c>
      <c r="B156" s="3"/>
      <c r="C156" s="3"/>
      <c r="D156" s="3"/>
      <c r="E156" s="3"/>
      <c r="F156" s="3"/>
      <c r="G156" s="3"/>
      <c r="H156" s="25">
        <f>H91-G91</f>
        <v>126.30994762734315</v>
      </c>
      <c r="I156" s="25">
        <f>I91-H91</f>
        <v>68.68801696016169</v>
      </c>
      <c r="J156" s="25">
        <f>J91-I91</f>
        <v>81.855509811424611</v>
      </c>
      <c r="K156" s="25">
        <f>K91-J91</f>
        <v>97.547211042274796</v>
      </c>
      <c r="L156" s="25">
        <f>L91-K91</f>
        <v>116.24701139907881</v>
      </c>
      <c r="M156" s="3"/>
      <c r="N156" s="3"/>
      <c r="O156" s="3"/>
      <c r="P156" s="3"/>
      <c r="Q156" s="3"/>
      <c r="R156" s="3"/>
      <c r="S156" s="3"/>
      <c r="T156" s="3"/>
      <c r="U156" s="3"/>
      <c r="V156" s="3"/>
      <c r="W156" s="3"/>
      <c r="X156" s="3"/>
    </row>
    <row r="157" spans="1:24" x14ac:dyDescent="0.15">
      <c r="A157" s="106" t="s">
        <v>95</v>
      </c>
      <c r="B157" s="3"/>
      <c r="C157" s="3"/>
      <c r="D157" s="3"/>
      <c r="E157" s="3"/>
      <c r="F157" s="3"/>
      <c r="G157" s="3"/>
      <c r="H157" s="25">
        <f t="shared" ref="H157:L158" si="69">H94-G94</f>
        <v>668.23114119927413</v>
      </c>
      <c r="I157" s="25">
        <f t="shared" si="69"/>
        <v>528.17780976790073</v>
      </c>
      <c r="J157" s="25">
        <f t="shared" si="69"/>
        <v>629.4294959004078</v>
      </c>
      <c r="K157" s="25">
        <f t="shared" si="69"/>
        <v>750.09113026451405</v>
      </c>
      <c r="L157" s="25">
        <f t="shared" si="69"/>
        <v>893.88359993622271</v>
      </c>
      <c r="M157" s="3"/>
      <c r="N157" s="3"/>
      <c r="O157" s="3"/>
      <c r="P157" s="3"/>
      <c r="Q157" s="3"/>
      <c r="R157" s="3"/>
      <c r="S157" s="3"/>
      <c r="T157" s="3"/>
      <c r="U157" s="3"/>
      <c r="V157" s="3"/>
      <c r="W157" s="3"/>
      <c r="X157" s="3"/>
    </row>
    <row r="158" spans="1:24" x14ac:dyDescent="0.15">
      <c r="A158" s="106" t="s">
        <v>96</v>
      </c>
      <c r="B158" s="3"/>
      <c r="C158" s="3"/>
      <c r="D158" s="3"/>
      <c r="E158" s="3"/>
      <c r="F158" s="3"/>
      <c r="G158" s="3"/>
      <c r="H158" s="25">
        <f t="shared" si="69"/>
        <v>45.28800060771708</v>
      </c>
      <c r="I158" s="25">
        <f t="shared" si="69"/>
        <v>21.517603670047819</v>
      </c>
      <c r="J158" s="25">
        <f t="shared" si="69"/>
        <v>25.584947203756371</v>
      </c>
      <c r="K158" s="25">
        <f t="shared" si="69"/>
        <v>30.429137805432134</v>
      </c>
      <c r="L158" s="25">
        <f t="shared" si="69"/>
        <v>36.19895473733331</v>
      </c>
      <c r="M158" s="3"/>
      <c r="N158" s="3"/>
      <c r="O158" s="3"/>
      <c r="P158" s="3"/>
      <c r="Q158" s="3"/>
      <c r="R158" s="3"/>
      <c r="S158" s="3"/>
      <c r="T158" s="3"/>
      <c r="U158" s="3"/>
      <c r="V158" s="3"/>
      <c r="W158" s="3"/>
      <c r="X158" s="3"/>
    </row>
    <row r="159" spans="1:24" x14ac:dyDescent="0.15">
      <c r="A159" s="96" t="s">
        <v>97</v>
      </c>
      <c r="B159" s="3"/>
      <c r="C159" s="3"/>
      <c r="D159" s="3"/>
      <c r="E159" s="3"/>
      <c r="F159" s="3"/>
      <c r="G159" s="3"/>
      <c r="H159" s="25">
        <f>H98-G98</f>
        <v>967.18177837792291</v>
      </c>
      <c r="I159" s="25">
        <f>I98-H98</f>
        <v>634.34832820780093</v>
      </c>
      <c r="J159" s="25">
        <f>J98-I98</f>
        <v>754.2553871172604</v>
      </c>
      <c r="K159" s="25">
        <f>K98-J98</f>
        <v>897.06423594694752</v>
      </c>
      <c r="L159" s="25">
        <f>L98-K98</f>
        <v>1067.1609521491946</v>
      </c>
      <c r="M159" s="3"/>
      <c r="N159" s="3"/>
      <c r="O159" s="3"/>
      <c r="P159" s="3"/>
      <c r="Q159" s="3"/>
      <c r="R159" s="3"/>
      <c r="S159" s="3"/>
      <c r="T159" s="3"/>
      <c r="U159" s="3"/>
      <c r="V159" s="3"/>
      <c r="W159" s="3"/>
      <c r="X159" s="3"/>
    </row>
    <row r="160" spans="1:24" x14ac:dyDescent="0.15">
      <c r="A160" s="96" t="s">
        <v>84</v>
      </c>
      <c r="B160" s="3"/>
      <c r="C160" s="3"/>
      <c r="D160" s="3"/>
      <c r="E160" s="3"/>
      <c r="F160" s="3"/>
      <c r="G160" s="3"/>
      <c r="H160" s="29">
        <f>-(H86-G86)</f>
        <v>-50.762521892032055</v>
      </c>
      <c r="I160" s="29">
        <f>-(I86-H86)</f>
        <v>-52.756975165127187</v>
      </c>
      <c r="J160" s="29">
        <f>-(J86-I86)</f>
        <v>-54.829790263252107</v>
      </c>
      <c r="K160" s="29">
        <f>-(K86-J86)</f>
        <v>-56.984046012922136</v>
      </c>
      <c r="L160" s="29">
        <f>-(L86-K86)</f>
        <v>-59.222942207370806</v>
      </c>
      <c r="M160" s="3"/>
      <c r="N160" s="3"/>
      <c r="O160" s="3"/>
      <c r="P160" s="3"/>
      <c r="Q160" s="3"/>
      <c r="R160" s="3"/>
      <c r="S160" s="3"/>
      <c r="T160" s="3"/>
      <c r="U160" s="3"/>
      <c r="V160" s="3"/>
      <c r="W160" s="3"/>
      <c r="X160" s="3"/>
    </row>
    <row r="161" spans="1:24" x14ac:dyDescent="0.15">
      <c r="A161" s="105" t="s">
        <v>85</v>
      </c>
      <c r="B161" s="3"/>
      <c r="C161" s="3"/>
      <c r="D161" s="3"/>
      <c r="E161" s="3"/>
      <c r="F161" s="3"/>
      <c r="G161" s="3"/>
      <c r="H161" s="25">
        <f ca="1">SUM(H151:H160)</f>
        <v>6127.1710143538703</v>
      </c>
      <c r="I161" s="25">
        <f t="shared" ref="I161:L161" ca="1" si="70">SUM(I151:I160)</f>
        <v>6392.8261875856506</v>
      </c>
      <c r="J161" s="25">
        <f t="shared" ca="1" si="70"/>
        <v>7607.5620604001379</v>
      </c>
      <c r="K161" s="25">
        <f t="shared" ca="1" si="70"/>
        <v>9053.698196278925</v>
      </c>
      <c r="L161" s="25">
        <f t="shared" ca="1" si="70"/>
        <v>10774.713230989981</v>
      </c>
      <c r="M161" s="3"/>
      <c r="N161" s="3"/>
      <c r="O161" s="3"/>
      <c r="P161" s="3"/>
      <c r="Q161" s="3"/>
      <c r="R161" s="3"/>
      <c r="S161" s="3"/>
      <c r="T161" s="3"/>
      <c r="U161" s="3"/>
      <c r="V161" s="3"/>
      <c r="W161" s="3"/>
      <c r="X161" s="3"/>
    </row>
    <row r="162" spans="1:24" x14ac:dyDescent="0.15">
      <c r="A162" s="107"/>
      <c r="B162" s="3"/>
      <c r="C162" s="3"/>
      <c r="D162" s="3"/>
      <c r="E162" s="3"/>
      <c r="F162" s="3"/>
      <c r="G162" s="3"/>
      <c r="H162" s="44"/>
      <c r="I162" s="44"/>
      <c r="J162" s="44"/>
      <c r="K162" s="44"/>
      <c r="L162" s="44"/>
      <c r="M162" s="3"/>
      <c r="N162" s="3"/>
      <c r="O162" s="3"/>
      <c r="P162" s="3"/>
      <c r="Q162" s="3"/>
      <c r="R162" s="3"/>
      <c r="S162" s="3"/>
      <c r="T162" s="3"/>
      <c r="U162" s="3"/>
      <c r="V162" s="3"/>
      <c r="W162" s="3"/>
      <c r="X162" s="3"/>
    </row>
    <row r="163" spans="1:24" x14ac:dyDescent="0.15">
      <c r="A163" s="108" t="s">
        <v>86</v>
      </c>
      <c r="B163" s="3"/>
      <c r="C163" s="3"/>
      <c r="D163" s="3"/>
      <c r="E163" s="3"/>
      <c r="F163" s="3"/>
      <c r="G163" s="3"/>
      <c r="H163" s="44"/>
      <c r="I163" s="44"/>
      <c r="J163" s="44"/>
      <c r="K163" s="44"/>
      <c r="L163" s="44"/>
      <c r="M163" s="3"/>
      <c r="N163" s="3"/>
      <c r="O163" s="3"/>
      <c r="P163" s="3"/>
      <c r="Q163" s="3"/>
      <c r="R163" s="3"/>
      <c r="S163" s="3"/>
      <c r="T163" s="3"/>
      <c r="U163" s="3"/>
      <c r="V163" s="3"/>
      <c r="W163" s="3"/>
      <c r="X163" s="3"/>
    </row>
    <row r="164" spans="1:24" ht="15" x14ac:dyDescent="0.15">
      <c r="A164" s="90" t="s">
        <v>87</v>
      </c>
      <c r="B164" s="3"/>
      <c r="C164" s="3"/>
      <c r="D164" s="3"/>
      <c r="E164" s="3"/>
      <c r="F164" s="3"/>
      <c r="G164" s="3"/>
      <c r="H164" s="25">
        <f>-(H78-G78)</f>
        <v>0</v>
      </c>
      <c r="I164" s="25">
        <f>-(I78-H78)</f>
        <v>0</v>
      </c>
      <c r="J164" s="25">
        <f>-(J78-I78)</f>
        <v>0</v>
      </c>
      <c r="K164" s="25">
        <f>-(K78-J78)</f>
        <v>0</v>
      </c>
      <c r="L164" s="25">
        <f>-(L78-K78)</f>
        <v>0</v>
      </c>
      <c r="M164" s="3"/>
      <c r="N164" s="3"/>
      <c r="O164" s="3"/>
      <c r="P164" s="3"/>
      <c r="Q164" s="3"/>
      <c r="R164" s="3"/>
      <c r="S164" s="3"/>
      <c r="T164" s="3"/>
      <c r="U164" s="3"/>
      <c r="V164" s="3"/>
      <c r="W164" s="3"/>
      <c r="X164" s="3"/>
    </row>
    <row r="165" spans="1:24" ht="15" x14ac:dyDescent="0.15">
      <c r="A165" s="90" t="s">
        <v>166</v>
      </c>
      <c r="B165" s="3"/>
      <c r="C165" s="3"/>
      <c r="D165" s="3"/>
      <c r="E165" s="3"/>
      <c r="F165" s="3"/>
      <c r="G165" s="3"/>
      <c r="H165" s="29">
        <f ca="1">-(H80-G80)</f>
        <v>-1446.1176531938117</v>
      </c>
      <c r="I165" s="29">
        <f ca="1">-(I80-H80)</f>
        <v>-1760.1946095245157</v>
      </c>
      <c r="J165" s="29">
        <f ca="1">-(J80-I80)</f>
        <v>-2140.7639542250708</v>
      </c>
      <c r="K165" s="29">
        <f ca="1">-(K80-J80)</f>
        <v>-2601.6436471560719</v>
      </c>
      <c r="L165" s="29">
        <f ca="1">-(L80-K80)</f>
        <v>-3159.4832152372928</v>
      </c>
      <c r="M165" s="3"/>
      <c r="N165" s="3"/>
      <c r="O165" s="3"/>
      <c r="P165" s="3"/>
      <c r="Q165" s="3"/>
      <c r="R165" s="3"/>
      <c r="S165" s="3"/>
      <c r="T165" s="3"/>
      <c r="U165" s="3"/>
      <c r="V165" s="3"/>
      <c r="W165" s="3"/>
      <c r="X165" s="3"/>
    </row>
    <row r="166" spans="1:24" x14ac:dyDescent="0.15">
      <c r="A166" s="105" t="s">
        <v>88</v>
      </c>
      <c r="B166" s="3"/>
      <c r="C166" s="3"/>
      <c r="D166" s="3"/>
      <c r="E166" s="3"/>
      <c r="F166" s="3"/>
      <c r="G166" s="3"/>
      <c r="H166" s="25">
        <f ca="1">SUM(H164:H165)</f>
        <v>-1446.1176531938117</v>
      </c>
      <c r="I166" s="25">
        <f t="shared" ref="I166:L166" ca="1" si="71">SUM(I164:I165)</f>
        <v>-1760.1946095245157</v>
      </c>
      <c r="J166" s="25">
        <f t="shared" ca="1" si="71"/>
        <v>-2140.7639542250708</v>
      </c>
      <c r="K166" s="25">
        <f t="shared" ca="1" si="71"/>
        <v>-2601.6436471560719</v>
      </c>
      <c r="L166" s="25">
        <f t="shared" ca="1" si="71"/>
        <v>-3159.4832152372928</v>
      </c>
      <c r="M166" s="3"/>
      <c r="N166" s="3"/>
      <c r="O166" s="3"/>
      <c r="P166" s="3"/>
      <c r="Q166" s="3"/>
      <c r="R166" s="3"/>
      <c r="S166" s="3"/>
      <c r="T166" s="3"/>
      <c r="U166" s="3"/>
      <c r="V166" s="3"/>
      <c r="W166" s="3"/>
      <c r="X166" s="3"/>
    </row>
    <row r="167" spans="1:24" x14ac:dyDescent="0.15">
      <c r="A167" s="105"/>
      <c r="B167" s="3"/>
      <c r="C167" s="3"/>
      <c r="D167" s="3"/>
      <c r="E167" s="3"/>
      <c r="F167" s="3"/>
      <c r="G167" s="3"/>
      <c r="H167" s="44"/>
      <c r="I167" s="44"/>
      <c r="J167" s="44"/>
      <c r="K167" s="44"/>
      <c r="L167" s="44"/>
      <c r="M167" s="3"/>
      <c r="N167" s="3"/>
      <c r="O167" s="3"/>
      <c r="P167" s="3"/>
      <c r="Q167" s="3"/>
      <c r="R167" s="3"/>
      <c r="S167" s="3"/>
      <c r="T167" s="3"/>
      <c r="U167" s="3"/>
      <c r="V167" s="3"/>
      <c r="W167" s="3"/>
      <c r="X167" s="3"/>
    </row>
    <row r="168" spans="1:24" x14ac:dyDescent="0.15">
      <c r="A168" s="109" t="s">
        <v>89</v>
      </c>
      <c r="B168" s="3"/>
      <c r="C168" s="3"/>
      <c r="D168" s="3"/>
      <c r="E168" s="3"/>
      <c r="F168" s="3"/>
      <c r="G168" s="3"/>
      <c r="H168" s="44"/>
      <c r="I168" s="44"/>
      <c r="J168" s="44"/>
      <c r="K168" s="44"/>
      <c r="L168" s="44"/>
      <c r="M168" s="3"/>
      <c r="N168" s="3"/>
      <c r="O168" s="3"/>
      <c r="P168" s="3"/>
      <c r="Q168" s="3"/>
      <c r="R168" s="3"/>
      <c r="S168" s="3"/>
      <c r="T168" s="3"/>
      <c r="U168" s="3"/>
      <c r="V168" s="3"/>
      <c r="W168" s="3"/>
      <c r="X168" s="3"/>
    </row>
    <row r="169" spans="1:24" x14ac:dyDescent="0.15">
      <c r="A169" s="105" t="s">
        <v>90</v>
      </c>
      <c r="B169" s="3"/>
      <c r="C169" s="3"/>
      <c r="D169" s="3"/>
      <c r="E169" s="3"/>
      <c r="F169" s="3"/>
      <c r="G169" s="3"/>
      <c r="H169" s="25">
        <f ca="1">(H99-G99)+(H92-G92)</f>
        <v>-879.46281112833231</v>
      </c>
      <c r="I169" s="25">
        <f ca="1">(I99-H99)+(I92-H92)</f>
        <v>90.928568057191569</v>
      </c>
      <c r="J169" s="25">
        <f ca="1">(J99-I99)+(J92-I92)</f>
        <v>109.9410893710774</v>
      </c>
      <c r="K169" s="25">
        <f ca="1">(K99-J99)+(K92-J92)</f>
        <v>133.27077600501252</v>
      </c>
      <c r="L169" s="25">
        <f ca="1">(L99-K99)+(L92-K92)</f>
        <v>161.94272805332457</v>
      </c>
      <c r="M169" s="3"/>
      <c r="N169" s="3"/>
      <c r="O169" s="3"/>
      <c r="P169" s="3"/>
      <c r="Q169" s="3"/>
      <c r="R169" s="3"/>
      <c r="S169" s="3"/>
      <c r="T169" s="3"/>
      <c r="U169" s="3"/>
      <c r="V169" s="3"/>
      <c r="W169" s="3"/>
      <c r="X169" s="3"/>
    </row>
    <row r="170" spans="1:24" x14ac:dyDescent="0.15">
      <c r="A170" s="105" t="s">
        <v>98</v>
      </c>
      <c r="B170" s="3"/>
      <c r="C170" s="3"/>
      <c r="D170" s="3"/>
      <c r="E170" s="3"/>
      <c r="F170" s="3"/>
      <c r="G170" s="3"/>
      <c r="H170" s="25">
        <f>H104-G104</f>
        <v>0</v>
      </c>
      <c r="I170" s="25">
        <f>I104-H104</f>
        <v>0</v>
      </c>
      <c r="J170" s="25">
        <f>J104-I104</f>
        <v>0</v>
      </c>
      <c r="K170" s="25">
        <f>K104-J104</f>
        <v>0</v>
      </c>
      <c r="L170" s="25">
        <f>L104-K104</f>
        <v>0</v>
      </c>
      <c r="M170" s="3"/>
      <c r="N170" s="3"/>
      <c r="O170" s="3"/>
      <c r="P170" s="3"/>
      <c r="Q170" s="3"/>
      <c r="R170" s="3"/>
      <c r="S170" s="3"/>
      <c r="T170" s="3"/>
      <c r="U170" s="3"/>
      <c r="V170" s="3"/>
      <c r="W170" s="3"/>
      <c r="X170" s="3"/>
    </row>
    <row r="171" spans="1:24" x14ac:dyDescent="0.15">
      <c r="A171" s="105" t="s">
        <v>91</v>
      </c>
      <c r="B171" s="3"/>
      <c r="C171" s="3"/>
      <c r="D171" s="3"/>
      <c r="E171" s="3"/>
      <c r="F171" s="3"/>
      <c r="G171" s="3"/>
      <c r="H171" s="29">
        <f ca="1">-(H103-G103)</f>
        <v>-13503.645930031729</v>
      </c>
      <c r="I171" s="29">
        <f ca="1">-(I103-H103)</f>
        <v>-4520.5604624645894</v>
      </c>
      <c r="J171" s="29">
        <f ca="1">-(J103-I103)</f>
        <v>-5334.8244725539444</v>
      </c>
      <c r="K171" s="29">
        <f ca="1">-(K103-J103)</f>
        <v>-6297.0355504794716</v>
      </c>
      <c r="L171" s="29">
        <f ca="1">-(L103-K103)</f>
        <v>-7433.6178399721539</v>
      </c>
      <c r="M171" s="3"/>
      <c r="N171" s="3"/>
      <c r="O171" s="3"/>
      <c r="P171" s="3"/>
      <c r="Q171" s="3"/>
      <c r="R171" s="3"/>
      <c r="S171" s="3"/>
      <c r="T171" s="3"/>
      <c r="U171" s="3"/>
      <c r="V171" s="3"/>
      <c r="W171" s="3"/>
      <c r="X171" s="3"/>
    </row>
    <row r="172" spans="1:24" x14ac:dyDescent="0.15">
      <c r="A172" s="105" t="s">
        <v>92</v>
      </c>
      <c r="B172" s="3"/>
      <c r="C172" s="3"/>
      <c r="D172" s="3"/>
      <c r="E172" s="3"/>
      <c r="F172" s="3"/>
      <c r="G172" s="3"/>
      <c r="H172" s="25">
        <f ca="1">SUM(H169:H171)</f>
        <v>-14383.108741160062</v>
      </c>
      <c r="I172" s="25">
        <f t="shared" ref="I172:L172" ca="1" si="72">SUM(I169:I171)</f>
        <v>-4429.6318944073973</v>
      </c>
      <c r="J172" s="25">
        <f t="shared" ca="1" si="72"/>
        <v>-5224.883383182867</v>
      </c>
      <c r="K172" s="25">
        <f t="shared" ca="1" si="72"/>
        <v>-6163.764774474459</v>
      </c>
      <c r="L172" s="25">
        <f t="shared" ca="1" si="72"/>
        <v>-7271.6751119188293</v>
      </c>
      <c r="M172" s="3"/>
      <c r="N172" s="3"/>
      <c r="O172" s="3"/>
      <c r="P172" s="3"/>
      <c r="Q172" s="3"/>
      <c r="R172" s="3"/>
      <c r="S172" s="3"/>
      <c r="T172" s="3"/>
      <c r="U172" s="3"/>
      <c r="V172" s="3"/>
      <c r="W172" s="3"/>
      <c r="X172" s="3"/>
    </row>
    <row r="173" spans="1:24" x14ac:dyDescent="0.15">
      <c r="A173" s="105"/>
      <c r="B173" s="3"/>
      <c r="C173" s="3"/>
      <c r="D173" s="3"/>
      <c r="E173" s="3"/>
      <c r="F173" s="3"/>
      <c r="G173" s="3"/>
      <c r="H173" s="44"/>
      <c r="I173" s="44"/>
      <c r="J173" s="44"/>
      <c r="K173" s="44"/>
      <c r="L173" s="44"/>
      <c r="M173" s="3"/>
      <c r="N173" s="3"/>
      <c r="O173" s="3"/>
      <c r="P173" s="3"/>
      <c r="Q173" s="3"/>
      <c r="R173" s="3"/>
      <c r="S173" s="3"/>
      <c r="T173" s="3"/>
      <c r="U173" s="3"/>
      <c r="V173" s="3"/>
      <c r="W173" s="3"/>
      <c r="X173" s="3"/>
    </row>
    <row r="174" spans="1:24" x14ac:dyDescent="0.15">
      <c r="A174" s="109" t="s">
        <v>93</v>
      </c>
      <c r="B174" s="3"/>
      <c r="C174" s="3"/>
      <c r="D174" s="3"/>
      <c r="E174" s="3"/>
      <c r="F174" s="3"/>
      <c r="G174" s="3"/>
      <c r="H174" s="25">
        <f ca="1">H161+H166+H172</f>
        <v>-9702.0553800000034</v>
      </c>
      <c r="I174" s="25">
        <f ca="1">I161+I166+I172</f>
        <v>202.99968365373752</v>
      </c>
      <c r="J174" s="25">
        <f ca="1">J161+J166+J172</f>
        <v>241.91472299220004</v>
      </c>
      <c r="K174" s="25">
        <f ca="1">K161+K166+K172</f>
        <v>288.28977464839409</v>
      </c>
      <c r="L174" s="25">
        <f ca="1">L161+L166+L172</f>
        <v>343.55490383385859</v>
      </c>
      <c r="M174" s="3"/>
      <c r="N174" s="3"/>
      <c r="O174" s="3"/>
      <c r="P174" s="3"/>
      <c r="Q174" s="3"/>
      <c r="R174" s="3"/>
      <c r="S174" s="3"/>
      <c r="T174" s="3"/>
      <c r="U174" s="3"/>
      <c r="V174" s="3"/>
      <c r="W174" s="3"/>
      <c r="X174" s="3"/>
    </row>
    <row r="175" spans="1:24"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row>
    <row r="176" spans="1:24" s="12" customFormat="1" x14ac:dyDescent="0.15">
      <c r="A176" s="10" t="s">
        <v>25</v>
      </c>
      <c r="B176" s="10" t="s">
        <v>107</v>
      </c>
      <c r="C176" s="11" t="s">
        <v>107</v>
      </c>
      <c r="D176" s="11" t="s">
        <v>107</v>
      </c>
      <c r="E176" s="11" t="s">
        <v>107</v>
      </c>
      <c r="F176" s="11" t="s">
        <v>107</v>
      </c>
      <c r="G176" s="11" t="s">
        <v>107</v>
      </c>
      <c r="H176" s="11" t="s">
        <v>107</v>
      </c>
      <c r="I176" s="11" t="s">
        <v>107</v>
      </c>
      <c r="J176" s="11" t="s">
        <v>107</v>
      </c>
      <c r="K176" s="11" t="s">
        <v>107</v>
      </c>
      <c r="L176" s="11" t="s">
        <v>107</v>
      </c>
      <c r="M176" s="11" t="s">
        <v>107</v>
      </c>
      <c r="N176" s="11" t="s">
        <v>107</v>
      </c>
      <c r="O176" s="11" t="s">
        <v>107</v>
      </c>
      <c r="P176" s="11" t="s">
        <v>107</v>
      </c>
      <c r="Q176" s="11" t="s">
        <v>107</v>
      </c>
    </row>
    <row r="177" spans="1:24" s="3" customFormat="1" x14ac:dyDescent="0.15">
      <c r="A177" s="110" t="s">
        <v>107</v>
      </c>
      <c r="B177" s="110" t="s">
        <v>107</v>
      </c>
      <c r="C177" s="54" t="s">
        <v>107</v>
      </c>
      <c r="D177" s="54" t="s">
        <v>107</v>
      </c>
      <c r="E177" s="54" t="s">
        <v>107</v>
      </c>
      <c r="F177" s="54" t="s">
        <v>107</v>
      </c>
      <c r="G177" s="54" t="s">
        <v>107</v>
      </c>
      <c r="H177" s="54" t="s">
        <v>107</v>
      </c>
      <c r="I177" s="54" t="s">
        <v>107</v>
      </c>
      <c r="J177" s="54" t="s">
        <v>107</v>
      </c>
      <c r="K177" s="54" t="s">
        <v>107</v>
      </c>
      <c r="L177" s="54" t="s">
        <v>107</v>
      </c>
      <c r="M177" s="54" t="s">
        <v>107</v>
      </c>
      <c r="N177" s="54" t="s">
        <v>107</v>
      </c>
      <c r="O177" s="54" t="s">
        <v>107</v>
      </c>
      <c r="P177" s="54" t="s">
        <v>107</v>
      </c>
      <c r="Q177" s="54" t="s">
        <v>107</v>
      </c>
    </row>
    <row r="178" spans="1:24" s="3" customFormat="1" x14ac:dyDescent="0.15">
      <c r="A178" s="111" t="s">
        <v>26</v>
      </c>
      <c r="B178" s="110" t="s">
        <v>107</v>
      </c>
      <c r="C178" s="54" t="s">
        <v>107</v>
      </c>
      <c r="D178" s="54" t="s">
        <v>107</v>
      </c>
      <c r="E178" s="54" t="s">
        <v>107</v>
      </c>
      <c r="F178" s="54" t="s">
        <v>107</v>
      </c>
      <c r="G178" s="54" t="s">
        <v>107</v>
      </c>
      <c r="H178" s="54" t="s">
        <v>107</v>
      </c>
      <c r="I178" s="54" t="s">
        <v>107</v>
      </c>
      <c r="J178" s="54" t="s">
        <v>107</v>
      </c>
      <c r="K178" s="54" t="s">
        <v>107</v>
      </c>
      <c r="L178" s="54" t="s">
        <v>107</v>
      </c>
      <c r="M178" s="54" t="s">
        <v>107</v>
      </c>
      <c r="N178" s="54" t="s">
        <v>107</v>
      </c>
      <c r="O178" s="54" t="s">
        <v>107</v>
      </c>
      <c r="P178" s="54" t="s">
        <v>107</v>
      </c>
      <c r="Q178" s="54" t="s">
        <v>107</v>
      </c>
    </row>
    <row r="179" spans="1:24" s="3" customFormat="1" x14ac:dyDescent="0.15">
      <c r="A179" s="112" t="s">
        <v>27</v>
      </c>
      <c r="B179" s="110" t="s">
        <v>107</v>
      </c>
      <c r="C179" s="54" t="s">
        <v>107</v>
      </c>
      <c r="D179" s="54" t="s">
        <v>107</v>
      </c>
      <c r="E179" s="54" t="s">
        <v>107</v>
      </c>
      <c r="F179" s="54" t="s">
        <v>107</v>
      </c>
      <c r="G179" s="54" t="s">
        <v>107</v>
      </c>
      <c r="H179" s="169">
        <f>G72</f>
        <v>10761</v>
      </c>
      <c r="I179" s="169">
        <f ca="1">H72</f>
        <v>1058.9446199999984</v>
      </c>
      <c r="J179" s="169">
        <f ca="1">I72</f>
        <v>1261.9443036536904</v>
      </c>
      <c r="K179" s="169">
        <f ca="1">J72</f>
        <v>1503.8590266337742</v>
      </c>
      <c r="L179" s="169">
        <f ca="1">K72</f>
        <v>1792.1488003621262</v>
      </c>
      <c r="M179" s="113"/>
      <c r="N179" s="113"/>
      <c r="O179" s="113"/>
      <c r="P179" s="113"/>
      <c r="Q179" s="113"/>
    </row>
    <row r="180" spans="1:24" s="3" customFormat="1" x14ac:dyDescent="0.15">
      <c r="A180" s="112" t="s">
        <v>28</v>
      </c>
      <c r="B180" s="110" t="s">
        <v>107</v>
      </c>
      <c r="C180" s="54" t="s">
        <v>107</v>
      </c>
      <c r="D180" s="54" t="s">
        <v>107</v>
      </c>
      <c r="E180" s="54" t="s">
        <v>107</v>
      </c>
      <c r="F180" s="54" t="s">
        <v>107</v>
      </c>
      <c r="G180" s="54" t="s">
        <v>107</v>
      </c>
      <c r="H180" s="169">
        <f ca="1">H161+H166+H169+H170</f>
        <v>3801.5905500317263</v>
      </c>
      <c r="I180" s="169">
        <f ca="1">I161+I166+I169+I170</f>
        <v>4723.5601461183269</v>
      </c>
      <c r="J180" s="169">
        <f ca="1">J161+J166+J169+J170</f>
        <v>5576.7391955461444</v>
      </c>
      <c r="K180" s="169">
        <f ca="1">K161+K166+K169+K170</f>
        <v>6585.3253251278657</v>
      </c>
      <c r="L180" s="169">
        <f ca="1">L161+L166+L169+L170</f>
        <v>7777.1727438060125</v>
      </c>
    </row>
    <row r="181" spans="1:24" s="3" customFormat="1" x14ac:dyDescent="0.15">
      <c r="A181" s="112" t="s">
        <v>169</v>
      </c>
      <c r="B181" s="171">
        <v>0.05</v>
      </c>
      <c r="C181" s="54" t="s">
        <v>107</v>
      </c>
      <c r="D181" s="54" t="s">
        <v>107</v>
      </c>
      <c r="E181" s="54" t="s">
        <v>107</v>
      </c>
      <c r="F181" s="54" t="s">
        <v>107</v>
      </c>
      <c r="G181" s="54" t="s">
        <v>107</v>
      </c>
      <c r="H181" s="170">
        <f>H20*$B$181</f>
        <v>1058.94462</v>
      </c>
      <c r="I181" s="170">
        <f>I20*$B$181</f>
        <v>1261.9443036540001</v>
      </c>
      <c r="J181" s="170">
        <f>J20*$B$181</f>
        <v>1503.8590266644719</v>
      </c>
      <c r="K181" s="170">
        <f>K20*$B$181</f>
        <v>1792.148802076051</v>
      </c>
      <c r="L181" s="170">
        <f>L20*$B$181</f>
        <v>2135.70372743403</v>
      </c>
    </row>
    <row r="182" spans="1:24" s="3" customFormat="1" x14ac:dyDescent="0.15">
      <c r="A182" s="114" t="s">
        <v>29</v>
      </c>
      <c r="B182" s="1" t="s">
        <v>107</v>
      </c>
      <c r="C182" s="54" t="s">
        <v>107</v>
      </c>
      <c r="D182" s="54" t="s">
        <v>107</v>
      </c>
      <c r="E182" s="54" t="s">
        <v>107</v>
      </c>
      <c r="F182" s="54" t="s">
        <v>107</v>
      </c>
      <c r="G182" s="54" t="s">
        <v>107</v>
      </c>
      <c r="H182" s="169">
        <f ca="1">H179+H180-H181</f>
        <v>13503.645930031726</v>
      </c>
      <c r="I182" s="169">
        <f t="shared" ref="I182:L182" ca="1" si="73">I179+I180-I181</f>
        <v>4520.5604624643256</v>
      </c>
      <c r="J182" s="169">
        <f t="shared" ca="1" si="73"/>
        <v>5334.8244725353634</v>
      </c>
      <c r="K182" s="169">
        <f t="shared" ca="1" si="73"/>
        <v>6297.0355496855891</v>
      </c>
      <c r="L182" s="169">
        <f t="shared" ca="1" si="73"/>
        <v>7433.6178167341086</v>
      </c>
    </row>
    <row r="183" spans="1:24"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row>
    <row r="184" spans="1:24"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row>
    <row r="185" spans="1:24"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row>
    <row r="186" spans="1:24" ht="15" thickBo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row>
    <row r="187" spans="1:24" s="198" customFormat="1" ht="25" customHeight="1" thickTop="1" thickBot="1" x14ac:dyDescent="0.25">
      <c r="A187" s="145" t="s">
        <v>122</v>
      </c>
      <c r="B187" s="145"/>
      <c r="C187" s="146"/>
      <c r="D187" s="146"/>
      <c r="E187" s="146"/>
      <c r="F187" s="146"/>
      <c r="G187" s="146"/>
      <c r="H187" s="146"/>
      <c r="I187" s="146"/>
      <c r="J187" s="146"/>
      <c r="K187" s="146"/>
      <c r="L187" s="146"/>
      <c r="M187" s="146"/>
      <c r="N187" s="146"/>
      <c r="O187" s="146"/>
      <c r="P187" s="146"/>
      <c r="Q187" s="146"/>
      <c r="R187" s="144"/>
      <c r="S187" s="144"/>
    </row>
    <row r="188" spans="1:24" s="57" customFormat="1" ht="18" thickTop="1" x14ac:dyDescent="0.2">
      <c r="A188" s="102"/>
      <c r="B188" s="102"/>
      <c r="C188" s="103"/>
      <c r="D188" s="103"/>
      <c r="E188" s="103"/>
      <c r="F188" s="103"/>
      <c r="G188" s="103"/>
      <c r="H188" s="103"/>
      <c r="I188" s="103"/>
      <c r="J188" s="103"/>
      <c r="K188" s="103"/>
      <c r="L188" s="103"/>
      <c r="M188" s="103"/>
      <c r="N188" s="103"/>
      <c r="O188" s="103"/>
      <c r="P188" s="103"/>
      <c r="Q188" s="103"/>
    </row>
    <row r="189" spans="1:24" s="57" customFormat="1" ht="17" x14ac:dyDescent="0.2">
      <c r="A189" s="102"/>
      <c r="B189" s="102"/>
      <c r="C189" s="103"/>
      <c r="D189" s="103"/>
      <c r="E189" s="103"/>
      <c r="F189" s="103"/>
      <c r="G189" s="103"/>
      <c r="H189" s="103"/>
      <c r="I189" s="103"/>
      <c r="J189" s="103"/>
      <c r="K189" s="103"/>
      <c r="L189" s="103"/>
      <c r="M189" s="103"/>
      <c r="N189" s="103"/>
      <c r="O189" s="103"/>
      <c r="P189" s="103"/>
      <c r="Q189" s="103"/>
    </row>
    <row r="190" spans="1:24" x14ac:dyDescent="0.15">
      <c r="A190" s="82"/>
      <c r="B190" s="82"/>
      <c r="C190" s="115"/>
      <c r="D190" s="115"/>
      <c r="E190" s="115"/>
      <c r="F190" s="115"/>
      <c r="G190" s="115"/>
      <c r="H190" s="116" t="str">
        <f>H148</f>
        <v>2020P</v>
      </c>
      <c r="I190" s="116" t="str">
        <f t="shared" ref="I190:L190" si="74">I148</f>
        <v>2021P</v>
      </c>
      <c r="J190" s="116" t="str">
        <f t="shared" si="74"/>
        <v>2022P</v>
      </c>
      <c r="K190" s="116" t="str">
        <f t="shared" si="74"/>
        <v>2023P</v>
      </c>
      <c r="L190" s="116" t="str">
        <f t="shared" si="74"/>
        <v>2024P</v>
      </c>
      <c r="M190" s="3"/>
      <c r="N190" s="3"/>
      <c r="O190" s="3"/>
      <c r="P190" s="3"/>
      <c r="Q190" s="3"/>
      <c r="R190" s="3"/>
      <c r="S190" s="3"/>
      <c r="T190" s="3"/>
      <c r="U190" s="3"/>
      <c r="V190" s="3"/>
      <c r="W190" s="3"/>
      <c r="X190" s="3"/>
    </row>
    <row r="191" spans="1:24" x14ac:dyDescent="0.15">
      <c r="A191" s="82"/>
      <c r="B191" s="82"/>
      <c r="C191" s="115"/>
      <c r="D191" s="115"/>
      <c r="E191" s="115"/>
      <c r="F191" s="115"/>
      <c r="G191" s="115"/>
      <c r="H191" s="117">
        <f>H149</f>
        <v>44196</v>
      </c>
      <c r="I191" s="117">
        <f t="shared" ref="I191:L191" si="75">I149</f>
        <v>44561</v>
      </c>
      <c r="J191" s="117">
        <f t="shared" si="75"/>
        <v>44926</v>
      </c>
      <c r="K191" s="117">
        <f t="shared" si="75"/>
        <v>45291</v>
      </c>
      <c r="L191" s="117">
        <f t="shared" si="75"/>
        <v>45657</v>
      </c>
      <c r="M191" s="3"/>
      <c r="N191" s="3"/>
      <c r="O191" s="3"/>
      <c r="P191" s="3"/>
      <c r="Q191" s="3"/>
      <c r="R191" s="3"/>
      <c r="S191" s="3"/>
      <c r="T191" s="3"/>
      <c r="U191" s="3"/>
      <c r="V191" s="3"/>
      <c r="W191" s="3"/>
      <c r="X191" s="3"/>
    </row>
    <row r="192" spans="1:24" x14ac:dyDescent="0.15">
      <c r="A192" s="118" t="s">
        <v>123</v>
      </c>
      <c r="B192" s="3"/>
      <c r="C192" s="3"/>
      <c r="D192" s="3"/>
      <c r="E192" s="3"/>
      <c r="F192" s="3"/>
      <c r="G192" s="3"/>
      <c r="H192" s="119"/>
      <c r="I192" s="3"/>
      <c r="J192" s="3"/>
      <c r="K192" s="3"/>
      <c r="L192" s="3"/>
      <c r="M192" s="3"/>
      <c r="N192" s="3"/>
      <c r="O192" s="3"/>
      <c r="P192" s="3"/>
      <c r="Q192" s="3"/>
      <c r="R192" s="3"/>
      <c r="S192" s="3"/>
      <c r="T192" s="3"/>
      <c r="U192" s="3"/>
      <c r="V192" s="3"/>
      <c r="W192" s="3"/>
      <c r="X192" s="3"/>
    </row>
    <row r="193" spans="1:57" x14ac:dyDescent="0.15">
      <c r="A193" s="120" t="s">
        <v>14</v>
      </c>
      <c r="B193" s="3"/>
      <c r="C193" s="3"/>
      <c r="D193" s="3"/>
      <c r="E193" s="3"/>
      <c r="F193" s="3"/>
      <c r="G193" s="3"/>
      <c r="H193" s="172">
        <f>H151</f>
        <v>3483.3557819780781</v>
      </c>
      <c r="I193" s="172">
        <f>I151</f>
        <v>4117.0081285668475</v>
      </c>
      <c r="J193" s="172">
        <f>J151</f>
        <v>4870.4359768349532</v>
      </c>
      <c r="K193" s="172">
        <f>K151</f>
        <v>5766.5159897745298</v>
      </c>
      <c r="L193" s="172">
        <f>L151</f>
        <v>6832.5060956012603</v>
      </c>
      <c r="M193" s="3"/>
      <c r="N193" s="3"/>
      <c r="O193" s="3"/>
      <c r="P193" s="3"/>
      <c r="Q193" s="3"/>
      <c r="R193" s="3"/>
      <c r="S193" s="3"/>
      <c r="T193" s="3"/>
      <c r="U193" s="3"/>
      <c r="V193" s="3"/>
      <c r="W193" s="3"/>
      <c r="X193" s="3"/>
    </row>
    <row r="194" spans="1:57" x14ac:dyDescent="0.15">
      <c r="A194" s="120" t="s">
        <v>124</v>
      </c>
      <c r="B194" s="3"/>
      <c r="C194" s="3"/>
      <c r="D194" s="3"/>
      <c r="E194" s="3"/>
      <c r="F194" s="3"/>
      <c r="G194" s="3"/>
      <c r="H194" s="121"/>
      <c r="I194" s="121"/>
      <c r="J194" s="121"/>
      <c r="K194" s="121"/>
      <c r="L194" s="121"/>
      <c r="M194" s="3"/>
      <c r="N194" s="3"/>
      <c r="O194" s="3"/>
      <c r="P194" s="3"/>
      <c r="Q194" s="3"/>
      <c r="R194" s="3"/>
      <c r="S194" s="3"/>
      <c r="T194" s="3"/>
      <c r="U194" s="3"/>
      <c r="V194" s="3"/>
      <c r="W194" s="3"/>
      <c r="X194" s="3"/>
    </row>
    <row r="195" spans="1:57" x14ac:dyDescent="0.15">
      <c r="A195" s="120" t="s">
        <v>125</v>
      </c>
      <c r="B195" s="3"/>
      <c r="C195" s="3"/>
      <c r="D195" s="3"/>
      <c r="E195" s="3"/>
      <c r="F195" s="3"/>
      <c r="G195" s="3"/>
      <c r="H195" s="172">
        <f ca="1">H152</f>
        <v>1121.569553193812</v>
      </c>
      <c r="I195" s="172">
        <f ca="1">I152</f>
        <v>1373.4306387545153</v>
      </c>
      <c r="J195" s="172">
        <f ca="1">J152</f>
        <v>1679.8573302584566</v>
      </c>
      <c r="K195" s="172">
        <f ca="1">K152</f>
        <v>2052.3812233750127</v>
      </c>
      <c r="L195" s="172">
        <f ca="1">L152</f>
        <v>2504.9271848170692</v>
      </c>
      <c r="M195" s="3"/>
      <c r="N195" s="3"/>
      <c r="O195" s="3"/>
      <c r="P195" s="3"/>
      <c r="Q195" s="3"/>
      <c r="R195" s="3"/>
      <c r="S195" s="3"/>
      <c r="T195" s="3"/>
      <c r="U195" s="3"/>
      <c r="V195" s="3"/>
      <c r="W195" s="3"/>
      <c r="X195" s="3"/>
    </row>
    <row r="196" spans="1:57" x14ac:dyDescent="0.15">
      <c r="A196" s="120" t="s">
        <v>126</v>
      </c>
      <c r="B196" s="3"/>
      <c r="C196" s="3"/>
      <c r="D196" s="3"/>
      <c r="E196" s="3"/>
      <c r="F196" s="3"/>
      <c r="G196" s="3"/>
      <c r="H196" s="121"/>
      <c r="I196" s="121"/>
      <c r="J196" s="121"/>
      <c r="K196" s="121"/>
      <c r="L196" s="121"/>
      <c r="M196" s="3"/>
      <c r="N196" s="3"/>
      <c r="O196" s="3"/>
      <c r="P196" s="3"/>
      <c r="Q196" s="3"/>
      <c r="R196" s="3"/>
      <c r="S196" s="3"/>
      <c r="T196" s="3"/>
      <c r="U196" s="3"/>
      <c r="V196" s="3"/>
      <c r="W196" s="3"/>
      <c r="X196" s="3"/>
    </row>
    <row r="197" spans="1:57" x14ac:dyDescent="0.15">
      <c r="A197" s="106" t="s">
        <v>83</v>
      </c>
      <c r="B197" s="3"/>
      <c r="C197" s="3"/>
      <c r="D197" s="3"/>
      <c r="E197" s="3"/>
      <c r="F197" s="3"/>
      <c r="G197" s="3"/>
      <c r="H197" s="172">
        <f t="shared" ref="H197:L201" si="76">H154</f>
        <v>-8.7782404469459152</v>
      </c>
      <c r="I197" s="172">
        <f t="shared" si="76"/>
        <v>-8.955384137392798</v>
      </c>
      <c r="J197" s="172">
        <f t="shared" si="76"/>
        <v>-9.1361025632613178</v>
      </c>
      <c r="K197" s="172">
        <f t="shared" si="76"/>
        <v>-9.320467862222813</v>
      </c>
      <c r="L197" s="172">
        <f t="shared" si="76"/>
        <v>-9.508553627677145</v>
      </c>
      <c r="M197" s="3"/>
      <c r="N197" s="3"/>
      <c r="O197" s="3"/>
      <c r="P197" s="3"/>
      <c r="Q197" s="3"/>
      <c r="R197" s="3"/>
      <c r="S197" s="3"/>
      <c r="T197" s="3"/>
      <c r="U197" s="3"/>
      <c r="V197" s="3"/>
      <c r="W197" s="3"/>
      <c r="X197" s="3"/>
    </row>
    <row r="198" spans="1:57" x14ac:dyDescent="0.15">
      <c r="A198" s="106" t="s">
        <v>34</v>
      </c>
      <c r="B198" s="3"/>
      <c r="C198" s="3"/>
      <c r="D198" s="3"/>
      <c r="E198" s="3"/>
      <c r="F198" s="3"/>
      <c r="G198" s="3"/>
      <c r="H198" s="172">
        <f t="shared" si="76"/>
        <v>-225.22442629129728</v>
      </c>
      <c r="I198" s="172">
        <f t="shared" si="76"/>
        <v>-288.63197903910213</v>
      </c>
      <c r="J198" s="172">
        <f t="shared" si="76"/>
        <v>-369.89069389960673</v>
      </c>
      <c r="K198" s="172">
        <f t="shared" si="76"/>
        <v>-474.02621805464264</v>
      </c>
      <c r="L198" s="172">
        <f t="shared" si="76"/>
        <v>-607.47907181513028</v>
      </c>
      <c r="M198" s="3"/>
      <c r="N198" s="3"/>
      <c r="O198" s="3"/>
      <c r="P198" s="3"/>
      <c r="Q198" s="3"/>
      <c r="R198" s="3"/>
      <c r="S198" s="3"/>
      <c r="T198" s="3"/>
      <c r="U198" s="3"/>
      <c r="V198" s="3"/>
      <c r="W198" s="3"/>
      <c r="X198" s="3"/>
    </row>
    <row r="199" spans="1:57" x14ac:dyDescent="0.15">
      <c r="A199" s="106" t="s">
        <v>94</v>
      </c>
      <c r="B199" s="3"/>
      <c r="C199" s="3"/>
      <c r="D199" s="3"/>
      <c r="E199" s="3"/>
      <c r="F199" s="3"/>
      <c r="G199" s="3"/>
      <c r="H199" s="172">
        <f t="shared" si="76"/>
        <v>126.30994762734315</v>
      </c>
      <c r="I199" s="172">
        <f t="shared" si="76"/>
        <v>68.68801696016169</v>
      </c>
      <c r="J199" s="172">
        <f t="shared" si="76"/>
        <v>81.855509811424611</v>
      </c>
      <c r="K199" s="172">
        <f t="shared" si="76"/>
        <v>97.547211042274796</v>
      </c>
      <c r="L199" s="172">
        <f t="shared" si="76"/>
        <v>116.24701139907881</v>
      </c>
      <c r="M199" s="3"/>
      <c r="N199" s="3"/>
      <c r="O199" s="3"/>
      <c r="P199" s="3"/>
      <c r="Q199" s="3"/>
      <c r="R199" s="3"/>
      <c r="S199" s="3"/>
      <c r="T199" s="3"/>
      <c r="U199" s="3"/>
      <c r="V199" s="3"/>
      <c r="W199" s="3"/>
      <c r="X199" s="3"/>
    </row>
    <row r="200" spans="1:57" x14ac:dyDescent="0.15">
      <c r="A200" s="106" t="s">
        <v>95</v>
      </c>
      <c r="B200" s="3"/>
      <c r="C200" s="3"/>
      <c r="D200" s="3"/>
      <c r="E200" s="3"/>
      <c r="F200" s="3"/>
      <c r="G200" s="3"/>
      <c r="H200" s="172">
        <f t="shared" si="76"/>
        <v>668.23114119927413</v>
      </c>
      <c r="I200" s="172">
        <f t="shared" si="76"/>
        <v>528.17780976790073</v>
      </c>
      <c r="J200" s="172">
        <f t="shared" si="76"/>
        <v>629.4294959004078</v>
      </c>
      <c r="K200" s="172">
        <f t="shared" si="76"/>
        <v>750.09113026451405</v>
      </c>
      <c r="L200" s="172">
        <f t="shared" si="76"/>
        <v>893.88359993622271</v>
      </c>
      <c r="M200" s="3"/>
      <c r="N200" s="3"/>
      <c r="O200" s="3"/>
      <c r="P200" s="3"/>
      <c r="Q200" s="3"/>
      <c r="R200" s="3"/>
      <c r="S200" s="3"/>
      <c r="T200" s="3"/>
      <c r="U200" s="3"/>
      <c r="V200" s="3"/>
      <c r="W200" s="3"/>
      <c r="X200" s="3"/>
    </row>
    <row r="201" spans="1:57" x14ac:dyDescent="0.15">
      <c r="A201" s="106" t="s">
        <v>96</v>
      </c>
      <c r="B201" s="3"/>
      <c r="C201" s="3"/>
      <c r="D201" s="3"/>
      <c r="E201" s="3"/>
      <c r="F201" s="3"/>
      <c r="G201" s="3"/>
      <c r="H201" s="172">
        <f t="shared" si="76"/>
        <v>45.28800060771708</v>
      </c>
      <c r="I201" s="172">
        <f t="shared" si="76"/>
        <v>21.517603670047819</v>
      </c>
      <c r="J201" s="172">
        <f t="shared" si="76"/>
        <v>25.584947203756371</v>
      </c>
      <c r="K201" s="172">
        <f t="shared" si="76"/>
        <v>30.429137805432134</v>
      </c>
      <c r="L201" s="172">
        <f t="shared" si="76"/>
        <v>36.19895473733331</v>
      </c>
      <c r="M201" s="3"/>
      <c r="N201" s="3"/>
      <c r="O201" s="3"/>
      <c r="P201" s="3"/>
      <c r="Q201" s="3"/>
      <c r="R201" s="3"/>
      <c r="S201" s="3"/>
      <c r="T201" s="3"/>
      <c r="U201" s="3"/>
      <c r="V201" s="3"/>
      <c r="W201" s="3"/>
      <c r="X201" s="3"/>
    </row>
    <row r="202" spans="1:57" x14ac:dyDescent="0.15">
      <c r="A202" s="122"/>
      <c r="B202" s="3"/>
      <c r="C202" s="3"/>
      <c r="D202" s="3"/>
      <c r="E202" s="3"/>
      <c r="F202" s="3"/>
      <c r="G202" s="3"/>
      <c r="H202" s="121"/>
      <c r="I202" s="121"/>
      <c r="J202" s="121"/>
      <c r="K202" s="121"/>
      <c r="L202" s="121"/>
      <c r="M202" s="3"/>
      <c r="N202" s="3"/>
      <c r="O202" s="3"/>
      <c r="P202" s="3"/>
      <c r="Q202" s="3"/>
      <c r="R202" s="3"/>
      <c r="S202" s="3"/>
      <c r="T202" s="3"/>
      <c r="U202" s="3"/>
      <c r="V202" s="3"/>
      <c r="W202" s="3"/>
      <c r="X202" s="3"/>
    </row>
    <row r="203" spans="1:57" x14ac:dyDescent="0.15">
      <c r="A203" s="120" t="s">
        <v>127</v>
      </c>
      <c r="B203" s="3"/>
      <c r="C203" s="3"/>
      <c r="D203" s="3"/>
      <c r="E203" s="3"/>
      <c r="F203" s="3"/>
      <c r="G203" s="3"/>
      <c r="H203" s="172">
        <f t="shared" ref="H203:L204" si="77">H159</f>
        <v>967.18177837792291</v>
      </c>
      <c r="I203" s="172">
        <f t="shared" si="77"/>
        <v>634.34832820780093</v>
      </c>
      <c r="J203" s="172">
        <f t="shared" si="77"/>
        <v>754.2553871172604</v>
      </c>
      <c r="K203" s="172">
        <f t="shared" si="77"/>
        <v>897.06423594694752</v>
      </c>
      <c r="L203" s="172">
        <f t="shared" si="77"/>
        <v>1067.1609521491946</v>
      </c>
      <c r="M203" s="3"/>
      <c r="N203" s="3"/>
      <c r="O203" s="3"/>
      <c r="P203" s="3"/>
      <c r="Q203" s="3"/>
      <c r="R203" s="3"/>
      <c r="S203" s="3"/>
      <c r="T203" s="3"/>
      <c r="U203" s="3"/>
      <c r="V203" s="3"/>
      <c r="W203" s="3"/>
      <c r="X203" s="3"/>
    </row>
    <row r="204" spans="1:57" x14ac:dyDescent="0.15">
      <c r="A204" s="120" t="s">
        <v>84</v>
      </c>
      <c r="B204" s="3"/>
      <c r="C204" s="3"/>
      <c r="D204" s="3"/>
      <c r="E204" s="3"/>
      <c r="F204" s="3"/>
      <c r="G204" s="3"/>
      <c r="H204" s="172">
        <f t="shared" si="77"/>
        <v>-50.762521892032055</v>
      </c>
      <c r="I204" s="172">
        <f t="shared" si="77"/>
        <v>-52.756975165127187</v>
      </c>
      <c r="J204" s="172">
        <f t="shared" si="77"/>
        <v>-54.829790263252107</v>
      </c>
      <c r="K204" s="172">
        <f t="shared" si="77"/>
        <v>-56.984046012922136</v>
      </c>
      <c r="L204" s="172">
        <f t="shared" si="77"/>
        <v>-59.222942207370806</v>
      </c>
      <c r="M204" s="3"/>
      <c r="N204" s="3"/>
      <c r="O204" s="3"/>
      <c r="P204" s="3"/>
      <c r="Q204" s="3"/>
      <c r="R204" s="3"/>
      <c r="S204" s="3"/>
      <c r="T204" s="3"/>
      <c r="U204" s="3"/>
      <c r="V204" s="3"/>
      <c r="W204" s="3"/>
      <c r="X204" s="3"/>
    </row>
    <row r="205" spans="1:57" x14ac:dyDescent="0.15">
      <c r="A205" s="120" t="s">
        <v>168</v>
      </c>
      <c r="B205" s="3"/>
      <c r="C205" s="3"/>
      <c r="D205" s="3"/>
      <c r="E205" s="3"/>
      <c r="F205" s="3"/>
      <c r="G205" s="3"/>
      <c r="H205" s="172">
        <f ca="1">H165</f>
        <v>-1446.1176531938117</v>
      </c>
      <c r="I205" s="172">
        <f ca="1">I165</f>
        <v>-1760.1946095245157</v>
      </c>
      <c r="J205" s="172">
        <f ca="1">J165</f>
        <v>-2140.7639542250708</v>
      </c>
      <c r="K205" s="172">
        <f ca="1">K165</f>
        <v>-2601.6436471560719</v>
      </c>
      <c r="L205" s="172">
        <f ca="1">L165</f>
        <v>-3159.4832152372928</v>
      </c>
      <c r="M205" s="3"/>
      <c r="N205" s="3"/>
      <c r="O205" s="3"/>
      <c r="P205" s="3"/>
      <c r="Q205" s="3"/>
      <c r="R205" s="3"/>
      <c r="S205" s="3"/>
      <c r="T205" s="3"/>
      <c r="U205" s="3"/>
      <c r="V205" s="3"/>
      <c r="W205" s="3"/>
      <c r="X205" s="3"/>
    </row>
    <row r="206" spans="1:57" x14ac:dyDescent="0.15">
      <c r="A206" s="120"/>
      <c r="B206" s="3"/>
      <c r="C206" s="3"/>
      <c r="D206" s="3"/>
      <c r="E206" s="3"/>
      <c r="F206" s="3"/>
      <c r="G206" s="3"/>
      <c r="H206" s="121"/>
      <c r="I206" s="121"/>
      <c r="J206" s="121"/>
      <c r="K206" s="121"/>
      <c r="L206" s="121"/>
      <c r="M206" s="3"/>
      <c r="N206" s="3"/>
      <c r="O206" s="3"/>
      <c r="P206" s="3"/>
      <c r="Q206" s="3"/>
      <c r="R206" s="3"/>
      <c r="S206" s="3"/>
      <c r="T206" s="3"/>
      <c r="U206" s="3"/>
      <c r="V206" s="3"/>
      <c r="W206" s="3"/>
      <c r="X206" s="3"/>
    </row>
    <row r="207" spans="1:57" s="195" customFormat="1" ht="15" thickBot="1" x14ac:dyDescent="0.2">
      <c r="A207" s="123" t="s">
        <v>128</v>
      </c>
      <c r="B207" s="124"/>
      <c r="C207" s="124"/>
      <c r="D207" s="124"/>
      <c r="E207" s="124"/>
      <c r="F207" s="124"/>
      <c r="G207" s="124"/>
      <c r="H207" s="173">
        <f ca="1">SUM(H193:H205)</f>
        <v>4681.0533611600586</v>
      </c>
      <c r="I207" s="173">
        <f t="shared" ref="I207:L207" ca="1" si="78">SUM(I193:I205)</f>
        <v>4632.6315780611349</v>
      </c>
      <c r="J207" s="173">
        <f t="shared" ca="1" si="78"/>
        <v>5466.798106175067</v>
      </c>
      <c r="K207" s="173">
        <f t="shared" ca="1" si="78"/>
        <v>6452.0545491228531</v>
      </c>
      <c r="L207" s="173">
        <f t="shared" ca="1" si="78"/>
        <v>7615.2300157526879</v>
      </c>
      <c r="M207" s="75"/>
      <c r="N207" s="127"/>
      <c r="O207" s="127"/>
      <c r="P207" s="127"/>
      <c r="Q207" s="127"/>
      <c r="R207" s="75"/>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row>
    <row r="208" spans="1:57" ht="15" thickTop="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row>
    <row r="209" spans="1:57"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row>
    <row r="210" spans="1:57"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row>
    <row r="211" spans="1:57" ht="15" thickBo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row>
    <row r="212" spans="1:57" s="200" customFormat="1" ht="25" customHeight="1" thickTop="1" thickBot="1" x14ac:dyDescent="0.25">
      <c r="A212" s="147" t="s">
        <v>129</v>
      </c>
      <c r="B212" s="147"/>
      <c r="C212" s="147"/>
      <c r="D212" s="147"/>
      <c r="E212" s="147"/>
      <c r="F212" s="147"/>
      <c r="G212" s="147"/>
      <c r="H212" s="147"/>
      <c r="I212" s="147"/>
      <c r="J212" s="147"/>
      <c r="K212" s="147"/>
      <c r="L212" s="147"/>
      <c r="M212" s="147"/>
      <c r="N212" s="147"/>
      <c r="O212" s="147"/>
      <c r="P212" s="147"/>
      <c r="Q212" s="147"/>
      <c r="R212" s="147"/>
      <c r="S212" s="147"/>
      <c r="T212" s="199"/>
      <c r="U212" s="199"/>
      <c r="V212" s="199"/>
      <c r="W212" s="199"/>
      <c r="X212" s="199"/>
      <c r="Y212" s="199"/>
      <c r="Z212" s="199"/>
      <c r="AA212" s="199"/>
      <c r="AB212" s="199"/>
      <c r="AC212" s="199"/>
      <c r="AD212" s="199"/>
      <c r="AE212" s="199"/>
      <c r="AF212" s="199"/>
      <c r="AG212" s="199"/>
      <c r="AH212" s="199"/>
      <c r="AI212" s="199"/>
      <c r="AJ212" s="199"/>
      <c r="AK212" s="199"/>
      <c r="AL212" s="199"/>
      <c r="AM212" s="199"/>
      <c r="AN212" s="199"/>
      <c r="AO212" s="199"/>
      <c r="AP212" s="199"/>
      <c r="AQ212" s="199"/>
      <c r="AR212" s="199"/>
      <c r="AS212" s="199"/>
      <c r="AT212" s="199"/>
      <c r="AU212" s="199"/>
      <c r="AV212" s="199"/>
      <c r="AW212" s="199"/>
      <c r="AX212" s="199"/>
      <c r="AY212" s="199"/>
      <c r="AZ212" s="199"/>
      <c r="BA212" s="199"/>
      <c r="BB212" s="199"/>
      <c r="BC212" s="199"/>
      <c r="BD212" s="199"/>
      <c r="BE212" s="199"/>
    </row>
    <row r="213" spans="1:57" s="126" customFormat="1" ht="18" thickTop="1" x14ac:dyDescent="0.2">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c r="AT213" s="125"/>
      <c r="AU213" s="125"/>
      <c r="AV213" s="125"/>
      <c r="AW213" s="125"/>
      <c r="AX213" s="125"/>
      <c r="AY213" s="125"/>
      <c r="AZ213" s="125"/>
      <c r="BA213" s="125"/>
      <c r="BB213" s="125"/>
      <c r="BC213" s="125"/>
      <c r="BD213" s="125"/>
      <c r="BE213" s="125"/>
    </row>
    <row r="214" spans="1:57" s="126" customFormat="1" ht="17" x14ac:dyDescent="0.2">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c r="AT214" s="125"/>
      <c r="AU214" s="125"/>
      <c r="AV214" s="125"/>
      <c r="AW214" s="125"/>
      <c r="AX214" s="125"/>
      <c r="AY214" s="125"/>
      <c r="AZ214" s="125"/>
      <c r="BA214" s="125"/>
      <c r="BB214" s="125"/>
      <c r="BC214" s="125"/>
      <c r="BD214" s="125"/>
      <c r="BE214" s="125"/>
    </row>
    <row r="215" spans="1:57" s="126" customFormat="1" ht="17" x14ac:dyDescent="0.2">
      <c r="A215" s="153" t="s">
        <v>183</v>
      </c>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c r="AT215" s="125"/>
      <c r="AU215" s="125"/>
      <c r="AV215" s="125"/>
      <c r="AW215" s="125"/>
      <c r="AX215" s="125"/>
      <c r="AY215" s="125"/>
      <c r="AZ215" s="125"/>
      <c r="BA215" s="125"/>
      <c r="BB215" s="125"/>
      <c r="BC215" s="125"/>
      <c r="BD215" s="125"/>
      <c r="BE215" s="125"/>
    </row>
    <row r="216" spans="1:57" s="126" customFormat="1" ht="17" x14ac:dyDescent="0.2">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c r="AT216" s="125"/>
      <c r="AU216" s="125"/>
      <c r="AV216" s="125"/>
      <c r="AW216" s="125"/>
      <c r="AX216" s="125"/>
      <c r="AY216" s="125"/>
      <c r="AZ216" s="125"/>
      <c r="BA216" s="125"/>
      <c r="BB216" s="125"/>
      <c r="BC216" s="125"/>
      <c r="BD216" s="125"/>
      <c r="BE216" s="125"/>
    </row>
    <row r="217" spans="1:57" x14ac:dyDescent="0.15">
      <c r="A217" s="148" t="s">
        <v>130</v>
      </c>
      <c r="B217" s="149">
        <v>0.1</v>
      </c>
      <c r="C217" s="3"/>
      <c r="D217" s="3"/>
      <c r="E217" s="3"/>
      <c r="F217" s="3"/>
      <c r="G217" s="3"/>
      <c r="H217" s="3"/>
      <c r="I217" s="3"/>
      <c r="J217" s="3"/>
      <c r="K217" s="3"/>
      <c r="L217" s="3"/>
      <c r="M217" s="3"/>
      <c r="N217" s="3"/>
      <c r="O217" s="3"/>
      <c r="P217" s="3"/>
      <c r="Q217" s="3"/>
      <c r="R217" s="3"/>
      <c r="S217" s="3"/>
      <c r="T217" s="3"/>
      <c r="U217" s="3"/>
      <c r="V217" s="3"/>
      <c r="W217" s="3"/>
      <c r="X217" s="3"/>
    </row>
    <row r="218" spans="1:57" x14ac:dyDescent="0.15">
      <c r="A218" s="150" t="s">
        <v>131</v>
      </c>
      <c r="B218" s="151">
        <v>0.05</v>
      </c>
      <c r="C218" s="3"/>
      <c r="D218" s="3"/>
      <c r="E218" s="3"/>
      <c r="F218" s="3"/>
      <c r="G218" s="3"/>
      <c r="H218" s="3"/>
      <c r="I218" s="3"/>
      <c r="J218" s="3"/>
      <c r="K218" s="3"/>
      <c r="L218" s="3"/>
      <c r="M218" s="3"/>
      <c r="N218" s="3"/>
      <c r="O218" s="3"/>
      <c r="P218" s="3"/>
      <c r="Q218" s="3"/>
      <c r="R218" s="3"/>
      <c r="S218" s="3"/>
      <c r="T218" s="3"/>
      <c r="U218" s="3"/>
      <c r="V218" s="3"/>
      <c r="W218" s="3"/>
      <c r="X218" s="3"/>
    </row>
    <row r="219" spans="1:57" x14ac:dyDescent="0.15">
      <c r="A219" s="75"/>
      <c r="B219" s="127"/>
      <c r="C219" s="3"/>
      <c r="D219" s="3"/>
      <c r="E219" s="3"/>
      <c r="F219" s="3"/>
      <c r="G219" s="3"/>
      <c r="H219" s="116" t="str">
        <f>H190</f>
        <v>2020P</v>
      </c>
      <c r="I219" s="116" t="str">
        <f t="shared" ref="I219:L219" si="79">I190</f>
        <v>2021P</v>
      </c>
      <c r="J219" s="116" t="str">
        <f t="shared" si="79"/>
        <v>2022P</v>
      </c>
      <c r="K219" s="116" t="str">
        <f t="shared" si="79"/>
        <v>2023P</v>
      </c>
      <c r="L219" s="116" t="str">
        <f t="shared" si="79"/>
        <v>2024P</v>
      </c>
      <c r="M219" s="3"/>
      <c r="N219" s="3"/>
      <c r="O219" s="3"/>
      <c r="P219" s="3"/>
      <c r="Q219" s="3"/>
      <c r="R219" s="3"/>
      <c r="S219" s="3"/>
      <c r="T219" s="3"/>
      <c r="U219" s="3"/>
      <c r="V219" s="3"/>
      <c r="W219" s="3"/>
      <c r="X219" s="3"/>
    </row>
    <row r="220" spans="1:57" x14ac:dyDescent="0.15">
      <c r="A220" s="75"/>
      <c r="B220" s="127"/>
      <c r="C220" s="3"/>
      <c r="D220" s="3"/>
      <c r="E220" s="3"/>
      <c r="F220" s="3"/>
      <c r="G220" s="3"/>
      <c r="H220" s="117">
        <f>H149</f>
        <v>44196</v>
      </c>
      <c r="I220" s="117">
        <f t="shared" ref="I220:L220" si="80">I149</f>
        <v>44561</v>
      </c>
      <c r="J220" s="117">
        <f t="shared" si="80"/>
        <v>44926</v>
      </c>
      <c r="K220" s="117">
        <f t="shared" si="80"/>
        <v>45291</v>
      </c>
      <c r="L220" s="117">
        <f t="shared" si="80"/>
        <v>45657</v>
      </c>
      <c r="M220" s="3"/>
      <c r="N220" s="3"/>
      <c r="O220" s="3"/>
      <c r="P220" s="3"/>
      <c r="Q220" s="3"/>
      <c r="R220" s="3"/>
      <c r="S220" s="3"/>
      <c r="T220" s="3"/>
      <c r="U220" s="3"/>
      <c r="V220" s="3"/>
      <c r="W220" s="3"/>
      <c r="X220" s="3"/>
    </row>
    <row r="221" spans="1:57" x14ac:dyDescent="0.15">
      <c r="A221" s="3" t="s">
        <v>132</v>
      </c>
      <c r="B221" s="3"/>
      <c r="C221" s="3"/>
      <c r="D221" s="3"/>
      <c r="E221" s="3"/>
      <c r="F221" s="3"/>
      <c r="G221" s="3"/>
      <c r="H221" s="174">
        <f ca="1">H207</f>
        <v>4681.0533611600586</v>
      </c>
      <c r="I221" s="174">
        <f ca="1">I207</f>
        <v>4632.6315780611349</v>
      </c>
      <c r="J221" s="174">
        <f ca="1">J207</f>
        <v>5466.798106175067</v>
      </c>
      <c r="K221" s="174">
        <f ca="1">K207</f>
        <v>6452.0545491228531</v>
      </c>
      <c r="L221" s="174">
        <f ca="1">L207</f>
        <v>7615.2300157526879</v>
      </c>
      <c r="M221" s="3"/>
      <c r="N221" s="3"/>
      <c r="O221" s="3"/>
      <c r="P221" s="3"/>
      <c r="Q221" s="3"/>
      <c r="R221" s="3"/>
      <c r="S221" s="3"/>
      <c r="T221" s="3"/>
      <c r="U221" s="3"/>
      <c r="V221" s="3"/>
      <c r="W221" s="3"/>
      <c r="X221" s="3"/>
    </row>
    <row r="222" spans="1:57" x14ac:dyDescent="0.15">
      <c r="A222" s="3" t="s">
        <v>133</v>
      </c>
      <c r="B222" s="3"/>
      <c r="C222" s="3"/>
      <c r="D222" s="3"/>
      <c r="E222" s="3"/>
      <c r="F222" s="3"/>
      <c r="G222" s="3"/>
      <c r="H222" s="175">
        <v>0</v>
      </c>
      <c r="I222" s="175">
        <v>0</v>
      </c>
      <c r="J222" s="175">
        <v>0</v>
      </c>
      <c r="K222" s="175">
        <v>0</v>
      </c>
      <c r="L222" s="174">
        <f ca="1">(L221*(1+$B$218))/($B$217-$B$218)</f>
        <v>159919.83033080644</v>
      </c>
      <c r="M222" s="3"/>
      <c r="N222" s="188" t="s">
        <v>133</v>
      </c>
      <c r="O222" s="189"/>
      <c r="P222" s="189"/>
      <c r="Q222" s="128">
        <f ca="1">L222/L41</f>
        <v>11.951856128188213</v>
      </c>
      <c r="R222" s="3"/>
      <c r="S222" s="3"/>
      <c r="T222" s="3"/>
      <c r="U222" s="3"/>
      <c r="V222" s="3"/>
      <c r="W222" s="3"/>
      <c r="X222" s="3"/>
    </row>
    <row r="223" spans="1:57" x14ac:dyDescent="0.15">
      <c r="A223" s="3" t="s">
        <v>134</v>
      </c>
      <c r="B223" s="3"/>
      <c r="C223" s="3"/>
      <c r="D223" s="3"/>
      <c r="E223" s="3"/>
      <c r="F223" s="3"/>
      <c r="G223" s="3"/>
      <c r="H223" s="174">
        <f ca="1">SUM(H221:H222)</f>
        <v>4681.0533611600586</v>
      </c>
      <c r="I223" s="174">
        <f t="shared" ref="I223:L223" ca="1" si="81">SUM(I221:I222)</f>
        <v>4632.6315780611349</v>
      </c>
      <c r="J223" s="174">
        <f t="shared" ca="1" si="81"/>
        <v>5466.798106175067</v>
      </c>
      <c r="K223" s="174">
        <f t="shared" ca="1" si="81"/>
        <v>6452.0545491228531</v>
      </c>
      <c r="L223" s="174">
        <f t="shared" ca="1" si="81"/>
        <v>167535.06034655913</v>
      </c>
      <c r="M223" s="3"/>
      <c r="N223" s="190" t="s">
        <v>142</v>
      </c>
      <c r="O223" s="191"/>
      <c r="P223" s="191"/>
      <c r="Q223" s="129">
        <f ca="1">(NPV(B217,H222:L222)*(1+B217)^0.5)/B225</f>
        <v>0.82319730036877536</v>
      </c>
      <c r="R223" s="3"/>
      <c r="S223" s="3"/>
      <c r="T223" s="3"/>
      <c r="U223" s="3"/>
      <c r="V223" s="3"/>
      <c r="W223" s="3"/>
      <c r="X223" s="3"/>
    </row>
    <row r="224" spans="1:57"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row>
    <row r="225" spans="1:24" x14ac:dyDescent="0.15">
      <c r="A225" s="3" t="s">
        <v>135</v>
      </c>
      <c r="B225" s="44">
        <f ca="1">NPV(B217,H223:L223)*(1+B217)^0.5</f>
        <v>126511.87711688437</v>
      </c>
      <c r="C225" s="3"/>
      <c r="D225" s="3"/>
      <c r="E225" s="3"/>
      <c r="F225" s="3"/>
      <c r="G225" s="3"/>
      <c r="H225" s="3"/>
      <c r="I225" s="3"/>
      <c r="J225" s="3"/>
      <c r="K225" s="3"/>
      <c r="L225" s="3"/>
      <c r="M225" s="3"/>
      <c r="N225" s="3"/>
      <c r="O225" s="3"/>
      <c r="P225" s="3"/>
      <c r="Q225" s="3"/>
      <c r="R225" s="3"/>
      <c r="S225" s="3"/>
      <c r="T225" s="3"/>
      <c r="U225" s="3"/>
      <c r="V225" s="3"/>
      <c r="W225" s="3"/>
      <c r="X225" s="3"/>
    </row>
    <row r="226" spans="1:24" x14ac:dyDescent="0.15">
      <c r="A226" s="3" t="s">
        <v>136</v>
      </c>
      <c r="B226" s="44">
        <f>G72</f>
        <v>10761</v>
      </c>
      <c r="C226" s="3"/>
      <c r="D226" s="3"/>
      <c r="E226" s="3"/>
      <c r="F226" s="3"/>
      <c r="G226" s="3"/>
      <c r="H226" s="3"/>
      <c r="I226" s="3"/>
      <c r="J226" s="3"/>
      <c r="K226" s="3"/>
      <c r="L226" s="3"/>
      <c r="M226" s="3"/>
      <c r="N226" s="3"/>
      <c r="O226" s="3"/>
      <c r="P226" s="3"/>
      <c r="Q226" s="3"/>
      <c r="R226" s="3"/>
      <c r="S226" s="3"/>
      <c r="T226" s="3"/>
      <c r="U226" s="3"/>
      <c r="V226" s="3"/>
      <c r="W226" s="3"/>
      <c r="X226" s="3"/>
    </row>
    <row r="227" spans="1:24" x14ac:dyDescent="0.15">
      <c r="A227" s="3" t="s">
        <v>137</v>
      </c>
      <c r="B227" s="44">
        <f>G99</f>
        <v>4965</v>
      </c>
      <c r="C227" s="3"/>
      <c r="D227" s="3"/>
      <c r="E227" s="3"/>
      <c r="F227" s="3"/>
      <c r="G227" s="3"/>
      <c r="H227" s="3"/>
      <c r="I227" s="3"/>
      <c r="J227" s="3"/>
      <c r="K227" s="3"/>
      <c r="L227" s="3"/>
      <c r="M227" s="3"/>
      <c r="N227" s="3"/>
      <c r="O227" s="3"/>
      <c r="P227" s="3"/>
      <c r="Q227" s="3"/>
      <c r="R227" s="3"/>
      <c r="S227" s="3"/>
      <c r="T227" s="3"/>
      <c r="U227" s="3"/>
      <c r="V227" s="3"/>
      <c r="W227" s="3"/>
      <c r="X227" s="3"/>
    </row>
    <row r="228" spans="1:24" x14ac:dyDescent="0.15">
      <c r="A228" s="3"/>
      <c r="B228" s="44"/>
      <c r="C228" s="3"/>
      <c r="D228" s="3"/>
      <c r="E228" s="3"/>
      <c r="F228" s="3"/>
      <c r="G228" s="3"/>
      <c r="H228" s="3"/>
      <c r="I228" s="3"/>
      <c r="J228" s="3"/>
      <c r="K228" s="3"/>
      <c r="L228" s="3"/>
      <c r="M228" s="3"/>
      <c r="N228" s="3"/>
      <c r="O228" s="3"/>
      <c r="P228" s="3"/>
      <c r="Q228" s="3"/>
      <c r="R228" s="3"/>
      <c r="S228" s="3"/>
      <c r="T228" s="3"/>
      <c r="U228" s="3"/>
      <c r="V228" s="3"/>
      <c r="W228" s="3"/>
      <c r="X228" s="3"/>
    </row>
    <row r="229" spans="1:24" x14ac:dyDescent="0.15">
      <c r="A229" s="3" t="s">
        <v>138</v>
      </c>
      <c r="B229" s="44">
        <f ca="1">B225+B226-B227</f>
        <v>132307.87711688437</v>
      </c>
      <c r="C229" s="3"/>
      <c r="D229" s="3"/>
      <c r="E229" s="3"/>
      <c r="F229" s="3"/>
      <c r="G229" s="3"/>
      <c r="H229" s="3"/>
      <c r="I229" s="3"/>
      <c r="J229" s="3"/>
      <c r="K229" s="3"/>
      <c r="L229" s="3"/>
      <c r="M229" s="3"/>
      <c r="N229" s="3"/>
      <c r="O229" s="3"/>
      <c r="P229" s="3"/>
      <c r="Q229" s="3"/>
      <c r="R229" s="3"/>
      <c r="S229" s="3"/>
      <c r="T229" s="3"/>
      <c r="U229" s="3"/>
      <c r="V229" s="3"/>
      <c r="W229" s="3"/>
      <c r="X229" s="3"/>
    </row>
    <row r="230" spans="1:24" x14ac:dyDescent="0.15">
      <c r="A230" s="3" t="s">
        <v>139</v>
      </c>
      <c r="B230" s="44">
        <v>1188</v>
      </c>
      <c r="C230" s="3"/>
      <c r="D230" s="3"/>
      <c r="E230" s="3"/>
      <c r="F230" s="3"/>
      <c r="G230" s="3"/>
      <c r="H230" s="3"/>
      <c r="I230" s="3"/>
      <c r="J230" s="3"/>
      <c r="K230" s="3"/>
      <c r="L230" s="3"/>
      <c r="M230" s="3"/>
      <c r="N230" s="3"/>
      <c r="O230" s="3"/>
      <c r="P230" s="3"/>
      <c r="Q230" s="3"/>
      <c r="R230" s="3"/>
      <c r="S230" s="3"/>
      <c r="T230" s="3"/>
      <c r="U230" s="3"/>
      <c r="V230" s="3"/>
      <c r="W230" s="3"/>
      <c r="X230" s="3"/>
    </row>
    <row r="231" spans="1:24" x14ac:dyDescent="0.15">
      <c r="A231" s="3" t="s">
        <v>140</v>
      </c>
      <c r="B231" s="130">
        <f ca="1">B229/B230</f>
        <v>111.37026693340435</v>
      </c>
      <c r="C231" s="3"/>
      <c r="D231" s="3"/>
      <c r="E231" s="3"/>
      <c r="F231" s="3"/>
      <c r="G231" s="3"/>
      <c r="H231" s="3"/>
      <c r="I231" s="3"/>
      <c r="J231" s="3"/>
      <c r="K231" s="3"/>
      <c r="L231" s="3"/>
      <c r="M231" s="3"/>
      <c r="N231" s="3"/>
      <c r="O231" s="3"/>
      <c r="P231" s="3"/>
      <c r="Q231" s="3"/>
      <c r="R231" s="3"/>
      <c r="S231" s="3"/>
      <c r="T231" s="3"/>
      <c r="U231" s="3"/>
      <c r="V231" s="3"/>
      <c r="W231" s="3"/>
      <c r="X231" s="3"/>
    </row>
    <row r="232" spans="1:24"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row>
    <row r="233" spans="1:24"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row>
    <row r="234" spans="1:24"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row>
    <row r="235" spans="1:24"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row>
    <row r="236" spans="1:24"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row>
    <row r="237" spans="1:24" x14ac:dyDescent="0.15">
      <c r="A237" s="152" t="s">
        <v>143</v>
      </c>
      <c r="B237" s="3"/>
      <c r="C237" s="3"/>
      <c r="D237" s="3"/>
      <c r="E237" s="3"/>
      <c r="F237" s="3"/>
      <c r="G237" s="3"/>
      <c r="H237" s="3"/>
      <c r="I237" s="3"/>
      <c r="J237" s="3"/>
      <c r="K237" s="3"/>
      <c r="L237" s="3"/>
      <c r="M237" s="3"/>
      <c r="N237" s="3"/>
      <c r="O237" s="3"/>
      <c r="P237" s="3"/>
      <c r="Q237" s="3"/>
      <c r="R237" s="3"/>
      <c r="S237" s="3"/>
      <c r="T237" s="3"/>
      <c r="U237" s="3"/>
      <c r="V237" s="3"/>
      <c r="W237" s="3"/>
      <c r="X237" s="3"/>
    </row>
    <row r="238" spans="1:24"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row>
    <row r="239" spans="1:24" x14ac:dyDescent="0.15">
      <c r="A239" s="131" t="s">
        <v>144</v>
      </c>
      <c r="B239" s="192" t="s">
        <v>145</v>
      </c>
      <c r="C239" s="192"/>
      <c r="D239" s="192"/>
      <c r="E239" s="3"/>
      <c r="F239" s="3"/>
      <c r="G239" s="3"/>
      <c r="H239" s="3"/>
      <c r="I239" s="3"/>
      <c r="J239" s="3"/>
      <c r="K239" s="3"/>
      <c r="L239" s="3"/>
      <c r="M239" s="3"/>
      <c r="N239" s="3"/>
      <c r="O239" s="3"/>
      <c r="P239" s="3"/>
      <c r="Q239" s="3"/>
      <c r="R239" s="3"/>
      <c r="S239" s="3"/>
      <c r="T239" s="3"/>
      <c r="U239" s="3"/>
      <c r="V239" s="3"/>
      <c r="W239" s="3"/>
      <c r="X239" s="3"/>
    </row>
    <row r="240" spans="1:24" x14ac:dyDescent="0.15">
      <c r="A240" s="132"/>
      <c r="B240" s="131" t="s">
        <v>146</v>
      </c>
      <c r="C240" s="133" t="s">
        <v>107</v>
      </c>
      <c r="D240" s="134" t="s">
        <v>147</v>
      </c>
      <c r="E240" s="3"/>
      <c r="F240" s="3"/>
      <c r="G240" s="3"/>
      <c r="H240" s="3"/>
      <c r="I240" s="3"/>
      <c r="J240" s="3"/>
      <c r="K240" s="3"/>
      <c r="L240" s="3"/>
      <c r="M240" s="3"/>
      <c r="N240" s="3"/>
      <c r="O240" s="3"/>
      <c r="P240" s="3"/>
      <c r="Q240" s="3"/>
      <c r="R240" s="3"/>
      <c r="S240" s="3"/>
      <c r="T240" s="3"/>
      <c r="U240" s="3"/>
      <c r="V240" s="3"/>
      <c r="W240" s="3"/>
      <c r="X240" s="3"/>
    </row>
    <row r="241" spans="1:24" x14ac:dyDescent="0.15">
      <c r="A241" s="132" t="s">
        <v>167</v>
      </c>
      <c r="B241" s="135">
        <v>9.3000000000000007</v>
      </c>
      <c r="C241" s="132"/>
      <c r="D241" s="135">
        <v>14.85</v>
      </c>
      <c r="E241" s="3"/>
      <c r="F241" s="3"/>
      <c r="G241" s="3"/>
      <c r="H241" s="3"/>
      <c r="I241" s="3"/>
      <c r="J241" s="3"/>
      <c r="K241" s="3"/>
      <c r="L241" s="3"/>
      <c r="M241" s="3"/>
      <c r="N241" s="3"/>
      <c r="O241" s="3"/>
      <c r="P241" s="3"/>
      <c r="Q241" s="3"/>
      <c r="R241" s="3"/>
      <c r="S241" s="3"/>
      <c r="T241" s="3"/>
      <c r="U241" s="3"/>
      <c r="V241" s="3"/>
      <c r="W241" s="3"/>
      <c r="X241" s="3"/>
    </row>
    <row r="242" spans="1:24" x14ac:dyDescent="0.15">
      <c r="A242" s="132" t="s">
        <v>148</v>
      </c>
      <c r="B242" s="135">
        <v>32.61</v>
      </c>
      <c r="C242" s="132"/>
      <c r="D242" s="135">
        <v>37.32</v>
      </c>
      <c r="E242" s="3"/>
      <c r="F242" s="3"/>
      <c r="G242" s="3"/>
      <c r="H242" s="3"/>
      <c r="I242" s="3"/>
      <c r="J242" s="3"/>
      <c r="K242" s="3"/>
      <c r="L242" s="3"/>
      <c r="M242" s="3"/>
      <c r="N242" s="3"/>
      <c r="O242" s="3"/>
      <c r="P242" s="3"/>
      <c r="Q242" s="3"/>
      <c r="R242" s="3"/>
      <c r="S242" s="3"/>
      <c r="T242" s="3"/>
      <c r="U242" s="3"/>
      <c r="V242" s="3"/>
      <c r="W242" s="3"/>
      <c r="X242" s="3"/>
    </row>
    <row r="243" spans="1:24" x14ac:dyDescent="0.15">
      <c r="A243" s="132" t="s">
        <v>149</v>
      </c>
      <c r="B243" s="135">
        <v>28.84</v>
      </c>
      <c r="C243" s="135"/>
      <c r="D243" s="135">
        <v>31.13</v>
      </c>
      <c r="E243" s="3"/>
      <c r="F243" s="3"/>
      <c r="G243" s="3"/>
      <c r="H243" s="3"/>
      <c r="I243" s="3"/>
      <c r="J243" s="3"/>
      <c r="K243" s="3"/>
      <c r="L243" s="3"/>
      <c r="M243" s="3"/>
      <c r="N243" s="3"/>
      <c r="O243" s="3"/>
      <c r="P243" s="3"/>
      <c r="Q243" s="3"/>
      <c r="R243" s="3"/>
      <c r="S243" s="3"/>
      <c r="T243" s="3"/>
      <c r="U243" s="3"/>
      <c r="V243" s="3"/>
      <c r="W243" s="3"/>
      <c r="X243" s="3"/>
    </row>
    <row r="244" spans="1:24" x14ac:dyDescent="0.15">
      <c r="A244" s="132"/>
      <c r="B244" s="135"/>
      <c r="C244" s="135"/>
      <c r="D244" s="135"/>
      <c r="E244" s="3"/>
      <c r="F244" s="3"/>
      <c r="G244" s="3"/>
      <c r="H244" s="3"/>
      <c r="I244" s="3"/>
      <c r="J244" s="3"/>
      <c r="K244" s="3"/>
      <c r="L244" s="3"/>
      <c r="M244" s="3"/>
      <c r="N244" s="3"/>
      <c r="O244" s="3"/>
      <c r="P244" s="3"/>
      <c r="Q244" s="3"/>
      <c r="R244" s="3"/>
      <c r="S244" s="3"/>
      <c r="T244" s="3"/>
      <c r="U244" s="3"/>
      <c r="V244" s="3"/>
      <c r="W244" s="3"/>
      <c r="X244" s="3"/>
    </row>
    <row r="245" spans="1:24" x14ac:dyDescent="0.15">
      <c r="A245" s="132" t="s">
        <v>150</v>
      </c>
      <c r="B245" s="135">
        <f>AVERAGE(B241:B243)</f>
        <v>23.583333333333332</v>
      </c>
      <c r="C245" s="135"/>
      <c r="D245" s="135">
        <f>AVERAGE(D241:D243)</f>
        <v>27.766666666666666</v>
      </c>
      <c r="E245" s="3"/>
      <c r="F245" s="3"/>
      <c r="G245" s="3"/>
      <c r="H245" s="3"/>
      <c r="I245" s="3"/>
      <c r="J245" s="3"/>
      <c r="K245" s="3"/>
      <c r="L245" s="3"/>
      <c r="M245" s="3"/>
      <c r="N245" s="3"/>
      <c r="O245" s="3"/>
      <c r="P245" s="3"/>
      <c r="Q245" s="3"/>
      <c r="R245" s="3"/>
      <c r="S245" s="3"/>
      <c r="T245" s="3"/>
      <c r="U245" s="3"/>
      <c r="V245" s="3"/>
      <c r="W245" s="3"/>
      <c r="X245" s="3"/>
    </row>
    <row r="246" spans="1:24" x14ac:dyDescent="0.15">
      <c r="A246" s="132" t="s">
        <v>151</v>
      </c>
      <c r="B246" s="135">
        <f>MAX(B241:B243)</f>
        <v>32.61</v>
      </c>
      <c r="C246" s="135"/>
      <c r="D246" s="135">
        <f>MAX(D241:D243)</f>
        <v>37.32</v>
      </c>
      <c r="E246" s="3"/>
      <c r="F246" s="3"/>
      <c r="G246" s="3"/>
      <c r="H246" s="3"/>
      <c r="I246" s="3"/>
      <c r="J246" s="3"/>
      <c r="K246" s="3"/>
      <c r="L246" s="3"/>
      <c r="M246" s="3"/>
      <c r="N246" s="3"/>
      <c r="O246" s="3"/>
      <c r="P246" s="3"/>
      <c r="Q246" s="3"/>
      <c r="R246" s="3"/>
      <c r="S246" s="3"/>
      <c r="T246" s="3"/>
      <c r="U246" s="3"/>
      <c r="V246" s="3"/>
      <c r="W246" s="3"/>
      <c r="X246" s="3"/>
    </row>
    <row r="247" spans="1:24" x14ac:dyDescent="0.15">
      <c r="A247" s="132" t="s">
        <v>152</v>
      </c>
      <c r="B247" s="135">
        <f>MIN(B241:B243)</f>
        <v>9.3000000000000007</v>
      </c>
      <c r="C247" s="135"/>
      <c r="D247" s="135">
        <f>MIN(D241:D243)</f>
        <v>14.85</v>
      </c>
      <c r="E247" s="3"/>
      <c r="F247" s="3"/>
      <c r="G247" s="3"/>
      <c r="H247" s="3"/>
      <c r="I247" s="3"/>
      <c r="J247" s="3"/>
      <c r="K247" s="3"/>
      <c r="L247" s="3"/>
      <c r="M247" s="3"/>
      <c r="N247" s="3"/>
      <c r="O247" s="3"/>
      <c r="P247" s="3"/>
      <c r="Q247" s="3"/>
      <c r="R247" s="3"/>
      <c r="S247" s="3"/>
      <c r="T247" s="3"/>
      <c r="U247" s="3"/>
      <c r="V247" s="3"/>
      <c r="W247" s="3"/>
      <c r="X247" s="3"/>
    </row>
    <row r="248" spans="1:24" x14ac:dyDescent="0.15">
      <c r="A248" s="132"/>
      <c r="B248" s="132"/>
      <c r="C248" s="133" t="s">
        <v>107</v>
      </c>
      <c r="D248" s="133" t="s">
        <v>107</v>
      </c>
      <c r="E248" s="3"/>
      <c r="F248" s="3"/>
      <c r="G248" s="3"/>
      <c r="H248" s="3"/>
      <c r="I248" s="3"/>
      <c r="J248" s="3"/>
      <c r="K248" s="3"/>
      <c r="L248" s="3"/>
      <c r="M248" s="3"/>
      <c r="N248" s="3"/>
      <c r="O248" s="3"/>
      <c r="P248" s="3"/>
      <c r="Q248" s="3"/>
      <c r="R248" s="3"/>
      <c r="S248" s="3"/>
      <c r="T248" s="3"/>
      <c r="U248" s="3"/>
      <c r="V248" s="3"/>
      <c r="W248" s="3"/>
      <c r="X248" s="3"/>
    </row>
    <row r="249" spans="1:24" x14ac:dyDescent="0.15">
      <c r="A249" s="132" t="s">
        <v>153</v>
      </c>
      <c r="B249" s="176">
        <f ca="1">B245*$L$38</f>
        <v>255527.37528290643</v>
      </c>
      <c r="C249" s="177"/>
      <c r="D249" s="176">
        <f ca="1">D245*$L$38</f>
        <v>300854.13937902625</v>
      </c>
      <c r="E249" s="3"/>
      <c r="F249" s="3"/>
      <c r="G249" s="3"/>
      <c r="H249" s="3"/>
      <c r="I249" s="3"/>
      <c r="J249" s="3"/>
      <c r="K249" s="3"/>
      <c r="L249" s="3"/>
      <c r="M249" s="3"/>
      <c r="N249" s="3"/>
      <c r="O249" s="3"/>
      <c r="P249" s="3"/>
      <c r="Q249" s="3"/>
      <c r="R249" s="3"/>
      <c r="S249" s="3"/>
      <c r="T249" s="3"/>
      <c r="U249" s="3"/>
      <c r="V249" s="3"/>
      <c r="W249" s="3"/>
      <c r="X249" s="3"/>
    </row>
    <row r="250" spans="1:24" x14ac:dyDescent="0.15">
      <c r="A250" s="132" t="s">
        <v>154</v>
      </c>
      <c r="B250" s="176">
        <f t="shared" ref="B250:B251" ca="1" si="82">B246*$L$38</f>
        <v>353332.05828871712</v>
      </c>
      <c r="C250" s="177"/>
      <c r="D250" s="176">
        <f t="shared" ref="D250:D251" ca="1" si="83">D246*$L$38</f>
        <v>404365.29945829266</v>
      </c>
      <c r="E250" s="3"/>
      <c r="F250" s="3"/>
      <c r="G250" s="3"/>
      <c r="H250" s="3"/>
      <c r="I250" s="3"/>
      <c r="J250" s="3"/>
      <c r="K250" s="3"/>
      <c r="L250" s="3"/>
      <c r="M250" s="3"/>
      <c r="N250" s="3"/>
      <c r="O250" s="3"/>
      <c r="P250" s="3"/>
      <c r="Q250" s="3"/>
      <c r="R250" s="3"/>
      <c r="S250" s="3"/>
      <c r="T250" s="3"/>
      <c r="U250" s="3"/>
      <c r="V250" s="3"/>
      <c r="W250" s="3"/>
      <c r="X250" s="3"/>
    </row>
    <row r="251" spans="1:24" x14ac:dyDescent="0.15">
      <c r="A251" s="132" t="s">
        <v>155</v>
      </c>
      <c r="B251" s="176">
        <f t="shared" ca="1" si="82"/>
        <v>100766.27237304721</v>
      </c>
      <c r="C251" s="177"/>
      <c r="D251" s="176">
        <f t="shared" ca="1" si="83"/>
        <v>160900.98330534957</v>
      </c>
      <c r="E251" s="3"/>
      <c r="F251" s="3"/>
      <c r="G251" s="3"/>
      <c r="H251" s="3"/>
      <c r="I251" s="3"/>
      <c r="J251" s="3"/>
      <c r="K251" s="3"/>
      <c r="L251" s="3"/>
      <c r="M251" s="3"/>
      <c r="N251" s="3"/>
      <c r="O251" s="3"/>
      <c r="P251" s="3"/>
      <c r="Q251" s="3"/>
      <c r="R251" s="3"/>
      <c r="S251" s="3"/>
      <c r="T251" s="3"/>
      <c r="U251" s="3"/>
      <c r="V251" s="3"/>
      <c r="W251" s="3"/>
      <c r="X251" s="3"/>
    </row>
    <row r="252" spans="1:24" x14ac:dyDescent="0.15">
      <c r="A252" s="132"/>
      <c r="B252" s="178"/>
      <c r="C252" s="178"/>
      <c r="D252" s="178"/>
      <c r="E252" s="3"/>
      <c r="F252" s="3"/>
      <c r="G252" s="3"/>
      <c r="H252" s="3"/>
      <c r="I252" s="3"/>
      <c r="J252" s="3"/>
      <c r="K252" s="3"/>
      <c r="L252" s="3"/>
      <c r="M252" s="3"/>
      <c r="N252" s="3"/>
      <c r="O252" s="3"/>
      <c r="P252" s="3"/>
      <c r="Q252" s="3"/>
      <c r="R252" s="3"/>
      <c r="S252" s="3"/>
      <c r="T252" s="3"/>
      <c r="U252" s="3"/>
      <c r="V252" s="3"/>
      <c r="W252" s="3"/>
      <c r="X252" s="3"/>
    </row>
    <row r="253" spans="1:24" x14ac:dyDescent="0.15">
      <c r="A253" s="132" t="s">
        <v>156</v>
      </c>
      <c r="B253" s="176">
        <f ca="1">NPV(B217,H221:L221)*(1+B217)^0.5</f>
        <v>22367.641409674168</v>
      </c>
      <c r="C253" s="177"/>
      <c r="D253" s="177"/>
      <c r="E253" s="3"/>
      <c r="F253" s="3"/>
      <c r="G253" s="3"/>
      <c r="H253" s="3"/>
      <c r="I253" s="3"/>
      <c r="J253" s="3"/>
      <c r="K253" s="3"/>
      <c r="L253" s="3"/>
      <c r="M253" s="3"/>
      <c r="N253" s="3"/>
      <c r="O253" s="3"/>
      <c r="P253" s="3"/>
      <c r="Q253" s="3"/>
      <c r="R253" s="3"/>
      <c r="S253" s="3"/>
      <c r="T253" s="3"/>
      <c r="U253" s="3"/>
      <c r="V253" s="3"/>
      <c r="W253" s="3"/>
      <c r="X253" s="3"/>
    </row>
    <row r="254" spans="1:24" x14ac:dyDescent="0.15">
      <c r="A254" s="132" t="s">
        <v>157</v>
      </c>
      <c r="B254" s="176">
        <f ca="1">((B249)/(1+$B$217)^5)</f>
        <v>158662.39593849547</v>
      </c>
      <c r="C254" s="177"/>
      <c r="D254" s="176">
        <f ca="1">((D249)/(1+$B$217)^5)</f>
        <v>186806.7502710484</v>
      </c>
      <c r="E254" s="3"/>
      <c r="F254" s="3"/>
      <c r="G254" s="3"/>
      <c r="H254" s="3"/>
      <c r="I254" s="3"/>
      <c r="J254" s="3"/>
      <c r="K254" s="3"/>
      <c r="L254" s="3"/>
      <c r="M254" s="3"/>
      <c r="N254" s="3"/>
      <c r="O254" s="3"/>
      <c r="P254" s="3"/>
      <c r="Q254" s="3"/>
      <c r="R254" s="3"/>
      <c r="S254" s="3"/>
      <c r="T254" s="3"/>
      <c r="U254" s="3"/>
      <c r="V254" s="3"/>
      <c r="W254" s="3"/>
      <c r="X254" s="3"/>
    </row>
    <row r="255" spans="1:24" x14ac:dyDescent="0.15">
      <c r="A255" s="132" t="s">
        <v>158</v>
      </c>
      <c r="B255" s="176">
        <f t="shared" ref="B255:B256" ca="1" si="84">((B250)/(1+$B$217)^5)</f>
        <v>219391.4091118447</v>
      </c>
      <c r="C255" s="177"/>
      <c r="D255" s="176">
        <f t="shared" ref="D255:D256" ca="1" si="85">((D250)/(1+$B$217)^5)</f>
        <v>251079.03673885448</v>
      </c>
      <c r="E255" s="3"/>
      <c r="F255" s="3"/>
      <c r="G255" s="3"/>
      <c r="H255" s="3"/>
      <c r="I255" s="3"/>
      <c r="J255" s="3"/>
      <c r="K255" s="3"/>
      <c r="L255" s="3"/>
      <c r="M255" s="3"/>
      <c r="N255" s="3"/>
      <c r="O255" s="3"/>
      <c r="P255" s="3"/>
      <c r="Q255" s="3"/>
      <c r="R255" s="3"/>
      <c r="S255" s="3"/>
      <c r="T255" s="3"/>
      <c r="U255" s="3"/>
      <c r="V255" s="3"/>
      <c r="W255" s="3"/>
      <c r="X255" s="3"/>
    </row>
    <row r="256" spans="1:24" x14ac:dyDescent="0.15">
      <c r="A256" s="132" t="s">
        <v>159</v>
      </c>
      <c r="B256" s="176">
        <f t="shared" ca="1" si="84"/>
        <v>62567.927161611646</v>
      </c>
      <c r="C256" s="177"/>
      <c r="D256" s="176">
        <f t="shared" ca="1" si="85"/>
        <v>99906.851435476652</v>
      </c>
      <c r="E256" s="3"/>
      <c r="F256" s="3"/>
      <c r="G256" s="3"/>
      <c r="H256" s="3"/>
      <c r="I256" s="3"/>
      <c r="J256" s="3"/>
      <c r="K256" s="3"/>
      <c r="L256" s="3"/>
      <c r="M256" s="3"/>
      <c r="N256" s="3"/>
      <c r="O256" s="3"/>
      <c r="P256" s="3"/>
      <c r="Q256" s="3"/>
      <c r="R256" s="3"/>
      <c r="S256" s="3"/>
      <c r="T256" s="3"/>
      <c r="U256" s="3"/>
      <c r="V256" s="3"/>
      <c r="W256" s="3"/>
      <c r="X256" s="3"/>
    </row>
    <row r="257" spans="1:57" x14ac:dyDescent="0.15">
      <c r="A257" s="132"/>
      <c r="B257" s="178"/>
      <c r="C257" s="177"/>
      <c r="D257" s="177"/>
      <c r="E257" s="3"/>
      <c r="F257" s="3"/>
      <c r="G257" s="3"/>
      <c r="H257" s="3"/>
      <c r="I257" s="3"/>
      <c r="J257" s="3"/>
      <c r="K257" s="3"/>
      <c r="L257" s="3"/>
      <c r="M257" s="3"/>
      <c r="N257" s="3"/>
      <c r="O257" s="3"/>
      <c r="P257" s="3"/>
      <c r="Q257" s="3"/>
      <c r="R257" s="3"/>
      <c r="S257" s="3"/>
      <c r="T257" s="3"/>
      <c r="U257" s="3"/>
      <c r="V257" s="3"/>
      <c r="W257" s="3"/>
      <c r="X257" s="3"/>
    </row>
    <row r="258" spans="1:57" x14ac:dyDescent="0.15">
      <c r="A258" s="133" t="s">
        <v>160</v>
      </c>
      <c r="B258" s="176">
        <f ca="1">$B$253+B254</f>
        <v>181030.03734816963</v>
      </c>
      <c r="C258" s="177"/>
      <c r="D258" s="176">
        <f ca="1">$B$253+D254</f>
        <v>209174.39168072256</v>
      </c>
      <c r="E258" s="3"/>
      <c r="F258" s="3"/>
      <c r="G258" s="3"/>
      <c r="H258" s="3"/>
      <c r="I258" s="3"/>
      <c r="J258" s="3"/>
      <c r="K258" s="3"/>
      <c r="L258" s="3"/>
      <c r="M258" s="3"/>
      <c r="N258" s="3"/>
      <c r="O258" s="3"/>
      <c r="P258" s="3"/>
      <c r="Q258" s="3"/>
      <c r="R258" s="3"/>
      <c r="S258" s="3"/>
      <c r="T258" s="3"/>
      <c r="U258" s="3"/>
      <c r="V258" s="3"/>
      <c r="W258" s="3"/>
      <c r="X258" s="3"/>
    </row>
    <row r="259" spans="1:57" x14ac:dyDescent="0.15">
      <c r="A259" s="133" t="s">
        <v>161</v>
      </c>
      <c r="B259" s="176">
        <f t="shared" ref="B259:B260" ca="1" si="86">$B$253+B255</f>
        <v>241759.05052151886</v>
      </c>
      <c r="C259" s="177"/>
      <c r="D259" s="176">
        <f t="shared" ref="D259:D260" ca="1" si="87">$B$253+D255</f>
        <v>273446.67814852868</v>
      </c>
      <c r="E259" s="3"/>
      <c r="F259" s="3"/>
      <c r="G259" s="3"/>
      <c r="H259" s="3"/>
      <c r="I259" s="3"/>
      <c r="J259" s="3"/>
      <c r="K259" s="3"/>
      <c r="L259" s="3"/>
      <c r="M259" s="3"/>
      <c r="N259" s="3"/>
      <c r="O259" s="3"/>
      <c r="P259" s="3"/>
      <c r="Q259" s="3"/>
      <c r="R259" s="3"/>
      <c r="S259" s="3"/>
      <c r="T259" s="3"/>
      <c r="U259" s="3"/>
      <c r="V259" s="3"/>
      <c r="W259" s="3"/>
      <c r="X259" s="3"/>
    </row>
    <row r="260" spans="1:57" x14ac:dyDescent="0.15">
      <c r="A260" s="133" t="s">
        <v>162</v>
      </c>
      <c r="B260" s="176">
        <f t="shared" ca="1" si="86"/>
        <v>84935.56857128581</v>
      </c>
      <c r="C260" s="177"/>
      <c r="D260" s="176">
        <f t="shared" ca="1" si="87"/>
        <v>122274.49284515082</v>
      </c>
      <c r="E260" s="3"/>
      <c r="F260" s="3"/>
      <c r="G260" s="3"/>
      <c r="H260" s="3"/>
      <c r="I260" s="3"/>
      <c r="J260" s="3"/>
      <c r="K260" s="3"/>
      <c r="L260" s="3"/>
      <c r="M260" s="3"/>
      <c r="N260" s="3"/>
      <c r="O260" s="3"/>
      <c r="P260" s="3"/>
      <c r="Q260" s="3"/>
      <c r="R260" s="3"/>
      <c r="S260" s="3"/>
      <c r="T260" s="3"/>
      <c r="U260" s="3"/>
      <c r="V260" s="3"/>
      <c r="W260" s="3"/>
      <c r="X260" s="3"/>
    </row>
    <row r="261" spans="1:57" ht="15" thickBot="1" x14ac:dyDescent="0.2">
      <c r="A261" s="133" t="s">
        <v>107</v>
      </c>
      <c r="B261" s="132"/>
      <c r="C261" s="133"/>
      <c r="D261" s="133"/>
      <c r="E261" s="3"/>
      <c r="F261" s="3"/>
      <c r="G261" s="3"/>
      <c r="H261" s="3"/>
      <c r="I261" s="3"/>
      <c r="J261" s="3"/>
      <c r="K261" s="3"/>
      <c r="L261" s="3"/>
      <c r="M261" s="3"/>
      <c r="N261" s="3"/>
      <c r="O261" s="3"/>
      <c r="P261" s="3"/>
      <c r="Q261" s="3"/>
      <c r="R261" s="3"/>
      <c r="S261" s="3"/>
      <c r="T261" s="3"/>
      <c r="U261" s="3"/>
      <c r="V261" s="3"/>
      <c r="W261" s="3"/>
      <c r="X261" s="3"/>
    </row>
    <row r="262" spans="1:57" ht="15" thickBot="1" x14ac:dyDescent="0.2">
      <c r="A262" s="133" t="s">
        <v>163</v>
      </c>
      <c r="B262" s="136">
        <f ca="1">(B258+$B$226-$B$227)/$B$230</f>
        <v>157.26097419879599</v>
      </c>
      <c r="C262" s="2"/>
      <c r="D262" s="136">
        <f ca="1">(D258+$B$226-$B$227)/$B$230</f>
        <v>180.95150814875637</v>
      </c>
      <c r="E262" s="3"/>
      <c r="F262" s="3"/>
      <c r="G262" s="3"/>
      <c r="H262" s="3"/>
      <c r="I262" s="3"/>
      <c r="J262" s="3"/>
      <c r="K262" s="3"/>
      <c r="L262" s="3"/>
      <c r="M262" s="3"/>
      <c r="N262" s="3"/>
      <c r="O262" s="3"/>
      <c r="P262" s="3"/>
      <c r="Q262" s="3"/>
      <c r="R262" s="3"/>
      <c r="S262" s="3"/>
      <c r="T262" s="3"/>
      <c r="U262" s="3"/>
      <c r="V262" s="3"/>
      <c r="W262" s="3"/>
      <c r="X262" s="3"/>
    </row>
    <row r="263" spans="1:57" ht="15" thickBot="1" x14ac:dyDescent="0.2">
      <c r="A263" s="133" t="s">
        <v>164</v>
      </c>
      <c r="B263" s="137">
        <f t="shared" ref="B263:B264" ca="1" si="88">(B259+$B$226-$B$227)/$B$230</f>
        <v>208.37967215616067</v>
      </c>
      <c r="C263" s="2"/>
      <c r="D263" s="137">
        <f t="shared" ref="D263:D264" ca="1" si="89">(D259+$B$226-$B$227)/$B$230</f>
        <v>235.05275938428341</v>
      </c>
      <c r="E263" s="3"/>
      <c r="F263" s="3"/>
      <c r="G263" s="3"/>
      <c r="H263" s="3"/>
      <c r="I263" s="3"/>
      <c r="J263" s="3"/>
      <c r="K263" s="3"/>
      <c r="L263" s="3"/>
      <c r="M263" s="3"/>
      <c r="N263" s="3"/>
      <c r="O263" s="3"/>
      <c r="P263" s="3"/>
      <c r="Q263" s="3"/>
      <c r="R263" s="3"/>
      <c r="S263" s="3"/>
      <c r="T263" s="3"/>
      <c r="U263" s="3"/>
      <c r="V263" s="3"/>
      <c r="W263" s="3"/>
      <c r="X263" s="3"/>
    </row>
    <row r="264" spans="1:57" ht="15" thickBot="1" x14ac:dyDescent="0.2">
      <c r="A264" s="133" t="s">
        <v>165</v>
      </c>
      <c r="B264" s="138">
        <f t="shared" ca="1" si="88"/>
        <v>76.373374218254042</v>
      </c>
      <c r="C264" s="2"/>
      <c r="D264" s="138">
        <f t="shared" ca="1" si="89"/>
        <v>107.80344515585085</v>
      </c>
      <c r="E264" s="3"/>
      <c r="F264" s="3"/>
      <c r="G264" s="3"/>
      <c r="H264" s="3"/>
      <c r="I264" s="3"/>
      <c r="J264" s="3"/>
      <c r="K264" s="3"/>
      <c r="L264" s="3"/>
      <c r="M264" s="3"/>
      <c r="N264" s="3"/>
      <c r="O264" s="3"/>
      <c r="P264" s="3"/>
      <c r="Q264" s="3"/>
      <c r="R264" s="3"/>
      <c r="S264" s="3"/>
      <c r="T264" s="3"/>
      <c r="U264" s="3"/>
      <c r="V264" s="3"/>
      <c r="W264" s="3"/>
      <c r="X264" s="3"/>
    </row>
    <row r="265" spans="1:57"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row>
    <row r="266" spans="1:57"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row>
    <row r="267" spans="1:57" ht="15" thickBo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row>
    <row r="268" spans="1:57" s="195" customFormat="1" ht="25" customHeight="1" thickTop="1" thickBot="1" x14ac:dyDescent="0.2">
      <c r="A268" s="147" t="s">
        <v>184</v>
      </c>
      <c r="B268" s="6"/>
      <c r="C268" s="6"/>
      <c r="D268" s="6"/>
      <c r="E268" s="6"/>
      <c r="F268" s="6"/>
      <c r="G268" s="6"/>
      <c r="H268" s="6"/>
      <c r="I268" s="6"/>
      <c r="J268" s="6"/>
      <c r="K268" s="6"/>
      <c r="L268" s="6"/>
      <c r="M268" s="6"/>
      <c r="N268" s="6"/>
      <c r="O268" s="6"/>
      <c r="P268" s="6"/>
      <c r="Q268" s="6"/>
      <c r="R268" s="6"/>
      <c r="S268" s="6"/>
      <c r="T268" s="75"/>
      <c r="U268" s="75"/>
      <c r="V268" s="75"/>
      <c r="W268" s="75"/>
      <c r="X268" s="75"/>
      <c r="Y268" s="75"/>
      <c r="Z268" s="75"/>
      <c r="AA268" s="75"/>
      <c r="AB268" s="75"/>
      <c r="AC268" s="75"/>
      <c r="AD268" s="75"/>
      <c r="AE268" s="75"/>
      <c r="AF268" s="75"/>
      <c r="AG268" s="75"/>
      <c r="AH268" s="75"/>
      <c r="AI268" s="75"/>
      <c r="AJ268" s="75"/>
      <c r="AK268" s="75"/>
      <c r="AL268" s="75"/>
      <c r="AM268" s="75"/>
      <c r="AN268" s="75"/>
      <c r="AO268" s="75"/>
      <c r="AP268" s="75"/>
      <c r="AQ268" s="75"/>
      <c r="AR268" s="75"/>
      <c r="AS268" s="75"/>
      <c r="AT268" s="75"/>
      <c r="AU268" s="75"/>
      <c r="AV268" s="75"/>
      <c r="AW268" s="75"/>
      <c r="AX268" s="75"/>
      <c r="AY268" s="75"/>
      <c r="AZ268" s="75"/>
      <c r="BA268" s="75"/>
      <c r="BB268" s="75"/>
      <c r="BC268" s="75"/>
      <c r="BD268" s="75"/>
      <c r="BE268" s="75"/>
    </row>
    <row r="269" spans="1:57" ht="15" thickTop="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row>
    <row r="270" spans="1:57"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row>
    <row r="271" spans="1:57"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row>
    <row r="272" spans="1:57" x14ac:dyDescent="0.15">
      <c r="A272" s="3"/>
      <c r="B272" s="3"/>
      <c r="C272" s="3"/>
      <c r="D272" s="184" t="s">
        <v>185</v>
      </c>
      <c r="E272" s="184"/>
      <c r="F272" s="184"/>
      <c r="G272" s="184"/>
      <c r="H272" s="184"/>
      <c r="I272" s="184"/>
      <c r="J272" s="184"/>
      <c r="K272" s="184"/>
      <c r="L272" s="184"/>
      <c r="M272" s="3"/>
      <c r="N272" s="3"/>
      <c r="O272" s="3"/>
      <c r="P272" s="3"/>
      <c r="Q272" s="3"/>
      <c r="R272" s="3"/>
      <c r="S272" s="3"/>
      <c r="T272" s="3"/>
      <c r="U272" s="3"/>
      <c r="V272" s="3"/>
      <c r="W272" s="3"/>
      <c r="X272" s="3"/>
    </row>
    <row r="273" spans="1:24" ht="15" thickBot="1" x14ac:dyDescent="0.2">
      <c r="A273" s="3"/>
      <c r="B273" s="3"/>
      <c r="C273" s="3"/>
      <c r="D273" s="185"/>
      <c r="E273" s="185"/>
      <c r="F273" s="185"/>
      <c r="G273" s="185"/>
      <c r="H273" s="185"/>
      <c r="I273" s="185"/>
      <c r="J273" s="185"/>
      <c r="K273" s="185"/>
      <c r="L273" s="185"/>
      <c r="M273" s="3"/>
      <c r="N273" s="3"/>
      <c r="O273" s="3"/>
      <c r="P273" s="3"/>
      <c r="Q273" s="3"/>
      <c r="R273" s="3"/>
      <c r="S273" s="3"/>
      <c r="T273" s="3"/>
      <c r="U273" s="3"/>
      <c r="V273" s="3"/>
      <c r="W273" s="3"/>
      <c r="X273" s="3"/>
    </row>
    <row r="274" spans="1:24" ht="20.25" customHeight="1" x14ac:dyDescent="0.15">
      <c r="A274" s="3"/>
      <c r="B274" s="3"/>
      <c r="C274" s="155">
        <f ca="1">B231</f>
        <v>111.37026693340435</v>
      </c>
      <c r="D274" s="165">
        <f t="shared" ref="D274:F274" si="90">E274-0.25%</f>
        <v>3.9999999999999994E-2</v>
      </c>
      <c r="E274" s="165">
        <f t="shared" si="90"/>
        <v>4.2499999999999996E-2</v>
      </c>
      <c r="F274" s="165">
        <f t="shared" si="90"/>
        <v>4.4999999999999998E-2</v>
      </c>
      <c r="G274" s="165">
        <f>H274-0.25%</f>
        <v>4.7500000000000001E-2</v>
      </c>
      <c r="H274" s="165">
        <v>0.05</v>
      </c>
      <c r="I274" s="165">
        <f>H274+0.25%</f>
        <v>5.2500000000000005E-2</v>
      </c>
      <c r="J274" s="165">
        <f t="shared" ref="J274:L274" si="91">I274+0.25%</f>
        <v>5.5000000000000007E-2</v>
      </c>
      <c r="K274" s="165">
        <f t="shared" si="91"/>
        <v>5.7500000000000009E-2</v>
      </c>
      <c r="L274" s="165">
        <f t="shared" si="91"/>
        <v>6.0000000000000012E-2</v>
      </c>
      <c r="M274" s="3"/>
      <c r="N274" s="3"/>
      <c r="O274" s="3"/>
      <c r="P274" s="3"/>
      <c r="Q274" s="3"/>
      <c r="R274" s="3"/>
      <c r="S274" s="3"/>
      <c r="T274" s="3"/>
      <c r="U274" s="3"/>
      <c r="V274" s="3"/>
      <c r="W274" s="3"/>
      <c r="X274" s="3"/>
    </row>
    <row r="275" spans="1:24" x14ac:dyDescent="0.15">
      <c r="A275" s="3"/>
      <c r="B275" s="187" t="s">
        <v>130</v>
      </c>
      <c r="C275" s="154">
        <f t="shared" ref="C275:C277" si="92">C276-0.5%</f>
        <v>7.9999999999999988E-2</v>
      </c>
      <c r="D275" s="156">
        <f t="dataTable" ref="D275:L283" dt2D="1" dtr="1" r1="B218" r2="B217" ca="1"/>
        <v>142.50137946723802</v>
      </c>
      <c r="E275" s="157">
        <v>150.6621692415024</v>
      </c>
      <c r="F275" s="157">
        <v>159.98878612637597</v>
      </c>
      <c r="G275" s="157">
        <v>170.75026714738397</v>
      </c>
      <c r="H275" s="157">
        <v>183.30532833855995</v>
      </c>
      <c r="I275" s="157">
        <v>198.14312792813161</v>
      </c>
      <c r="J275" s="157">
        <v>215.94848743561755</v>
      </c>
      <c r="K275" s="157">
        <v>237.7105935003226</v>
      </c>
      <c r="L275" s="158">
        <v>264.91322608120396</v>
      </c>
      <c r="M275" s="3"/>
      <c r="N275" s="3"/>
      <c r="O275" s="3"/>
      <c r="P275" s="3"/>
      <c r="Q275" s="3"/>
      <c r="R275" s="3"/>
      <c r="S275" s="3"/>
      <c r="T275" s="3"/>
      <c r="U275" s="3"/>
      <c r="V275" s="3"/>
      <c r="W275" s="3"/>
      <c r="X275" s="3"/>
    </row>
    <row r="276" spans="1:24" x14ac:dyDescent="0.15">
      <c r="A276" s="3"/>
      <c r="B276" s="187"/>
      <c r="C276" s="154">
        <f t="shared" si="92"/>
        <v>8.4999999999999992E-2</v>
      </c>
      <c r="D276" s="159">
        <v>127.01229315285478</v>
      </c>
      <c r="E276" s="160">
        <v>133.31027009319891</v>
      </c>
      <c r="F276" s="160">
        <v>140.39549415108607</v>
      </c>
      <c r="G276" s="160">
        <v>148.42541475002488</v>
      </c>
      <c r="H276" s="160">
        <v>157.60246686309779</v>
      </c>
      <c r="I276" s="160">
        <v>168.19137314741269</v>
      </c>
      <c r="J276" s="160">
        <v>180.54509714578003</v>
      </c>
      <c r="K276" s="160">
        <v>195.14495278021423</v>
      </c>
      <c r="L276" s="161">
        <v>212.66477954153524</v>
      </c>
      <c r="M276" s="3"/>
      <c r="N276" s="3"/>
      <c r="O276" s="3"/>
      <c r="P276" s="3"/>
      <c r="Q276" s="3"/>
      <c r="R276" s="3"/>
      <c r="S276" s="3"/>
      <c r="T276" s="3"/>
      <c r="U276" s="3"/>
      <c r="V276" s="3"/>
      <c r="W276" s="3"/>
      <c r="X276" s="3"/>
    </row>
    <row r="277" spans="1:24" x14ac:dyDescent="0.15">
      <c r="A277" s="3"/>
      <c r="B277" s="187"/>
      <c r="C277" s="154">
        <f t="shared" si="92"/>
        <v>0.09</v>
      </c>
      <c r="D277" s="159">
        <v>114.62708390657113</v>
      </c>
      <c r="E277" s="160">
        <v>119.61765488677865</v>
      </c>
      <c r="F277" s="160">
        <v>125.16273375367589</v>
      </c>
      <c r="G277" s="160">
        <v>131.36017484020812</v>
      </c>
      <c r="H277" s="160">
        <v>138.33229606255685</v>
      </c>
      <c r="I277" s="160">
        <v>146.23403344788542</v>
      </c>
      <c r="J277" s="160">
        <v>155.26459045968952</v>
      </c>
      <c r="K277" s="160">
        <v>165.68446393484808</v>
      </c>
      <c r="L277" s="161">
        <v>177.84098298919972</v>
      </c>
      <c r="M277" s="3"/>
      <c r="N277" s="3"/>
      <c r="O277" s="3"/>
      <c r="P277" s="3"/>
      <c r="Q277" s="3"/>
      <c r="R277" s="3"/>
      <c r="S277" s="3"/>
      <c r="T277" s="3"/>
      <c r="U277" s="3"/>
      <c r="V277" s="3"/>
      <c r="W277" s="3"/>
      <c r="X277" s="3"/>
    </row>
    <row r="278" spans="1:24" x14ac:dyDescent="0.15">
      <c r="A278" s="3"/>
      <c r="B278" s="187"/>
      <c r="C278" s="154">
        <f>C279-0.5%</f>
        <v>9.5000000000000001E-2</v>
      </c>
      <c r="D278" s="159">
        <v>104.49910861303083</v>
      </c>
      <c r="E278" s="160">
        <v>108.53867903511181</v>
      </c>
      <c r="F278" s="160">
        <v>112.98220649940096</v>
      </c>
      <c r="G278" s="160">
        <v>117.89347369677319</v>
      </c>
      <c r="H278" s="160">
        <v>123.35043724940896</v>
      </c>
      <c r="I278" s="160">
        <v>129.44939651411948</v>
      </c>
      <c r="J278" s="160">
        <v>136.31072568691891</v>
      </c>
      <c r="K278" s="160">
        <v>144.08689874942488</v>
      </c>
      <c r="L278" s="161">
        <v>152.97395367800314</v>
      </c>
      <c r="M278" s="3"/>
      <c r="N278" s="3"/>
      <c r="O278" s="3"/>
      <c r="P278" s="3"/>
      <c r="Q278" s="3"/>
      <c r="R278" s="3"/>
      <c r="S278" s="3"/>
      <c r="T278" s="3"/>
      <c r="U278" s="3"/>
      <c r="V278" s="3"/>
      <c r="W278" s="3"/>
      <c r="X278" s="3"/>
    </row>
    <row r="279" spans="1:24" x14ac:dyDescent="0.15">
      <c r="A279" s="3"/>
      <c r="B279" s="187"/>
      <c r="C279" s="154">
        <v>0.1</v>
      </c>
      <c r="D279" s="159">
        <v>96.063941873559727</v>
      </c>
      <c r="E279" s="160">
        <v>99.391403843092206</v>
      </c>
      <c r="F279" s="160">
        <v>103.02136235530949</v>
      </c>
      <c r="G279" s="160">
        <v>106.99703120202362</v>
      </c>
      <c r="H279" s="179">
        <v>111.3702669334092</v>
      </c>
      <c r="I279" s="160">
        <v>116.20384326809851</v>
      </c>
      <c r="J279" s="160">
        <v>121.57448363997551</v>
      </c>
      <c r="K279" s="160">
        <v>127.57696405560273</v>
      </c>
      <c r="L279" s="161">
        <v>134.32975452318342</v>
      </c>
      <c r="M279" s="3"/>
      <c r="N279" s="3"/>
      <c r="O279" s="3"/>
      <c r="P279" s="3"/>
      <c r="Q279" s="3"/>
      <c r="R279" s="3"/>
      <c r="S279" s="3"/>
      <c r="T279" s="3"/>
      <c r="U279" s="3"/>
      <c r="V279" s="3"/>
      <c r="W279" s="3"/>
      <c r="X279" s="3"/>
    </row>
    <row r="280" spans="1:24" x14ac:dyDescent="0.15">
      <c r="A280" s="3"/>
      <c r="B280" s="187"/>
      <c r="C280" s="154">
        <f>C279+0.5%</f>
        <v>0.10500000000000001</v>
      </c>
      <c r="D280" s="159">
        <v>88.9308306308656</v>
      </c>
      <c r="E280" s="160">
        <v>91.712114049055316</v>
      </c>
      <c r="F280" s="160">
        <v>94.725171085427505</v>
      </c>
      <c r="G280" s="160">
        <v>98.00023308148424</v>
      </c>
      <c r="H280" s="160">
        <v>101.57302798627337</v>
      </c>
      <c r="I280" s="160">
        <v>105.48608907247102</v>
      </c>
      <c r="J280" s="160">
        <v>109.79045626728841</v>
      </c>
      <c r="K280" s="160">
        <v>114.5479147457708</v>
      </c>
      <c r="L280" s="161">
        <v>119.83397972186236</v>
      </c>
      <c r="M280" s="3"/>
      <c r="N280" s="3"/>
      <c r="O280" s="3"/>
      <c r="P280" s="3"/>
      <c r="Q280" s="3"/>
      <c r="R280" s="3"/>
      <c r="S280" s="3"/>
      <c r="T280" s="3"/>
      <c r="U280" s="3"/>
      <c r="V280" s="3"/>
      <c r="W280" s="3"/>
      <c r="X280" s="3"/>
    </row>
    <row r="281" spans="1:24" x14ac:dyDescent="0.15">
      <c r="A281" s="3"/>
      <c r="B281" s="187"/>
      <c r="C281" s="154">
        <f t="shared" ref="C281:C283" si="93">C280+0.5%</f>
        <v>0.11000000000000001</v>
      </c>
      <c r="D281" s="159">
        <v>82.820668243694882</v>
      </c>
      <c r="E281" s="160">
        <v>85.174494240140064</v>
      </c>
      <c r="F281" s="160">
        <v>87.709383774773357</v>
      </c>
      <c r="G281" s="160">
        <v>90.447064472177331</v>
      </c>
      <c r="H281" s="160">
        <v>93.412885227698268</v>
      </c>
      <c r="I281" s="160">
        <v>96.636603440221037</v>
      </c>
      <c r="J281" s="160">
        <v>100.15338694479134</v>
      </c>
      <c r="K281" s="160">
        <v>104.00510221170165</v>
      </c>
      <c r="L281" s="161">
        <v>108.24198900530301</v>
      </c>
      <c r="M281" s="3"/>
      <c r="N281" s="3"/>
      <c r="O281" s="3"/>
      <c r="P281" s="3"/>
      <c r="Q281" s="3"/>
      <c r="R281" s="3"/>
      <c r="S281" s="3"/>
      <c r="T281" s="3"/>
      <c r="U281" s="3"/>
      <c r="V281" s="3"/>
      <c r="W281" s="3"/>
      <c r="X281" s="3"/>
    </row>
    <row r="282" spans="1:24" x14ac:dyDescent="0.15">
      <c r="A282" s="3"/>
      <c r="B282" s="187"/>
      <c r="C282" s="154">
        <f t="shared" si="93"/>
        <v>0.11500000000000002</v>
      </c>
      <c r="D282" s="159">
        <v>77.528778934670981</v>
      </c>
      <c r="E282" s="160">
        <v>79.542249512662522</v>
      </c>
      <c r="F282" s="160">
        <v>81.69953941765344</v>
      </c>
      <c r="G282" s="160">
        <v>84.016628574865962</v>
      </c>
      <c r="H282" s="160">
        <v>86.51195535955631</v>
      </c>
      <c r="I282" s="160">
        <v>89.206908287021918</v>
      </c>
      <c r="J282" s="160">
        <v>92.126440625109652</v>
      </c>
      <c r="K282" s="160">
        <v>95.299845340422408</v>
      </c>
      <c r="L282" s="161">
        <v>98.761741393490851</v>
      </c>
      <c r="M282" s="3"/>
      <c r="N282" s="3"/>
      <c r="O282" s="3"/>
      <c r="P282" s="3"/>
      <c r="Q282" s="3"/>
      <c r="R282" s="3"/>
      <c r="S282" s="3"/>
      <c r="T282" s="3"/>
      <c r="U282" s="3"/>
      <c r="V282" s="3"/>
      <c r="W282" s="3"/>
      <c r="X282" s="3"/>
    </row>
    <row r="283" spans="1:24" x14ac:dyDescent="0.15">
      <c r="A283" s="3"/>
      <c r="B283" s="187"/>
      <c r="C283" s="154">
        <f t="shared" si="93"/>
        <v>0.12000000000000002</v>
      </c>
      <c r="D283" s="162">
        <v>72.901658072928669</v>
      </c>
      <c r="E283" s="163">
        <v>74.640066524795017</v>
      </c>
      <c r="F283" s="163">
        <v>76.494368873452501</v>
      </c>
      <c r="G283" s="163">
        <v>78.47655414270703</v>
      </c>
      <c r="H283" s="163">
        <v>80.600324074051187</v>
      </c>
      <c r="I283" s="163">
        <v>82.881410296605992</v>
      </c>
      <c r="J283" s="163">
        <v>85.337964690126583</v>
      </c>
      <c r="K283" s="163">
        <v>87.991043435128802</v>
      </c>
      <c r="L283" s="164">
        <v>90.865212075547902</v>
      </c>
      <c r="M283" s="3"/>
      <c r="N283" s="3"/>
      <c r="O283" s="3"/>
      <c r="P283" s="3"/>
      <c r="Q283" s="3"/>
      <c r="R283" s="3"/>
      <c r="S283" s="3"/>
      <c r="T283" s="3"/>
      <c r="U283" s="3"/>
      <c r="V283" s="3"/>
      <c r="W283" s="3"/>
      <c r="X283" s="3"/>
    </row>
    <row r="284" spans="1:24"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row>
    <row r="285" spans="1:24"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row>
    <row r="286" spans="1:24"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row>
    <row r="287" spans="1:24" ht="14.25" customHeight="1" x14ac:dyDescent="0.15">
      <c r="A287" s="3"/>
      <c r="B287" s="3"/>
      <c r="C287" s="3"/>
      <c r="D287" s="184" t="s">
        <v>187</v>
      </c>
      <c r="E287" s="184"/>
      <c r="F287" s="184"/>
      <c r="G287" s="184"/>
      <c r="H287" s="184"/>
      <c r="I287" s="184"/>
      <c r="J287" s="184"/>
      <c r="K287" s="184"/>
      <c r="L287" s="184"/>
      <c r="M287" s="3"/>
      <c r="N287" s="3"/>
      <c r="O287" s="3"/>
      <c r="P287" s="3"/>
      <c r="Q287" s="3"/>
      <c r="R287" s="3"/>
      <c r="S287" s="3"/>
      <c r="T287" s="3"/>
      <c r="U287" s="3"/>
      <c r="V287" s="3"/>
      <c r="W287" s="3"/>
      <c r="X287" s="3"/>
    </row>
    <row r="288" spans="1:24" ht="15" customHeight="1" thickBot="1" x14ac:dyDescent="0.2">
      <c r="A288" s="3"/>
      <c r="B288" s="3"/>
      <c r="C288" s="3"/>
      <c r="D288" s="185"/>
      <c r="E288" s="185"/>
      <c r="F288" s="185"/>
      <c r="G288" s="185"/>
      <c r="H288" s="185"/>
      <c r="I288" s="185"/>
      <c r="J288" s="185"/>
      <c r="K288" s="185"/>
      <c r="L288" s="185"/>
      <c r="M288" s="3"/>
      <c r="N288" s="3"/>
      <c r="O288" s="3"/>
      <c r="P288" s="3"/>
      <c r="Q288" s="3"/>
      <c r="R288" s="3"/>
      <c r="S288" s="3"/>
      <c r="T288" s="3"/>
      <c r="U288" s="3"/>
      <c r="V288" s="3"/>
      <c r="W288" s="3"/>
      <c r="X288" s="3"/>
    </row>
    <row r="289" spans="1:24" ht="15" customHeight="1" x14ac:dyDescent="0.15">
      <c r="A289" s="3"/>
      <c r="B289" s="3"/>
      <c r="C289" s="3"/>
      <c r="D289" s="182" t="s">
        <v>186</v>
      </c>
      <c r="E289" s="182"/>
      <c r="F289" s="182"/>
      <c r="G289" s="182"/>
      <c r="H289" s="182"/>
      <c r="I289" s="182"/>
      <c r="J289" s="182"/>
      <c r="K289" s="182"/>
      <c r="L289" s="182"/>
      <c r="M289" s="3"/>
      <c r="N289" s="3"/>
      <c r="O289" s="3"/>
      <c r="P289" s="3"/>
      <c r="Q289" s="3"/>
      <c r="R289" s="3"/>
      <c r="S289" s="3"/>
      <c r="T289" s="3"/>
      <c r="U289" s="3"/>
      <c r="V289" s="3"/>
      <c r="W289" s="3"/>
      <c r="X289" s="3"/>
    </row>
    <row r="290" spans="1:24" x14ac:dyDescent="0.15">
      <c r="A290" s="3"/>
      <c r="B290" s="3"/>
      <c r="C290" s="155">
        <f ca="1">B231</f>
        <v>111.37026693340435</v>
      </c>
      <c r="D290" s="165">
        <f t="shared" ref="D290:F290" si="94">E290-0.5%</f>
        <v>0.17169999999999999</v>
      </c>
      <c r="E290" s="165">
        <f t="shared" si="94"/>
        <v>0.1767</v>
      </c>
      <c r="F290" s="165">
        <f t="shared" si="94"/>
        <v>0.1817</v>
      </c>
      <c r="G290" s="165">
        <f>H290-0.5%</f>
        <v>0.1867</v>
      </c>
      <c r="H290" s="165">
        <v>0.19170000000000001</v>
      </c>
      <c r="I290" s="165">
        <f>H290+0.5%</f>
        <v>0.19670000000000001</v>
      </c>
      <c r="J290" s="165">
        <f t="shared" ref="J290:L290" si="95">I290+0.5%</f>
        <v>0.20170000000000002</v>
      </c>
      <c r="K290" s="165">
        <f t="shared" si="95"/>
        <v>0.20670000000000002</v>
      </c>
      <c r="L290" s="165">
        <f t="shared" si="95"/>
        <v>0.21170000000000003</v>
      </c>
      <c r="M290" s="3"/>
      <c r="N290" s="3"/>
      <c r="O290" s="3"/>
      <c r="P290" s="3"/>
      <c r="Q290" s="3"/>
      <c r="R290" s="3"/>
      <c r="S290" s="3"/>
      <c r="T290" s="3"/>
      <c r="U290" s="3"/>
      <c r="V290" s="3"/>
      <c r="W290" s="3"/>
      <c r="X290" s="3"/>
    </row>
    <row r="291" spans="1:24" x14ac:dyDescent="0.15">
      <c r="A291" s="3"/>
      <c r="B291" s="183" t="s">
        <v>188</v>
      </c>
      <c r="C291" s="166">
        <f t="shared" ref="C291:C293" si="96">C292-0.5%</f>
        <v>7.5299999999999978E-2</v>
      </c>
      <c r="D291" s="156">
        <f t="dataTable" ref="D291:L299" dt2D="1" dtr="1" r1="H49" r2="H126" ca="1"/>
        <v>103.17635913248155</v>
      </c>
      <c r="E291" s="157">
        <v>105.69772337056921</v>
      </c>
      <c r="F291" s="157">
        <v>108.26770545518723</v>
      </c>
      <c r="G291" s="157">
        <v>110.88700375118565</v>
      </c>
      <c r="H291" s="157">
        <v>113.55632322608949</v>
      </c>
      <c r="I291" s="157">
        <v>116.27637548139634</v>
      </c>
      <c r="J291" s="157">
        <v>119.04787878338539</v>
      </c>
      <c r="K291" s="157">
        <v>121.87155809392817</v>
      </c>
      <c r="L291" s="158">
        <v>124.74814510129802</v>
      </c>
      <c r="M291" s="3"/>
      <c r="N291" s="3"/>
      <c r="O291" s="3"/>
      <c r="P291" s="3"/>
      <c r="Q291" s="3"/>
      <c r="R291" s="3"/>
      <c r="S291" s="3"/>
      <c r="T291" s="3"/>
      <c r="U291" s="3"/>
      <c r="V291" s="3"/>
      <c r="W291" s="3"/>
      <c r="X291" s="3"/>
    </row>
    <row r="292" spans="1:24" x14ac:dyDescent="0.15">
      <c r="A292" s="3"/>
      <c r="B292" s="183"/>
      <c r="C292" s="166">
        <f t="shared" si="96"/>
        <v>8.0299999999999983E-2</v>
      </c>
      <c r="D292" s="159">
        <v>102.70425912297029</v>
      </c>
      <c r="E292" s="160">
        <v>105.20744583556387</v>
      </c>
      <c r="F292" s="160">
        <v>107.75879903572604</v>
      </c>
      <c r="G292" s="160">
        <v>110.3590095093313</v>
      </c>
      <c r="H292" s="160">
        <v>113.00877456570537</v>
      </c>
      <c r="I292" s="160">
        <v>115.70879806803958</v>
      </c>
      <c r="J292" s="160">
        <v>118.45979046379779</v>
      </c>
      <c r="K292" s="160">
        <v>121.26246881512532</v>
      </c>
      <c r="L292" s="161">
        <v>124.11755682925649</v>
      </c>
      <c r="M292" s="3"/>
      <c r="N292" s="3"/>
      <c r="O292" s="3"/>
      <c r="P292" s="3"/>
      <c r="Q292" s="3"/>
      <c r="R292" s="3"/>
      <c r="S292" s="3"/>
      <c r="T292" s="3"/>
      <c r="U292" s="3"/>
      <c r="V292" s="3"/>
      <c r="W292" s="3"/>
      <c r="X292" s="3"/>
    </row>
    <row r="293" spans="1:24" s="3" customFormat="1" x14ac:dyDescent="0.15">
      <c r="B293" s="183"/>
      <c r="C293" s="166">
        <f t="shared" si="96"/>
        <v>8.5299999999999987E-2</v>
      </c>
      <c r="D293" s="159">
        <v>102.23215911297642</v>
      </c>
      <c r="E293" s="160">
        <v>104.71716830055851</v>
      </c>
      <c r="F293" s="160">
        <v>107.24989261626487</v>
      </c>
      <c r="G293" s="160">
        <v>109.83101526747686</v>
      </c>
      <c r="H293" s="160">
        <v>112.46122590532126</v>
      </c>
      <c r="I293" s="160">
        <v>115.14122065468291</v>
      </c>
      <c r="J293" s="160">
        <v>117.87170214421013</v>
      </c>
      <c r="K293" s="160">
        <v>120.65337953632248</v>
      </c>
      <c r="L293" s="161">
        <v>123.48696855721508</v>
      </c>
    </row>
    <row r="294" spans="1:24" s="3" customFormat="1" x14ac:dyDescent="0.15">
      <c r="B294" s="183"/>
      <c r="C294" s="166">
        <f>C295-0.5%</f>
        <v>9.0299999999999991E-2</v>
      </c>
      <c r="D294" s="159">
        <v>101.76005910298255</v>
      </c>
      <c r="E294" s="160">
        <v>104.22689076555322</v>
      </c>
      <c r="F294" s="160">
        <v>106.74098619680366</v>
      </c>
      <c r="G294" s="160">
        <v>109.30302102562246</v>
      </c>
      <c r="H294" s="160">
        <v>111.91367724493711</v>
      </c>
      <c r="I294" s="160">
        <v>114.57364324132612</v>
      </c>
      <c r="J294" s="160">
        <v>117.28361382462253</v>
      </c>
      <c r="K294" s="160">
        <v>120.04429025751955</v>
      </c>
      <c r="L294" s="161">
        <v>122.85638028517353</v>
      </c>
    </row>
    <row r="295" spans="1:24" s="3" customFormat="1" x14ac:dyDescent="0.15">
      <c r="B295" s="183"/>
      <c r="C295" s="166">
        <v>9.5299999999999996E-2</v>
      </c>
      <c r="D295" s="159">
        <v>101.28795909298876</v>
      </c>
      <c r="E295" s="160">
        <v>103.73661323054793</v>
      </c>
      <c r="F295" s="160">
        <v>106.23207977734243</v>
      </c>
      <c r="G295" s="160">
        <v>108.77502678376806</v>
      </c>
      <c r="H295" s="179">
        <v>111.36612858455297</v>
      </c>
      <c r="I295" s="160">
        <v>114.00606582796939</v>
      </c>
      <c r="J295" s="160">
        <v>116.69552550503499</v>
      </c>
      <c r="K295" s="160">
        <v>119.43520097871668</v>
      </c>
      <c r="L295" s="161">
        <v>122.22579201313208</v>
      </c>
    </row>
    <row r="296" spans="1:24" s="3" customFormat="1" x14ac:dyDescent="0.15">
      <c r="B296" s="183"/>
      <c r="C296" s="166">
        <f>C295+0.5%</f>
        <v>0.1003</v>
      </c>
      <c r="D296" s="159">
        <v>100.81585908299481</v>
      </c>
      <c r="E296" s="160">
        <v>103.24633569554251</v>
      </c>
      <c r="F296" s="160">
        <v>105.72317335788125</v>
      </c>
      <c r="G296" s="160">
        <v>108.24703254191365</v>
      </c>
      <c r="H296" s="160">
        <v>110.81857992416886</v>
      </c>
      <c r="I296" s="160">
        <v>113.43848841461261</v>
      </c>
      <c r="J296" s="160">
        <v>116.10743718544738</v>
      </c>
      <c r="K296" s="160">
        <v>118.82611169991382</v>
      </c>
      <c r="L296" s="161">
        <v>121.59520374109063</v>
      </c>
    </row>
    <row r="297" spans="1:24" s="3" customFormat="1" x14ac:dyDescent="0.15">
      <c r="B297" s="183"/>
      <c r="C297" s="166">
        <f t="shared" ref="C297:C299" si="97">C296+0.5%</f>
        <v>0.1053</v>
      </c>
      <c r="D297" s="159">
        <v>100.343759073001</v>
      </c>
      <c r="E297" s="160">
        <v>102.75605816053721</v>
      </c>
      <c r="F297" s="160">
        <v>105.21426693842001</v>
      </c>
      <c r="G297" s="160">
        <v>107.71903830005927</v>
      </c>
      <c r="H297" s="160">
        <v>110.27103126378474</v>
      </c>
      <c r="I297" s="160">
        <v>112.87091100125582</v>
      </c>
      <c r="J297" s="160">
        <v>115.51934886585977</v>
      </c>
      <c r="K297" s="160">
        <v>118.217022421111</v>
      </c>
      <c r="L297" s="161">
        <v>120.96461546904915</v>
      </c>
    </row>
    <row r="298" spans="1:24" s="3" customFormat="1" x14ac:dyDescent="0.15">
      <c r="B298" s="183"/>
      <c r="C298" s="166">
        <f t="shared" si="97"/>
        <v>0.11030000000000001</v>
      </c>
      <c r="D298" s="159">
        <v>99.871659063007101</v>
      </c>
      <c r="E298" s="160">
        <v>102.2657806255319</v>
      </c>
      <c r="F298" s="160">
        <v>104.70536051895881</v>
      </c>
      <c r="G298" s="160">
        <v>107.19104405820487</v>
      </c>
      <c r="H298" s="160">
        <v>109.72348260340057</v>
      </c>
      <c r="I298" s="160">
        <v>112.30333358789909</v>
      </c>
      <c r="J298" s="160">
        <v>114.9312605462722</v>
      </c>
      <c r="K298" s="160">
        <v>117.60793314230806</v>
      </c>
      <c r="L298" s="161">
        <v>120.33402719700764</v>
      </c>
    </row>
    <row r="299" spans="1:24" s="3" customFormat="1" x14ac:dyDescent="0.15">
      <c r="B299" s="183"/>
      <c r="C299" s="166">
        <f t="shared" si="97"/>
        <v>0.11530000000000001</v>
      </c>
      <c r="D299" s="162">
        <v>99.39955905301322</v>
      </c>
      <c r="E299" s="163">
        <v>101.77550309052654</v>
      </c>
      <c r="F299" s="163">
        <v>104.19645409949759</v>
      </c>
      <c r="G299" s="163">
        <v>106.66304981635042</v>
      </c>
      <c r="H299" s="163">
        <v>109.17593394301646</v>
      </c>
      <c r="I299" s="163">
        <v>111.73575617454236</v>
      </c>
      <c r="J299" s="163">
        <v>114.34317222668462</v>
      </c>
      <c r="K299" s="163">
        <v>116.9988438635052</v>
      </c>
      <c r="L299" s="164">
        <v>119.70343892496609</v>
      </c>
    </row>
    <row r="300" spans="1:24" s="3" customFormat="1" x14ac:dyDescent="0.15"/>
    <row r="301" spans="1:24" s="3" customFormat="1" x14ac:dyDescent="0.15"/>
    <row r="302" spans="1:24" s="3" customFormat="1" x14ac:dyDescent="0.15"/>
    <row r="303" spans="1:24" s="3" customFormat="1" x14ac:dyDescent="0.15">
      <c r="D303" s="180" t="s">
        <v>189</v>
      </c>
      <c r="E303" s="180"/>
      <c r="F303" s="180"/>
      <c r="G303" s="180"/>
      <c r="H303" s="180"/>
      <c r="I303" s="180"/>
      <c r="J303" s="180"/>
      <c r="K303" s="180"/>
      <c r="L303" s="180"/>
    </row>
    <row r="304" spans="1:24" s="3" customFormat="1" ht="22.5" customHeight="1" thickBot="1" x14ac:dyDescent="0.2">
      <c r="D304" s="181"/>
      <c r="E304" s="181"/>
      <c r="F304" s="181"/>
      <c r="G304" s="181"/>
      <c r="H304" s="181"/>
      <c r="I304" s="181"/>
      <c r="J304" s="181"/>
      <c r="K304" s="181"/>
      <c r="L304" s="181"/>
    </row>
    <row r="305" spans="2:12" s="3" customFormat="1" ht="17" x14ac:dyDescent="0.15">
      <c r="D305" s="182" t="s">
        <v>186</v>
      </c>
      <c r="E305" s="182"/>
      <c r="F305" s="182"/>
      <c r="G305" s="182"/>
      <c r="H305" s="182"/>
      <c r="I305" s="182"/>
      <c r="J305" s="182"/>
      <c r="K305" s="182"/>
      <c r="L305" s="182"/>
    </row>
    <row r="306" spans="2:12" s="3" customFormat="1" x14ac:dyDescent="0.15">
      <c r="C306" s="155">
        <f ca="1">B231</f>
        <v>111.37026693340435</v>
      </c>
      <c r="D306" s="165">
        <f t="shared" ref="D306:F306" si="98">E306-0.5%</f>
        <v>0.17169999999999999</v>
      </c>
      <c r="E306" s="165">
        <f t="shared" si="98"/>
        <v>0.1767</v>
      </c>
      <c r="F306" s="165">
        <f t="shared" si="98"/>
        <v>0.1817</v>
      </c>
      <c r="G306" s="165">
        <f>H306-0.5%</f>
        <v>0.1867</v>
      </c>
      <c r="H306" s="165">
        <v>0.19170000000000001</v>
      </c>
      <c r="I306" s="165">
        <f>H306+0.5%</f>
        <v>0.19670000000000001</v>
      </c>
      <c r="J306" s="165">
        <f t="shared" ref="J306:L306" si="99">I306+0.5%</f>
        <v>0.20170000000000002</v>
      </c>
      <c r="K306" s="165">
        <f t="shared" si="99"/>
        <v>0.20670000000000002</v>
      </c>
      <c r="L306" s="165">
        <f t="shared" si="99"/>
        <v>0.21170000000000003</v>
      </c>
    </row>
    <row r="307" spans="2:12" s="3" customFormat="1" x14ac:dyDescent="0.15">
      <c r="B307" s="183" t="s">
        <v>119</v>
      </c>
      <c r="C307" s="166">
        <f t="shared" ref="C307:C309" si="100">C308-0.5%</f>
        <v>0.31429999999999997</v>
      </c>
      <c r="D307" s="156">
        <f t="dataTable" ref="D307:L315" dt2D="1" dtr="1" r1="H49" r2="H52" ca="1"/>
        <v>111.87719390802397</v>
      </c>
      <c r="E307" s="157">
        <v>114.56837517642984</v>
      </c>
      <c r="F307" s="157">
        <v>117.3108910185283</v>
      </c>
      <c r="G307" s="157">
        <v>120.10547276711549</v>
      </c>
      <c r="H307" s="157">
        <v>122.95285862534206</v>
      </c>
      <c r="I307" s="157">
        <v>125.85379369862036</v>
      </c>
      <c r="J307" s="157">
        <v>128.80903002651482</v>
      </c>
      <c r="K307" s="157">
        <v>131.81932661463381</v>
      </c>
      <c r="L307" s="158">
        <v>134.88544946651959</v>
      </c>
    </row>
    <row r="308" spans="2:12" s="3" customFormat="1" x14ac:dyDescent="0.15">
      <c r="B308" s="183"/>
      <c r="C308" s="166">
        <f t="shared" si="100"/>
        <v>0.31929999999999997</v>
      </c>
      <c r="D308" s="159">
        <v>109.23312281776653</v>
      </c>
      <c r="E308" s="160">
        <v>111.86376035873494</v>
      </c>
      <c r="F308" s="160">
        <v>114.54460378638515</v>
      </c>
      <c r="G308" s="160">
        <v>117.27636864124848</v>
      </c>
      <c r="H308" s="160">
        <v>120.05977718797949</v>
      </c>
      <c r="I308" s="160">
        <v>122.89555844659627</v>
      </c>
      <c r="J308" s="160">
        <v>125.78444822370061</v>
      </c>
      <c r="K308" s="160">
        <v>128.72718914369904</v>
      </c>
      <c r="L308" s="161">
        <v>131.72453068002162</v>
      </c>
    </row>
    <row r="309" spans="2:12" s="3" customFormat="1" x14ac:dyDescent="0.15">
      <c r="B309" s="183"/>
      <c r="C309" s="166">
        <f t="shared" si="100"/>
        <v>0.32429999999999998</v>
      </c>
      <c r="D309" s="159">
        <v>106.58905172751345</v>
      </c>
      <c r="E309" s="160">
        <v>109.15914554103992</v>
      </c>
      <c r="F309" s="160">
        <v>111.77831655424202</v>
      </c>
      <c r="G309" s="160">
        <v>114.44726451538158</v>
      </c>
      <c r="H309" s="160">
        <v>117.16669575061688</v>
      </c>
      <c r="I309" s="160">
        <v>119.93732319457222</v>
      </c>
      <c r="J309" s="160">
        <v>122.7598664208865</v>
      </c>
      <c r="K309" s="160">
        <v>125.63505167276426</v>
      </c>
      <c r="L309" s="161">
        <v>128.5636118935237</v>
      </c>
    </row>
    <row r="310" spans="2:12" s="3" customFormat="1" x14ac:dyDescent="0.15">
      <c r="B310" s="183"/>
      <c r="C310" s="166">
        <f>C311-0.5%</f>
        <v>0.32929999999999998</v>
      </c>
      <c r="D310" s="159">
        <v>103.94498063726061</v>
      </c>
      <c r="E310" s="160">
        <v>106.45453072334502</v>
      </c>
      <c r="F310" s="160">
        <v>109.01202932209884</v>
      </c>
      <c r="G310" s="160">
        <v>111.61816038951467</v>
      </c>
      <c r="H310" s="160">
        <v>114.27361431325437</v>
      </c>
      <c r="I310" s="160">
        <v>116.97908794254811</v>
      </c>
      <c r="J310" s="160">
        <v>119.73528461807237</v>
      </c>
      <c r="K310" s="160">
        <v>122.54291420182949</v>
      </c>
      <c r="L310" s="161">
        <v>125.40269310702583</v>
      </c>
    </row>
    <row r="311" spans="2:12" s="3" customFormat="1" x14ac:dyDescent="0.15">
      <c r="B311" s="183"/>
      <c r="C311" s="166">
        <v>0.33429999999999999</v>
      </c>
      <c r="D311" s="159">
        <v>101.30090954700768</v>
      </c>
      <c r="E311" s="160">
        <v>103.74991590565008</v>
      </c>
      <c r="F311" s="160">
        <v>106.24574208995571</v>
      </c>
      <c r="G311" s="160">
        <v>108.78905626364775</v>
      </c>
      <c r="H311" s="179">
        <v>111.38053287589182</v>
      </c>
      <c r="I311" s="160">
        <v>114.02085269052395</v>
      </c>
      <c r="J311" s="160">
        <v>116.71070281525819</v>
      </c>
      <c r="K311" s="160">
        <v>119.45077673089475</v>
      </c>
      <c r="L311" s="161">
        <v>122.24177432052782</v>
      </c>
    </row>
    <row r="312" spans="2:12" s="3" customFormat="1" x14ac:dyDescent="0.15">
      <c r="B312" s="183"/>
      <c r="C312" s="166">
        <f>C311+0.5%</f>
        <v>0.33929999999999999</v>
      </c>
      <c r="D312" s="159">
        <v>98.656838456754571</v>
      </c>
      <c r="E312" s="160">
        <v>101.04530108795518</v>
      </c>
      <c r="F312" s="160">
        <v>103.47945485781251</v>
      </c>
      <c r="G312" s="160">
        <v>105.95995213778082</v>
      </c>
      <c r="H312" s="160">
        <v>108.48745143852923</v>
      </c>
      <c r="I312" s="160">
        <v>111.06261743849986</v>
      </c>
      <c r="J312" s="160">
        <v>113.68612101244396</v>
      </c>
      <c r="K312" s="160">
        <v>116.35863925995993</v>
      </c>
      <c r="L312" s="161">
        <v>119.08085553402987</v>
      </c>
    </row>
    <row r="313" spans="2:12" s="3" customFormat="1" x14ac:dyDescent="0.15">
      <c r="B313" s="183"/>
      <c r="C313" s="166">
        <f t="shared" ref="C313:C315" si="101">C312+0.5%</f>
        <v>0.34429999999999999</v>
      </c>
      <c r="D313" s="159">
        <v>96.012767366501663</v>
      </c>
      <c r="E313" s="160">
        <v>98.340686270260264</v>
      </c>
      <c r="F313" s="160">
        <v>100.71316762566933</v>
      </c>
      <c r="G313" s="160">
        <v>103.1308480119139</v>
      </c>
      <c r="H313" s="160">
        <v>105.59437000116675</v>
      </c>
      <c r="I313" s="160">
        <v>108.10438218647583</v>
      </c>
      <c r="J313" s="160">
        <v>110.66153920962981</v>
      </c>
      <c r="K313" s="160">
        <v>113.26650178902516</v>
      </c>
      <c r="L313" s="161">
        <v>115.91993674753195</v>
      </c>
    </row>
    <row r="314" spans="2:12" s="3" customFormat="1" x14ac:dyDescent="0.15">
      <c r="B314" s="183"/>
      <c r="C314" s="166">
        <f t="shared" si="101"/>
        <v>0.3493</v>
      </c>
      <c r="D314" s="159">
        <v>93.36869627624867</v>
      </c>
      <c r="E314" s="160">
        <v>95.636071452565332</v>
      </c>
      <c r="F314" s="160">
        <v>97.946880393526286</v>
      </c>
      <c r="G314" s="160">
        <v>100.30174388604695</v>
      </c>
      <c r="H314" s="160">
        <v>102.70128856380427</v>
      </c>
      <c r="I314" s="160">
        <v>105.14614693445172</v>
      </c>
      <c r="J314" s="160">
        <v>107.63695740681568</v>
      </c>
      <c r="K314" s="160">
        <v>110.17436431809048</v>
      </c>
      <c r="L314" s="161">
        <v>112.75901796103399</v>
      </c>
    </row>
    <row r="315" spans="2:12" s="3" customFormat="1" x14ac:dyDescent="0.15">
      <c r="B315" s="183"/>
      <c r="C315" s="166">
        <f t="shared" si="101"/>
        <v>0.3543</v>
      </c>
      <c r="D315" s="162">
        <v>90.724625185995691</v>
      </c>
      <c r="E315" s="163">
        <v>92.931456634870429</v>
      </c>
      <c r="F315" s="163">
        <v>95.180593161383086</v>
      </c>
      <c r="G315" s="163">
        <v>97.47263976018003</v>
      </c>
      <c r="H315" s="163">
        <v>99.808207126441644</v>
      </c>
      <c r="I315" s="163">
        <v>102.18791168242763</v>
      </c>
      <c r="J315" s="163">
        <v>104.6123756040015</v>
      </c>
      <c r="K315" s="163">
        <v>107.08222684715567</v>
      </c>
      <c r="L315" s="164">
        <v>109.59809917453605</v>
      </c>
    </row>
    <row r="316" spans="2:12" s="3" customFormat="1" x14ac:dyDescent="0.15"/>
    <row r="317" spans="2:12" s="3" customFormat="1" x14ac:dyDescent="0.15"/>
    <row r="318" spans="2:12" s="3" customFormat="1" x14ac:dyDescent="0.15"/>
    <row r="319" spans="2:12" s="3" customFormat="1" x14ac:dyDescent="0.15">
      <c r="D319" s="180" t="s">
        <v>190</v>
      </c>
      <c r="E319" s="180"/>
      <c r="F319" s="180"/>
      <c r="G319" s="180"/>
      <c r="H319" s="180"/>
      <c r="I319" s="180"/>
      <c r="J319" s="180"/>
      <c r="K319" s="180"/>
      <c r="L319" s="180"/>
    </row>
    <row r="320" spans="2:12" s="3" customFormat="1" ht="15" thickBot="1" x14ac:dyDescent="0.2">
      <c r="D320" s="181"/>
      <c r="E320" s="181"/>
      <c r="F320" s="181"/>
      <c r="G320" s="181"/>
      <c r="H320" s="181"/>
      <c r="I320" s="181"/>
      <c r="J320" s="181"/>
      <c r="K320" s="181"/>
      <c r="L320" s="181"/>
    </row>
    <row r="321" spans="2:12" s="3" customFormat="1" ht="17" x14ac:dyDescent="0.15">
      <c r="D321" s="182" t="s">
        <v>119</v>
      </c>
      <c r="E321" s="182"/>
      <c r="F321" s="182"/>
      <c r="G321" s="182"/>
      <c r="H321" s="182"/>
      <c r="I321" s="182"/>
      <c r="J321" s="182"/>
      <c r="K321" s="182"/>
      <c r="L321" s="182"/>
    </row>
    <row r="322" spans="2:12" s="3" customFormat="1" x14ac:dyDescent="0.15">
      <c r="C322" s="155">
        <f ca="1">B231</f>
        <v>111.37026693340435</v>
      </c>
      <c r="D322" s="165">
        <f t="shared" ref="D322:F322" si="102">E322-0.5%</f>
        <v>0.31429999999999997</v>
      </c>
      <c r="E322" s="165">
        <f t="shared" si="102"/>
        <v>0.31929999999999997</v>
      </c>
      <c r="F322" s="165">
        <f t="shared" si="102"/>
        <v>0.32429999999999998</v>
      </c>
      <c r="G322" s="165">
        <f>H322-0.5%</f>
        <v>0.32929999999999998</v>
      </c>
      <c r="H322" s="165">
        <v>0.33429999999999999</v>
      </c>
      <c r="I322" s="165">
        <f>H322+0.5%</f>
        <v>0.33929999999999999</v>
      </c>
      <c r="J322" s="165">
        <f t="shared" ref="J322:L322" si="103">I322+0.5%</f>
        <v>0.34429999999999999</v>
      </c>
      <c r="K322" s="165">
        <f t="shared" si="103"/>
        <v>0.3493</v>
      </c>
      <c r="L322" s="165">
        <f t="shared" si="103"/>
        <v>0.3543</v>
      </c>
    </row>
    <row r="323" spans="2:12" s="3" customFormat="1" x14ac:dyDescent="0.15">
      <c r="B323" s="183" t="s">
        <v>188</v>
      </c>
      <c r="C323" s="166">
        <f t="shared" ref="C323:C325" si="104">C324-0.5%</f>
        <v>7.5299999999999978E-2</v>
      </c>
      <c r="D323" s="156">
        <f t="dataTable" ref="D323:L331" dt2D="1" dtr="1" r1="H52" r2="H126" ca="1"/>
        <v>125.13891491800327</v>
      </c>
      <c r="E323" s="157">
        <v>122.24583348064063</v>
      </c>
      <c r="F323" s="157">
        <v>119.35275204327806</v>
      </c>
      <c r="G323" s="157">
        <v>116.45967060591552</v>
      </c>
      <c r="H323" s="157">
        <v>113.56658916855298</v>
      </c>
      <c r="I323" s="157">
        <v>110.67350773119038</v>
      </c>
      <c r="J323" s="157">
        <v>107.78042629382787</v>
      </c>
      <c r="K323" s="157">
        <v>104.88734485646538</v>
      </c>
      <c r="L323" s="158">
        <v>101.99426341910281</v>
      </c>
    </row>
    <row r="324" spans="2:12" s="3" customFormat="1" x14ac:dyDescent="0.15">
      <c r="B324" s="183"/>
      <c r="C324" s="166">
        <f t="shared" si="104"/>
        <v>8.0299999999999983E-2</v>
      </c>
      <c r="D324" s="159">
        <v>124.5913662576185</v>
      </c>
      <c r="E324" s="160">
        <v>121.69828482025599</v>
      </c>
      <c r="F324" s="160">
        <v>118.8052033828934</v>
      </c>
      <c r="G324" s="160">
        <v>115.91212194553084</v>
      </c>
      <c r="H324" s="160">
        <v>113.01904050816832</v>
      </c>
      <c r="I324" s="160">
        <v>110.12595907080568</v>
      </c>
      <c r="J324" s="160">
        <v>107.23287763344324</v>
      </c>
      <c r="K324" s="160">
        <v>104.33979619608077</v>
      </c>
      <c r="L324" s="161">
        <v>101.44671475871816</v>
      </c>
    </row>
    <row r="325" spans="2:12" s="3" customFormat="1" x14ac:dyDescent="0.15">
      <c r="B325" s="183"/>
      <c r="C325" s="166">
        <f t="shared" si="104"/>
        <v>8.5299999999999987E-2</v>
      </c>
      <c r="D325" s="159">
        <v>124.0438175972338</v>
      </c>
      <c r="E325" s="160">
        <v>121.15073615987122</v>
      </c>
      <c r="F325" s="160">
        <v>118.25765472250868</v>
      </c>
      <c r="G325" s="160">
        <v>115.36457328514608</v>
      </c>
      <c r="H325" s="160">
        <v>112.47149184778357</v>
      </c>
      <c r="I325" s="160">
        <v>109.57841041042097</v>
      </c>
      <c r="J325" s="160">
        <v>106.68532897305849</v>
      </c>
      <c r="K325" s="160">
        <v>103.79224753569601</v>
      </c>
      <c r="L325" s="161">
        <v>100.89916609833341</v>
      </c>
    </row>
    <row r="326" spans="2:12" s="3" customFormat="1" x14ac:dyDescent="0.15">
      <c r="B326" s="183"/>
      <c r="C326" s="166">
        <f>C327-0.5%</f>
        <v>9.0299999999999991E-2</v>
      </c>
      <c r="D326" s="159">
        <v>123.49626893684915</v>
      </c>
      <c r="E326" s="160">
        <v>120.60318749948655</v>
      </c>
      <c r="F326" s="160">
        <v>117.71010606212397</v>
      </c>
      <c r="G326" s="160">
        <v>114.81702462476143</v>
      </c>
      <c r="H326" s="160">
        <v>111.92394318739889</v>
      </c>
      <c r="I326" s="160">
        <v>109.03086175003627</v>
      </c>
      <c r="J326" s="160">
        <v>106.13778031267381</v>
      </c>
      <c r="K326" s="160">
        <v>103.2446988753113</v>
      </c>
      <c r="L326" s="161">
        <v>100.35161743794869</v>
      </c>
    </row>
    <row r="327" spans="2:12" s="3" customFormat="1" x14ac:dyDescent="0.15">
      <c r="B327" s="183"/>
      <c r="C327" s="166">
        <v>9.5299999999999996E-2</v>
      </c>
      <c r="D327" s="159">
        <v>122.94872027646441</v>
      </c>
      <c r="E327" s="160">
        <v>120.05563883910185</v>
      </c>
      <c r="F327" s="160">
        <v>117.16255740173926</v>
      </c>
      <c r="G327" s="160">
        <v>114.2694759643767</v>
      </c>
      <c r="H327" s="179">
        <v>111.3763945270142</v>
      </c>
      <c r="I327" s="160">
        <v>108.48331308965157</v>
      </c>
      <c r="J327" s="160">
        <v>105.59023165228908</v>
      </c>
      <c r="K327" s="160">
        <v>102.69715021492665</v>
      </c>
      <c r="L327" s="161">
        <v>99.804068777564012</v>
      </c>
    </row>
    <row r="328" spans="2:12" s="3" customFormat="1" x14ac:dyDescent="0.15">
      <c r="B328" s="183"/>
      <c r="C328" s="166">
        <f>C327+0.5%</f>
        <v>0.1003</v>
      </c>
      <c r="D328" s="159">
        <v>122.40117161607979</v>
      </c>
      <c r="E328" s="160">
        <v>119.50809017871713</v>
      </c>
      <c r="F328" s="160">
        <v>116.61500874135459</v>
      </c>
      <c r="G328" s="160">
        <v>113.72192730399199</v>
      </c>
      <c r="H328" s="160">
        <v>110.82884586662951</v>
      </c>
      <c r="I328" s="160">
        <v>107.93576442926687</v>
      </c>
      <c r="J328" s="160">
        <v>105.04268299190439</v>
      </c>
      <c r="K328" s="160">
        <v>102.14960155454195</v>
      </c>
      <c r="L328" s="161">
        <v>99.256520117179335</v>
      </c>
    </row>
    <row r="329" spans="2:12" s="3" customFormat="1" x14ac:dyDescent="0.15">
      <c r="B329" s="183"/>
      <c r="C329" s="166">
        <f t="shared" ref="C329:C331" si="105">C328+0.5%</f>
        <v>0.1053</v>
      </c>
      <c r="D329" s="159">
        <v>121.85362295569506</v>
      </c>
      <c r="E329" s="160">
        <v>118.96054151833249</v>
      </c>
      <c r="F329" s="160">
        <v>116.06746008096991</v>
      </c>
      <c r="G329" s="160">
        <v>113.17437864360738</v>
      </c>
      <c r="H329" s="160">
        <v>110.2812972062448</v>
      </c>
      <c r="I329" s="160">
        <v>107.38821576888226</v>
      </c>
      <c r="J329" s="160">
        <v>104.49513433151975</v>
      </c>
      <c r="K329" s="160">
        <v>101.60205289415724</v>
      </c>
      <c r="L329" s="161">
        <v>98.708971456794643</v>
      </c>
    </row>
    <row r="330" spans="2:12" s="3" customFormat="1" x14ac:dyDescent="0.15">
      <c r="B330" s="183"/>
      <c r="C330" s="166">
        <f t="shared" si="105"/>
        <v>0.11030000000000001</v>
      </c>
      <c r="D330" s="159">
        <v>121.30607429531038</v>
      </c>
      <c r="E330" s="160">
        <v>118.41299285794776</v>
      </c>
      <c r="F330" s="160">
        <v>115.51991142058517</v>
      </c>
      <c r="G330" s="160">
        <v>112.62682998322266</v>
      </c>
      <c r="H330" s="160">
        <v>109.73374854586004</v>
      </c>
      <c r="I330" s="160">
        <v>106.84066710849753</v>
      </c>
      <c r="J330" s="160">
        <v>103.94758567113502</v>
      </c>
      <c r="K330" s="160">
        <v>101.05450423377252</v>
      </c>
      <c r="L330" s="161">
        <v>98.161422796409923</v>
      </c>
    </row>
    <row r="331" spans="2:12" s="3" customFormat="1" x14ac:dyDescent="0.15">
      <c r="B331" s="183"/>
      <c r="C331" s="166">
        <f t="shared" si="105"/>
        <v>0.11530000000000001</v>
      </c>
      <c r="D331" s="162">
        <v>120.75852563492569</v>
      </c>
      <c r="E331" s="163">
        <v>117.86544419756306</v>
      </c>
      <c r="F331" s="163">
        <v>114.97236276020047</v>
      </c>
      <c r="G331" s="163">
        <v>112.07928132283793</v>
      </c>
      <c r="H331" s="163">
        <v>109.18619988547533</v>
      </c>
      <c r="I331" s="163">
        <v>106.29311844811279</v>
      </c>
      <c r="J331" s="163">
        <v>103.40003701075032</v>
      </c>
      <c r="K331" s="163">
        <v>100.50695557338781</v>
      </c>
      <c r="L331" s="164">
        <v>97.613874136025231</v>
      </c>
    </row>
    <row r="332" spans="2:12" s="3" customFormat="1" x14ac:dyDescent="0.15"/>
    <row r="333" spans="2:12" s="3" customFormat="1" x14ac:dyDescent="0.15"/>
    <row r="334" spans="2:12" s="3" customFormat="1" x14ac:dyDescent="0.15"/>
    <row r="335" spans="2:12" s="3" customFormat="1" x14ac:dyDescent="0.15"/>
    <row r="336" spans="2:12" s="3" customFormat="1" x14ac:dyDescent="0.15"/>
    <row r="337" s="3" customFormat="1" x14ac:dyDescent="0.15"/>
    <row r="338" s="3" customFormat="1" x14ac:dyDescent="0.15"/>
    <row r="339" s="3" customFormat="1" x14ac:dyDescent="0.15"/>
    <row r="340" s="3" customFormat="1" x14ac:dyDescent="0.15"/>
    <row r="341" s="3" customFormat="1" x14ac:dyDescent="0.15"/>
  </sheetData>
  <mergeCells count="19">
    <mergeCell ref="N222:P222"/>
    <mergeCell ref="N223:P223"/>
    <mergeCell ref="B239:D239"/>
    <mergeCell ref="I124:S125"/>
    <mergeCell ref="I49:K56"/>
    <mergeCell ref="H17:L17"/>
    <mergeCell ref="D17:G17"/>
    <mergeCell ref="C46:G46"/>
    <mergeCell ref="D272:L273"/>
    <mergeCell ref="B275:B283"/>
    <mergeCell ref="D319:L320"/>
    <mergeCell ref="D321:L321"/>
    <mergeCell ref="B307:B315"/>
    <mergeCell ref="B323:B331"/>
    <mergeCell ref="D287:L288"/>
    <mergeCell ref="D289:L289"/>
    <mergeCell ref="B291:B299"/>
    <mergeCell ref="D303:L304"/>
    <mergeCell ref="D305:L305"/>
  </mergeCells>
  <pageMargins left="0.7" right="0.7" top="0.75" bottom="0.75" header="0.3" footer="0.3"/>
  <pageSetup scale="18" fitToHeight="1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DD08D6131CE0B41BDBFEE0A06B1CAB7" ma:contentTypeVersion="6" ma:contentTypeDescription="Create a new document." ma:contentTypeScope="" ma:versionID="d26d6d411306b9d1aa81294c82870200">
  <xsd:schema xmlns:xsd="http://www.w3.org/2001/XMLSchema" xmlns:xs="http://www.w3.org/2001/XMLSchema" xmlns:p="http://schemas.microsoft.com/office/2006/metadata/properties" xmlns:ns2="df41ddad-d13f-4c60-80af-727cbfa21048" xmlns:ns3="733253b6-6fb1-47d5-955e-4381132bf278" targetNamespace="http://schemas.microsoft.com/office/2006/metadata/properties" ma:root="true" ma:fieldsID="384a9f29a2ca2e3d8e5715b96a5a422b" ns2:_="" ns3:_="">
    <xsd:import namespace="df41ddad-d13f-4c60-80af-727cbfa21048"/>
    <xsd:import namespace="733253b6-6fb1-47d5-955e-4381132bf2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1ddad-d13f-4c60-80af-727cbfa210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253b6-6fb1-47d5-955e-4381132bf2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5363EB-F525-43A5-AFC7-FE3C7D19A0D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0CD3AFC-DE1C-4677-961F-153ABED7D868}">
  <ds:schemaRefs>
    <ds:schemaRef ds:uri="http://schemas.microsoft.com/sharepoint/v3/contenttype/forms"/>
  </ds:schemaRefs>
</ds:datastoreItem>
</file>

<file path=customXml/itemProps3.xml><?xml version="1.0" encoding="utf-8"?>
<ds:datastoreItem xmlns:ds="http://schemas.openxmlformats.org/officeDocument/2006/customXml" ds:itemID="{424D5B08-B876-4734-9BC5-47B1B5C48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41ddad-d13f-4c60-80af-727cbfa21048"/>
    <ds:schemaRef ds:uri="733253b6-6fb1-47d5-955e-4381132bf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Recinos</dc:creator>
  <cp:lastModifiedBy>Juan Recinos</cp:lastModifiedBy>
  <cp:lastPrinted>2020-12-14T21:58:06Z</cp:lastPrinted>
  <dcterms:created xsi:type="dcterms:W3CDTF">2020-11-21T04:16:27Z</dcterms:created>
  <dcterms:modified xsi:type="dcterms:W3CDTF">2020-12-14T22:03:18Z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0x010100ADD08D6131CE0B41BDBFEE0A06B1CAB7</vt:lpwstr>
  </property>
</Properties>
</file>