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updateLinks="never" defaultThemeVersion="166925"/>
  <mc:AlternateContent xmlns:mc="http://schemas.openxmlformats.org/markup-compatibility/2006">
    <mc:Choice Requires="x15">
      <x15ac:absPath xmlns:x15ac="http://schemas.microsoft.com/office/spreadsheetml/2010/11/ac" url="C:\Users\dedec\Downloads\Nova pasta (4)\project\public\documentos\"/>
    </mc:Choice>
  </mc:AlternateContent>
  <xr:revisionPtr revIDLastSave="0" documentId="13_ncr:1_{CBA3A672-76E9-499C-A804-4EB5A67E11FC}" xr6:coauthVersionLast="47" xr6:coauthVersionMax="47" xr10:uidLastSave="{00000000-0000-0000-0000-000000000000}"/>
  <bookViews>
    <workbookView xWindow="-120" yWindow="-120" windowWidth="21840" windowHeight="13740" firstSheet="1" activeTab="1" xr2:uid="{E117C12D-9DCC-414B-B240-97C5EBBCEF8D}"/>
  </bookViews>
  <sheets>
    <sheet name="Instruções" sheetId="34" r:id="rId1"/>
    <sheet name="Registo de informação" sheetId="35" r:id="rId2"/>
    <sheet name="Folha Oculta" sheetId="37" state="hidden" r:id="rId3"/>
    <sheet name="Checklist" sheetId="27" r:id="rId4"/>
    <sheet name="Classificação" sheetId="38" r:id="rId5"/>
    <sheet name="Ponderações" sheetId="32" r:id="rId6"/>
    <sheet name="Folha de cálculo" sheetId="33" r:id="rId7"/>
    <sheet name="Amostragem" sheetId="36" r:id="rId8"/>
  </sheets>
  <externalReferences>
    <externalReference r:id="rId9"/>
    <externalReference r:id="rId10"/>
  </externalReferences>
  <definedNames>
    <definedName name="_xlnm._FilterDatabase" localSheetId="2" hidden="1">'Folha Oculta'!$A$1:$D$309</definedName>
    <definedName name="Algarve">[1]Dados!$K$4</definedName>
    <definedName name="_xlnm.Print_Area" localSheetId="3">Checklist!$D$6:$J$716</definedName>
    <definedName name="_xlnm.Print_Area" localSheetId="6">'Folha de cálculo'!$B$6:$H$529</definedName>
    <definedName name="_xlnm.Print_Area" localSheetId="0">Instruções!$A:$C</definedName>
    <definedName name="_xlnm.Print_Area" localSheetId="5">Ponderações!$B$1:$G$144</definedName>
    <definedName name="Autoclismo_com_válvula_de_enchimento_regulável" localSheetId="1">'[2]Folha oculta'!#REF!</definedName>
    <definedName name="Autoclismo_com_válvula_de_enchimento_regulável">#REF!</definedName>
    <definedName name="Autoclismo_de_descarga_completa" localSheetId="1">'[2]Folha oculta'!$O$9</definedName>
    <definedName name="Autoclismo_de_descarga_completa">#REF!</definedName>
    <definedName name="Autoclismo_de_descarga_interrompida" localSheetId="1">'[2]Folha oculta'!#REF!</definedName>
    <definedName name="Autoclismo_de_descarga_interrompida">#REF!</definedName>
    <definedName name="Autoclismo_dupla_descarga" localSheetId="1">'[2]Folha oculta'!#REF!</definedName>
    <definedName name="Autoclismo_dupla_descarga">#REF!</definedName>
    <definedName name="Aveiro">'Folha Oculta'!$F$2:$F$20</definedName>
    <definedName name="Banheira" localSheetId="1">'[2]Folha oculta'!$R$5</definedName>
    <definedName name="Banheira">#REF!</definedName>
    <definedName name="Beja">'Folha Oculta'!$G$2:$G$15</definedName>
    <definedName name="Bidé_ducha_hig." localSheetId="1">'[2]Folha oculta'!$R$7</definedName>
    <definedName name="Bidé_ducha_hig.">#REF!</definedName>
    <definedName name="Braga">'Folha Oculta'!$H$2:$H$15</definedName>
    <definedName name="Bragança">'Folha Oculta'!$I$2:$I$13</definedName>
    <definedName name="Carne">#REF!</definedName>
    <definedName name="CasteloBranco">'Folha Oculta'!$J$2:$J$12</definedName>
    <definedName name="Centro">[1]Dados!$K$2</definedName>
    <definedName name="Coimbra">'Folha Oculta'!$K$2:$K$18</definedName>
    <definedName name="Concelhos">'Folha Oculta'!$C$2:$C$309</definedName>
    <definedName name="Corvo">'Folha Oculta'!$L$2</definedName>
    <definedName name="Distrito">'Folha Oculta'!$B$2:$B$309</definedName>
    <definedName name="EG">'Folha Oculta'!$D$2:$D$29</definedName>
    <definedName name="Évora">'Folha Oculta'!$M$2:$M$15</definedName>
    <definedName name="Faial">'Folha Oculta'!$N$2</definedName>
    <definedName name="Faro">'Folha Oculta'!$O$2:$O$17</definedName>
    <definedName name="Flores">'Folha Oculta'!$P$2:$P$3</definedName>
    <definedName name="Fruta">#REF!</definedName>
    <definedName name="Graciosa">'Folha Oculta'!$Q$2</definedName>
    <definedName name="Guarda">'Folha Oculta'!$R$2:$R$15</definedName>
    <definedName name="Itens">#REF!</definedName>
    <definedName name="Lavatório_casa_banho" localSheetId="1">'[2]Folha oculta'!$R$6</definedName>
    <definedName name="Lavatório_casa_banho">#REF!</definedName>
    <definedName name="Lavatório_cozinha_lavandaria" localSheetId="1">'[2]Folha oculta'!$R$8</definedName>
    <definedName name="Lavatório_cozinha_lavandaria">#REF!</definedName>
    <definedName name="Leiria">'Folha Oculta'!$S$2:$S$17</definedName>
    <definedName name="Lisboa">'Folha Oculta'!$T$2:$T$17</definedName>
    <definedName name="Madeira">'Folha Oculta'!$U$2:$U$9</definedName>
    <definedName name="MadeiraIlhasDesertas">'Folha Oculta'!$V$2</definedName>
    <definedName name="MadeiraIlhasSelvagens">'Folha Oculta'!$W$2</definedName>
    <definedName name="MaisFruta">#REF!</definedName>
    <definedName name="MaisItem">#REF!</definedName>
    <definedName name="MaisItens">#REF!</definedName>
    <definedName name="Município">'Folha Oculta'!$C$2:$C$309</definedName>
    <definedName name="Norte">[1]Dados!$K$1</definedName>
    <definedName name="Pico">'Folha Oculta'!$X$2:$X$4</definedName>
    <definedName name="PontosExtra">#REF!</definedName>
    <definedName name="Portalegre">'Folha Oculta'!$Y$2:$Y$16</definedName>
    <definedName name="Porto">'Folha Oculta'!$Z$2:$Z$19</definedName>
    <definedName name="PortoSanto">'Folha Oculta'!$AA$2</definedName>
    <definedName name="RG">'Folha Oculta'!$D$2:$D$29</definedName>
    <definedName name="SantaMaria">'Folha Oculta'!$AB$2</definedName>
    <definedName name="Santarém">'Folha Oculta'!$AC$2:$AC$22</definedName>
    <definedName name="SaoJorge">'Folha Oculta'!$AD$2:$AD$3</definedName>
    <definedName name="SaoMiguel">'Folha Oculta'!$AE$2:$AE$7</definedName>
    <definedName name="Setubal">'Folha Oculta'!$AF$2:$AF$14</definedName>
    <definedName name="Sistema_de_duche" localSheetId="1">'[2]Folha oculta'!$R$4</definedName>
    <definedName name="Sistema_de_duche">#REF!</definedName>
    <definedName name="SOMA.SE">#REF!</definedName>
    <definedName name="SOMA.SEPontosExtra">#REF!</definedName>
    <definedName name="SOMAPontosExtra">#REF!</definedName>
    <definedName name="Sul">[1]Dados!$K$3</definedName>
    <definedName name="Terceira">'Folha Oculta'!$AG$2:$AG$3</definedName>
    <definedName name="Total">#REF!</definedName>
    <definedName name="VianadoCastelo">'Folha Oculta'!$AH$2:$AH$11</definedName>
    <definedName name="VilaReal">'Folha Oculta'!$AI$2:$AI$15</definedName>
    <definedName name="Viseu">'Folha Oculta'!$AJ$2:$AJ$25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70" i="35" l="1"/>
  <c r="N869" i="35"/>
  <c r="N868" i="35"/>
  <c r="N867" i="35"/>
  <c r="N866" i="35"/>
  <c r="N865" i="35"/>
  <c r="N864" i="35"/>
  <c r="N863" i="35"/>
  <c r="N862" i="35"/>
  <c r="N861" i="35"/>
  <c r="N860" i="35"/>
  <c r="N859" i="35"/>
  <c r="N858" i="35"/>
  <c r="N857" i="35"/>
  <c r="N856" i="35"/>
  <c r="N855" i="35"/>
  <c r="N854" i="35"/>
  <c r="N853" i="35"/>
  <c r="N852" i="35"/>
  <c r="N851" i="35"/>
  <c r="N850" i="35"/>
  <c r="N849" i="35"/>
  <c r="N848" i="35"/>
  <c r="N847" i="35"/>
  <c r="N846" i="35"/>
  <c r="N845" i="35"/>
  <c r="N844" i="35"/>
  <c r="N843" i="35"/>
  <c r="N842" i="35"/>
  <c r="N841" i="35"/>
  <c r="N840" i="35"/>
  <c r="N839" i="35"/>
  <c r="N838" i="35"/>
  <c r="N837" i="35"/>
  <c r="N836" i="35"/>
  <c r="N835" i="35"/>
  <c r="N834" i="35"/>
  <c r="N833" i="35"/>
  <c r="N832" i="35"/>
  <c r="N831" i="35"/>
  <c r="N830" i="35"/>
  <c r="N829" i="35"/>
  <c r="N828" i="35"/>
  <c r="N827" i="35"/>
  <c r="N826" i="35"/>
  <c r="N825" i="35"/>
  <c r="N824" i="35"/>
  <c r="N823" i="35"/>
  <c r="N822" i="35"/>
  <c r="N821" i="35"/>
  <c r="N820" i="35"/>
  <c r="N819" i="35"/>
  <c r="N818" i="35"/>
  <c r="N817" i="35"/>
  <c r="N816" i="35"/>
  <c r="N815" i="35"/>
  <c r="N814" i="35"/>
  <c r="N813" i="35"/>
  <c r="N812" i="35"/>
  <c r="N811" i="35"/>
  <c r="N810" i="35"/>
  <c r="N809" i="35"/>
  <c r="N808" i="35"/>
  <c r="N807" i="35"/>
  <c r="N806" i="35"/>
  <c r="N805" i="35"/>
  <c r="N804" i="35"/>
  <c r="N803" i="35"/>
  <c r="N802" i="35"/>
  <c r="N801" i="35"/>
  <c r="N800" i="35"/>
  <c r="N799" i="35"/>
  <c r="N930" i="35"/>
  <c r="N929" i="35"/>
  <c r="N928" i="35"/>
  <c r="N927" i="35"/>
  <c r="N926" i="35"/>
  <c r="N925" i="35"/>
  <c r="N924" i="35"/>
  <c r="N923" i="35"/>
  <c r="N922" i="35"/>
  <c r="N921" i="35"/>
  <c r="N920" i="35"/>
  <c r="N919" i="35"/>
  <c r="N918" i="35"/>
  <c r="N917" i="35"/>
  <c r="N916" i="35"/>
  <c r="N915" i="35"/>
  <c r="N914" i="35"/>
  <c r="N913" i="35"/>
  <c r="N912" i="35"/>
  <c r="N911" i="35"/>
  <c r="N910" i="35"/>
  <c r="N909" i="35"/>
  <c r="N908" i="35"/>
  <c r="N907" i="35"/>
  <c r="N906" i="35"/>
  <c r="N905" i="35"/>
  <c r="N904" i="35"/>
  <c r="N903" i="35"/>
  <c r="N902" i="35"/>
  <c r="N901" i="35"/>
  <c r="N900" i="35"/>
  <c r="N899" i="35"/>
  <c r="N898" i="35"/>
  <c r="N897" i="35"/>
  <c r="N896" i="35"/>
  <c r="N895" i="35"/>
  <c r="N894" i="35"/>
  <c r="N893" i="35"/>
  <c r="N892" i="35"/>
  <c r="N891" i="35"/>
  <c r="N890" i="35"/>
  <c r="N889" i="35"/>
  <c r="N888" i="35"/>
  <c r="N887" i="35"/>
  <c r="N886" i="35"/>
  <c r="N885" i="35"/>
  <c r="N884" i="35"/>
  <c r="N883" i="35"/>
  <c r="N882" i="35"/>
  <c r="N881" i="35"/>
  <c r="N880" i="35"/>
  <c r="N879" i="35"/>
  <c r="N878" i="35"/>
  <c r="N877" i="35"/>
  <c r="N876" i="35"/>
  <c r="N875" i="35"/>
  <c r="N874" i="35"/>
  <c r="H602" i="35"/>
  <c r="H792" i="35"/>
  <c r="H791" i="35"/>
  <c r="H790" i="35"/>
  <c r="H722" i="35"/>
  <c r="H721" i="35"/>
  <c r="H720" i="35"/>
  <c r="H719" i="35"/>
  <c r="H718" i="35"/>
  <c r="H717" i="35"/>
  <c r="H716" i="35"/>
  <c r="H715" i="35"/>
  <c r="H714" i="35"/>
  <c r="H713" i="35"/>
  <c r="H712" i="35"/>
  <c r="H711" i="35"/>
  <c r="H710" i="35"/>
  <c r="H709" i="35"/>
  <c r="H708" i="35"/>
  <c r="H707" i="35"/>
  <c r="H706" i="35"/>
  <c r="H705" i="35"/>
  <c r="H704" i="35"/>
  <c r="H703" i="35"/>
  <c r="H702" i="35"/>
  <c r="H701" i="35"/>
  <c r="H700" i="35"/>
  <c r="H699" i="35"/>
  <c r="H698" i="35"/>
  <c r="H697" i="35"/>
  <c r="H696" i="35"/>
  <c r="H695" i="35"/>
  <c r="H694" i="35"/>
  <c r="H693" i="35"/>
  <c r="H692" i="35"/>
  <c r="H691" i="35"/>
  <c r="H690" i="35"/>
  <c r="H689" i="35"/>
  <c r="H688" i="35"/>
  <c r="H687" i="35"/>
  <c r="H686" i="35"/>
  <c r="H685" i="35"/>
  <c r="H684" i="35"/>
  <c r="H683" i="35"/>
  <c r="H682" i="35"/>
  <c r="H681" i="35"/>
  <c r="H680" i="35"/>
  <c r="H679" i="35"/>
  <c r="H678" i="35"/>
  <c r="H677" i="35"/>
  <c r="H676" i="35"/>
  <c r="H675" i="35"/>
  <c r="H674" i="35"/>
  <c r="H673" i="35"/>
  <c r="H672" i="35"/>
  <c r="H671" i="35"/>
  <c r="H670" i="35"/>
  <c r="H669" i="35"/>
  <c r="H668" i="35"/>
  <c r="H667" i="35"/>
  <c r="H666" i="35"/>
  <c r="H665" i="35"/>
  <c r="H664" i="35"/>
  <c r="H663" i="35"/>
  <c r="H662" i="35"/>
  <c r="H661" i="35"/>
  <c r="H660" i="35"/>
  <c r="H659" i="35"/>
  <c r="H658" i="35"/>
  <c r="H657" i="35"/>
  <c r="H656" i="35"/>
  <c r="H655" i="35"/>
  <c r="H654" i="35"/>
  <c r="H653" i="35"/>
  <c r="H652" i="35"/>
  <c r="H651" i="35"/>
  <c r="H650" i="35"/>
  <c r="H649" i="35"/>
  <c r="H648" i="35"/>
  <c r="H647" i="35"/>
  <c r="H646" i="35"/>
  <c r="H645" i="35"/>
  <c r="H644" i="35"/>
  <c r="H643" i="35"/>
  <c r="H642" i="35"/>
  <c r="H641" i="35"/>
  <c r="H640" i="35"/>
  <c r="H639" i="35"/>
  <c r="H638" i="35"/>
  <c r="H637" i="35"/>
  <c r="H636" i="35"/>
  <c r="H635" i="35"/>
  <c r="H634" i="35"/>
  <c r="H633" i="35"/>
  <c r="H632" i="35"/>
  <c r="H631" i="35"/>
  <c r="H630" i="35"/>
  <c r="H629" i="35"/>
  <c r="H628" i="35"/>
  <c r="H627" i="35"/>
  <c r="H626" i="35"/>
  <c r="H625" i="35"/>
  <c r="H624" i="35"/>
  <c r="H623" i="35"/>
  <c r="H622" i="35"/>
  <c r="H621" i="35"/>
  <c r="H620" i="35"/>
  <c r="H619" i="35"/>
  <c r="H618" i="35"/>
  <c r="H617" i="35"/>
  <c r="H616" i="35"/>
  <c r="H615" i="35"/>
  <c r="H614" i="35"/>
  <c r="H613" i="35"/>
  <c r="H612" i="35"/>
  <c r="H611" i="35"/>
  <c r="H610" i="35"/>
  <c r="H609" i="35"/>
  <c r="H608" i="35"/>
  <c r="H607" i="35"/>
  <c r="H606" i="35"/>
  <c r="H605" i="35"/>
  <c r="H604" i="35"/>
  <c r="H603" i="35"/>
  <c r="H601" i="35"/>
  <c r="H600" i="35"/>
  <c r="H599" i="35"/>
  <c r="H598" i="35"/>
  <c r="H597" i="35"/>
  <c r="H596" i="35"/>
  <c r="H595" i="35"/>
  <c r="H594" i="35"/>
  <c r="H786" i="35"/>
  <c r="H785" i="35"/>
  <c r="H784" i="35"/>
  <c r="H783" i="35"/>
  <c r="H782" i="35"/>
  <c r="H781" i="35"/>
  <c r="H780" i="35"/>
  <c r="H779" i="35"/>
  <c r="H778" i="35"/>
  <c r="H777" i="35"/>
  <c r="H776" i="35"/>
  <c r="H775" i="35"/>
  <c r="H774" i="35"/>
  <c r="H773" i="35"/>
  <c r="H772" i="35"/>
  <c r="H771" i="35"/>
  <c r="H770" i="35"/>
  <c r="H769" i="35"/>
  <c r="H768" i="35"/>
  <c r="H767" i="35"/>
  <c r="H766" i="35"/>
  <c r="H765" i="35"/>
  <c r="H764" i="35"/>
  <c r="H763" i="35"/>
  <c r="H762" i="35"/>
  <c r="H761" i="35"/>
  <c r="H760" i="35"/>
  <c r="H759" i="35"/>
  <c r="H758" i="35"/>
  <c r="H757" i="35"/>
  <c r="H756" i="35"/>
  <c r="H755" i="35"/>
  <c r="H754" i="35"/>
  <c r="H753" i="35"/>
  <c r="H752" i="35"/>
  <c r="H751" i="35"/>
  <c r="H750" i="35"/>
  <c r="H749" i="35"/>
  <c r="H748" i="35"/>
  <c r="H747" i="35"/>
  <c r="H746" i="35"/>
  <c r="H745" i="35"/>
  <c r="H744" i="35"/>
  <c r="H743" i="35"/>
  <c r="H742" i="35"/>
  <c r="H741" i="35"/>
  <c r="H740" i="35"/>
  <c r="H739" i="35"/>
  <c r="H738" i="35"/>
  <c r="H737" i="35"/>
  <c r="H736" i="35"/>
  <c r="H735" i="35"/>
  <c r="H734" i="35"/>
  <c r="H733" i="35"/>
  <c r="H732" i="35"/>
  <c r="H731" i="35"/>
  <c r="H730" i="35"/>
  <c r="H729" i="35"/>
  <c r="H728" i="35"/>
  <c r="H727" i="35"/>
  <c r="H726" i="35"/>
  <c r="H725" i="35"/>
  <c r="H724" i="35"/>
  <c r="H723" i="35"/>
  <c r="H789" i="35"/>
  <c r="H788" i="35"/>
  <c r="H787" i="35"/>
  <c r="N228" i="35"/>
  <c r="N227" i="35"/>
  <c r="N226" i="35"/>
  <c r="N225" i="35"/>
  <c r="N224" i="35"/>
  <c r="N223" i="35"/>
  <c r="N222" i="35"/>
  <c r="N221" i="35"/>
  <c r="N220" i="35"/>
  <c r="N219" i="35"/>
  <c r="N218" i="35"/>
  <c r="N217" i="35"/>
  <c r="N216" i="35"/>
  <c r="N215" i="35"/>
  <c r="N214" i="35"/>
  <c r="N213" i="35"/>
  <c r="N212" i="35"/>
  <c r="N211" i="35"/>
  <c r="N210" i="35"/>
  <c r="N209" i="35"/>
  <c r="N208" i="35"/>
  <c r="N207" i="35"/>
  <c r="N206" i="35"/>
  <c r="N205" i="35"/>
  <c r="N204" i="35"/>
  <c r="N203" i="35"/>
  <c r="N202" i="35"/>
  <c r="N201" i="35"/>
  <c r="N200" i="35"/>
  <c r="N348" i="35"/>
  <c r="N347" i="35"/>
  <c r="N346" i="35"/>
  <c r="N345" i="35"/>
  <c r="N344" i="35"/>
  <c r="N343" i="35"/>
  <c r="N342" i="35"/>
  <c r="N341" i="35"/>
  <c r="N340" i="35"/>
  <c r="N339" i="35"/>
  <c r="N338" i="35"/>
  <c r="N337" i="35"/>
  <c r="N336" i="35"/>
  <c r="N335" i="35"/>
  <c r="N334" i="35"/>
  <c r="N333" i="35"/>
  <c r="N332" i="35"/>
  <c r="N331" i="35"/>
  <c r="N330" i="35"/>
  <c r="N329" i="35"/>
  <c r="N328" i="35"/>
  <c r="N327" i="35"/>
  <c r="N326" i="35"/>
  <c r="N325" i="35"/>
  <c r="N324" i="35"/>
  <c r="N323" i="35"/>
  <c r="N322" i="35"/>
  <c r="N321" i="35"/>
  <c r="N320" i="35"/>
  <c r="N319" i="35"/>
  <c r="N318" i="35"/>
  <c r="N317" i="35"/>
  <c r="N316" i="35"/>
  <c r="N315" i="35"/>
  <c r="N314" i="35"/>
  <c r="N313" i="35"/>
  <c r="N312" i="35"/>
  <c r="N311" i="35"/>
  <c r="N310" i="35"/>
  <c r="N309" i="35"/>
  <c r="N308" i="35"/>
  <c r="N307" i="35"/>
  <c r="N306" i="35"/>
  <c r="N305" i="35"/>
  <c r="N304" i="35"/>
  <c r="N303" i="35"/>
  <c r="N302" i="35"/>
  <c r="N301" i="35"/>
  <c r="N300" i="35"/>
  <c r="N299" i="35"/>
  <c r="N298" i="35"/>
  <c r="N297" i="35"/>
  <c r="N296" i="35"/>
  <c r="N295" i="35"/>
  <c r="N294" i="35"/>
  <c r="N293" i="35"/>
  <c r="N292" i="35"/>
  <c r="N291" i="35"/>
  <c r="N290" i="35"/>
  <c r="N289" i="35"/>
  <c r="N288" i="35"/>
  <c r="N287" i="35"/>
  <c r="N286" i="35"/>
  <c r="N285" i="35"/>
  <c r="N284" i="35"/>
  <c r="N283" i="35"/>
  <c r="N282" i="35"/>
  <c r="N281" i="35"/>
  <c r="N280" i="35"/>
  <c r="N279" i="35"/>
  <c r="N278" i="35"/>
  <c r="N277" i="35"/>
  <c r="N276" i="35"/>
  <c r="N275" i="35"/>
  <c r="N274" i="35"/>
  <c r="N273" i="35"/>
  <c r="N272" i="35"/>
  <c r="N271" i="35"/>
  <c r="N270" i="35"/>
  <c r="N269" i="35"/>
  <c r="N268" i="35"/>
  <c r="N267" i="35"/>
  <c r="N266" i="35"/>
  <c r="N265" i="35"/>
  <c r="N264" i="35"/>
  <c r="N263" i="35"/>
  <c r="N262" i="35"/>
  <c r="N261" i="35"/>
  <c r="N260" i="35"/>
  <c r="N259" i="35"/>
  <c r="N258" i="35"/>
  <c r="N257" i="35"/>
  <c r="N256" i="35"/>
  <c r="N255" i="35"/>
  <c r="N254" i="35"/>
  <c r="N253" i="35"/>
  <c r="N252" i="35"/>
  <c r="N251" i="35"/>
  <c r="N250" i="35"/>
  <c r="N249" i="35"/>
  <c r="N248" i="35"/>
  <c r="N247" i="35"/>
  <c r="N246" i="35"/>
  <c r="N245" i="35"/>
  <c r="N244" i="35"/>
  <c r="N243" i="35"/>
  <c r="N242" i="35"/>
  <c r="N241" i="35"/>
  <c r="N240" i="35"/>
  <c r="N239" i="35"/>
  <c r="N238" i="35"/>
  <c r="N237" i="35"/>
  <c r="N236" i="35"/>
  <c r="N235" i="35"/>
  <c r="N234" i="35"/>
  <c r="N233" i="35"/>
  <c r="N232" i="35"/>
  <c r="N231" i="35"/>
  <c r="N230" i="35"/>
  <c r="N229" i="35"/>
  <c r="N199" i="35"/>
  <c r="N198" i="35"/>
  <c r="N197" i="35"/>
  <c r="N196" i="35"/>
  <c r="N195" i="35"/>
  <c r="N194" i="35"/>
  <c r="N193" i="35"/>
  <c r="N192" i="35"/>
  <c r="N191" i="35"/>
  <c r="N190" i="35"/>
  <c r="N189" i="35"/>
  <c r="N188" i="35"/>
  <c r="E139" i="35"/>
  <c r="E138" i="35"/>
  <c r="E137" i="35"/>
  <c r="E136" i="35"/>
  <c r="E135" i="35"/>
  <c r="E134" i="35"/>
  <c r="E133" i="35"/>
  <c r="E132" i="35"/>
  <c r="E131" i="35"/>
  <c r="E130" i="35"/>
  <c r="E129" i="35"/>
  <c r="E128" i="35"/>
  <c r="E127" i="35"/>
  <c r="E126" i="35"/>
  <c r="E125" i="35"/>
  <c r="E124" i="35"/>
  <c r="E142" i="35"/>
  <c r="E141" i="35"/>
  <c r="E140" i="35"/>
  <c r="E144" i="35"/>
  <c r="E145" i="35"/>
  <c r="E143" i="35"/>
  <c r="B113" i="35"/>
  <c r="H12" i="27" l="1"/>
  <c r="H684" i="33"/>
  <c r="C102" i="35" l="1"/>
  <c r="C100" i="35"/>
  <c r="C99" i="35"/>
  <c r="C101" i="35"/>
  <c r="C103" i="35"/>
  <c r="C96" i="35"/>
  <c r="C95" i="35"/>
  <c r="C94" i="35"/>
  <c r="C93" i="35"/>
  <c r="C92" i="35"/>
  <c r="C107" i="35"/>
  <c r="C106" i="35"/>
  <c r="C97" i="35"/>
  <c r="C105" i="35"/>
  <c r="C104" i="35"/>
  <c r="C98" i="35"/>
  <c r="C111" i="35"/>
  <c r="C109" i="35"/>
  <c r="C108" i="35"/>
  <c r="C110" i="35"/>
  <c r="C90" i="35"/>
  <c r="C91" i="35"/>
  <c r="C112" i="35"/>
  <c r="C89" i="35"/>
  <c r="C88" i="35"/>
  <c r="B128" i="38"/>
  <c r="N871" i="35"/>
  <c r="N872" i="35"/>
  <c r="N873" i="35"/>
  <c r="N931" i="35"/>
  <c r="N932" i="35"/>
  <c r="N933" i="35"/>
  <c r="N934" i="35"/>
  <c r="N935" i="35"/>
  <c r="N936" i="35"/>
  <c r="N937" i="35"/>
  <c r="N938" i="35"/>
  <c r="N939" i="35"/>
  <c r="N940" i="35"/>
  <c r="N941" i="35"/>
  <c r="N942" i="35"/>
  <c r="N943" i="35"/>
  <c r="N944" i="35"/>
  <c r="N945" i="35"/>
  <c r="N946" i="35"/>
  <c r="N947" i="35"/>
  <c r="N948" i="35"/>
  <c r="N949" i="35"/>
  <c r="N950" i="35"/>
  <c r="N951" i="35"/>
  <c r="N952" i="35"/>
  <c r="N953" i="35"/>
  <c r="N954" i="35"/>
  <c r="N955" i="35"/>
  <c r="N956" i="35"/>
  <c r="N957" i="35"/>
  <c r="N958" i="35"/>
  <c r="N959" i="35"/>
  <c r="N960" i="35"/>
  <c r="N961" i="35"/>
  <c r="N962" i="35"/>
  <c r="N963" i="35"/>
  <c r="N964" i="35"/>
  <c r="N965" i="35"/>
  <c r="N966" i="35"/>
  <c r="N967" i="35"/>
  <c r="N968" i="35"/>
  <c r="N969" i="35"/>
  <c r="N970" i="35"/>
  <c r="N971" i="35"/>
  <c r="N972" i="35"/>
  <c r="N973" i="35"/>
  <c r="N974" i="35"/>
  <c r="N975" i="35"/>
  <c r="N976" i="35"/>
  <c r="N977" i="35"/>
  <c r="N978" i="35"/>
  <c r="N979" i="35"/>
  <c r="N980" i="35"/>
  <c r="N981" i="35"/>
  <c r="N982" i="35"/>
  <c r="N983" i="35"/>
  <c r="N984" i="35"/>
  <c r="N985" i="35"/>
  <c r="N986" i="35"/>
  <c r="N987" i="35"/>
  <c r="N988" i="35"/>
  <c r="N989" i="35"/>
  <c r="N990" i="35"/>
  <c r="N991" i="35"/>
  <c r="N992" i="35"/>
  <c r="N993" i="35"/>
  <c r="N994" i="35"/>
  <c r="N995" i="35"/>
  <c r="N996" i="35"/>
  <c r="N997" i="35"/>
  <c r="N998" i="35"/>
  <c r="N186" i="35"/>
  <c r="N187" i="35"/>
  <c r="N349" i="35"/>
  <c r="N350" i="35"/>
  <c r="N351" i="35"/>
  <c r="N352" i="35"/>
  <c r="N353" i="35"/>
  <c r="N354" i="35"/>
  <c r="N355" i="35"/>
  <c r="N356" i="35"/>
  <c r="N357" i="35"/>
  <c r="N358" i="35"/>
  <c r="N359" i="35"/>
  <c r="N360" i="35"/>
  <c r="N361" i="35"/>
  <c r="N362" i="35"/>
  <c r="N363" i="35"/>
  <c r="N364" i="35"/>
  <c r="N365" i="35"/>
  <c r="N366" i="35"/>
  <c r="N367" i="35"/>
  <c r="N368" i="35"/>
  <c r="N369" i="35"/>
  <c r="N370" i="35"/>
  <c r="N371" i="35"/>
  <c r="N372" i="35"/>
  <c r="N373" i="35"/>
  <c r="N374" i="35"/>
  <c r="N375" i="35"/>
  <c r="N376" i="35"/>
  <c r="N377" i="35"/>
  <c r="N378" i="35"/>
  <c r="N379" i="35"/>
  <c r="N380" i="35"/>
  <c r="N381" i="35"/>
  <c r="N382" i="35"/>
  <c r="N383" i="35"/>
  <c r="N384" i="35"/>
  <c r="N385" i="35"/>
  <c r="AM1" i="37"/>
  <c r="AS104" i="37"/>
  <c r="AS105" i="37"/>
  <c r="AS103" i="37"/>
  <c r="AX94" i="37"/>
  <c r="N386" i="35"/>
  <c r="N387" i="35"/>
  <c r="N185" i="35"/>
  <c r="J10" i="27"/>
  <c r="J58" i="27" l="1"/>
  <c r="J56" i="27"/>
  <c r="J57" i="27"/>
  <c r="B18" i="38"/>
  <c r="B14" i="38"/>
  <c r="B127" i="38"/>
  <c r="C117" i="38"/>
  <c r="C112" i="38"/>
  <c r="C107" i="38"/>
  <c r="C102" i="38"/>
  <c r="C87" i="38"/>
  <c r="C82" i="38"/>
  <c r="C97" i="38"/>
  <c r="C92" i="38"/>
  <c r="D22" i="38"/>
  <c r="B6" i="38"/>
  <c r="B4" i="35"/>
  <c r="J59" i="27" l="1"/>
  <c r="B15" i="35"/>
  <c r="F583" i="27"/>
  <c r="J70" i="27" l="1"/>
  <c r="B126" i="38"/>
  <c r="J74" i="27"/>
  <c r="N184" i="35"/>
  <c r="B6" i="35" l="1"/>
  <c r="B122" i="27" l="1"/>
  <c r="F76" i="27"/>
  <c r="G76" i="27"/>
  <c r="H183" i="33"/>
  <c r="H184" i="33"/>
  <c r="H189" i="33"/>
  <c r="H190" i="33"/>
  <c r="K188" i="27"/>
  <c r="K189" i="27"/>
  <c r="I189" i="33" s="1"/>
  <c r="K190" i="27"/>
  <c r="I190" i="33" s="1"/>
  <c r="K183" i="27"/>
  <c r="M183" i="27" s="1"/>
  <c r="K184" i="27"/>
  <c r="I184" i="33" s="1"/>
  <c r="G189" i="27"/>
  <c r="H189" i="27"/>
  <c r="G190" i="27"/>
  <c r="H190" i="27"/>
  <c r="G183" i="27"/>
  <c r="H183" i="27"/>
  <c r="G184" i="27"/>
  <c r="H184" i="27"/>
  <c r="G198" i="27"/>
  <c r="H198" i="27"/>
  <c r="B166" i="27"/>
  <c r="B69" i="27"/>
  <c r="H793" i="35"/>
  <c r="H593" i="35"/>
  <c r="I183" i="33" l="1"/>
  <c r="P183" i="27"/>
  <c r="V183" i="33" s="1"/>
  <c r="Q183" i="33"/>
  <c r="M190" i="27"/>
  <c r="M189" i="27"/>
  <c r="M184" i="27"/>
  <c r="H139" i="33"/>
  <c r="H140" i="33"/>
  <c r="K139" i="27"/>
  <c r="M139" i="27" s="1"/>
  <c r="K140" i="27"/>
  <c r="M140" i="27" s="1"/>
  <c r="P140" i="27" s="1"/>
  <c r="V140" i="33" s="1"/>
  <c r="G139" i="27"/>
  <c r="H139" i="27"/>
  <c r="G140" i="27"/>
  <c r="H140" i="27"/>
  <c r="G542" i="27"/>
  <c r="H542" i="27"/>
  <c r="G543" i="27"/>
  <c r="H543" i="27"/>
  <c r="H542" i="33"/>
  <c r="H543" i="33"/>
  <c r="K542" i="27"/>
  <c r="M542" i="27" s="1"/>
  <c r="P542" i="27" s="1"/>
  <c r="V542" i="33" s="1"/>
  <c r="K543" i="27"/>
  <c r="I543" i="33" s="1"/>
  <c r="B588" i="27"/>
  <c r="B612" i="27"/>
  <c r="B583" i="27"/>
  <c r="B605" i="27"/>
  <c r="B598" i="27"/>
  <c r="B575" i="27"/>
  <c r="B569" i="27"/>
  <c r="B562" i="27"/>
  <c r="B620" i="27"/>
  <c r="H627" i="33"/>
  <c r="G627" i="27"/>
  <c r="H627" i="27"/>
  <c r="K627" i="27"/>
  <c r="M627" i="27" s="1"/>
  <c r="Q627" i="33" s="1"/>
  <c r="P184" i="27" l="1"/>
  <c r="V184" i="33" s="1"/>
  <c r="Q184" i="33"/>
  <c r="Q189" i="33"/>
  <c r="P189" i="27"/>
  <c r="V189" i="33" s="1"/>
  <c r="Q190" i="33"/>
  <c r="P190" i="27"/>
  <c r="V190" i="33" s="1"/>
  <c r="P139" i="27"/>
  <c r="V139" i="33" s="1"/>
  <c r="Q139" i="33"/>
  <c r="I140" i="33"/>
  <c r="I139" i="33"/>
  <c r="Q140" i="33"/>
  <c r="M543" i="27"/>
  <c r="Q542" i="33"/>
  <c r="I542" i="33"/>
  <c r="P627" i="27"/>
  <c r="V627" i="33" s="1"/>
  <c r="I627" i="33"/>
  <c r="P543" i="27" l="1"/>
  <c r="V543" i="33" s="1"/>
  <c r="Q543" i="33"/>
  <c r="AA13" i="33" l="1"/>
  <c r="AA602" i="33"/>
  <c r="AA12" i="33"/>
  <c r="AA601" i="33"/>
  <c r="AB42" i="33"/>
  <c r="B185" i="27"/>
  <c r="B179" i="27"/>
  <c r="B173" i="27"/>
  <c r="B159" i="27"/>
  <c r="B150" i="27"/>
  <c r="AA72" i="33" l="1"/>
  <c r="AA71" i="33"/>
  <c r="AB63" i="33"/>
  <c r="AA63" i="33" s="1"/>
  <c r="AB41" i="33"/>
  <c r="AB691" i="33"/>
  <c r="AB64" i="33"/>
  <c r="AA64" i="33" s="1"/>
  <c r="AB9" i="33"/>
  <c r="AA11" i="33" s="1"/>
  <c r="AB598" i="33"/>
  <c r="AA599" i="33" s="1"/>
  <c r="AA73" i="33"/>
  <c r="AA10" i="33" l="1"/>
  <c r="AA603" i="33"/>
  <c r="AA604" i="33"/>
  <c r="AA600" i="33"/>
  <c r="BA20" i="37"/>
  <c r="BA19" i="37"/>
  <c r="BA18" i="37"/>
  <c r="BC12" i="37"/>
  <c r="BB12" i="37"/>
  <c r="BA12" i="37"/>
  <c r="B116" i="35"/>
  <c r="B109" i="27"/>
  <c r="B102" i="27" l="1"/>
  <c r="AN41" i="37"/>
  <c r="AN63" i="37"/>
  <c r="AN57" i="37"/>
  <c r="AN49" i="37"/>
  <c r="J316" i="27"/>
  <c r="AO32" i="37"/>
  <c r="AN72" i="37"/>
  <c r="B391" i="27" s="1"/>
  <c r="AB39" i="33"/>
  <c r="AB37" i="33" s="1"/>
  <c r="AA38" i="33" s="1"/>
  <c r="C87" i="35" l="1"/>
  <c r="B192" i="27" l="1"/>
  <c r="N999" i="35" l="1"/>
  <c r="AQ94" i="37" l="1"/>
  <c r="AN96" i="37"/>
  <c r="B467" i="27" s="1"/>
  <c r="AB687" i="33" l="1"/>
  <c r="AA693" i="33" s="1"/>
  <c r="AA689" i="33" l="1"/>
  <c r="AA694" i="33"/>
  <c r="AA690" i="33"/>
  <c r="AA691" i="33"/>
  <c r="AA692" i="33"/>
  <c r="AA688" i="33"/>
  <c r="AO14" i="37"/>
  <c r="AO13" i="37"/>
  <c r="AO12" i="37"/>
  <c r="AO15" i="37" l="1"/>
  <c r="J658" i="27" s="1"/>
  <c r="F142" i="32"/>
  <c r="F138" i="32"/>
  <c r="F134" i="32"/>
  <c r="F128" i="32"/>
  <c r="F124" i="32"/>
  <c r="F120" i="32"/>
  <c r="F114" i="32"/>
  <c r="F111" i="32"/>
  <c r="F108" i="32"/>
  <c r="F104" i="32"/>
  <c r="F99" i="32"/>
  <c r="F93" i="32"/>
  <c r="F88" i="32"/>
  <c r="F83" i="32"/>
  <c r="F78" i="32"/>
  <c r="F73" i="32"/>
  <c r="F69" i="32"/>
  <c r="F63" i="32"/>
  <c r="F58" i="32"/>
  <c r="F52" i="32"/>
  <c r="F47" i="32"/>
  <c r="F41" i="32"/>
  <c r="F37" i="32"/>
  <c r="F30" i="32"/>
  <c r="F23" i="32"/>
  <c r="F18" i="32"/>
  <c r="F9" i="32"/>
  <c r="F4" i="32"/>
  <c r="H28" i="32"/>
  <c r="H27" i="32"/>
  <c r="H26" i="32"/>
  <c r="H25" i="32"/>
  <c r="H24" i="32"/>
  <c r="H16" i="32"/>
  <c r="H15" i="32"/>
  <c r="H14" i="32"/>
  <c r="H8" i="32"/>
  <c r="H7" i="32"/>
  <c r="H6" i="32"/>
  <c r="H5" i="32"/>
  <c r="B141" i="27"/>
  <c r="B133" i="27"/>
  <c r="B127" i="27"/>
  <c r="J657" i="27" l="1"/>
  <c r="J656" i="27"/>
  <c r="U7" i="32"/>
  <c r="U5" i="32"/>
  <c r="U8" i="32"/>
  <c r="U6" i="32"/>
  <c r="F29" i="32"/>
  <c r="H23" i="32"/>
  <c r="H4" i="32"/>
  <c r="AQ100" i="37" l="1"/>
  <c r="AQ92" i="37"/>
  <c r="AQ99" i="37"/>
  <c r="J474" i="27" s="1"/>
  <c r="AQ91" i="37"/>
  <c r="J449" i="27" s="1"/>
  <c r="AQ98" i="37"/>
  <c r="J473" i="27" s="1"/>
  <c r="AQ90" i="37"/>
  <c r="AQ97" i="37"/>
  <c r="J472" i="27" s="1"/>
  <c r="AQ89" i="37"/>
  <c r="J447" i="27" s="1"/>
  <c r="AQ96" i="37"/>
  <c r="J471" i="27" s="1"/>
  <c r="AQ88" i="37"/>
  <c r="AQ95" i="37"/>
  <c r="J470" i="27" s="1"/>
  <c r="AQ87" i="37"/>
  <c r="J469" i="27"/>
  <c r="AQ86" i="37"/>
  <c r="AS86" i="37"/>
  <c r="J452" i="27" s="1"/>
  <c r="AS97" i="37"/>
  <c r="J480" i="27" s="1"/>
  <c r="AS96" i="37"/>
  <c r="J479" i="27" s="1"/>
  <c r="AS95" i="37"/>
  <c r="J478" i="27" s="1"/>
  <c r="AS94" i="37"/>
  <c r="J477" i="27" s="1"/>
  <c r="AV94" i="37"/>
  <c r="J483" i="27" s="1"/>
  <c r="AS88" i="37"/>
  <c r="J454" i="27" s="1"/>
  <c r="AS87" i="37"/>
  <c r="J453" i="27" s="1"/>
  <c r="AV86" i="37"/>
  <c r="J457" i="27" s="1"/>
  <c r="AV88" i="37"/>
  <c r="J459" i="27" s="1"/>
  <c r="AW72" i="37"/>
  <c r="J409" i="27" s="1"/>
  <c r="AV87" i="37"/>
  <c r="J458" i="27" s="1"/>
  <c r="AX86" i="37"/>
  <c r="AV96" i="37"/>
  <c r="J485" i="27" s="1"/>
  <c r="AV95" i="37"/>
  <c r="J484" i="27" s="1"/>
  <c r="J488" i="27"/>
  <c r="AX96" i="37"/>
  <c r="J490" i="27" s="1"/>
  <c r="AX95" i="37"/>
  <c r="J489" i="27" s="1"/>
  <c r="AX88" i="37"/>
  <c r="J464" i="27" s="1"/>
  <c r="AX87" i="37"/>
  <c r="J463" i="27" s="1"/>
  <c r="AX79" i="37"/>
  <c r="J437" i="27" s="1"/>
  <c r="AN88" i="37"/>
  <c r="B442" i="27" s="1"/>
  <c r="N798" i="35"/>
  <c r="AX81" i="37"/>
  <c r="J439" i="27" s="1"/>
  <c r="AY72" i="37"/>
  <c r="J414" i="27" s="1"/>
  <c r="AX80" i="37"/>
  <c r="J438" i="27" s="1"/>
  <c r="AY71" i="37"/>
  <c r="J413" i="27" s="1"/>
  <c r="AY70" i="37"/>
  <c r="J412" i="27" s="1"/>
  <c r="AV81" i="37"/>
  <c r="J434" i="27" s="1"/>
  <c r="AV80" i="37"/>
  <c r="J433" i="27" s="1"/>
  <c r="AV79" i="37"/>
  <c r="J432" i="27" s="1"/>
  <c r="AW71" i="37"/>
  <c r="J408" i="27" s="1"/>
  <c r="AW70" i="37"/>
  <c r="J407" i="27" s="1"/>
  <c r="AS82" i="37"/>
  <c r="J429" i="27" s="1"/>
  <c r="AS81" i="37"/>
  <c r="J428" i="27" s="1"/>
  <c r="AS80" i="37"/>
  <c r="J427" i="27" s="1"/>
  <c r="AQ79" i="37"/>
  <c r="J419" i="27" s="1"/>
  <c r="AS79" i="37"/>
  <c r="J426" i="27" s="1"/>
  <c r="AT70" i="37"/>
  <c r="J401" i="27" s="1"/>
  <c r="AQ84" i="37"/>
  <c r="J424" i="27" s="1"/>
  <c r="AQ83" i="37"/>
  <c r="J423" i="27" s="1"/>
  <c r="AQ82" i="37"/>
  <c r="J422" i="27" s="1"/>
  <c r="AQ81" i="37"/>
  <c r="J421" i="27" s="1"/>
  <c r="AQ80" i="37"/>
  <c r="J420" i="27" s="1"/>
  <c r="AR70" i="37"/>
  <c r="J393" i="27" s="1"/>
  <c r="AN80" i="37"/>
  <c r="AT73" i="37"/>
  <c r="J404" i="27" s="1"/>
  <c r="AT72" i="37"/>
  <c r="J403" i="27" s="1"/>
  <c r="AT71" i="37"/>
  <c r="J402" i="27" s="1"/>
  <c r="AR76" i="37"/>
  <c r="J399" i="27" s="1"/>
  <c r="AR75" i="37"/>
  <c r="J398" i="27" s="1"/>
  <c r="AR74" i="37"/>
  <c r="J397" i="27" s="1"/>
  <c r="AR73" i="37"/>
  <c r="J396" i="27" s="1"/>
  <c r="AR72" i="37"/>
  <c r="J395" i="27" s="1"/>
  <c r="AR71" i="37"/>
  <c r="J394" i="27" s="1"/>
  <c r="G440" i="27"/>
  <c r="H440" i="27"/>
  <c r="AQ67" i="37"/>
  <c r="J326" i="27" s="1"/>
  <c r="AQ66" i="37"/>
  <c r="J325" i="27" s="1"/>
  <c r="AQ53" i="37"/>
  <c r="J273" i="27" s="1"/>
  <c r="AQ52" i="37"/>
  <c r="J272" i="27" s="1"/>
  <c r="AQ65" i="37"/>
  <c r="J324" i="27" s="1"/>
  <c r="AQ51" i="37"/>
  <c r="J271" i="27" s="1"/>
  <c r="AQ64" i="37"/>
  <c r="J323" i="27" s="1"/>
  <c r="K323" i="27" s="1"/>
  <c r="M323" i="27" s="1"/>
  <c r="AQ50" i="37"/>
  <c r="J270" i="27" s="1"/>
  <c r="AQ63" i="37"/>
  <c r="J322" i="27" s="1"/>
  <c r="K322" i="27" s="1"/>
  <c r="M322" i="27" s="1"/>
  <c r="P322" i="27" s="1"/>
  <c r="AQ57" i="37"/>
  <c r="J299" i="27" s="1"/>
  <c r="AQ62" i="37"/>
  <c r="J321" i="27" s="1"/>
  <c r="K321" i="27" s="1"/>
  <c r="M321" i="27" s="1"/>
  <c r="P321" i="27" s="1"/>
  <c r="AQ56" i="37"/>
  <c r="J298" i="27" s="1"/>
  <c r="K298" i="27" s="1"/>
  <c r="AQ61" i="37"/>
  <c r="J320" i="27" s="1"/>
  <c r="K320" i="27" s="1"/>
  <c r="AQ55" i="37"/>
  <c r="J297" i="27" s="1"/>
  <c r="AS63" i="37"/>
  <c r="J330" i="27" s="1"/>
  <c r="AS57" i="37"/>
  <c r="J305" i="27" s="1"/>
  <c r="AS62" i="37"/>
  <c r="J329" i="27" s="1"/>
  <c r="AS56" i="37"/>
  <c r="J304" i="27" s="1"/>
  <c r="AS61" i="37"/>
  <c r="J328" i="27" s="1"/>
  <c r="AS55" i="37"/>
  <c r="J303" i="27" s="1"/>
  <c r="K303" i="27" s="1"/>
  <c r="AV63" i="37"/>
  <c r="J335" i="27" s="1"/>
  <c r="AV62" i="37"/>
  <c r="J334" i="27" s="1"/>
  <c r="AV61" i="37"/>
  <c r="J333" i="27" s="1"/>
  <c r="AV57" i="37"/>
  <c r="J310" i="27" s="1"/>
  <c r="AV56" i="37"/>
  <c r="J309" i="27" s="1"/>
  <c r="AV55" i="37"/>
  <c r="J308" i="27" s="1"/>
  <c r="AX63" i="37"/>
  <c r="J340" i="27" s="1"/>
  <c r="AX57" i="37"/>
  <c r="J315" i="27" s="1"/>
  <c r="AX62" i="37"/>
  <c r="J339" i="27" s="1"/>
  <c r="AX56" i="37"/>
  <c r="J314" i="27" s="1"/>
  <c r="AX61" i="37"/>
  <c r="J338" i="27" s="1"/>
  <c r="AX55" i="37"/>
  <c r="J313" i="27" s="1"/>
  <c r="G341" i="27"/>
  <c r="H341" i="27"/>
  <c r="AQ59" i="37"/>
  <c r="J301" i="27" s="1"/>
  <c r="AQ58" i="37"/>
  <c r="J300" i="27" s="1"/>
  <c r="AQ49" i="37"/>
  <c r="J269" i="27" s="1"/>
  <c r="AQ48" i="37"/>
  <c r="J268" i="27" s="1"/>
  <c r="AQ47" i="37"/>
  <c r="J267" i="27" s="1"/>
  <c r="AS49" i="37"/>
  <c r="J277" i="27" s="1"/>
  <c r="AS48" i="37"/>
  <c r="J276" i="27" s="1"/>
  <c r="AS47" i="37"/>
  <c r="J275" i="27" s="1"/>
  <c r="AX49" i="37"/>
  <c r="J287" i="27" s="1"/>
  <c r="AX48" i="37"/>
  <c r="J286" i="27" s="1"/>
  <c r="AX47" i="37"/>
  <c r="J285" i="27" s="1"/>
  <c r="AV49" i="37"/>
  <c r="J282" i="27" s="1"/>
  <c r="AV48" i="37"/>
  <c r="J281" i="27" s="1"/>
  <c r="AV47" i="37"/>
  <c r="J280" i="27" s="1"/>
  <c r="G316" i="27"/>
  <c r="H316" i="27"/>
  <c r="H316" i="33"/>
  <c r="G298" i="27"/>
  <c r="H298" i="27"/>
  <c r="G299" i="27"/>
  <c r="H299" i="27"/>
  <c r="G300" i="27"/>
  <c r="H300" i="27"/>
  <c r="G301" i="27"/>
  <c r="H301" i="27"/>
  <c r="J444" i="27" l="1"/>
  <c r="J448" i="27"/>
  <c r="J445" i="27"/>
  <c r="J462" i="27"/>
  <c r="J465" i="27" s="1"/>
  <c r="J446" i="27"/>
  <c r="J450" i="27"/>
  <c r="J278" i="27"/>
  <c r="J475" i="27"/>
  <c r="B417" i="27"/>
  <c r="J491" i="27"/>
  <c r="J486" i="27"/>
  <c r="J481" i="27"/>
  <c r="J460" i="27"/>
  <c r="J455" i="27"/>
  <c r="J440" i="27"/>
  <c r="K440" i="27" s="1"/>
  <c r="M440" i="27" s="1"/>
  <c r="Q440" i="33" s="1"/>
  <c r="J435" i="27"/>
  <c r="J430" i="27"/>
  <c r="J415" i="27"/>
  <c r="J410" i="27"/>
  <c r="J405" i="27"/>
  <c r="J341" i="27"/>
  <c r="H341" i="33" s="1"/>
  <c r="K316" i="27"/>
  <c r="M316" i="27" s="1"/>
  <c r="AQ45" i="37"/>
  <c r="J247" i="27" s="1"/>
  <c r="AQ44" i="37"/>
  <c r="J246" i="27" s="1"/>
  <c r="AQ43" i="37"/>
  <c r="J245" i="27" s="1"/>
  <c r="AQ42" i="37"/>
  <c r="J244" i="27" s="1"/>
  <c r="AQ41" i="37"/>
  <c r="J243" i="27" s="1"/>
  <c r="AQ40" i="37"/>
  <c r="J242" i="27" s="1"/>
  <c r="AQ39" i="37"/>
  <c r="J241" i="27" s="1"/>
  <c r="AS42" i="37"/>
  <c r="J252" i="27" s="1"/>
  <c r="AS41" i="37"/>
  <c r="J251" i="27" s="1"/>
  <c r="AS40" i="37"/>
  <c r="J250" i="27" s="1"/>
  <c r="AS39" i="37"/>
  <c r="J249" i="27" s="1"/>
  <c r="AV41" i="37"/>
  <c r="J257" i="27" s="1"/>
  <c r="AV40" i="37"/>
  <c r="J256" i="27" s="1"/>
  <c r="AV39" i="37"/>
  <c r="J255" i="27" s="1"/>
  <c r="AX41" i="37"/>
  <c r="J262" i="27" s="1"/>
  <c r="AX39" i="37"/>
  <c r="J260" i="27" s="1"/>
  <c r="AX40" i="37"/>
  <c r="J261" i="27" s="1"/>
  <c r="AZ33" i="37"/>
  <c r="J231" i="27" s="1"/>
  <c r="AZ32" i="37"/>
  <c r="J230" i="27" s="1"/>
  <c r="AZ31" i="37"/>
  <c r="J229" i="27" s="1"/>
  <c r="AX32" i="37"/>
  <c r="J225" i="27" s="1"/>
  <c r="AX31" i="37"/>
  <c r="J224" i="27" s="1"/>
  <c r="AX33" i="37"/>
  <c r="J226" i="27" s="1"/>
  <c r="AU31" i="37"/>
  <c r="J218" i="27" s="1"/>
  <c r="AU34" i="37"/>
  <c r="J221" i="27" s="1"/>
  <c r="AU33" i="37"/>
  <c r="J220" i="27" s="1"/>
  <c r="AU32" i="37"/>
  <c r="J219" i="27" s="1"/>
  <c r="AR32" i="37"/>
  <c r="J211" i="27" s="1"/>
  <c r="AR31" i="37"/>
  <c r="J210" i="27" s="1"/>
  <c r="AR37" i="37"/>
  <c r="J216" i="27" s="1"/>
  <c r="AR36" i="37"/>
  <c r="J215" i="27" s="1"/>
  <c r="AR35" i="37"/>
  <c r="J214" i="27" s="1"/>
  <c r="AR34" i="37"/>
  <c r="J213" i="27" s="1"/>
  <c r="AR33" i="37"/>
  <c r="J212" i="27" s="1"/>
  <c r="J180" i="35"/>
  <c r="I180" i="35"/>
  <c r="H180" i="35"/>
  <c r="B318" i="27" s="1"/>
  <c r="G180" i="35"/>
  <c r="F180" i="35"/>
  <c r="E180" i="35"/>
  <c r="D180" i="35"/>
  <c r="C180" i="35"/>
  <c r="AW26" i="37"/>
  <c r="J384" i="27" s="1"/>
  <c r="AW28" i="37"/>
  <c r="AW27" i="37"/>
  <c r="J385" i="27" s="1"/>
  <c r="AR26" i="37"/>
  <c r="J363" i="27" s="1"/>
  <c r="AR28" i="37"/>
  <c r="J365" i="27" s="1"/>
  <c r="AR27" i="37"/>
  <c r="J364" i="27" s="1"/>
  <c r="J516" i="27"/>
  <c r="J515" i="27"/>
  <c r="J514" i="27"/>
  <c r="AX20" i="37"/>
  <c r="AX19" i="37"/>
  <c r="AX18" i="37"/>
  <c r="J509" i="27" s="1"/>
  <c r="AU20" i="37"/>
  <c r="J506" i="27" s="1"/>
  <c r="AU19" i="37"/>
  <c r="J505" i="27" s="1"/>
  <c r="AU18" i="37"/>
  <c r="J504" i="27" s="1"/>
  <c r="AR23" i="37"/>
  <c r="AR22" i="37"/>
  <c r="J501" i="27" s="1"/>
  <c r="AR21" i="37"/>
  <c r="J500" i="27" s="1"/>
  <c r="AR20" i="37"/>
  <c r="J499" i="27" s="1"/>
  <c r="AR19" i="37"/>
  <c r="J498" i="27" s="1"/>
  <c r="AR18" i="37"/>
  <c r="J497" i="27" s="1"/>
  <c r="G517" i="27"/>
  <c r="H517" i="27"/>
  <c r="AO19" i="37"/>
  <c r="B495" i="27" s="1"/>
  <c r="AZ12" i="37"/>
  <c r="AZ13" i="37"/>
  <c r="AZ14" i="37"/>
  <c r="J528" i="27"/>
  <c r="J527" i="27"/>
  <c r="J526" i="27"/>
  <c r="AW12" i="37"/>
  <c r="J547" i="27" s="1"/>
  <c r="AV12" i="37"/>
  <c r="J546" i="27" s="1"/>
  <c r="AU12" i="37"/>
  <c r="J545" i="27" s="1"/>
  <c r="J386" i="27" l="1"/>
  <c r="J235" i="27"/>
  <c r="J234" i="27"/>
  <c r="B348" i="27"/>
  <c r="B368" i="27"/>
  <c r="H440" i="33"/>
  <c r="I440" i="33"/>
  <c r="P440" i="27"/>
  <c r="V440" i="33" s="1"/>
  <c r="K341" i="27"/>
  <c r="I341" i="33" s="1"/>
  <c r="I316" i="33"/>
  <c r="P316" i="27"/>
  <c r="V316" i="33" s="1"/>
  <c r="Q316" i="33"/>
  <c r="J510" i="27"/>
  <c r="J511" i="27"/>
  <c r="J502" i="27"/>
  <c r="J517" i="27"/>
  <c r="K517" i="27" s="1"/>
  <c r="M517" i="27" s="1"/>
  <c r="N797" i="35"/>
  <c r="J236" i="27" l="1"/>
  <c r="M341" i="27"/>
  <c r="Q341" i="33" s="1"/>
  <c r="H517" i="33"/>
  <c r="I517" i="33"/>
  <c r="P517" i="27"/>
  <c r="V517" i="33" s="1"/>
  <c r="Q517" i="33"/>
  <c r="J512" i="27"/>
  <c r="J507" i="27"/>
  <c r="J336" i="27"/>
  <c r="J331" i="27"/>
  <c r="J311" i="27"/>
  <c r="J306" i="27"/>
  <c r="J288" i="27"/>
  <c r="J283" i="27"/>
  <c r="J263" i="27"/>
  <c r="J258" i="27"/>
  <c r="J253" i="27"/>
  <c r="J232" i="27"/>
  <c r="J227" i="27"/>
  <c r="J222" i="27"/>
  <c r="AT13" i="37"/>
  <c r="B533" i="27" s="1"/>
  <c r="J594" i="27"/>
  <c r="J593" i="27"/>
  <c r="J592" i="27"/>
  <c r="J591" i="27"/>
  <c r="J590" i="27"/>
  <c r="J589" i="27"/>
  <c r="J73" i="27"/>
  <c r="J72" i="27"/>
  <c r="J71" i="27"/>
  <c r="P341" i="27" l="1"/>
  <c r="V341" i="33" s="1"/>
  <c r="J523" i="27"/>
  <c r="AZ15" i="37"/>
  <c r="B519" i="27" s="1"/>
  <c r="J521" i="27"/>
  <c r="J522" i="27"/>
  <c r="J595" i="27"/>
  <c r="H595" i="33" s="1"/>
  <c r="J75" i="27"/>
  <c r="J524" i="27" l="1"/>
  <c r="J548" i="27"/>
  <c r="J529" i="27" l="1"/>
  <c r="J659" i="27" l="1"/>
  <c r="J387" i="27"/>
  <c r="J366" i="27"/>
  <c r="B180" i="35"/>
  <c r="E123" i="35"/>
  <c r="C1411" i="35"/>
  <c r="J131" i="27"/>
  <c r="J112" i="27"/>
  <c r="J111" i="27"/>
  <c r="J110" i="27"/>
  <c r="J632" i="27" l="1"/>
  <c r="J631" i="27"/>
  <c r="J630" i="27"/>
  <c r="J629" i="27"/>
  <c r="AU26" i="37"/>
  <c r="J357" i="27" s="1"/>
  <c r="AU29" i="37"/>
  <c r="J360" i="27" s="1"/>
  <c r="AU28" i="37"/>
  <c r="J359" i="27" s="1"/>
  <c r="AU27" i="37"/>
  <c r="J358" i="27" s="1"/>
  <c r="AZ29" i="37"/>
  <c r="J381" i="27" s="1"/>
  <c r="AZ28" i="37"/>
  <c r="J380" i="27" s="1"/>
  <c r="AZ27" i="37"/>
  <c r="J379" i="27" s="1"/>
  <c r="AZ26" i="37"/>
  <c r="J378" i="27" s="1"/>
  <c r="J113" i="27"/>
  <c r="J633" i="27" l="1"/>
  <c r="J361" i="27"/>
  <c r="J382" i="27"/>
  <c r="B11" i="35" l="1"/>
  <c r="V321" i="33" l="1"/>
  <c r="Q321" i="33"/>
  <c r="I321" i="33"/>
  <c r="H321" i="33"/>
  <c r="H322" i="33"/>
  <c r="H323" i="33"/>
  <c r="H324" i="33"/>
  <c r="H325" i="33"/>
  <c r="H326" i="33"/>
  <c r="G323" i="27"/>
  <c r="H323" i="27"/>
  <c r="G324" i="27"/>
  <c r="H324" i="27"/>
  <c r="G325" i="27"/>
  <c r="H325" i="27"/>
  <c r="G326" i="27"/>
  <c r="H326" i="27"/>
  <c r="G320" i="27"/>
  <c r="H320" i="27"/>
  <c r="G321" i="27"/>
  <c r="H321" i="27"/>
  <c r="H385" i="33"/>
  <c r="H386" i="33"/>
  <c r="H387" i="33"/>
  <c r="H379" i="33"/>
  <c r="H380" i="33"/>
  <c r="H381" i="33"/>
  <c r="H382" i="33"/>
  <c r="H384" i="33"/>
  <c r="H378" i="33"/>
  <c r="H376" i="33"/>
  <c r="H371" i="33"/>
  <c r="H372" i="33"/>
  <c r="H373" i="33"/>
  <c r="H374" i="33"/>
  <c r="H375" i="33"/>
  <c r="H370" i="33"/>
  <c r="H364" i="33"/>
  <c r="H365" i="33"/>
  <c r="H366" i="33"/>
  <c r="H358" i="33"/>
  <c r="H359" i="33"/>
  <c r="H360" i="33"/>
  <c r="H361" i="33"/>
  <c r="H363" i="33"/>
  <c r="H357" i="33"/>
  <c r="H351" i="33"/>
  <c r="H352" i="33"/>
  <c r="H353" i="33"/>
  <c r="H354" i="33"/>
  <c r="H355" i="33"/>
  <c r="H350" i="33"/>
  <c r="H344" i="33"/>
  <c r="H345" i="33"/>
  <c r="H346" i="33"/>
  <c r="H343" i="33"/>
  <c r="H339" i="33"/>
  <c r="H340" i="33"/>
  <c r="H334" i="33"/>
  <c r="H335" i="33"/>
  <c r="H336" i="33"/>
  <c r="H329" i="33"/>
  <c r="H330" i="33"/>
  <c r="H331" i="33"/>
  <c r="H338" i="33"/>
  <c r="H333" i="33"/>
  <c r="H328" i="33"/>
  <c r="H320" i="33"/>
  <c r="U75" i="32"/>
  <c r="U72" i="32"/>
  <c r="U66" i="32"/>
  <c r="K385" i="27"/>
  <c r="M385" i="27" s="1"/>
  <c r="P385" i="27" s="1"/>
  <c r="V385" i="33" s="1"/>
  <c r="K386" i="27"/>
  <c r="M386" i="27" s="1"/>
  <c r="P386" i="27" s="1"/>
  <c r="V386" i="33" s="1"/>
  <c r="K387" i="27"/>
  <c r="M387" i="27" s="1"/>
  <c r="P387" i="27" s="1"/>
  <c r="V387" i="33" s="1"/>
  <c r="K379" i="27"/>
  <c r="M379" i="27" s="1"/>
  <c r="P379" i="27" s="1"/>
  <c r="V379" i="33" s="1"/>
  <c r="K380" i="27"/>
  <c r="M380" i="27" s="1"/>
  <c r="P380" i="27" s="1"/>
  <c r="V380" i="33" s="1"/>
  <c r="K381" i="27"/>
  <c r="M381" i="27" s="1"/>
  <c r="P381" i="27" s="1"/>
  <c r="V381" i="33" s="1"/>
  <c r="K382" i="27"/>
  <c r="M382" i="27" s="1"/>
  <c r="P382" i="27" s="1"/>
  <c r="V382" i="33" s="1"/>
  <c r="K384" i="27"/>
  <c r="M384" i="27" s="1"/>
  <c r="P384" i="27" s="1"/>
  <c r="V384" i="33" s="1"/>
  <c r="K378" i="27"/>
  <c r="M378" i="27" s="1"/>
  <c r="P378" i="27" s="1"/>
  <c r="V378" i="33" s="1"/>
  <c r="G383" i="27"/>
  <c r="F383" i="27"/>
  <c r="K371" i="27"/>
  <c r="M371" i="27" s="1"/>
  <c r="P371" i="27" s="1"/>
  <c r="V371" i="33" s="1"/>
  <c r="K372" i="27"/>
  <c r="M372" i="27" s="1"/>
  <c r="P372" i="27" s="1"/>
  <c r="V372" i="33" s="1"/>
  <c r="K373" i="27"/>
  <c r="M373" i="27" s="1"/>
  <c r="P373" i="27" s="1"/>
  <c r="V373" i="33" s="1"/>
  <c r="K374" i="27"/>
  <c r="M374" i="27" s="1"/>
  <c r="P374" i="27" s="1"/>
  <c r="V374" i="33" s="1"/>
  <c r="K375" i="27"/>
  <c r="M375" i="27" s="1"/>
  <c r="P375" i="27" s="1"/>
  <c r="V375" i="33" s="1"/>
  <c r="K376" i="27"/>
  <c r="M376" i="27" s="1"/>
  <c r="P376" i="27" s="1"/>
  <c r="V376" i="33" s="1"/>
  <c r="F377" i="27"/>
  <c r="K359" i="27"/>
  <c r="M359" i="27" s="1"/>
  <c r="P359" i="27" s="1"/>
  <c r="V359" i="33" s="1"/>
  <c r="K364" i="27"/>
  <c r="M364" i="27" s="1"/>
  <c r="P364" i="27" s="1"/>
  <c r="V364" i="33" s="1"/>
  <c r="K365" i="27"/>
  <c r="M365" i="27" s="1"/>
  <c r="P365" i="27" s="1"/>
  <c r="V365" i="33" s="1"/>
  <c r="K366" i="27"/>
  <c r="M366" i="27" s="1"/>
  <c r="P366" i="27" s="1"/>
  <c r="V366" i="33" s="1"/>
  <c r="K358" i="27"/>
  <c r="M358" i="27" s="1"/>
  <c r="P358" i="27" s="1"/>
  <c r="V358" i="33" s="1"/>
  <c r="K360" i="27"/>
  <c r="M360" i="27" s="1"/>
  <c r="P360" i="27" s="1"/>
  <c r="V360" i="33" s="1"/>
  <c r="K361" i="27"/>
  <c r="M361" i="27" s="1"/>
  <c r="P361" i="27" s="1"/>
  <c r="V361" i="33" s="1"/>
  <c r="K353" i="27"/>
  <c r="M353" i="27" s="1"/>
  <c r="P353" i="27" s="1"/>
  <c r="V353" i="33" s="1"/>
  <c r="K351" i="27"/>
  <c r="M351" i="27" s="1"/>
  <c r="P351" i="27" s="1"/>
  <c r="V351" i="33" s="1"/>
  <c r="K352" i="27"/>
  <c r="M352" i="27" s="1"/>
  <c r="P352" i="27" s="1"/>
  <c r="V352" i="33" s="1"/>
  <c r="K354" i="27"/>
  <c r="M354" i="27" s="1"/>
  <c r="P354" i="27" s="1"/>
  <c r="V354" i="33" s="1"/>
  <c r="K355" i="27"/>
  <c r="M355" i="27" s="1"/>
  <c r="P355" i="27" s="1"/>
  <c r="V355" i="33" s="1"/>
  <c r="K370" i="27"/>
  <c r="M370" i="27" s="1"/>
  <c r="P370" i="27" s="1"/>
  <c r="V370" i="33" s="1"/>
  <c r="K363" i="27"/>
  <c r="M363" i="27" s="1"/>
  <c r="P363" i="27" s="1"/>
  <c r="V363" i="33" s="1"/>
  <c r="K357" i="27"/>
  <c r="M357" i="27" s="1"/>
  <c r="P357" i="27" s="1"/>
  <c r="V357" i="33" s="1"/>
  <c r="K350" i="27"/>
  <c r="M350" i="27" s="1"/>
  <c r="P350" i="27" s="1"/>
  <c r="V350" i="33" s="1"/>
  <c r="G377" i="27"/>
  <c r="G378" i="27"/>
  <c r="H378" i="27"/>
  <c r="G379" i="27"/>
  <c r="H379" i="27"/>
  <c r="G380" i="27"/>
  <c r="H380" i="27"/>
  <c r="G381" i="27"/>
  <c r="H381" i="27"/>
  <c r="G382" i="27"/>
  <c r="H382" i="27"/>
  <c r="G384" i="27"/>
  <c r="H384" i="27"/>
  <c r="G385" i="27"/>
  <c r="H385" i="27"/>
  <c r="G386" i="27"/>
  <c r="H386" i="27"/>
  <c r="G387" i="27"/>
  <c r="H387" i="27"/>
  <c r="G369" i="27"/>
  <c r="G370" i="27"/>
  <c r="H370" i="27"/>
  <c r="G371" i="27"/>
  <c r="H371" i="27"/>
  <c r="G372" i="27"/>
  <c r="H372" i="27"/>
  <c r="G373" i="27"/>
  <c r="H373" i="27"/>
  <c r="G374" i="27"/>
  <c r="H374" i="27"/>
  <c r="G375" i="27"/>
  <c r="H375" i="27"/>
  <c r="G376" i="27"/>
  <c r="H376" i="27"/>
  <c r="F369" i="27"/>
  <c r="E368" i="27"/>
  <c r="H350" i="27"/>
  <c r="H351" i="27"/>
  <c r="H352" i="27"/>
  <c r="H353" i="27"/>
  <c r="H354" i="27"/>
  <c r="H355" i="27"/>
  <c r="H357" i="27"/>
  <c r="H358" i="27"/>
  <c r="H359" i="27"/>
  <c r="H360" i="27"/>
  <c r="H361" i="27"/>
  <c r="H363" i="27"/>
  <c r="H364" i="27"/>
  <c r="H365" i="27"/>
  <c r="H366" i="27"/>
  <c r="G350" i="27"/>
  <c r="G351" i="27"/>
  <c r="G352" i="27"/>
  <c r="G353" i="27"/>
  <c r="G354" i="27"/>
  <c r="G355" i="27"/>
  <c r="F356" i="27"/>
  <c r="G356" i="27"/>
  <c r="G357" i="27"/>
  <c r="G358" i="27"/>
  <c r="G359" i="27"/>
  <c r="G360" i="27"/>
  <c r="G361" i="27"/>
  <c r="F362" i="27"/>
  <c r="G362" i="27"/>
  <c r="G363" i="27"/>
  <c r="G364" i="27"/>
  <c r="G365" i="27"/>
  <c r="G366" i="27"/>
  <c r="F368" i="27"/>
  <c r="K345" i="27"/>
  <c r="M345" i="27" s="1"/>
  <c r="P345" i="27" s="1"/>
  <c r="V345" i="33" s="1"/>
  <c r="K344" i="27"/>
  <c r="M344" i="27" s="1"/>
  <c r="P344" i="27" s="1"/>
  <c r="V344" i="33" s="1"/>
  <c r="K346" i="27"/>
  <c r="M346" i="27" s="1"/>
  <c r="P346" i="27" s="1"/>
  <c r="V346" i="33" s="1"/>
  <c r="K339" i="27"/>
  <c r="M339" i="27" s="1"/>
  <c r="P339" i="27" s="1"/>
  <c r="V339" i="33" s="1"/>
  <c r="K340" i="27"/>
  <c r="M340" i="27" s="1"/>
  <c r="P340" i="27" s="1"/>
  <c r="V340" i="33" s="1"/>
  <c r="K334" i="27"/>
  <c r="M334" i="27" s="1"/>
  <c r="P334" i="27" s="1"/>
  <c r="V334" i="33" s="1"/>
  <c r="K335" i="27"/>
  <c r="M335" i="27" s="1"/>
  <c r="P335" i="27" s="1"/>
  <c r="V335" i="33" s="1"/>
  <c r="K336" i="27"/>
  <c r="M336" i="27" s="1"/>
  <c r="P336" i="27" s="1"/>
  <c r="V336" i="33" s="1"/>
  <c r="K330" i="27"/>
  <c r="M330" i="27" s="1"/>
  <c r="P330" i="27" s="1"/>
  <c r="V330" i="33" s="1"/>
  <c r="K329" i="27"/>
  <c r="M329" i="27" s="1"/>
  <c r="P329" i="27" s="1"/>
  <c r="V329" i="33" s="1"/>
  <c r="K331" i="27"/>
  <c r="M331" i="27" s="1"/>
  <c r="P331" i="27" s="1"/>
  <c r="V331" i="33" s="1"/>
  <c r="K343" i="27"/>
  <c r="M343" i="27" s="1"/>
  <c r="P343" i="27" s="1"/>
  <c r="V343" i="33" s="1"/>
  <c r="K338" i="27"/>
  <c r="M338" i="27" s="1"/>
  <c r="P338" i="27" s="1"/>
  <c r="V338" i="33" s="1"/>
  <c r="K333" i="27"/>
  <c r="M333" i="27" s="1"/>
  <c r="P333" i="27" s="1"/>
  <c r="V333" i="33" s="1"/>
  <c r="K328" i="27"/>
  <c r="M328" i="27" s="1"/>
  <c r="P328" i="27" s="1"/>
  <c r="V328" i="33" s="1"/>
  <c r="V322" i="33"/>
  <c r="P323" i="27"/>
  <c r="V323" i="33" s="1"/>
  <c r="K324" i="27"/>
  <c r="M324" i="27" s="1"/>
  <c r="P324" i="27" s="1"/>
  <c r="V324" i="33" s="1"/>
  <c r="K325" i="27"/>
  <c r="M325" i="27" s="1"/>
  <c r="P325" i="27" s="1"/>
  <c r="V325" i="33" s="1"/>
  <c r="K326" i="27"/>
  <c r="M326" i="27" s="1"/>
  <c r="P326" i="27" s="1"/>
  <c r="V326" i="33" s="1"/>
  <c r="M320" i="27"/>
  <c r="P320" i="27" s="1"/>
  <c r="V320" i="33" s="1"/>
  <c r="E348" i="27"/>
  <c r="F348" i="27"/>
  <c r="F349" i="27"/>
  <c r="F342" i="27"/>
  <c r="F337" i="27"/>
  <c r="F332" i="27"/>
  <c r="F327" i="27"/>
  <c r="G349" i="27"/>
  <c r="G342" i="27"/>
  <c r="G337" i="27"/>
  <c r="G322" i="27"/>
  <c r="H322" i="27"/>
  <c r="G327" i="27"/>
  <c r="G328" i="27"/>
  <c r="H328" i="27"/>
  <c r="G329" i="27"/>
  <c r="H329" i="27"/>
  <c r="G330" i="27"/>
  <c r="H330" i="27"/>
  <c r="G331" i="27"/>
  <c r="H331" i="27"/>
  <c r="G332" i="27"/>
  <c r="G333" i="27"/>
  <c r="H333" i="27"/>
  <c r="G334" i="27"/>
  <c r="H334" i="27"/>
  <c r="G335" i="27"/>
  <c r="H335" i="27"/>
  <c r="G336" i="27"/>
  <c r="H336" i="27"/>
  <c r="G338" i="27"/>
  <c r="H338" i="27"/>
  <c r="G339" i="27"/>
  <c r="H339" i="27"/>
  <c r="G340" i="27"/>
  <c r="H340" i="27"/>
  <c r="G343" i="27"/>
  <c r="H343" i="27"/>
  <c r="G344" i="27"/>
  <c r="H344" i="27"/>
  <c r="G345" i="27"/>
  <c r="H345" i="27"/>
  <c r="G346" i="27"/>
  <c r="H346" i="27"/>
  <c r="G319" i="27"/>
  <c r="F319" i="27"/>
  <c r="F318" i="27"/>
  <c r="E318" i="27"/>
  <c r="Q361" i="33" l="1"/>
  <c r="Q354" i="33"/>
  <c r="I376" i="33"/>
  <c r="Q386" i="33"/>
  <c r="Q380" i="33"/>
  <c r="I372" i="33"/>
  <c r="I381" i="33"/>
  <c r="Q385" i="33"/>
  <c r="Q378" i="33"/>
  <c r="I386" i="33"/>
  <c r="Q373" i="33"/>
  <c r="Q381" i="33"/>
  <c r="I350" i="33"/>
  <c r="Q350" i="33"/>
  <c r="Q353" i="33"/>
  <c r="Q366" i="33"/>
  <c r="I355" i="33"/>
  <c r="I365" i="33"/>
  <c r="Q357" i="33"/>
  <c r="Q365" i="33"/>
  <c r="I336" i="33"/>
  <c r="I339" i="33"/>
  <c r="Q334" i="33"/>
  <c r="I354" i="33"/>
  <c r="I361" i="33"/>
  <c r="I359" i="33"/>
  <c r="I366" i="33"/>
  <c r="I364" i="33"/>
  <c r="Q352" i="33"/>
  <c r="I375" i="33"/>
  <c r="I373" i="33"/>
  <c r="I371" i="33"/>
  <c r="I382" i="33"/>
  <c r="I380" i="33"/>
  <c r="I387" i="33"/>
  <c r="I385" i="33"/>
  <c r="Q359" i="33"/>
  <c r="Q364" i="33"/>
  <c r="Q370" i="33"/>
  <c r="Q376" i="33"/>
  <c r="Q372" i="33"/>
  <c r="Q379" i="33"/>
  <c r="I324" i="33"/>
  <c r="Q326" i="33"/>
  <c r="Q322" i="33"/>
  <c r="I334" i="33"/>
  <c r="I353" i="33"/>
  <c r="I357" i="33"/>
  <c r="Q355" i="33"/>
  <c r="Q351" i="33"/>
  <c r="I378" i="33"/>
  <c r="Q358" i="33"/>
  <c r="Q375" i="33"/>
  <c r="Q371" i="33"/>
  <c r="Q382" i="33"/>
  <c r="Q387" i="33"/>
  <c r="I323" i="33"/>
  <c r="Q325" i="33"/>
  <c r="I333" i="33"/>
  <c r="Q344" i="33"/>
  <c r="I352" i="33"/>
  <c r="I360" i="33"/>
  <c r="I358" i="33"/>
  <c r="I374" i="33"/>
  <c r="I379" i="33"/>
  <c r="Q374" i="33"/>
  <c r="I326" i="33"/>
  <c r="I322" i="33"/>
  <c r="Q324" i="33"/>
  <c r="Q335" i="33"/>
  <c r="I351" i="33"/>
  <c r="I363" i="33"/>
  <c r="I370" i="33"/>
  <c r="I384" i="33"/>
  <c r="Q363" i="33"/>
  <c r="Q360" i="33"/>
  <c r="Q384" i="33"/>
  <c r="I325" i="33"/>
  <c r="Q323" i="33"/>
  <c r="U74" i="32"/>
  <c r="U76" i="32"/>
  <c r="U71" i="32"/>
  <c r="U70" i="32"/>
  <c r="U67" i="32"/>
  <c r="U64" i="32"/>
  <c r="U68" i="32"/>
  <c r="U65" i="32"/>
  <c r="I331" i="33"/>
  <c r="I329" i="33"/>
  <c r="I335" i="33"/>
  <c r="I340" i="33"/>
  <c r="Q333" i="33"/>
  <c r="Q339" i="33"/>
  <c r="Q329" i="33"/>
  <c r="I330" i="33"/>
  <c r="I338" i="33"/>
  <c r="Q340" i="33"/>
  <c r="I328" i="33"/>
  <c r="Q338" i="33"/>
  <c r="Q336" i="33"/>
  <c r="I320" i="33"/>
  <c r="Q328" i="33"/>
  <c r="Q320" i="33"/>
  <c r="Q330" i="33"/>
  <c r="Q331" i="33"/>
  <c r="I345" i="33"/>
  <c r="I343" i="33"/>
  <c r="I346" i="33"/>
  <c r="I344" i="33"/>
  <c r="Q346" i="33"/>
  <c r="Q343" i="33"/>
  <c r="Q345" i="33"/>
  <c r="H141" i="32" l="1"/>
  <c r="I141" i="32" s="1"/>
  <c r="J141" i="32" s="1"/>
  <c r="K141" i="32" s="1"/>
  <c r="L141" i="32" s="1"/>
  <c r="N141" i="32" s="1"/>
  <c r="H139" i="32"/>
  <c r="H144" i="32"/>
  <c r="I144" i="32" s="1"/>
  <c r="J144" i="32" s="1"/>
  <c r="K144" i="32" s="1"/>
  <c r="L144" i="32" s="1"/>
  <c r="N144" i="32" s="1"/>
  <c r="H143" i="32"/>
  <c r="H140" i="32"/>
  <c r="I140" i="32" s="1"/>
  <c r="J140" i="32" s="1"/>
  <c r="K140" i="32" s="1"/>
  <c r="H136" i="32"/>
  <c r="I136" i="32" s="1"/>
  <c r="J136" i="32" s="1"/>
  <c r="K136" i="32" s="1"/>
  <c r="H135" i="32"/>
  <c r="H130" i="32"/>
  <c r="I130" i="32" s="1"/>
  <c r="J130" i="32" s="1"/>
  <c r="K130" i="32" s="1"/>
  <c r="H131" i="32"/>
  <c r="I131" i="32" s="1"/>
  <c r="J131" i="32" s="1"/>
  <c r="K131" i="32" s="1"/>
  <c r="L131" i="32" s="1"/>
  <c r="N131" i="32" s="1"/>
  <c r="H132" i="32"/>
  <c r="I132" i="32" s="1"/>
  <c r="J132" i="32" s="1"/>
  <c r="K132" i="32" s="1"/>
  <c r="H133" i="32"/>
  <c r="I133" i="32" s="1"/>
  <c r="J133" i="32" s="1"/>
  <c r="K133" i="32" s="1"/>
  <c r="H129" i="32"/>
  <c r="H126" i="32"/>
  <c r="I126" i="32" s="1"/>
  <c r="J126" i="32" s="1"/>
  <c r="H125" i="32"/>
  <c r="H122" i="32"/>
  <c r="I122" i="32" s="1"/>
  <c r="J122" i="32" s="1"/>
  <c r="H123" i="32"/>
  <c r="I123" i="32" s="1"/>
  <c r="J123" i="32" s="1"/>
  <c r="H121" i="32"/>
  <c r="H116" i="32"/>
  <c r="I116" i="32" s="1"/>
  <c r="J116" i="32" s="1"/>
  <c r="H117" i="32"/>
  <c r="I117" i="32" s="1"/>
  <c r="J117" i="32" s="1"/>
  <c r="K117" i="32" s="1"/>
  <c r="H118" i="32"/>
  <c r="I118" i="32" s="1"/>
  <c r="J118" i="32" s="1"/>
  <c r="H119" i="32"/>
  <c r="I119" i="32" s="1"/>
  <c r="J119" i="32" s="1"/>
  <c r="H115" i="32"/>
  <c r="H112" i="32"/>
  <c r="H110" i="32"/>
  <c r="I110" i="32" s="1"/>
  <c r="J110" i="32" s="1"/>
  <c r="K110" i="32" s="1"/>
  <c r="L110" i="32" s="1"/>
  <c r="N110" i="32" s="1"/>
  <c r="H109" i="32"/>
  <c r="H106" i="32"/>
  <c r="I106" i="32" s="1"/>
  <c r="J106" i="32" s="1"/>
  <c r="K106" i="32" s="1"/>
  <c r="H105" i="32"/>
  <c r="H101" i="32"/>
  <c r="I101" i="32" s="1"/>
  <c r="J101" i="32" s="1"/>
  <c r="K101" i="32" s="1"/>
  <c r="H102" i="32"/>
  <c r="I102" i="32" s="1"/>
  <c r="J102" i="32" s="1"/>
  <c r="K102" i="32" s="1"/>
  <c r="H103" i="32"/>
  <c r="I103" i="32" s="1"/>
  <c r="J103" i="32" s="1"/>
  <c r="K103" i="32" s="1"/>
  <c r="H100" i="32"/>
  <c r="H95" i="32"/>
  <c r="I95" i="32" s="1"/>
  <c r="J95" i="32" s="1"/>
  <c r="K95" i="32" s="1"/>
  <c r="H96" i="32"/>
  <c r="I96" i="32" s="1"/>
  <c r="J96" i="32" s="1"/>
  <c r="K96" i="32" s="1"/>
  <c r="H97" i="32"/>
  <c r="I97" i="32" s="1"/>
  <c r="J97" i="32" s="1"/>
  <c r="K97" i="32" s="1"/>
  <c r="H94" i="32"/>
  <c r="H90" i="32"/>
  <c r="I90" i="32" s="1"/>
  <c r="J90" i="32" s="1"/>
  <c r="K90" i="32" s="1"/>
  <c r="H91" i="32"/>
  <c r="I91" i="32" s="1"/>
  <c r="J91" i="32" s="1"/>
  <c r="K91" i="32" s="1"/>
  <c r="H92" i="32"/>
  <c r="I92" i="32" s="1"/>
  <c r="J92" i="32" s="1"/>
  <c r="K92" i="32" s="1"/>
  <c r="H89" i="32"/>
  <c r="H85" i="32"/>
  <c r="I85" i="32" s="1"/>
  <c r="J85" i="32" s="1"/>
  <c r="K85" i="32" s="1"/>
  <c r="H86" i="32"/>
  <c r="I86" i="32" s="1"/>
  <c r="J86" i="32" s="1"/>
  <c r="K86" i="32" s="1"/>
  <c r="H87" i="32"/>
  <c r="I87" i="32" s="1"/>
  <c r="J87" i="32" s="1"/>
  <c r="K87" i="32" s="1"/>
  <c r="H84" i="32"/>
  <c r="H80" i="32"/>
  <c r="I80" i="32" s="1"/>
  <c r="J80" i="32" s="1"/>
  <c r="K80" i="32" s="1"/>
  <c r="H81" i="32"/>
  <c r="I81" i="32" s="1"/>
  <c r="J81" i="32" s="1"/>
  <c r="K81" i="32" s="1"/>
  <c r="L81" i="32" s="1"/>
  <c r="N81" i="32" s="1"/>
  <c r="H82" i="32"/>
  <c r="I82" i="32" s="1"/>
  <c r="J82" i="32" s="1"/>
  <c r="K82" i="32" s="1"/>
  <c r="H79" i="32"/>
  <c r="H39" i="32"/>
  <c r="I39" i="32" s="1"/>
  <c r="J39" i="32" s="1"/>
  <c r="K39" i="32" s="1"/>
  <c r="H38" i="32"/>
  <c r="I25" i="32"/>
  <c r="J25" i="32" s="1"/>
  <c r="K25" i="32" s="1"/>
  <c r="I26" i="32"/>
  <c r="J26" i="32" s="1"/>
  <c r="K26" i="32" s="1"/>
  <c r="I27" i="32"/>
  <c r="J27" i="32" s="1"/>
  <c r="K27" i="32" s="1"/>
  <c r="I28" i="32"/>
  <c r="J28" i="32" s="1"/>
  <c r="K28" i="32" s="1"/>
  <c r="I24" i="32"/>
  <c r="H11" i="32"/>
  <c r="H12" i="32"/>
  <c r="H13" i="32"/>
  <c r="H10" i="32"/>
  <c r="K118" i="32" l="1"/>
  <c r="L118" i="32" s="1"/>
  <c r="N118" i="32" s="1"/>
  <c r="K122" i="32"/>
  <c r="L122" i="32" s="1"/>
  <c r="N122" i="32" s="1"/>
  <c r="K116" i="32"/>
  <c r="L116" i="32" s="1"/>
  <c r="K123" i="32"/>
  <c r="L123" i="32" s="1"/>
  <c r="N123" i="32" s="1"/>
  <c r="K119" i="32"/>
  <c r="L119" i="32" s="1"/>
  <c r="N119" i="32" s="1"/>
  <c r="K126" i="32"/>
  <c r="L126" i="32" s="1"/>
  <c r="I143" i="32"/>
  <c r="H142" i="32"/>
  <c r="I139" i="32"/>
  <c r="H138" i="32"/>
  <c r="I135" i="32"/>
  <c r="H134" i="32"/>
  <c r="I129" i="32"/>
  <c r="H128" i="32"/>
  <c r="I121" i="32"/>
  <c r="J121" i="32" s="1"/>
  <c r="H120" i="32"/>
  <c r="I125" i="32"/>
  <c r="J125" i="32" s="1"/>
  <c r="H124" i="32"/>
  <c r="I115" i="32"/>
  <c r="J115" i="32" s="1"/>
  <c r="H114" i="32"/>
  <c r="I112" i="32"/>
  <c r="H111" i="32"/>
  <c r="I109" i="32"/>
  <c r="H108" i="32"/>
  <c r="I105" i="32"/>
  <c r="H104" i="32"/>
  <c r="I100" i="32"/>
  <c r="H99" i="32"/>
  <c r="I94" i="32"/>
  <c r="H93" i="32"/>
  <c r="I89" i="32"/>
  <c r="H88" i="32"/>
  <c r="I84" i="32"/>
  <c r="H83" i="32"/>
  <c r="I79" i="32"/>
  <c r="H78" i="32"/>
  <c r="I38" i="32"/>
  <c r="H37" i="32"/>
  <c r="J24" i="32"/>
  <c r="I23" i="32"/>
  <c r="H9" i="32"/>
  <c r="H3" i="32" s="1"/>
  <c r="L82" i="32"/>
  <c r="N82" i="32" s="1"/>
  <c r="L87" i="32"/>
  <c r="N87" i="32" s="1"/>
  <c r="L92" i="32"/>
  <c r="N92" i="32" s="1"/>
  <c r="L97" i="32"/>
  <c r="N97" i="32" s="1"/>
  <c r="L86" i="32"/>
  <c r="N86" i="32" s="1"/>
  <c r="L91" i="32"/>
  <c r="N91" i="32" s="1"/>
  <c r="L96" i="32"/>
  <c r="N96" i="32" s="1"/>
  <c r="L80" i="32"/>
  <c r="N80" i="32" s="1"/>
  <c r="L85" i="32"/>
  <c r="N85" i="32" s="1"/>
  <c r="L90" i="32"/>
  <c r="N90" i="32" s="1"/>
  <c r="L95" i="32"/>
  <c r="N95" i="32" s="1"/>
  <c r="L140" i="32"/>
  <c r="N140" i="32" s="1"/>
  <c r="L132" i="32"/>
  <c r="N132" i="32" s="1"/>
  <c r="L136" i="32"/>
  <c r="L133" i="32"/>
  <c r="N133" i="32" s="1"/>
  <c r="L130" i="32"/>
  <c r="N130" i="32" s="1"/>
  <c r="L117" i="32"/>
  <c r="N117" i="32" s="1"/>
  <c r="L103" i="32"/>
  <c r="N103" i="32" s="1"/>
  <c r="L106" i="32"/>
  <c r="N106" i="32" s="1"/>
  <c r="L102" i="32"/>
  <c r="N102" i="32" s="1"/>
  <c r="L101" i="32"/>
  <c r="N101" i="32" s="1"/>
  <c r="L39" i="32"/>
  <c r="N39" i="32" s="1"/>
  <c r="L26" i="32"/>
  <c r="N26" i="32" s="1"/>
  <c r="L28" i="32"/>
  <c r="N28" i="32" s="1"/>
  <c r="L25" i="32"/>
  <c r="N25" i="32" s="1"/>
  <c r="L27" i="32"/>
  <c r="N27" i="32" s="1"/>
  <c r="J139" i="32" l="1"/>
  <c r="I138" i="32"/>
  <c r="J143" i="32"/>
  <c r="I142" i="32"/>
  <c r="J135" i="32"/>
  <c r="I134" i="32"/>
  <c r="J129" i="32"/>
  <c r="I128" i="32"/>
  <c r="I124" i="32"/>
  <c r="I120" i="32"/>
  <c r="I114" i="32"/>
  <c r="J109" i="32"/>
  <c r="I108" i="32"/>
  <c r="J112" i="32"/>
  <c r="I111" i="32"/>
  <c r="J105" i="32"/>
  <c r="I104" i="32"/>
  <c r="J100" i="32"/>
  <c r="I99" i="32"/>
  <c r="J89" i="32"/>
  <c r="I88" i="32"/>
  <c r="J94" i="32"/>
  <c r="I93" i="32"/>
  <c r="J84" i="32"/>
  <c r="I83" i="32"/>
  <c r="J79" i="32"/>
  <c r="I78" i="32"/>
  <c r="J38" i="32"/>
  <c r="I37" i="32"/>
  <c r="H98" i="32"/>
  <c r="K24" i="32"/>
  <c r="J23" i="32"/>
  <c r="H127" i="32"/>
  <c r="H137" i="32"/>
  <c r="H113" i="32"/>
  <c r="H107" i="32"/>
  <c r="H77" i="32"/>
  <c r="N126" i="32"/>
  <c r="N136" i="32"/>
  <c r="N116" i="32"/>
  <c r="H491" i="33"/>
  <c r="H490" i="33"/>
  <c r="H489" i="33"/>
  <c r="H488" i="33"/>
  <c r="H484" i="33"/>
  <c r="H483" i="33"/>
  <c r="H486" i="33"/>
  <c r="H485" i="33"/>
  <c r="H478" i="33"/>
  <c r="H479" i="33"/>
  <c r="H480" i="33"/>
  <c r="H481" i="33"/>
  <c r="H477" i="33"/>
  <c r="H470" i="33"/>
  <c r="H471" i="33"/>
  <c r="H472" i="33"/>
  <c r="H473" i="33"/>
  <c r="H474" i="33"/>
  <c r="H475" i="33"/>
  <c r="H469" i="33"/>
  <c r="K489" i="27"/>
  <c r="M489" i="27" s="1"/>
  <c r="P489" i="27" s="1"/>
  <c r="V489" i="33" s="1"/>
  <c r="K490" i="27"/>
  <c r="M490" i="27" s="1"/>
  <c r="P490" i="27" s="1"/>
  <c r="V490" i="33" s="1"/>
  <c r="K491" i="27"/>
  <c r="M491" i="27" s="1"/>
  <c r="P491" i="27" s="1"/>
  <c r="V491" i="33" s="1"/>
  <c r="K484" i="27"/>
  <c r="M484" i="27" s="1"/>
  <c r="P484" i="27" s="1"/>
  <c r="V484" i="33" s="1"/>
  <c r="K485" i="27"/>
  <c r="M485" i="27" s="1"/>
  <c r="P485" i="27" s="1"/>
  <c r="V485" i="33" s="1"/>
  <c r="K486" i="27"/>
  <c r="I486" i="33" s="1"/>
  <c r="K488" i="27"/>
  <c r="M488" i="27" s="1"/>
  <c r="P488" i="27" s="1"/>
  <c r="V488" i="33" s="1"/>
  <c r="K483" i="27"/>
  <c r="M483" i="27" s="1"/>
  <c r="P483" i="27" s="1"/>
  <c r="V483" i="33" s="1"/>
  <c r="K481" i="27"/>
  <c r="I481" i="33" s="1"/>
  <c r="K480" i="27"/>
  <c r="M480" i="27" s="1"/>
  <c r="P480" i="27" s="1"/>
  <c r="V480" i="33" s="1"/>
  <c r="K478" i="27"/>
  <c r="M478" i="27" s="1"/>
  <c r="P478" i="27" s="1"/>
  <c r="V478" i="33" s="1"/>
  <c r="K479" i="27"/>
  <c r="M479" i="27" s="1"/>
  <c r="P479" i="27" s="1"/>
  <c r="V479" i="33" s="1"/>
  <c r="K477" i="27"/>
  <c r="M477" i="27" s="1"/>
  <c r="P477" i="27" s="1"/>
  <c r="V477" i="33" s="1"/>
  <c r="K474" i="27"/>
  <c r="M474" i="27" s="1"/>
  <c r="P474" i="27" s="1"/>
  <c r="V474" i="33" s="1"/>
  <c r="K473" i="27"/>
  <c r="M473" i="27" s="1"/>
  <c r="P473" i="27" s="1"/>
  <c r="V473" i="33" s="1"/>
  <c r="K475" i="27"/>
  <c r="M475" i="27" s="1"/>
  <c r="P475" i="27" s="1"/>
  <c r="V475" i="33" s="1"/>
  <c r="K470" i="27"/>
  <c r="I470" i="33" s="1"/>
  <c r="K471" i="27"/>
  <c r="M471" i="27" s="1"/>
  <c r="P471" i="27" s="1"/>
  <c r="V471" i="33" s="1"/>
  <c r="K472" i="27"/>
  <c r="M472" i="27" s="1"/>
  <c r="P472" i="27" s="1"/>
  <c r="V472" i="33" s="1"/>
  <c r="K469" i="27"/>
  <c r="M469" i="27" s="1"/>
  <c r="P469" i="27" s="1"/>
  <c r="V469" i="33" s="1"/>
  <c r="G487" i="27"/>
  <c r="G482" i="27"/>
  <c r="G476" i="27"/>
  <c r="F487" i="27"/>
  <c r="F482" i="27"/>
  <c r="F476" i="27"/>
  <c r="G491" i="27"/>
  <c r="H491" i="27"/>
  <c r="G486" i="27"/>
  <c r="H486" i="27"/>
  <c r="G488" i="27"/>
  <c r="H488" i="27"/>
  <c r="G489" i="27"/>
  <c r="H489" i="27"/>
  <c r="G490" i="27"/>
  <c r="H490" i="27"/>
  <c r="G475" i="27"/>
  <c r="H475" i="27"/>
  <c r="G477" i="27"/>
  <c r="H477" i="27"/>
  <c r="G478" i="27"/>
  <c r="H478" i="27"/>
  <c r="G479" i="27"/>
  <c r="H479" i="27"/>
  <c r="G480" i="27"/>
  <c r="H480" i="27"/>
  <c r="G481" i="27"/>
  <c r="H481" i="27"/>
  <c r="G483" i="27"/>
  <c r="H483" i="27"/>
  <c r="G484" i="27"/>
  <c r="H484" i="27"/>
  <c r="G485" i="27"/>
  <c r="H485" i="27"/>
  <c r="G470" i="27"/>
  <c r="H470" i="27"/>
  <c r="G471" i="27"/>
  <c r="H471" i="27"/>
  <c r="G472" i="27"/>
  <c r="H472" i="27"/>
  <c r="G473" i="27"/>
  <c r="H473" i="27"/>
  <c r="G474" i="27"/>
  <c r="H474" i="27"/>
  <c r="H469" i="27"/>
  <c r="G469" i="27"/>
  <c r="G468" i="27"/>
  <c r="F468" i="27"/>
  <c r="F467" i="27"/>
  <c r="E467" i="27"/>
  <c r="U97" i="32"/>
  <c r="I127" i="32" l="1"/>
  <c r="I107" i="32"/>
  <c r="K143" i="32"/>
  <c r="J142" i="32"/>
  <c r="I77" i="32"/>
  <c r="I98" i="32"/>
  <c r="I113" i="32"/>
  <c r="I137" i="32"/>
  <c r="K139" i="32"/>
  <c r="J138" i="32"/>
  <c r="K135" i="32"/>
  <c r="J134" i="32"/>
  <c r="K129" i="32"/>
  <c r="J128" i="32"/>
  <c r="K121" i="32"/>
  <c r="J120" i="32"/>
  <c r="K125" i="32"/>
  <c r="J124" i="32"/>
  <c r="K115" i="32"/>
  <c r="J114" i="32"/>
  <c r="K112" i="32"/>
  <c r="J111" i="32"/>
  <c r="K109" i="32"/>
  <c r="J108" i="32"/>
  <c r="K105" i="32"/>
  <c r="J104" i="32"/>
  <c r="K100" i="32"/>
  <c r="J99" i="32"/>
  <c r="K94" i="32"/>
  <c r="J93" i="32"/>
  <c r="K89" i="32"/>
  <c r="J88" i="32"/>
  <c r="K84" i="32"/>
  <c r="J83" i="32"/>
  <c r="K79" i="32"/>
  <c r="J78" i="32"/>
  <c r="K38" i="32"/>
  <c r="J37" i="32"/>
  <c r="K23" i="32"/>
  <c r="L24" i="32"/>
  <c r="L23" i="32" s="1"/>
  <c r="I491" i="33"/>
  <c r="M486" i="27"/>
  <c r="P486" i="27" s="1"/>
  <c r="V486" i="33" s="1"/>
  <c r="Q473" i="33"/>
  <c r="M470" i="27"/>
  <c r="P470" i="27" s="1"/>
  <c r="V470" i="33" s="1"/>
  <c r="I477" i="33"/>
  <c r="I478" i="33"/>
  <c r="I483" i="33"/>
  <c r="Q480" i="33"/>
  <c r="I473" i="33"/>
  <c r="I488" i="33"/>
  <c r="M481" i="27"/>
  <c r="Q489" i="33"/>
  <c r="Q472" i="33"/>
  <c r="I472" i="33"/>
  <c r="I484" i="33"/>
  <c r="Q475" i="33"/>
  <c r="Q471" i="33"/>
  <c r="Q479" i="33"/>
  <c r="Q488" i="33"/>
  <c r="Q491" i="33"/>
  <c r="I475" i="33"/>
  <c r="I471" i="33"/>
  <c r="I480" i="33"/>
  <c r="I485" i="33"/>
  <c r="I489" i="33"/>
  <c r="Q485" i="33"/>
  <c r="Q469" i="33"/>
  <c r="Q483" i="33"/>
  <c r="Q484" i="33"/>
  <c r="I469" i="33"/>
  <c r="Q474" i="33"/>
  <c r="Q477" i="33"/>
  <c r="Q478" i="33"/>
  <c r="Q490" i="33"/>
  <c r="I474" i="33"/>
  <c r="I479" i="33"/>
  <c r="I490" i="33"/>
  <c r="U94" i="32"/>
  <c r="U95" i="32"/>
  <c r="U96" i="32"/>
  <c r="J137" i="32" l="1"/>
  <c r="J127" i="32"/>
  <c r="K138" i="32"/>
  <c r="L139" i="32"/>
  <c r="J77" i="32"/>
  <c r="J98" i="32"/>
  <c r="J107" i="32"/>
  <c r="J113" i="32"/>
  <c r="K142" i="32"/>
  <c r="L143" i="32"/>
  <c r="L135" i="32"/>
  <c r="K134" i="32"/>
  <c r="K128" i="32"/>
  <c r="L129" i="32"/>
  <c r="L121" i="32"/>
  <c r="K120" i="32"/>
  <c r="L125" i="32"/>
  <c r="K124" i="32"/>
  <c r="L115" i="32"/>
  <c r="K114" i="32"/>
  <c r="K108" i="32"/>
  <c r="L109" i="32"/>
  <c r="N109" i="32" s="1"/>
  <c r="L112" i="32"/>
  <c r="K111" i="32"/>
  <c r="L105" i="32"/>
  <c r="N105" i="32" s="1"/>
  <c r="K104" i="32"/>
  <c r="L100" i="32"/>
  <c r="N100" i="32" s="1"/>
  <c r="K99" i="32"/>
  <c r="L89" i="32"/>
  <c r="N89" i="32" s="1"/>
  <c r="K88" i="32"/>
  <c r="L94" i="32"/>
  <c r="N94" i="32" s="1"/>
  <c r="K93" i="32"/>
  <c r="L84" i="32"/>
  <c r="N84" i="32" s="1"/>
  <c r="K83" i="32"/>
  <c r="K78" i="32"/>
  <c r="L79" i="32"/>
  <c r="N79" i="32" s="1"/>
  <c r="L38" i="32"/>
  <c r="N38" i="32" s="1"/>
  <c r="K37" i="32"/>
  <c r="Q486" i="33"/>
  <c r="Q470" i="33"/>
  <c r="P481" i="27"/>
  <c r="V481" i="33" s="1"/>
  <c r="Q481" i="33"/>
  <c r="K127" i="32" l="1"/>
  <c r="L142" i="32"/>
  <c r="N143" i="32"/>
  <c r="N142" i="32" s="1"/>
  <c r="K98" i="32"/>
  <c r="K113" i="32"/>
  <c r="N139" i="32"/>
  <c r="L138" i="32"/>
  <c r="K77" i="32"/>
  <c r="K137" i="32"/>
  <c r="N135" i="32"/>
  <c r="N134" i="32" s="1"/>
  <c r="L134" i="32"/>
  <c r="N129" i="32"/>
  <c r="N128" i="32" s="1"/>
  <c r="L128" i="32"/>
  <c r="N121" i="32"/>
  <c r="N120" i="32" s="1"/>
  <c r="L120" i="32"/>
  <c r="N125" i="32"/>
  <c r="L124" i="32"/>
  <c r="N115" i="32"/>
  <c r="N114" i="32" s="1"/>
  <c r="L114" i="32"/>
  <c r="N112" i="32"/>
  <c r="L111" i="32"/>
  <c r="L108" i="32"/>
  <c r="K107" i="32"/>
  <c r="N104" i="32"/>
  <c r="L104" i="32"/>
  <c r="L99" i="32"/>
  <c r="N93" i="32"/>
  <c r="L93" i="32"/>
  <c r="N88" i="32"/>
  <c r="L88" i="32"/>
  <c r="N83" i="32"/>
  <c r="L83" i="32"/>
  <c r="N78" i="32"/>
  <c r="L78" i="32"/>
  <c r="L37" i="32"/>
  <c r="H394" i="33"/>
  <c r="H395" i="33"/>
  <c r="H396" i="33"/>
  <c r="H397" i="33"/>
  <c r="H398" i="33"/>
  <c r="H399" i="33"/>
  <c r="L137" i="32" l="1"/>
  <c r="N138" i="32"/>
  <c r="N137" i="32" s="1"/>
  <c r="N111" i="32"/>
  <c r="N108" i="32"/>
  <c r="N99" i="32"/>
  <c r="N98" i="32" s="1"/>
  <c r="N37" i="32"/>
  <c r="L77" i="32"/>
  <c r="L127" i="32"/>
  <c r="L98" i="32"/>
  <c r="N127" i="32"/>
  <c r="N77" i="32"/>
  <c r="L107" i="32"/>
  <c r="N124" i="32"/>
  <c r="N113" i="32" s="1"/>
  <c r="L113" i="32"/>
  <c r="H74" i="33"/>
  <c r="G74" i="27"/>
  <c r="H74" i="27"/>
  <c r="K74" i="27"/>
  <c r="M74" i="27" s="1"/>
  <c r="P74" i="27" s="1"/>
  <c r="V74" i="33" s="1"/>
  <c r="N107" i="32" l="1"/>
  <c r="Q74" i="33"/>
  <c r="I74" i="33"/>
  <c r="K244" i="27"/>
  <c r="M244" i="27" s="1"/>
  <c r="P244" i="27" s="1"/>
  <c r="AB20" i="33" l="1"/>
  <c r="AB17" i="33"/>
  <c r="AB16" i="33" l="1"/>
  <c r="AA40" i="33" l="1"/>
  <c r="AA39" i="33"/>
  <c r="AA44" i="33"/>
  <c r="AA42" i="33"/>
  <c r="U112" i="32"/>
  <c r="F107" i="32" l="1"/>
  <c r="U110" i="32"/>
  <c r="U109" i="32"/>
  <c r="K59" i="27" l="1"/>
  <c r="K58" i="27"/>
  <c r="M58" i="27" s="1"/>
  <c r="K57" i="27"/>
  <c r="M57" i="27" s="1"/>
  <c r="K56" i="27"/>
  <c r="M56" i="27" s="1"/>
  <c r="K716" i="27" l="1"/>
  <c r="K715" i="27"/>
  <c r="K714" i="27"/>
  <c r="K713" i="27"/>
  <c r="K712" i="27"/>
  <c r="K711" i="27"/>
  <c r="K710" i="27"/>
  <c r="K708" i="27"/>
  <c r="K707" i="27"/>
  <c r="K706" i="27"/>
  <c r="K705" i="27"/>
  <c r="K704" i="27"/>
  <c r="K700" i="27"/>
  <c r="K699" i="27"/>
  <c r="K698" i="27"/>
  <c r="K697" i="27"/>
  <c r="K696" i="27"/>
  <c r="K694" i="27"/>
  <c r="K693" i="27"/>
  <c r="K692" i="27"/>
  <c r="K691" i="27"/>
  <c r="K690" i="27"/>
  <c r="K689" i="27"/>
  <c r="K688" i="27"/>
  <c r="K686" i="27"/>
  <c r="K685" i="27"/>
  <c r="K684" i="27"/>
  <c r="K683" i="27"/>
  <c r="K682" i="27"/>
  <c r="K681" i="27"/>
  <c r="K675" i="27"/>
  <c r="K674" i="27"/>
  <c r="K673" i="27"/>
  <c r="K672" i="27"/>
  <c r="K670" i="27"/>
  <c r="K669" i="27"/>
  <c r="K668" i="27"/>
  <c r="K664" i="27"/>
  <c r="K663" i="27"/>
  <c r="K662" i="27"/>
  <c r="K661" i="27"/>
  <c r="K659" i="27"/>
  <c r="K658" i="27"/>
  <c r="K657" i="27"/>
  <c r="M657" i="27" s="1"/>
  <c r="K656" i="27"/>
  <c r="M656" i="27" s="1"/>
  <c r="K654" i="27"/>
  <c r="K653" i="27"/>
  <c r="K652" i="27"/>
  <c r="K651" i="27"/>
  <c r="K649" i="27"/>
  <c r="K648" i="27"/>
  <c r="K647" i="27"/>
  <c r="K646" i="27"/>
  <c r="K644" i="27"/>
  <c r="K643" i="27"/>
  <c r="K642" i="27"/>
  <c r="K641" i="27"/>
  <c r="K640" i="27"/>
  <c r="K639" i="27"/>
  <c r="K633" i="27"/>
  <c r="K632" i="27"/>
  <c r="K631" i="27"/>
  <c r="K630" i="27"/>
  <c r="K629" i="27"/>
  <c r="K626" i="27"/>
  <c r="K625" i="27"/>
  <c r="K624" i="27"/>
  <c r="K623" i="27"/>
  <c r="K622" i="27"/>
  <c r="K618" i="27"/>
  <c r="K617" i="27"/>
  <c r="K616" i="27"/>
  <c r="K615" i="27"/>
  <c r="K614" i="27"/>
  <c r="K613" i="27"/>
  <c r="K611" i="27"/>
  <c r="K610" i="27"/>
  <c r="K609" i="27"/>
  <c r="K608" i="27"/>
  <c r="K607" i="27"/>
  <c r="K606" i="27"/>
  <c r="K604" i="27"/>
  <c r="K603" i="27"/>
  <c r="K602" i="27"/>
  <c r="K601" i="27"/>
  <c r="K600" i="27"/>
  <c r="K599" i="27"/>
  <c r="K595" i="27"/>
  <c r="K594" i="27"/>
  <c r="K593" i="27"/>
  <c r="K592" i="27"/>
  <c r="K591" i="27"/>
  <c r="K590" i="27"/>
  <c r="K589" i="27"/>
  <c r="K587" i="27"/>
  <c r="K586" i="27"/>
  <c r="K585" i="27"/>
  <c r="K584" i="27"/>
  <c r="K582" i="27"/>
  <c r="K581" i="27"/>
  <c r="K580" i="27"/>
  <c r="K579" i="27"/>
  <c r="K578" i="27"/>
  <c r="K577" i="27"/>
  <c r="K576" i="27"/>
  <c r="K574" i="27"/>
  <c r="K573" i="27"/>
  <c r="K572" i="27"/>
  <c r="K571" i="27"/>
  <c r="K570" i="27"/>
  <c r="K568" i="27"/>
  <c r="K567" i="27"/>
  <c r="K566" i="27"/>
  <c r="K565" i="27"/>
  <c r="K564" i="27"/>
  <c r="K563" i="27"/>
  <c r="K557" i="27"/>
  <c r="K556" i="27"/>
  <c r="K555" i="27"/>
  <c r="K554" i="27"/>
  <c r="K553" i="27"/>
  <c r="K552" i="27"/>
  <c r="K548" i="27"/>
  <c r="K547" i="27"/>
  <c r="K546" i="27"/>
  <c r="M546" i="27" s="1"/>
  <c r="K545" i="27"/>
  <c r="M545" i="27" s="1"/>
  <c r="K541" i="27"/>
  <c r="K540" i="27"/>
  <c r="K539" i="27"/>
  <c r="K538" i="27"/>
  <c r="K537" i="27"/>
  <c r="K536" i="27"/>
  <c r="K535" i="27"/>
  <c r="K529" i="27"/>
  <c r="K528" i="27"/>
  <c r="M528" i="27" s="1"/>
  <c r="K527" i="27"/>
  <c r="M527" i="27" s="1"/>
  <c r="K526" i="27"/>
  <c r="M526" i="27" s="1"/>
  <c r="K524" i="27"/>
  <c r="K523" i="27"/>
  <c r="K522" i="27"/>
  <c r="K521" i="27"/>
  <c r="K516" i="27"/>
  <c r="K515" i="27"/>
  <c r="M515" i="27" s="1"/>
  <c r="K514" i="27"/>
  <c r="M514" i="27" s="1"/>
  <c r="K512" i="27"/>
  <c r="K511" i="27"/>
  <c r="K510" i="27"/>
  <c r="K509" i="27"/>
  <c r="K507" i="27"/>
  <c r="K506" i="27"/>
  <c r="K505" i="27"/>
  <c r="K504" i="27"/>
  <c r="K502" i="27"/>
  <c r="K501" i="27"/>
  <c r="K500" i="27"/>
  <c r="K499" i="27"/>
  <c r="K498" i="27"/>
  <c r="K497" i="27"/>
  <c r="K465" i="27"/>
  <c r="K464" i="27"/>
  <c r="K463" i="27"/>
  <c r="M463" i="27" s="1"/>
  <c r="K462" i="27"/>
  <c r="M462" i="27" s="1"/>
  <c r="K460" i="27"/>
  <c r="K459" i="27"/>
  <c r="K458" i="27"/>
  <c r="K457" i="27"/>
  <c r="K455" i="27"/>
  <c r="K454" i="27"/>
  <c r="K453" i="27"/>
  <c r="K452" i="27"/>
  <c r="K450" i="27"/>
  <c r="K449" i="27"/>
  <c r="K448" i="27"/>
  <c r="K447" i="27"/>
  <c r="K446" i="27"/>
  <c r="K445" i="27"/>
  <c r="K444" i="27"/>
  <c r="K439" i="27"/>
  <c r="K438" i="27"/>
  <c r="M438" i="27" s="1"/>
  <c r="K437" i="27"/>
  <c r="M437" i="27" s="1"/>
  <c r="K435" i="27"/>
  <c r="K434" i="27"/>
  <c r="K433" i="27"/>
  <c r="K432" i="27"/>
  <c r="K430" i="27"/>
  <c r="K429" i="27"/>
  <c r="K428" i="27"/>
  <c r="K427" i="27"/>
  <c r="K426" i="27"/>
  <c r="K424" i="27"/>
  <c r="K423" i="27"/>
  <c r="K422" i="27"/>
  <c r="K421" i="27"/>
  <c r="K420" i="27"/>
  <c r="K419" i="27"/>
  <c r="K415" i="27"/>
  <c r="K414" i="27"/>
  <c r="K413" i="27"/>
  <c r="M413" i="27" s="1"/>
  <c r="K412" i="27"/>
  <c r="M412" i="27" s="1"/>
  <c r="K410" i="27"/>
  <c r="K409" i="27"/>
  <c r="K408" i="27"/>
  <c r="K407" i="27"/>
  <c r="K405" i="27"/>
  <c r="K404" i="27"/>
  <c r="K403" i="27"/>
  <c r="K402" i="27"/>
  <c r="K401" i="27"/>
  <c r="K399" i="27"/>
  <c r="I399" i="33" s="1"/>
  <c r="K398" i="27"/>
  <c r="I398" i="33" s="1"/>
  <c r="K397" i="27"/>
  <c r="I397" i="33" s="1"/>
  <c r="K396" i="27"/>
  <c r="K395" i="27"/>
  <c r="K394" i="27"/>
  <c r="I394" i="33" s="1"/>
  <c r="K393" i="27"/>
  <c r="K315" i="27"/>
  <c r="K314" i="27"/>
  <c r="M314" i="27" s="1"/>
  <c r="K313" i="27"/>
  <c r="M313" i="27" s="1"/>
  <c r="K311" i="27"/>
  <c r="K310" i="27"/>
  <c r="K309" i="27"/>
  <c r="K308" i="27"/>
  <c r="K306" i="27"/>
  <c r="K305" i="27"/>
  <c r="K304" i="27"/>
  <c r="K301" i="27"/>
  <c r="K300" i="27"/>
  <c r="K299" i="27"/>
  <c r="K297" i="27"/>
  <c r="K293" i="27"/>
  <c r="K292" i="27"/>
  <c r="K291" i="27"/>
  <c r="K290" i="27"/>
  <c r="K288" i="27"/>
  <c r="K287" i="27"/>
  <c r="K286" i="27"/>
  <c r="M286" i="27" s="1"/>
  <c r="K285" i="27"/>
  <c r="M285" i="27" s="1"/>
  <c r="K283" i="27"/>
  <c r="K282" i="27"/>
  <c r="K281" i="27"/>
  <c r="K280" i="27"/>
  <c r="K278" i="27"/>
  <c r="K277" i="27"/>
  <c r="K276" i="27"/>
  <c r="K275" i="27"/>
  <c r="K273" i="27"/>
  <c r="K272" i="27"/>
  <c r="K271" i="27"/>
  <c r="K270" i="27"/>
  <c r="K269" i="27"/>
  <c r="K268" i="27"/>
  <c r="K267" i="27"/>
  <c r="K263" i="27"/>
  <c r="K262" i="27"/>
  <c r="K261" i="27"/>
  <c r="M261" i="27" s="1"/>
  <c r="K260" i="27"/>
  <c r="M260" i="27" s="1"/>
  <c r="K258" i="27"/>
  <c r="K257" i="27"/>
  <c r="K256" i="27"/>
  <c r="K255" i="27"/>
  <c r="K253" i="27"/>
  <c r="K252" i="27"/>
  <c r="K251" i="27"/>
  <c r="K250" i="27"/>
  <c r="K249" i="27"/>
  <c r="K247" i="27"/>
  <c r="K246" i="27"/>
  <c r="M246" i="27" s="1"/>
  <c r="K245" i="27"/>
  <c r="M245" i="27" s="1"/>
  <c r="P245" i="27" s="1"/>
  <c r="K243" i="27"/>
  <c r="M243" i="27" s="1"/>
  <c r="P243" i="27" s="1"/>
  <c r="K242" i="27"/>
  <c r="K241" i="27"/>
  <c r="K237" i="27"/>
  <c r="K235" i="27"/>
  <c r="K234" i="27"/>
  <c r="K232" i="27"/>
  <c r="K231" i="27"/>
  <c r="K230" i="27"/>
  <c r="M230" i="27" s="1"/>
  <c r="K229" i="27"/>
  <c r="M229" i="27" s="1"/>
  <c r="K227" i="27"/>
  <c r="K226" i="27"/>
  <c r="K225" i="27"/>
  <c r="K224" i="27"/>
  <c r="K222" i="27"/>
  <c r="K221" i="27"/>
  <c r="K220" i="27"/>
  <c r="K219" i="27"/>
  <c r="M219" i="27" s="1"/>
  <c r="K218" i="27"/>
  <c r="M218" i="27" s="1"/>
  <c r="K216" i="27"/>
  <c r="K215" i="27"/>
  <c r="K214" i="27"/>
  <c r="K213" i="27"/>
  <c r="M213" i="27" s="1"/>
  <c r="K212" i="27"/>
  <c r="M212" i="27" s="1"/>
  <c r="K211" i="27"/>
  <c r="K210" i="27"/>
  <c r="K204" i="27"/>
  <c r="K203" i="27"/>
  <c r="K202" i="27"/>
  <c r="K201" i="27"/>
  <c r="K200" i="27"/>
  <c r="K187" i="27"/>
  <c r="K186" i="27"/>
  <c r="K198" i="27"/>
  <c r="K197" i="27"/>
  <c r="K196" i="27"/>
  <c r="K195" i="27"/>
  <c r="K194" i="27"/>
  <c r="K182" i="27"/>
  <c r="K181" i="27"/>
  <c r="K180" i="27"/>
  <c r="M180" i="27" s="1"/>
  <c r="K178" i="27"/>
  <c r="K177" i="27"/>
  <c r="K176" i="27"/>
  <c r="K175" i="27"/>
  <c r="K174" i="27"/>
  <c r="K172" i="27"/>
  <c r="K171" i="27"/>
  <c r="K170" i="27"/>
  <c r="K169" i="27"/>
  <c r="K168" i="27"/>
  <c r="K167" i="27"/>
  <c r="K165" i="27"/>
  <c r="K164" i="27"/>
  <c r="K163" i="27"/>
  <c r="K162" i="27"/>
  <c r="K161" i="27"/>
  <c r="K160" i="27"/>
  <c r="K158" i="27"/>
  <c r="K157" i="27"/>
  <c r="K156" i="27"/>
  <c r="K155" i="27"/>
  <c r="K154" i="27"/>
  <c r="K153" i="27"/>
  <c r="K152" i="27"/>
  <c r="K151" i="27"/>
  <c r="K145" i="27"/>
  <c r="K144" i="27"/>
  <c r="K143" i="27"/>
  <c r="K142" i="27"/>
  <c r="K138" i="27"/>
  <c r="K137" i="27"/>
  <c r="K136" i="27"/>
  <c r="K135" i="27"/>
  <c r="K134" i="27"/>
  <c r="K131" i="27"/>
  <c r="K113" i="27"/>
  <c r="K112" i="27"/>
  <c r="K111" i="27"/>
  <c r="K110" i="27"/>
  <c r="K108" i="27"/>
  <c r="K107" i="27"/>
  <c r="K106" i="27"/>
  <c r="K105" i="27"/>
  <c r="K104" i="27"/>
  <c r="K103" i="27"/>
  <c r="M103" i="27" s="1"/>
  <c r="K101" i="27"/>
  <c r="K100" i="27"/>
  <c r="K99" i="27"/>
  <c r="K98" i="27"/>
  <c r="K97" i="27"/>
  <c r="K96" i="27"/>
  <c r="K94" i="27"/>
  <c r="K93" i="27"/>
  <c r="K92" i="27"/>
  <c r="K91" i="27"/>
  <c r="K90" i="27"/>
  <c r="K89" i="27"/>
  <c r="K83" i="27"/>
  <c r="K82" i="27"/>
  <c r="K81" i="27"/>
  <c r="K80" i="27"/>
  <c r="K79" i="27"/>
  <c r="K78" i="27"/>
  <c r="K77" i="27"/>
  <c r="K70" i="27"/>
  <c r="K71" i="27"/>
  <c r="K72" i="27"/>
  <c r="K73" i="27"/>
  <c r="K75" i="27"/>
  <c r="K63" i="27"/>
  <c r="M63" i="27" s="1"/>
  <c r="K68" i="27"/>
  <c r="K67" i="27"/>
  <c r="K66" i="27"/>
  <c r="K65" i="27"/>
  <c r="M65" i="27" s="1"/>
  <c r="K64" i="27"/>
  <c r="M64" i="27" s="1"/>
  <c r="K62" i="27"/>
  <c r="M62" i="27" s="1"/>
  <c r="K61" i="27"/>
  <c r="M61" i="27" s="1"/>
  <c r="K54" i="27"/>
  <c r="K53" i="27"/>
  <c r="K52" i="27"/>
  <c r="K51" i="27"/>
  <c r="M51" i="27" s="1"/>
  <c r="K49" i="27"/>
  <c r="K48" i="27"/>
  <c r="K47" i="27"/>
  <c r="K46" i="27"/>
  <c r="K44" i="27"/>
  <c r="K39" i="27"/>
  <c r="K40" i="27"/>
  <c r="K41" i="27"/>
  <c r="K42" i="27"/>
  <c r="K43" i="27"/>
  <c r="K38" i="27"/>
  <c r="K33" i="27"/>
  <c r="K32" i="27"/>
  <c r="K31" i="27"/>
  <c r="K34" i="27"/>
  <c r="K26" i="27"/>
  <c r="K27" i="27"/>
  <c r="K28" i="27"/>
  <c r="K29" i="27"/>
  <c r="K25" i="27"/>
  <c r="K18" i="27"/>
  <c r="K19" i="27"/>
  <c r="K20" i="27"/>
  <c r="K21" i="27"/>
  <c r="K22" i="27"/>
  <c r="K23" i="27"/>
  <c r="K17" i="27"/>
  <c r="K11" i="27"/>
  <c r="M11" i="27" s="1"/>
  <c r="K12" i="27"/>
  <c r="M12" i="27" s="1"/>
  <c r="K13" i="27"/>
  <c r="K14" i="27"/>
  <c r="M14" i="27" s="1"/>
  <c r="K15" i="27"/>
  <c r="M15" i="27" s="1"/>
  <c r="K10" i="27"/>
  <c r="M10" i="27" s="1"/>
  <c r="M395" i="27" l="1"/>
  <c r="P395" i="27" s="1"/>
  <c r="V395" i="33" s="1"/>
  <c r="I395" i="33"/>
  <c r="M396" i="27"/>
  <c r="P396" i="27" s="1"/>
  <c r="I396" i="33"/>
  <c r="M241" i="27"/>
  <c r="P241" i="27" s="1"/>
  <c r="M393" i="27"/>
  <c r="P393" i="27" s="1"/>
  <c r="V393" i="33" s="1"/>
  <c r="H393" i="33"/>
  <c r="I393" i="33"/>
  <c r="G395" i="27"/>
  <c r="H395" i="27"/>
  <c r="G393" i="27"/>
  <c r="H393" i="27"/>
  <c r="Q395" i="33" l="1"/>
  <c r="Q393" i="33"/>
  <c r="H535" i="33"/>
  <c r="H420" i="33"/>
  <c r="H419" i="33"/>
  <c r="V244" i="33"/>
  <c r="Q244" i="33"/>
  <c r="H244" i="33"/>
  <c r="I244" i="33"/>
  <c r="V241" i="33"/>
  <c r="Q241" i="33"/>
  <c r="I241" i="33"/>
  <c r="I242" i="33"/>
  <c r="H241" i="33"/>
  <c r="G244" i="27"/>
  <c r="H244" i="27"/>
  <c r="H241" i="27"/>
  <c r="G241" i="27"/>
  <c r="I210" i="33"/>
  <c r="H499" i="33" l="1"/>
  <c r="I499" i="33"/>
  <c r="H211" i="33"/>
  <c r="I211" i="33"/>
  <c r="AB46" i="33" l="1"/>
  <c r="H300" i="33" l="1"/>
  <c r="I300" i="33"/>
  <c r="H301" i="33"/>
  <c r="I301" i="33"/>
  <c r="M68" i="27"/>
  <c r="M72" i="27"/>
  <c r="M75" i="27"/>
  <c r="M111" i="27"/>
  <c r="M113" i="27"/>
  <c r="M448" i="27" l="1"/>
  <c r="P448" i="27" s="1"/>
  <c r="M422" i="27"/>
  <c r="P422" i="27" s="1"/>
  <c r="M397" i="27"/>
  <c r="P397" i="27" s="1"/>
  <c r="M299" i="27"/>
  <c r="P299" i="27" s="1"/>
  <c r="M271" i="27"/>
  <c r="P271" i="27" s="1"/>
  <c r="M214" i="27"/>
  <c r="P214" i="27" s="1"/>
  <c r="M167" i="27"/>
  <c r="P167" i="27" s="1"/>
  <c r="M168" i="27"/>
  <c r="P168" i="27" s="1"/>
  <c r="M169" i="27"/>
  <c r="P169" i="27" s="1"/>
  <c r="M170" i="27"/>
  <c r="P170" i="27" s="1"/>
  <c r="M171" i="27"/>
  <c r="P171" i="27" s="1"/>
  <c r="M172" i="27"/>
  <c r="P172" i="27" s="1"/>
  <c r="M138" i="27"/>
  <c r="P138" i="27" s="1"/>
  <c r="V138" i="33" s="1"/>
  <c r="M134" i="27"/>
  <c r="Q134" i="33" s="1"/>
  <c r="M135" i="27"/>
  <c r="P135" i="27" s="1"/>
  <c r="V135" i="33" s="1"/>
  <c r="M136" i="27"/>
  <c r="P136" i="27" s="1"/>
  <c r="V136" i="33" s="1"/>
  <c r="M90" i="27"/>
  <c r="P90" i="27" s="1"/>
  <c r="P63" i="27"/>
  <c r="P64" i="27"/>
  <c r="M578" i="27"/>
  <c r="P578" i="27" s="1"/>
  <c r="D677" i="27" l="1"/>
  <c r="D635" i="27"/>
  <c r="D531" i="27"/>
  <c r="D559" i="27"/>
  <c r="D493" i="27"/>
  <c r="D389" i="27"/>
  <c r="D206" i="27"/>
  <c r="D147" i="27"/>
  <c r="D85" i="27"/>
  <c r="V90" i="33" l="1"/>
  <c r="Q90" i="33"/>
  <c r="I90" i="33"/>
  <c r="H90" i="33"/>
  <c r="G90" i="27"/>
  <c r="H90" i="27"/>
  <c r="H197" i="27" l="1"/>
  <c r="AA43" i="33" l="1"/>
  <c r="AA17" i="33"/>
  <c r="V63" i="33"/>
  <c r="V64" i="33"/>
  <c r="Q63" i="33"/>
  <c r="Q64" i="33"/>
  <c r="V578" i="33"/>
  <c r="Q578" i="33"/>
  <c r="H536" i="33"/>
  <c r="AB45" i="33" l="1"/>
  <c r="AA41" i="33"/>
  <c r="G196" i="27"/>
  <c r="H196" i="27"/>
  <c r="G197" i="27"/>
  <c r="G195" i="27"/>
  <c r="AA46" i="33" l="1"/>
  <c r="AA47" i="33"/>
  <c r="AA49" i="33"/>
  <c r="AA48" i="33"/>
  <c r="AA22" i="33"/>
  <c r="AA18" i="33"/>
  <c r="AA20" i="33"/>
  <c r="AA21" i="33"/>
  <c r="AA23" i="33"/>
  <c r="AA19" i="33"/>
  <c r="V299" i="33"/>
  <c r="Q299" i="33"/>
  <c r="H304" i="33"/>
  <c r="I304" i="33"/>
  <c r="H305" i="33"/>
  <c r="I305" i="33"/>
  <c r="H306" i="33"/>
  <c r="I306" i="33"/>
  <c r="I303" i="33"/>
  <c r="H303" i="33"/>
  <c r="I298" i="33"/>
  <c r="I299" i="33"/>
  <c r="H298" i="33"/>
  <c r="H299" i="33"/>
  <c r="V271" i="33"/>
  <c r="Q271" i="33"/>
  <c r="H271" i="33"/>
  <c r="I271" i="33"/>
  <c r="V245" i="33"/>
  <c r="Q245" i="33"/>
  <c r="H245" i="33"/>
  <c r="I245" i="33"/>
  <c r="V214" i="33"/>
  <c r="Q214" i="33"/>
  <c r="I214" i="33"/>
  <c r="H214" i="33"/>
  <c r="V448" i="33"/>
  <c r="Q448" i="33"/>
  <c r="I448" i="33"/>
  <c r="H448" i="33"/>
  <c r="V422" i="33"/>
  <c r="Q422" i="33"/>
  <c r="I422" i="33"/>
  <c r="H422" i="33"/>
  <c r="Q397" i="33"/>
  <c r="V397" i="33"/>
  <c r="G122" i="27" l="1"/>
  <c r="G123" i="27"/>
  <c r="H123" i="27"/>
  <c r="G124" i="27"/>
  <c r="H124" i="27"/>
  <c r="G125" i="27"/>
  <c r="H125" i="27"/>
  <c r="G126" i="27"/>
  <c r="H126" i="27"/>
  <c r="D6" i="27"/>
  <c r="E6" i="27"/>
  <c r="E8" i="27"/>
  <c r="F8" i="27"/>
  <c r="F9" i="27"/>
  <c r="G9" i="27"/>
  <c r="G10" i="27"/>
  <c r="H10" i="27"/>
  <c r="G11" i="27"/>
  <c r="H11" i="27"/>
  <c r="G12" i="27"/>
  <c r="G13" i="27"/>
  <c r="H13" i="27"/>
  <c r="G14" i="27"/>
  <c r="H14" i="27"/>
  <c r="G15" i="27"/>
  <c r="H15" i="27"/>
  <c r="F16" i="27"/>
  <c r="G16" i="27"/>
  <c r="G17" i="27"/>
  <c r="H17" i="27"/>
  <c r="G18" i="27"/>
  <c r="H18" i="27"/>
  <c r="G19" i="27"/>
  <c r="H19" i="27"/>
  <c r="G20" i="27"/>
  <c r="H20" i="27"/>
  <c r="G21" i="27"/>
  <c r="H21" i="27"/>
  <c r="G22" i="27"/>
  <c r="H22" i="27"/>
  <c r="G23" i="27"/>
  <c r="H23" i="27"/>
  <c r="F24" i="27"/>
  <c r="G24" i="27"/>
  <c r="G25" i="27"/>
  <c r="H25" i="27"/>
  <c r="G26" i="27"/>
  <c r="H26" i="27"/>
  <c r="G27" i="27"/>
  <c r="H27" i="27"/>
  <c r="G28" i="27"/>
  <c r="H28" i="27"/>
  <c r="G29" i="27"/>
  <c r="H29" i="27"/>
  <c r="F30" i="27"/>
  <c r="G30" i="27"/>
  <c r="G31" i="27"/>
  <c r="H31" i="27"/>
  <c r="G32" i="27"/>
  <c r="H32" i="27"/>
  <c r="G33" i="27"/>
  <c r="H33" i="27"/>
  <c r="G34" i="27"/>
  <c r="H34" i="27"/>
  <c r="E36" i="27"/>
  <c r="F36" i="27"/>
  <c r="F37" i="27"/>
  <c r="G37" i="27"/>
  <c r="G38" i="27"/>
  <c r="H38" i="27"/>
  <c r="G39" i="27"/>
  <c r="H39" i="27"/>
  <c r="G40" i="27"/>
  <c r="H40" i="27"/>
  <c r="G41" i="27"/>
  <c r="H41" i="27"/>
  <c r="G42" i="27"/>
  <c r="H42" i="27"/>
  <c r="G43" i="27"/>
  <c r="H43" i="27"/>
  <c r="G44" i="27"/>
  <c r="H44" i="27"/>
  <c r="F45" i="27"/>
  <c r="G45" i="27"/>
  <c r="G46" i="27"/>
  <c r="H46" i="27"/>
  <c r="G47" i="27"/>
  <c r="H47" i="27"/>
  <c r="G48" i="27"/>
  <c r="H48" i="27"/>
  <c r="G49" i="27"/>
  <c r="H49" i="27"/>
  <c r="F50" i="27"/>
  <c r="G50" i="27"/>
  <c r="G51" i="27"/>
  <c r="H51" i="27"/>
  <c r="G52" i="27"/>
  <c r="H52" i="27"/>
  <c r="G53" i="27"/>
  <c r="H53" i="27"/>
  <c r="G54" i="27"/>
  <c r="H54" i="27"/>
  <c r="F55" i="27"/>
  <c r="G55" i="27"/>
  <c r="G56" i="27"/>
  <c r="H56" i="27"/>
  <c r="G57" i="27"/>
  <c r="H57" i="27"/>
  <c r="G58" i="27"/>
  <c r="H58" i="27"/>
  <c r="G59" i="27"/>
  <c r="H59" i="27"/>
  <c r="F60" i="27"/>
  <c r="G60" i="27"/>
  <c r="G61" i="27"/>
  <c r="H61" i="27"/>
  <c r="G62" i="27"/>
  <c r="H62" i="27"/>
  <c r="G63" i="27"/>
  <c r="H63" i="27"/>
  <c r="G64" i="27"/>
  <c r="H64" i="27"/>
  <c r="G65" i="27"/>
  <c r="H65" i="27"/>
  <c r="G66" i="27"/>
  <c r="H66" i="27"/>
  <c r="G67" i="27"/>
  <c r="H67" i="27"/>
  <c r="G68" i="27"/>
  <c r="H68" i="27"/>
  <c r="F69" i="27"/>
  <c r="G69" i="27"/>
  <c r="G70" i="27"/>
  <c r="H70" i="27"/>
  <c r="G71" i="27"/>
  <c r="H71" i="27"/>
  <c r="G72" i="27"/>
  <c r="H72" i="27"/>
  <c r="G73" i="27"/>
  <c r="H73" i="27"/>
  <c r="G75" i="27"/>
  <c r="H75" i="27"/>
  <c r="G77" i="27"/>
  <c r="H77" i="27"/>
  <c r="G78" i="27"/>
  <c r="H78" i="27"/>
  <c r="G79" i="27"/>
  <c r="H79" i="27"/>
  <c r="G80" i="27"/>
  <c r="H80" i="27"/>
  <c r="G81" i="27"/>
  <c r="H81" i="27"/>
  <c r="G82" i="27"/>
  <c r="H82" i="27"/>
  <c r="G83" i="27"/>
  <c r="H83" i="27"/>
  <c r="E85" i="27"/>
  <c r="E87" i="27"/>
  <c r="F87" i="27"/>
  <c r="F88" i="27"/>
  <c r="G88" i="27"/>
  <c r="G89" i="27"/>
  <c r="H89" i="27"/>
  <c r="G91" i="27"/>
  <c r="H91" i="27"/>
  <c r="G92" i="27"/>
  <c r="H92" i="27"/>
  <c r="G93" i="27"/>
  <c r="H93" i="27"/>
  <c r="G94" i="27"/>
  <c r="H94" i="27"/>
  <c r="F95" i="27"/>
  <c r="G95" i="27"/>
  <c r="G96" i="27"/>
  <c r="H96" i="27"/>
  <c r="G97" i="27"/>
  <c r="H97" i="27"/>
  <c r="G98" i="27"/>
  <c r="H98" i="27"/>
  <c r="G99" i="27"/>
  <c r="H99" i="27"/>
  <c r="G100" i="27"/>
  <c r="H100" i="27"/>
  <c r="G101" i="27"/>
  <c r="H101" i="27"/>
  <c r="F102" i="27"/>
  <c r="G102" i="27"/>
  <c r="G103" i="27"/>
  <c r="H103" i="27"/>
  <c r="G104" i="27"/>
  <c r="H104" i="27"/>
  <c r="G105" i="27"/>
  <c r="H105" i="27"/>
  <c r="G106" i="27"/>
  <c r="H106" i="27"/>
  <c r="G107" i="27"/>
  <c r="H107" i="27"/>
  <c r="G108" i="27"/>
  <c r="H108" i="27"/>
  <c r="F109" i="27"/>
  <c r="G109" i="27"/>
  <c r="G110" i="27"/>
  <c r="H110" i="27"/>
  <c r="G111" i="27"/>
  <c r="H111" i="27"/>
  <c r="G112" i="27"/>
  <c r="H112" i="27"/>
  <c r="G113" i="27"/>
  <c r="H113" i="27"/>
  <c r="E115" i="27"/>
  <c r="F115" i="27"/>
  <c r="F116" i="27"/>
  <c r="G116" i="27"/>
  <c r="G117" i="27"/>
  <c r="H117" i="27"/>
  <c r="G118" i="27"/>
  <c r="H118" i="27"/>
  <c r="G119" i="27"/>
  <c r="H119" i="27"/>
  <c r="G120" i="27"/>
  <c r="H120" i="27"/>
  <c r="G121" i="27"/>
  <c r="H121" i="27"/>
  <c r="F122" i="27"/>
  <c r="F127" i="27"/>
  <c r="G127" i="27"/>
  <c r="G128" i="27"/>
  <c r="H128" i="27"/>
  <c r="G129" i="27"/>
  <c r="H129" i="27"/>
  <c r="G130" i="27"/>
  <c r="H130" i="27"/>
  <c r="G131" i="27"/>
  <c r="H131" i="27"/>
  <c r="G132" i="27"/>
  <c r="H132" i="27"/>
  <c r="F133" i="27"/>
  <c r="G133" i="27"/>
  <c r="G134" i="27"/>
  <c r="H134" i="27"/>
  <c r="G135" i="27"/>
  <c r="H135" i="27"/>
  <c r="G136" i="27"/>
  <c r="H136" i="27"/>
  <c r="G137" i="27"/>
  <c r="H137" i="27"/>
  <c r="G138" i="27"/>
  <c r="H138" i="27"/>
  <c r="F141" i="27"/>
  <c r="G141" i="27"/>
  <c r="G142" i="27"/>
  <c r="H142" i="27"/>
  <c r="G143" i="27"/>
  <c r="H143" i="27"/>
  <c r="G144" i="27"/>
  <c r="H144" i="27"/>
  <c r="G145" i="27"/>
  <c r="H145" i="27"/>
  <c r="E147" i="27"/>
  <c r="E149" i="27"/>
  <c r="F149" i="27"/>
  <c r="F150" i="27"/>
  <c r="G150" i="27"/>
  <c r="G151" i="27"/>
  <c r="H151" i="27"/>
  <c r="G152" i="27"/>
  <c r="H152" i="27"/>
  <c r="G153" i="27"/>
  <c r="H153" i="27"/>
  <c r="G154" i="27"/>
  <c r="H154" i="27"/>
  <c r="G155" i="27"/>
  <c r="H155" i="27"/>
  <c r="G156" i="27"/>
  <c r="H156" i="27"/>
  <c r="G157" i="27"/>
  <c r="H157" i="27"/>
  <c r="G158" i="27"/>
  <c r="H158" i="27"/>
  <c r="F159" i="27"/>
  <c r="G159" i="27"/>
  <c r="G160" i="27"/>
  <c r="H160" i="27"/>
  <c r="G161" i="27"/>
  <c r="H161" i="27"/>
  <c r="G162" i="27"/>
  <c r="H162" i="27"/>
  <c r="G163" i="27"/>
  <c r="H163" i="27"/>
  <c r="G164" i="27"/>
  <c r="H164" i="27"/>
  <c r="G165" i="27"/>
  <c r="H165" i="27"/>
  <c r="F166" i="27"/>
  <c r="G166" i="27"/>
  <c r="G167" i="27"/>
  <c r="H167" i="27"/>
  <c r="G168" i="27"/>
  <c r="H168" i="27"/>
  <c r="G169" i="27"/>
  <c r="H169" i="27"/>
  <c r="G170" i="27"/>
  <c r="H170" i="27"/>
  <c r="G171" i="27"/>
  <c r="H171" i="27"/>
  <c r="G172" i="27"/>
  <c r="H172" i="27"/>
  <c r="F173" i="27"/>
  <c r="G173" i="27"/>
  <c r="G174" i="27"/>
  <c r="H174" i="27"/>
  <c r="G175" i="27"/>
  <c r="H175" i="27"/>
  <c r="G176" i="27"/>
  <c r="H176" i="27"/>
  <c r="G177" i="27"/>
  <c r="H177" i="27"/>
  <c r="G178" i="27"/>
  <c r="H178" i="27"/>
  <c r="F179" i="27"/>
  <c r="G179" i="27"/>
  <c r="G180" i="27"/>
  <c r="H180" i="27"/>
  <c r="G181" i="27"/>
  <c r="H181" i="27"/>
  <c r="G182" i="27"/>
  <c r="H182" i="27"/>
  <c r="F185" i="27"/>
  <c r="G185" i="27"/>
  <c r="G186" i="27"/>
  <c r="H186" i="27"/>
  <c r="G187" i="27"/>
  <c r="H187" i="27"/>
  <c r="G188" i="27"/>
  <c r="H188" i="27"/>
  <c r="E192" i="27"/>
  <c r="F192" i="27"/>
  <c r="F193" i="27"/>
  <c r="G193" i="27"/>
  <c r="G194" i="27"/>
  <c r="H194" i="27"/>
  <c r="H195" i="27"/>
  <c r="F199" i="27"/>
  <c r="G199" i="27"/>
  <c r="G200" i="27"/>
  <c r="H200" i="27"/>
  <c r="G201" i="27"/>
  <c r="H201" i="27"/>
  <c r="G202" i="27"/>
  <c r="H202" i="27"/>
  <c r="G203" i="27"/>
  <c r="H203" i="27"/>
  <c r="G204" i="27"/>
  <c r="H204" i="27"/>
  <c r="E206" i="27"/>
  <c r="E208" i="27"/>
  <c r="F208" i="27"/>
  <c r="F209" i="27"/>
  <c r="G209" i="27"/>
  <c r="G210" i="27"/>
  <c r="H210" i="27"/>
  <c r="G211" i="27"/>
  <c r="H211" i="27"/>
  <c r="G212" i="27"/>
  <c r="H212" i="27"/>
  <c r="G213" i="27"/>
  <c r="H213" i="27"/>
  <c r="G214" i="27"/>
  <c r="H214" i="27"/>
  <c r="G215" i="27"/>
  <c r="H215" i="27"/>
  <c r="G216" i="27"/>
  <c r="H216" i="27"/>
  <c r="F217" i="27"/>
  <c r="G217" i="27"/>
  <c r="G218" i="27"/>
  <c r="H218" i="27"/>
  <c r="G219" i="27"/>
  <c r="H219" i="27"/>
  <c r="G220" i="27"/>
  <c r="H220" i="27"/>
  <c r="G221" i="27"/>
  <c r="H221" i="27"/>
  <c r="G222" i="27"/>
  <c r="H222" i="27"/>
  <c r="F223" i="27"/>
  <c r="G223" i="27"/>
  <c r="G224" i="27"/>
  <c r="H224" i="27"/>
  <c r="G225" i="27"/>
  <c r="H225" i="27"/>
  <c r="G226" i="27"/>
  <c r="H226" i="27"/>
  <c r="G227" i="27"/>
  <c r="H227" i="27"/>
  <c r="F228" i="27"/>
  <c r="G228" i="27"/>
  <c r="G229" i="27"/>
  <c r="H229" i="27"/>
  <c r="G230" i="27"/>
  <c r="H230" i="27"/>
  <c r="G231" i="27"/>
  <c r="H231" i="27"/>
  <c r="G232" i="27"/>
  <c r="H232" i="27"/>
  <c r="F233" i="27"/>
  <c r="G233" i="27"/>
  <c r="G234" i="27"/>
  <c r="H234" i="27"/>
  <c r="G235" i="27"/>
  <c r="H235" i="27"/>
  <c r="G236" i="27"/>
  <c r="H236" i="27"/>
  <c r="G237" i="27"/>
  <c r="H237" i="27"/>
  <c r="E239" i="27"/>
  <c r="F239" i="27"/>
  <c r="F240" i="27"/>
  <c r="G240" i="27"/>
  <c r="G242" i="27"/>
  <c r="H242" i="27"/>
  <c r="G243" i="27"/>
  <c r="H243" i="27"/>
  <c r="G245" i="27"/>
  <c r="H245" i="27"/>
  <c r="G246" i="27"/>
  <c r="H246" i="27"/>
  <c r="G247" i="27"/>
  <c r="H247" i="27"/>
  <c r="F248" i="27"/>
  <c r="G248" i="27"/>
  <c r="G249" i="27"/>
  <c r="H249" i="27"/>
  <c r="G250" i="27"/>
  <c r="H250" i="27"/>
  <c r="G251" i="27"/>
  <c r="H251" i="27"/>
  <c r="G252" i="27"/>
  <c r="H252" i="27"/>
  <c r="G253" i="27"/>
  <c r="H253" i="27"/>
  <c r="F254" i="27"/>
  <c r="G254" i="27"/>
  <c r="G255" i="27"/>
  <c r="H255" i="27"/>
  <c r="G256" i="27"/>
  <c r="H256" i="27"/>
  <c r="G257" i="27"/>
  <c r="H257" i="27"/>
  <c r="G258" i="27"/>
  <c r="H258" i="27"/>
  <c r="F259" i="27"/>
  <c r="G259" i="27"/>
  <c r="G260" i="27"/>
  <c r="H260" i="27"/>
  <c r="G261" i="27"/>
  <c r="H261" i="27"/>
  <c r="G262" i="27"/>
  <c r="H262" i="27"/>
  <c r="G263" i="27"/>
  <c r="H263" i="27"/>
  <c r="E265" i="27"/>
  <c r="F265" i="27"/>
  <c r="F266" i="27"/>
  <c r="G266" i="27"/>
  <c r="G267" i="27"/>
  <c r="H267" i="27"/>
  <c r="G268" i="27"/>
  <c r="H268" i="27"/>
  <c r="G269" i="27"/>
  <c r="H269" i="27"/>
  <c r="G270" i="27"/>
  <c r="H270" i="27"/>
  <c r="G271" i="27"/>
  <c r="H271" i="27"/>
  <c r="G272" i="27"/>
  <c r="H272" i="27"/>
  <c r="G273" i="27"/>
  <c r="H273" i="27"/>
  <c r="F274" i="27"/>
  <c r="G274" i="27"/>
  <c r="G275" i="27"/>
  <c r="H275" i="27"/>
  <c r="G276" i="27"/>
  <c r="H276" i="27"/>
  <c r="G277" i="27"/>
  <c r="H277" i="27"/>
  <c r="G278" i="27"/>
  <c r="H278" i="27"/>
  <c r="F279" i="27"/>
  <c r="G279" i="27"/>
  <c r="G280" i="27"/>
  <c r="H280" i="27"/>
  <c r="G281" i="27"/>
  <c r="H281" i="27"/>
  <c r="G282" i="27"/>
  <c r="H282" i="27"/>
  <c r="G283" i="27"/>
  <c r="H283" i="27"/>
  <c r="F284" i="27"/>
  <c r="G284" i="27"/>
  <c r="G285" i="27"/>
  <c r="H285" i="27"/>
  <c r="G286" i="27"/>
  <c r="H286" i="27"/>
  <c r="G287" i="27"/>
  <c r="H287" i="27"/>
  <c r="G288" i="27"/>
  <c r="H288" i="27"/>
  <c r="F289" i="27"/>
  <c r="G289" i="27"/>
  <c r="G290" i="27"/>
  <c r="H290" i="27"/>
  <c r="G291" i="27"/>
  <c r="H291" i="27"/>
  <c r="G292" i="27"/>
  <c r="H292" i="27"/>
  <c r="G293" i="27"/>
  <c r="H293" i="27"/>
  <c r="E295" i="27"/>
  <c r="F295" i="27"/>
  <c r="F296" i="27"/>
  <c r="G296" i="27"/>
  <c r="G297" i="27"/>
  <c r="H297" i="27"/>
  <c r="F302" i="27"/>
  <c r="G302" i="27"/>
  <c r="G303" i="27"/>
  <c r="H303" i="27"/>
  <c r="G304" i="27"/>
  <c r="H304" i="27"/>
  <c r="G305" i="27"/>
  <c r="H305" i="27"/>
  <c r="G306" i="27"/>
  <c r="H306" i="27"/>
  <c r="F307" i="27"/>
  <c r="G307" i="27"/>
  <c r="G308" i="27"/>
  <c r="H308" i="27"/>
  <c r="G309" i="27"/>
  <c r="H309" i="27"/>
  <c r="G310" i="27"/>
  <c r="H310" i="27"/>
  <c r="G311" i="27"/>
  <c r="H311" i="27"/>
  <c r="F312" i="27"/>
  <c r="G312" i="27"/>
  <c r="G313" i="27"/>
  <c r="H313" i="27"/>
  <c r="G314" i="27"/>
  <c r="H314" i="27"/>
  <c r="G315" i="27"/>
  <c r="H315" i="27"/>
  <c r="E389" i="27"/>
  <c r="E391" i="27"/>
  <c r="F391" i="27"/>
  <c r="F392" i="27"/>
  <c r="G392" i="27"/>
  <c r="G394" i="27"/>
  <c r="H394" i="27"/>
  <c r="G396" i="27"/>
  <c r="H396" i="27"/>
  <c r="G397" i="27"/>
  <c r="H397" i="27"/>
  <c r="G398" i="27"/>
  <c r="H398" i="27"/>
  <c r="G399" i="27"/>
  <c r="H399" i="27"/>
  <c r="F400" i="27"/>
  <c r="G400" i="27"/>
  <c r="G401" i="27"/>
  <c r="H401" i="27"/>
  <c r="G402" i="27"/>
  <c r="H402" i="27"/>
  <c r="G403" i="27"/>
  <c r="H403" i="27"/>
  <c r="G404" i="27"/>
  <c r="H404" i="27"/>
  <c r="G405" i="27"/>
  <c r="H405" i="27"/>
  <c r="F406" i="27"/>
  <c r="G406" i="27"/>
  <c r="G407" i="27"/>
  <c r="H407" i="27"/>
  <c r="G408" i="27"/>
  <c r="H408" i="27"/>
  <c r="G409" i="27"/>
  <c r="H409" i="27"/>
  <c r="G410" i="27"/>
  <c r="H410" i="27"/>
  <c r="F411" i="27"/>
  <c r="G411" i="27"/>
  <c r="G412" i="27"/>
  <c r="H412" i="27"/>
  <c r="G413" i="27"/>
  <c r="H413" i="27"/>
  <c r="G414" i="27"/>
  <c r="H414" i="27"/>
  <c r="G415" i="27"/>
  <c r="H415" i="27"/>
  <c r="E417" i="27"/>
  <c r="F417" i="27"/>
  <c r="F418" i="27"/>
  <c r="G418" i="27"/>
  <c r="G419" i="27"/>
  <c r="H419" i="27"/>
  <c r="G420" i="27"/>
  <c r="H420" i="27"/>
  <c r="G421" i="27"/>
  <c r="H421" i="27"/>
  <c r="G422" i="27"/>
  <c r="H422" i="27"/>
  <c r="G423" i="27"/>
  <c r="H423" i="27"/>
  <c r="G424" i="27"/>
  <c r="H424" i="27"/>
  <c r="F425" i="27"/>
  <c r="G425" i="27"/>
  <c r="G426" i="27"/>
  <c r="H426" i="27"/>
  <c r="G427" i="27"/>
  <c r="H427" i="27"/>
  <c r="G428" i="27"/>
  <c r="H428" i="27"/>
  <c r="G429" i="27"/>
  <c r="H429" i="27"/>
  <c r="G430" i="27"/>
  <c r="H430" i="27"/>
  <c r="F431" i="27"/>
  <c r="G431" i="27"/>
  <c r="G432" i="27"/>
  <c r="H432" i="27"/>
  <c r="G433" i="27"/>
  <c r="H433" i="27"/>
  <c r="G434" i="27"/>
  <c r="H434" i="27"/>
  <c r="G435" i="27"/>
  <c r="H435" i="27"/>
  <c r="F436" i="27"/>
  <c r="G436" i="27"/>
  <c r="G437" i="27"/>
  <c r="H437" i="27"/>
  <c r="G438" i="27"/>
  <c r="H438" i="27"/>
  <c r="G439" i="27"/>
  <c r="H439" i="27"/>
  <c r="E442" i="27"/>
  <c r="F442" i="27"/>
  <c r="F443" i="27"/>
  <c r="G443" i="27"/>
  <c r="G444" i="27"/>
  <c r="H444" i="27"/>
  <c r="G445" i="27"/>
  <c r="H445" i="27"/>
  <c r="G446" i="27"/>
  <c r="H446" i="27"/>
  <c r="G447" i="27"/>
  <c r="H447" i="27"/>
  <c r="G448" i="27"/>
  <c r="H448" i="27"/>
  <c r="G449" i="27"/>
  <c r="H449" i="27"/>
  <c r="G450" i="27"/>
  <c r="H450" i="27"/>
  <c r="F451" i="27"/>
  <c r="G451" i="27"/>
  <c r="G452" i="27"/>
  <c r="H452" i="27"/>
  <c r="G453" i="27"/>
  <c r="H453" i="27"/>
  <c r="G454" i="27"/>
  <c r="H454" i="27"/>
  <c r="G455" i="27"/>
  <c r="H455" i="27"/>
  <c r="F456" i="27"/>
  <c r="G456" i="27"/>
  <c r="G457" i="27"/>
  <c r="H457" i="27"/>
  <c r="G458" i="27"/>
  <c r="H458" i="27"/>
  <c r="G459" i="27"/>
  <c r="H459" i="27"/>
  <c r="G460" i="27"/>
  <c r="H460" i="27"/>
  <c r="F461" i="27"/>
  <c r="G461" i="27"/>
  <c r="G462" i="27"/>
  <c r="H462" i="27"/>
  <c r="G463" i="27"/>
  <c r="H463" i="27"/>
  <c r="G464" i="27"/>
  <c r="H464" i="27"/>
  <c r="G465" i="27"/>
  <c r="H465" i="27"/>
  <c r="E493" i="27"/>
  <c r="E495" i="27"/>
  <c r="F495" i="27"/>
  <c r="F496" i="27"/>
  <c r="G496" i="27"/>
  <c r="G497" i="27"/>
  <c r="H497" i="27"/>
  <c r="G498" i="27"/>
  <c r="H498" i="27"/>
  <c r="G499" i="27"/>
  <c r="H499" i="27"/>
  <c r="G500" i="27"/>
  <c r="H500" i="27"/>
  <c r="G501" i="27"/>
  <c r="H501" i="27"/>
  <c r="G502" i="27"/>
  <c r="H502" i="27"/>
  <c r="F503" i="27"/>
  <c r="G503" i="27"/>
  <c r="G504" i="27"/>
  <c r="H504" i="27"/>
  <c r="G505" i="27"/>
  <c r="H505" i="27"/>
  <c r="G506" i="27"/>
  <c r="H506" i="27"/>
  <c r="G507" i="27"/>
  <c r="H507" i="27"/>
  <c r="F508" i="27"/>
  <c r="G508" i="27"/>
  <c r="G509" i="27"/>
  <c r="H509" i="27"/>
  <c r="G510" i="27"/>
  <c r="H510" i="27"/>
  <c r="G511" i="27"/>
  <c r="H511" i="27"/>
  <c r="G512" i="27"/>
  <c r="H512" i="27"/>
  <c r="F513" i="27"/>
  <c r="G513" i="27"/>
  <c r="G514" i="27"/>
  <c r="H514" i="27"/>
  <c r="G515" i="27"/>
  <c r="H515" i="27"/>
  <c r="G516" i="27"/>
  <c r="H516" i="27"/>
  <c r="E519" i="27"/>
  <c r="F519" i="27"/>
  <c r="F520" i="27"/>
  <c r="G520" i="27"/>
  <c r="G521" i="27"/>
  <c r="H521" i="27"/>
  <c r="G522" i="27"/>
  <c r="H522" i="27"/>
  <c r="G523" i="27"/>
  <c r="H523" i="27"/>
  <c r="G524" i="27"/>
  <c r="H524" i="27"/>
  <c r="F525" i="27"/>
  <c r="G525" i="27"/>
  <c r="G526" i="27"/>
  <c r="H526" i="27"/>
  <c r="G527" i="27"/>
  <c r="H527" i="27"/>
  <c r="G528" i="27"/>
  <c r="H528" i="27"/>
  <c r="G529" i="27"/>
  <c r="H529" i="27"/>
  <c r="E559" i="27"/>
  <c r="E561" i="27"/>
  <c r="F561" i="27"/>
  <c r="F562" i="27"/>
  <c r="G562" i="27"/>
  <c r="G563" i="27"/>
  <c r="H563" i="27"/>
  <c r="G564" i="27"/>
  <c r="H564" i="27"/>
  <c r="G565" i="27"/>
  <c r="H565" i="27"/>
  <c r="G566" i="27"/>
  <c r="H566" i="27"/>
  <c r="G567" i="27"/>
  <c r="H567" i="27"/>
  <c r="G568" i="27"/>
  <c r="H568" i="27"/>
  <c r="F569" i="27"/>
  <c r="G569" i="27"/>
  <c r="G570" i="27"/>
  <c r="H570" i="27"/>
  <c r="G571" i="27"/>
  <c r="H571" i="27"/>
  <c r="G572" i="27"/>
  <c r="H572" i="27"/>
  <c r="G573" i="27"/>
  <c r="H573" i="27"/>
  <c r="G574" i="27"/>
  <c r="H574" i="27"/>
  <c r="F575" i="27"/>
  <c r="G575" i="27"/>
  <c r="G576" i="27"/>
  <c r="H576" i="27"/>
  <c r="G577" i="27"/>
  <c r="H577" i="27"/>
  <c r="G578" i="27"/>
  <c r="H578" i="27"/>
  <c r="G579" i="27"/>
  <c r="H579" i="27"/>
  <c r="G580" i="27"/>
  <c r="H580" i="27"/>
  <c r="G581" i="27"/>
  <c r="H581" i="27"/>
  <c r="G582" i="27"/>
  <c r="H582" i="27"/>
  <c r="G583" i="27"/>
  <c r="G584" i="27"/>
  <c r="H584" i="27"/>
  <c r="G585" i="27"/>
  <c r="H585" i="27"/>
  <c r="G586" i="27"/>
  <c r="H586" i="27"/>
  <c r="G587" i="27"/>
  <c r="H587" i="27"/>
  <c r="F588" i="27"/>
  <c r="G588" i="27"/>
  <c r="G589" i="27"/>
  <c r="H589" i="27"/>
  <c r="G590" i="27"/>
  <c r="H590" i="27"/>
  <c r="G591" i="27"/>
  <c r="H591" i="27"/>
  <c r="G592" i="27"/>
  <c r="H592" i="27"/>
  <c r="G593" i="27"/>
  <c r="H593" i="27"/>
  <c r="G594" i="27"/>
  <c r="H594" i="27"/>
  <c r="G595" i="27"/>
  <c r="H595" i="27"/>
  <c r="E597" i="27"/>
  <c r="F597" i="27"/>
  <c r="F598" i="27"/>
  <c r="G598" i="27"/>
  <c r="G599" i="27"/>
  <c r="H599" i="27"/>
  <c r="G600" i="27"/>
  <c r="H600" i="27"/>
  <c r="G601" i="27"/>
  <c r="H601" i="27"/>
  <c r="G602" i="27"/>
  <c r="H602" i="27"/>
  <c r="G603" i="27"/>
  <c r="H603" i="27"/>
  <c r="G604" i="27"/>
  <c r="H604" i="27"/>
  <c r="F605" i="27"/>
  <c r="G605" i="27"/>
  <c r="G606" i="27"/>
  <c r="H606" i="27"/>
  <c r="G607" i="27"/>
  <c r="H607" i="27"/>
  <c r="G608" i="27"/>
  <c r="H608" i="27"/>
  <c r="G609" i="27"/>
  <c r="H609" i="27"/>
  <c r="G610" i="27"/>
  <c r="H610" i="27"/>
  <c r="G611" i="27"/>
  <c r="H611" i="27"/>
  <c r="F612" i="27"/>
  <c r="G612" i="27"/>
  <c r="G613" i="27"/>
  <c r="H613" i="27"/>
  <c r="G614" i="27"/>
  <c r="H614" i="27"/>
  <c r="G615" i="27"/>
  <c r="H615" i="27"/>
  <c r="G616" i="27"/>
  <c r="H616" i="27"/>
  <c r="G617" i="27"/>
  <c r="H617" i="27"/>
  <c r="G618" i="27"/>
  <c r="H618" i="27"/>
  <c r="E620" i="27"/>
  <c r="F620" i="27"/>
  <c r="F621" i="27"/>
  <c r="G621" i="27"/>
  <c r="G622" i="27"/>
  <c r="H622" i="27"/>
  <c r="G623" i="27"/>
  <c r="H623" i="27"/>
  <c r="G624" i="27"/>
  <c r="H624" i="27"/>
  <c r="G625" i="27"/>
  <c r="H625" i="27"/>
  <c r="G626" i="27"/>
  <c r="H626" i="27"/>
  <c r="F628" i="27"/>
  <c r="G628" i="27"/>
  <c r="G629" i="27"/>
  <c r="H629" i="27"/>
  <c r="G630" i="27"/>
  <c r="H630" i="27"/>
  <c r="G631" i="27"/>
  <c r="H631" i="27"/>
  <c r="G632" i="27"/>
  <c r="H632" i="27"/>
  <c r="G633" i="27"/>
  <c r="H633" i="27"/>
  <c r="E531" i="27"/>
  <c r="E533" i="27"/>
  <c r="F533" i="27"/>
  <c r="F534" i="27"/>
  <c r="G534" i="27"/>
  <c r="G535" i="27"/>
  <c r="H535" i="27"/>
  <c r="G536" i="27"/>
  <c r="H536" i="27"/>
  <c r="G537" i="27"/>
  <c r="H537" i="27"/>
  <c r="G538" i="27"/>
  <c r="H538" i="27"/>
  <c r="G539" i="27"/>
  <c r="H539" i="27"/>
  <c r="G540" i="27"/>
  <c r="H540" i="27"/>
  <c r="G541" i="27"/>
  <c r="H541" i="27"/>
  <c r="F544" i="27"/>
  <c r="G544" i="27"/>
  <c r="G545" i="27"/>
  <c r="H545" i="27"/>
  <c r="G546" i="27"/>
  <c r="H546" i="27"/>
  <c r="G547" i="27"/>
  <c r="H547" i="27"/>
  <c r="G548" i="27"/>
  <c r="H548" i="27"/>
  <c r="E550" i="27"/>
  <c r="F550" i="27"/>
  <c r="F551" i="27"/>
  <c r="G551" i="27"/>
  <c r="G552" i="27"/>
  <c r="H552" i="27"/>
  <c r="G553" i="27"/>
  <c r="H553" i="27"/>
  <c r="G554" i="27"/>
  <c r="H554" i="27"/>
  <c r="G555" i="27"/>
  <c r="H555" i="27"/>
  <c r="G556" i="27"/>
  <c r="H556" i="27"/>
  <c r="G557" i="27"/>
  <c r="H557" i="27"/>
  <c r="E635" i="27"/>
  <c r="E637" i="27"/>
  <c r="F637" i="27"/>
  <c r="F638" i="27"/>
  <c r="G638" i="27"/>
  <c r="G639" i="27"/>
  <c r="H639" i="27"/>
  <c r="G640" i="27"/>
  <c r="H640" i="27"/>
  <c r="G641" i="27"/>
  <c r="H641" i="27"/>
  <c r="G642" i="27"/>
  <c r="H642" i="27"/>
  <c r="G643" i="27"/>
  <c r="H643" i="27"/>
  <c r="G644" i="27"/>
  <c r="H644" i="27"/>
  <c r="F645" i="27"/>
  <c r="G645" i="27"/>
  <c r="G646" i="27"/>
  <c r="H646" i="27"/>
  <c r="G647" i="27"/>
  <c r="H647" i="27"/>
  <c r="G648" i="27"/>
  <c r="H648" i="27"/>
  <c r="G649" i="27"/>
  <c r="H649" i="27"/>
  <c r="F650" i="27"/>
  <c r="G650" i="27"/>
  <c r="G651" i="27"/>
  <c r="H651" i="27"/>
  <c r="G652" i="27"/>
  <c r="H652" i="27"/>
  <c r="G653" i="27"/>
  <c r="H653" i="27"/>
  <c r="G654" i="27"/>
  <c r="H654" i="27"/>
  <c r="F655" i="27"/>
  <c r="G655" i="27"/>
  <c r="G656" i="27"/>
  <c r="H656" i="27"/>
  <c r="G657" i="27"/>
  <c r="H657" i="27"/>
  <c r="G658" i="27"/>
  <c r="H658" i="27"/>
  <c r="G659" i="27"/>
  <c r="H659" i="27"/>
  <c r="F660" i="27"/>
  <c r="G660" i="27"/>
  <c r="G661" i="27"/>
  <c r="H661" i="27"/>
  <c r="G662" i="27"/>
  <c r="H662" i="27"/>
  <c r="G663" i="27"/>
  <c r="H663" i="27"/>
  <c r="G664" i="27"/>
  <c r="H664" i="27"/>
  <c r="E666" i="27"/>
  <c r="F666" i="27"/>
  <c r="F667" i="27"/>
  <c r="G667" i="27"/>
  <c r="G668" i="27"/>
  <c r="H668" i="27"/>
  <c r="G669" i="27"/>
  <c r="H669" i="27"/>
  <c r="G670" i="27"/>
  <c r="H670" i="27"/>
  <c r="F671" i="27"/>
  <c r="G671" i="27"/>
  <c r="G672" i="27"/>
  <c r="H672" i="27"/>
  <c r="G673" i="27"/>
  <c r="H673" i="27"/>
  <c r="G674" i="27"/>
  <c r="H674" i="27"/>
  <c r="G675" i="27"/>
  <c r="H675" i="27"/>
  <c r="E677" i="27"/>
  <c r="E679" i="27"/>
  <c r="F679" i="27"/>
  <c r="F680" i="27"/>
  <c r="G680" i="27"/>
  <c r="G681" i="27"/>
  <c r="H681" i="27"/>
  <c r="G682" i="27"/>
  <c r="H682" i="27"/>
  <c r="G683" i="27"/>
  <c r="H683" i="27"/>
  <c r="G684" i="27"/>
  <c r="H684" i="27"/>
  <c r="G685" i="27"/>
  <c r="H685" i="27"/>
  <c r="G686" i="27"/>
  <c r="H686" i="27"/>
  <c r="F687" i="27"/>
  <c r="G687" i="27"/>
  <c r="G688" i="27"/>
  <c r="H688" i="27"/>
  <c r="G689" i="27"/>
  <c r="H689" i="27"/>
  <c r="G690" i="27"/>
  <c r="H690" i="27"/>
  <c r="G691" i="27"/>
  <c r="H691" i="27"/>
  <c r="G692" i="27"/>
  <c r="H692" i="27"/>
  <c r="G693" i="27"/>
  <c r="H693" i="27"/>
  <c r="G694" i="27"/>
  <c r="H694" i="27"/>
  <c r="F695" i="27"/>
  <c r="G695" i="27"/>
  <c r="G696" i="27"/>
  <c r="H696" i="27"/>
  <c r="G697" i="27"/>
  <c r="H697" i="27"/>
  <c r="G698" i="27"/>
  <c r="H698" i="27"/>
  <c r="G699" i="27"/>
  <c r="H699" i="27"/>
  <c r="G700" i="27"/>
  <c r="H700" i="27"/>
  <c r="E702" i="27"/>
  <c r="F702" i="27"/>
  <c r="F703" i="27"/>
  <c r="G703" i="27"/>
  <c r="G704" i="27"/>
  <c r="H704" i="27"/>
  <c r="G705" i="27"/>
  <c r="H705" i="27"/>
  <c r="G706" i="27"/>
  <c r="H706" i="27"/>
  <c r="G707" i="27"/>
  <c r="H707" i="27"/>
  <c r="G708" i="27"/>
  <c r="H708" i="27"/>
  <c r="F709" i="27"/>
  <c r="G709" i="27"/>
  <c r="G710" i="27"/>
  <c r="H710" i="27"/>
  <c r="G711" i="27"/>
  <c r="H711" i="27"/>
  <c r="G712" i="27"/>
  <c r="H712" i="27"/>
  <c r="G713" i="27"/>
  <c r="H713" i="27"/>
  <c r="G714" i="27"/>
  <c r="H714" i="27"/>
  <c r="G715" i="27"/>
  <c r="H715" i="27"/>
  <c r="G716" i="27"/>
  <c r="H716" i="27"/>
  <c r="I63" i="33"/>
  <c r="I64" i="33"/>
  <c r="H63" i="33"/>
  <c r="H64" i="33"/>
  <c r="I578" i="33"/>
  <c r="H578" i="33"/>
  <c r="I715" i="33"/>
  <c r="H715" i="33"/>
  <c r="M715" i="27" l="1"/>
  <c r="P715" i="27" l="1"/>
  <c r="V715" i="33" s="1"/>
  <c r="Q715" i="33"/>
  <c r="V167" i="33"/>
  <c r="V168" i="33"/>
  <c r="V169" i="33"/>
  <c r="Q167" i="33"/>
  <c r="Q168" i="33"/>
  <c r="Q169" i="33"/>
  <c r="Q135" i="33"/>
  <c r="Q136" i="33"/>
  <c r="H697" i="33" l="1"/>
  <c r="I697" i="33"/>
  <c r="H698" i="33"/>
  <c r="I698" i="33"/>
  <c r="H699" i="33"/>
  <c r="I699" i="33"/>
  <c r="H700" i="33"/>
  <c r="I700" i="33"/>
  <c r="I696" i="33"/>
  <c r="H696" i="33"/>
  <c r="H553" i="33"/>
  <c r="I553" i="33"/>
  <c r="H554" i="33"/>
  <c r="I554" i="33"/>
  <c r="H555" i="33"/>
  <c r="I555" i="33"/>
  <c r="H556" i="33"/>
  <c r="I556" i="33"/>
  <c r="H557" i="33"/>
  <c r="I557" i="33"/>
  <c r="I552" i="33"/>
  <c r="H552" i="33"/>
  <c r="H614" i="33"/>
  <c r="I614" i="33"/>
  <c r="H615" i="33"/>
  <c r="I615" i="33"/>
  <c r="H616" i="33"/>
  <c r="I616" i="33"/>
  <c r="H617" i="33"/>
  <c r="I617" i="33"/>
  <c r="H618" i="33"/>
  <c r="I618" i="33"/>
  <c r="I613" i="33"/>
  <c r="H613" i="33"/>
  <c r="H590" i="33"/>
  <c r="I590" i="33"/>
  <c r="H591" i="33"/>
  <c r="I591" i="33"/>
  <c r="H592" i="33"/>
  <c r="I592" i="33"/>
  <c r="H593" i="33"/>
  <c r="I593" i="33"/>
  <c r="H594" i="33"/>
  <c r="I594" i="33"/>
  <c r="I595" i="33"/>
  <c r="I589" i="33"/>
  <c r="H589" i="33"/>
  <c r="H453" i="33"/>
  <c r="I453" i="33"/>
  <c r="H454" i="33"/>
  <c r="I454" i="33"/>
  <c r="H455" i="33"/>
  <c r="I455" i="33"/>
  <c r="I452" i="33"/>
  <c r="H452" i="33"/>
  <c r="H427" i="33"/>
  <c r="I427" i="33"/>
  <c r="H428" i="33"/>
  <c r="I428" i="33"/>
  <c r="H429" i="33"/>
  <c r="I429" i="33"/>
  <c r="H430" i="33"/>
  <c r="I430" i="33"/>
  <c r="I426" i="33"/>
  <c r="H426" i="33"/>
  <c r="H402" i="33"/>
  <c r="I402" i="33"/>
  <c r="H403" i="33"/>
  <c r="I403" i="33"/>
  <c r="H404" i="33"/>
  <c r="I404" i="33"/>
  <c r="H405" i="33"/>
  <c r="I405" i="33"/>
  <c r="I401" i="33"/>
  <c r="H401" i="33"/>
  <c r="H291" i="33"/>
  <c r="I291" i="33"/>
  <c r="H292" i="33"/>
  <c r="I292" i="33"/>
  <c r="H293" i="33"/>
  <c r="I293" i="33"/>
  <c r="I290" i="33"/>
  <c r="H290" i="33"/>
  <c r="H276" i="33"/>
  <c r="I276" i="33"/>
  <c r="H277" i="33"/>
  <c r="I277" i="33"/>
  <c r="H278" i="33"/>
  <c r="I278" i="33"/>
  <c r="I275" i="33"/>
  <c r="H275" i="33"/>
  <c r="H250" i="33"/>
  <c r="I250" i="33"/>
  <c r="H251" i="33"/>
  <c r="I251" i="33"/>
  <c r="H252" i="33"/>
  <c r="I252" i="33"/>
  <c r="H253" i="33"/>
  <c r="I253" i="33"/>
  <c r="I249" i="33"/>
  <c r="H249" i="33"/>
  <c r="H219" i="33"/>
  <c r="I219" i="33"/>
  <c r="H220" i="33"/>
  <c r="I220" i="33"/>
  <c r="H221" i="33"/>
  <c r="I221" i="33"/>
  <c r="H222" i="33"/>
  <c r="I222" i="33"/>
  <c r="I218" i="33"/>
  <c r="H218" i="33"/>
  <c r="H201" i="33"/>
  <c r="I201" i="33"/>
  <c r="H202" i="33"/>
  <c r="I202" i="33"/>
  <c r="H203" i="33"/>
  <c r="I203" i="33"/>
  <c r="H204" i="33"/>
  <c r="I204" i="33"/>
  <c r="I200" i="33"/>
  <c r="H195" i="33"/>
  <c r="I195" i="33"/>
  <c r="H196" i="33"/>
  <c r="I196" i="33"/>
  <c r="H197" i="33"/>
  <c r="I197" i="33"/>
  <c r="H198" i="33"/>
  <c r="I198" i="33"/>
  <c r="I194" i="33"/>
  <c r="H200" i="33"/>
  <c r="H194" i="33"/>
  <c r="I174" i="33"/>
  <c r="I175" i="33"/>
  <c r="I176" i="33"/>
  <c r="I177" i="33"/>
  <c r="I178" i="33"/>
  <c r="H175" i="33"/>
  <c r="H176" i="33"/>
  <c r="H177" i="33"/>
  <c r="H178" i="33"/>
  <c r="H167" i="33"/>
  <c r="I167" i="33"/>
  <c r="H168" i="33"/>
  <c r="I168" i="33"/>
  <c r="H169" i="33"/>
  <c r="I169" i="33"/>
  <c r="H170" i="33"/>
  <c r="I170" i="33"/>
  <c r="H171" i="33"/>
  <c r="I171" i="33"/>
  <c r="H172" i="33"/>
  <c r="I172" i="33"/>
  <c r="H174" i="33"/>
  <c r="H180" i="33"/>
  <c r="I180" i="33"/>
  <c r="H181" i="33"/>
  <c r="I181" i="33"/>
  <c r="H182" i="33"/>
  <c r="I182" i="33"/>
  <c r="H186" i="33"/>
  <c r="I186" i="33"/>
  <c r="H187" i="33"/>
  <c r="I187" i="33"/>
  <c r="H143" i="33"/>
  <c r="I143" i="33"/>
  <c r="H144" i="33"/>
  <c r="I144" i="33"/>
  <c r="H145" i="33"/>
  <c r="I145" i="33"/>
  <c r="I142" i="33"/>
  <c r="H142" i="33"/>
  <c r="H135" i="33"/>
  <c r="I135" i="33"/>
  <c r="H136" i="33"/>
  <c r="I136" i="33"/>
  <c r="H137" i="33"/>
  <c r="I137" i="33"/>
  <c r="H138" i="33"/>
  <c r="I138" i="33"/>
  <c r="I134" i="33"/>
  <c r="H134" i="33"/>
  <c r="H104" i="33"/>
  <c r="I104" i="33"/>
  <c r="H105" i="33"/>
  <c r="I105" i="33"/>
  <c r="H106" i="33"/>
  <c r="I106" i="33"/>
  <c r="H107" i="33"/>
  <c r="I107" i="33"/>
  <c r="H108" i="33"/>
  <c r="I108" i="33"/>
  <c r="I103" i="33"/>
  <c r="H103" i="33"/>
  <c r="H70" i="33"/>
  <c r="I70" i="33"/>
  <c r="H71" i="33"/>
  <c r="I71" i="33"/>
  <c r="H72" i="33"/>
  <c r="I72" i="33"/>
  <c r="H73" i="33"/>
  <c r="I73" i="33"/>
  <c r="H75" i="33"/>
  <c r="I75" i="33"/>
  <c r="H67" i="33"/>
  <c r="M699" i="27"/>
  <c r="P699" i="27" s="1"/>
  <c r="V699" i="33" s="1"/>
  <c r="M700" i="27"/>
  <c r="P700" i="27" s="1"/>
  <c r="V700" i="33" s="1"/>
  <c r="M616" i="27"/>
  <c r="P616" i="27" s="1"/>
  <c r="V616" i="33" s="1"/>
  <c r="M617" i="27"/>
  <c r="P617" i="27" s="1"/>
  <c r="M592" i="27"/>
  <c r="P592" i="27" s="1"/>
  <c r="V592" i="33" s="1"/>
  <c r="M593" i="27"/>
  <c r="P593" i="27" s="1"/>
  <c r="V593" i="33" s="1"/>
  <c r="M594" i="27"/>
  <c r="P594" i="27" s="1"/>
  <c r="V594" i="33" s="1"/>
  <c r="M70" i="27"/>
  <c r="Q70" i="33" s="1"/>
  <c r="M71" i="27"/>
  <c r="M73" i="27"/>
  <c r="M176" i="27"/>
  <c r="M178" i="27"/>
  <c r="M177" i="27"/>
  <c r="M175" i="27"/>
  <c r="M174" i="27"/>
  <c r="F3" i="32"/>
  <c r="F17" i="32"/>
  <c r="C40" i="32"/>
  <c r="D37" i="32"/>
  <c r="D23" i="32"/>
  <c r="M698" i="27"/>
  <c r="P698" i="27" s="1"/>
  <c r="V698" i="33" s="1"/>
  <c r="M697" i="27"/>
  <c r="P697" i="27" s="1"/>
  <c r="V697" i="33" s="1"/>
  <c r="M696" i="27"/>
  <c r="P696" i="27" s="1"/>
  <c r="V696" i="33" s="1"/>
  <c r="M552" i="27"/>
  <c r="P552" i="27" s="1"/>
  <c r="V552" i="33" s="1"/>
  <c r="M293" i="27"/>
  <c r="P293" i="27" s="1"/>
  <c r="V293" i="33" s="1"/>
  <c r="M292" i="27"/>
  <c r="P292" i="27" s="1"/>
  <c r="V292" i="33" s="1"/>
  <c r="M291" i="27"/>
  <c r="P291" i="27" s="1"/>
  <c r="V291" i="33" s="1"/>
  <c r="M290" i="27"/>
  <c r="P290" i="27" s="1"/>
  <c r="V290" i="33" s="1"/>
  <c r="M204" i="27"/>
  <c r="M203" i="27"/>
  <c r="M202" i="27"/>
  <c r="M201" i="27"/>
  <c r="Q201" i="33" s="1"/>
  <c r="M200" i="27"/>
  <c r="P200" i="27" s="1"/>
  <c r="V200" i="33" s="1"/>
  <c r="M198" i="27"/>
  <c r="M197" i="27"/>
  <c r="M196" i="27"/>
  <c r="M195" i="27"/>
  <c r="M194" i="27"/>
  <c r="P194" i="27" s="1"/>
  <c r="V194" i="33" s="1"/>
  <c r="M106" i="27"/>
  <c r="U9" i="32" l="1"/>
  <c r="U4" i="32"/>
  <c r="U39" i="32"/>
  <c r="U38" i="32"/>
  <c r="U141" i="32"/>
  <c r="U139" i="32"/>
  <c r="U15" i="32"/>
  <c r="U11" i="32"/>
  <c r="U16" i="32"/>
  <c r="U14" i="32"/>
  <c r="U10" i="32"/>
  <c r="U12" i="32"/>
  <c r="U22" i="32"/>
  <c r="U21" i="32"/>
  <c r="U19" i="32"/>
  <c r="U25" i="32"/>
  <c r="U26" i="32"/>
  <c r="U28" i="32"/>
  <c r="U24" i="32"/>
  <c r="U27" i="32"/>
  <c r="U53" i="32"/>
  <c r="U57" i="32"/>
  <c r="U56" i="32"/>
  <c r="P197" i="27"/>
  <c r="V197" i="33" s="1"/>
  <c r="Q197" i="33"/>
  <c r="P204" i="27"/>
  <c r="V204" i="33" s="1"/>
  <c r="Q204" i="33"/>
  <c r="P201" i="27"/>
  <c r="V201" i="33" s="1"/>
  <c r="P202" i="27"/>
  <c r="V202" i="33" s="1"/>
  <c r="Q202" i="33"/>
  <c r="P195" i="27"/>
  <c r="V195" i="33" s="1"/>
  <c r="Q195" i="33"/>
  <c r="P196" i="27"/>
  <c r="Q196" i="33"/>
  <c r="P198" i="27"/>
  <c r="V198" i="33" s="1"/>
  <c r="Q198" i="33"/>
  <c r="P203" i="27"/>
  <c r="V203" i="33" s="1"/>
  <c r="Q203" i="33"/>
  <c r="P178" i="27"/>
  <c r="V178" i="33" s="1"/>
  <c r="Q178" i="33"/>
  <c r="P176" i="27"/>
  <c r="Q176" i="33"/>
  <c r="P175" i="27"/>
  <c r="V175" i="33" s="1"/>
  <c r="Q175" i="33"/>
  <c r="P174" i="27"/>
  <c r="V174" i="33" s="1"/>
  <c r="Q174" i="33"/>
  <c r="P177" i="27"/>
  <c r="V177" i="33" s="1"/>
  <c r="Q177" i="33"/>
  <c r="P106" i="27"/>
  <c r="V106" i="33" s="1"/>
  <c r="Q106" i="33"/>
  <c r="P71" i="27"/>
  <c r="V71" i="33" s="1"/>
  <c r="Q71" i="33"/>
  <c r="P73" i="27"/>
  <c r="V73" i="33" s="1"/>
  <c r="Q73" i="33"/>
  <c r="Q72" i="33"/>
  <c r="Q696" i="33"/>
  <c r="P72" i="27"/>
  <c r="V72" i="33" s="1"/>
  <c r="Q700" i="33"/>
  <c r="P70" i="27"/>
  <c r="V70" i="33" s="1"/>
  <c r="Q699" i="33"/>
  <c r="Q292" i="33"/>
  <c r="Q194" i="33"/>
  <c r="Q293" i="33"/>
  <c r="Q552" i="33"/>
  <c r="Q594" i="33"/>
  <c r="Q697" i="33"/>
  <c r="Q593" i="33"/>
  <c r="Q290" i="33"/>
  <c r="Q616" i="33"/>
  <c r="Q592" i="33"/>
  <c r="Q698" i="33"/>
  <c r="Q291" i="33"/>
  <c r="Q200" i="33"/>
  <c r="Q75" i="33"/>
  <c r="V196" i="33" l="1"/>
  <c r="V176" i="33"/>
  <c r="P75" i="27"/>
  <c r="V75" i="33" s="1"/>
  <c r="H11" i="33"/>
  <c r="I11" i="33"/>
  <c r="M795" i="35" l="1"/>
  <c r="E147" i="35"/>
  <c r="E146" i="35"/>
  <c r="C86" i="35"/>
  <c r="J130" i="27" s="1"/>
  <c r="H26" i="33"/>
  <c r="I26" i="33"/>
  <c r="H27" i="33"/>
  <c r="I27" i="33"/>
  <c r="H28" i="33"/>
  <c r="I28" i="33"/>
  <c r="H29" i="33"/>
  <c r="I29" i="33"/>
  <c r="H32" i="33"/>
  <c r="I32" i="33"/>
  <c r="H33" i="33"/>
  <c r="I33" i="33"/>
  <c r="H34" i="33"/>
  <c r="I34" i="33"/>
  <c r="H39" i="33"/>
  <c r="I39" i="33"/>
  <c r="H40" i="33"/>
  <c r="I40" i="33"/>
  <c r="H41" i="33"/>
  <c r="I41" i="33"/>
  <c r="H42" i="33"/>
  <c r="I42" i="33"/>
  <c r="H43" i="33"/>
  <c r="I43" i="33"/>
  <c r="H44" i="33"/>
  <c r="I44" i="33"/>
  <c r="H47" i="33"/>
  <c r="I47" i="33"/>
  <c r="H48" i="33"/>
  <c r="I48" i="33"/>
  <c r="H49" i="33"/>
  <c r="I49" i="33"/>
  <c r="H52" i="33"/>
  <c r="I52" i="33"/>
  <c r="H53" i="33"/>
  <c r="I53" i="33"/>
  <c r="H54" i="33"/>
  <c r="I54" i="33"/>
  <c r="H57" i="33"/>
  <c r="I57" i="33"/>
  <c r="H58" i="33"/>
  <c r="I58" i="33"/>
  <c r="H59" i="33"/>
  <c r="I59" i="33"/>
  <c r="H62" i="33"/>
  <c r="I62" i="33"/>
  <c r="H65" i="33"/>
  <c r="I65" i="33"/>
  <c r="H66" i="33"/>
  <c r="I66" i="33"/>
  <c r="I67" i="33"/>
  <c r="H68" i="33"/>
  <c r="I68" i="33"/>
  <c r="H78" i="33"/>
  <c r="I78" i="33"/>
  <c r="H79" i="33"/>
  <c r="I79" i="33"/>
  <c r="H80" i="33"/>
  <c r="I80" i="33"/>
  <c r="H81" i="33"/>
  <c r="I81" i="33"/>
  <c r="H82" i="33"/>
  <c r="I82" i="33"/>
  <c r="H83" i="33"/>
  <c r="I83" i="33"/>
  <c r="H91" i="33"/>
  <c r="I91" i="33"/>
  <c r="H92" i="33"/>
  <c r="I92" i="33"/>
  <c r="H93" i="33"/>
  <c r="I93" i="33"/>
  <c r="H94" i="33"/>
  <c r="I94" i="33"/>
  <c r="H97" i="33"/>
  <c r="I97" i="33"/>
  <c r="H98" i="33"/>
  <c r="I98" i="33"/>
  <c r="H99" i="33"/>
  <c r="I99" i="33"/>
  <c r="H100" i="33"/>
  <c r="I100" i="33"/>
  <c r="H101" i="33"/>
  <c r="I101" i="33"/>
  <c r="H111" i="33"/>
  <c r="I111" i="33"/>
  <c r="H112" i="33"/>
  <c r="I112" i="33"/>
  <c r="H113" i="33"/>
  <c r="I113" i="33"/>
  <c r="M113" i="33" s="1"/>
  <c r="H131" i="33"/>
  <c r="I131" i="33"/>
  <c r="H152" i="33"/>
  <c r="I152" i="33"/>
  <c r="H153" i="33"/>
  <c r="I153" i="33"/>
  <c r="H154" i="33"/>
  <c r="I154" i="33"/>
  <c r="H155" i="33"/>
  <c r="I155" i="33"/>
  <c r="H156" i="33"/>
  <c r="I156" i="33"/>
  <c r="H157" i="33"/>
  <c r="I157" i="33"/>
  <c r="H158" i="33"/>
  <c r="I158" i="33"/>
  <c r="H161" i="33"/>
  <c r="I161" i="33"/>
  <c r="H162" i="33"/>
  <c r="I162" i="33"/>
  <c r="H163" i="33"/>
  <c r="I163" i="33"/>
  <c r="H164" i="33"/>
  <c r="I164" i="33"/>
  <c r="H165" i="33"/>
  <c r="I165" i="33"/>
  <c r="M165" i="33" s="1"/>
  <c r="H188" i="33"/>
  <c r="I188" i="33"/>
  <c r="H212" i="33"/>
  <c r="I212" i="33"/>
  <c r="H213" i="33"/>
  <c r="I213" i="33"/>
  <c r="H215" i="33"/>
  <c r="I215" i="33"/>
  <c r="H216" i="33"/>
  <c r="I216" i="33"/>
  <c r="H210" i="33"/>
  <c r="H225" i="33"/>
  <c r="I225" i="33"/>
  <c r="H226" i="33"/>
  <c r="I226" i="33"/>
  <c r="H227" i="33"/>
  <c r="I227" i="33"/>
  <c r="H230" i="33"/>
  <c r="I230" i="33"/>
  <c r="H231" i="33"/>
  <c r="I231" i="33"/>
  <c r="H232" i="33"/>
  <c r="I232" i="33"/>
  <c r="H235" i="33"/>
  <c r="I235" i="33"/>
  <c r="H237" i="33"/>
  <c r="I237" i="33"/>
  <c r="H243" i="33"/>
  <c r="I243" i="33"/>
  <c r="H246" i="33"/>
  <c r="I246" i="33"/>
  <c r="H247" i="33"/>
  <c r="I247" i="33"/>
  <c r="H256" i="33"/>
  <c r="I256" i="33"/>
  <c r="H257" i="33"/>
  <c r="I257" i="33"/>
  <c r="H258" i="33"/>
  <c r="I258" i="33"/>
  <c r="H261" i="33"/>
  <c r="I261" i="33"/>
  <c r="H262" i="33"/>
  <c r="I262" i="33"/>
  <c r="H263" i="33"/>
  <c r="I263" i="33"/>
  <c r="H268" i="33"/>
  <c r="I268" i="33"/>
  <c r="H269" i="33"/>
  <c r="I269" i="33"/>
  <c r="H270" i="33"/>
  <c r="I270" i="33"/>
  <c r="H272" i="33"/>
  <c r="I272" i="33"/>
  <c r="H273" i="33"/>
  <c r="I273" i="33"/>
  <c r="H281" i="33"/>
  <c r="I281" i="33"/>
  <c r="H282" i="33"/>
  <c r="I282" i="33"/>
  <c r="H283" i="33"/>
  <c r="I283" i="33"/>
  <c r="H286" i="33"/>
  <c r="I286" i="33"/>
  <c r="H287" i="33"/>
  <c r="I287" i="33"/>
  <c r="H288" i="33"/>
  <c r="I288" i="33"/>
  <c r="I297" i="33"/>
  <c r="H309" i="33"/>
  <c r="I309" i="33"/>
  <c r="H310" i="33"/>
  <c r="I310" i="33"/>
  <c r="H311" i="33"/>
  <c r="I311" i="33"/>
  <c r="I308" i="33"/>
  <c r="H314" i="33"/>
  <c r="I314" i="33"/>
  <c r="H315" i="33"/>
  <c r="I315" i="33"/>
  <c r="I313" i="33"/>
  <c r="H408" i="33"/>
  <c r="I408" i="33"/>
  <c r="H409" i="33"/>
  <c r="I409" i="33"/>
  <c r="H410" i="33"/>
  <c r="I410" i="33"/>
  <c r="H413" i="33"/>
  <c r="I413" i="33"/>
  <c r="H414" i="33"/>
  <c r="I414" i="33"/>
  <c r="H415" i="33"/>
  <c r="I415" i="33"/>
  <c r="I420" i="33"/>
  <c r="H421" i="33"/>
  <c r="I421" i="33"/>
  <c r="H423" i="33"/>
  <c r="I423" i="33"/>
  <c r="H424" i="33"/>
  <c r="I424" i="33"/>
  <c r="H433" i="33"/>
  <c r="I433" i="33"/>
  <c r="H434" i="33"/>
  <c r="I434" i="33"/>
  <c r="H435" i="33"/>
  <c r="I435" i="33"/>
  <c r="H438" i="33"/>
  <c r="I438" i="33"/>
  <c r="H439" i="33"/>
  <c r="I439" i="33"/>
  <c r="H445" i="33"/>
  <c r="I445" i="33"/>
  <c r="H446" i="33"/>
  <c r="I446" i="33"/>
  <c r="H447" i="33"/>
  <c r="I447" i="33"/>
  <c r="H449" i="33"/>
  <c r="I449" i="33"/>
  <c r="H450" i="33"/>
  <c r="I450" i="33"/>
  <c r="H458" i="33"/>
  <c r="I458" i="33"/>
  <c r="H459" i="33"/>
  <c r="I459" i="33"/>
  <c r="H460" i="33"/>
  <c r="I460" i="33"/>
  <c r="H463" i="33"/>
  <c r="I463" i="33"/>
  <c r="H464" i="33"/>
  <c r="I464" i="33"/>
  <c r="H465" i="33"/>
  <c r="I465" i="33"/>
  <c r="H498" i="33"/>
  <c r="I498" i="33"/>
  <c r="H500" i="33"/>
  <c r="I500" i="33"/>
  <c r="H501" i="33"/>
  <c r="I501" i="33"/>
  <c r="H502" i="33"/>
  <c r="I502" i="33"/>
  <c r="H505" i="33"/>
  <c r="I505" i="33"/>
  <c r="H506" i="33"/>
  <c r="I506" i="33"/>
  <c r="H507" i="33"/>
  <c r="I507" i="33"/>
  <c r="H510" i="33"/>
  <c r="I510" i="33"/>
  <c r="H511" i="33"/>
  <c r="I511" i="33"/>
  <c r="H512" i="33"/>
  <c r="I512" i="33"/>
  <c r="H515" i="33"/>
  <c r="I515" i="33"/>
  <c r="H516" i="33"/>
  <c r="I516" i="33"/>
  <c r="H522" i="33"/>
  <c r="I522" i="33"/>
  <c r="H523" i="33"/>
  <c r="I523" i="33"/>
  <c r="H524" i="33"/>
  <c r="I524" i="33"/>
  <c r="H527" i="33"/>
  <c r="I527" i="33"/>
  <c r="H528" i="33"/>
  <c r="I528" i="33"/>
  <c r="H529" i="33"/>
  <c r="I529" i="33"/>
  <c r="H564" i="33"/>
  <c r="I564" i="33"/>
  <c r="H565" i="33"/>
  <c r="I565" i="33"/>
  <c r="H566" i="33"/>
  <c r="I566" i="33"/>
  <c r="H567" i="33"/>
  <c r="I567" i="33"/>
  <c r="H568" i="33"/>
  <c r="I568" i="33"/>
  <c r="I563" i="33"/>
  <c r="H571" i="33"/>
  <c r="I571" i="33"/>
  <c r="H572" i="33"/>
  <c r="I572" i="33"/>
  <c r="H573" i="33"/>
  <c r="I573" i="33"/>
  <c r="H574" i="33"/>
  <c r="I574" i="33"/>
  <c r="I570" i="33"/>
  <c r="H577" i="33"/>
  <c r="I577" i="33"/>
  <c r="H579" i="33"/>
  <c r="I579" i="33"/>
  <c r="H580" i="33"/>
  <c r="I580" i="33"/>
  <c r="H581" i="33"/>
  <c r="I581" i="33"/>
  <c r="H582" i="33"/>
  <c r="I582" i="33"/>
  <c r="H585" i="33"/>
  <c r="I585" i="33"/>
  <c r="H586" i="33"/>
  <c r="I586" i="33"/>
  <c r="H587" i="33"/>
  <c r="I587" i="33"/>
  <c r="H600" i="33"/>
  <c r="I600" i="33"/>
  <c r="H601" i="33"/>
  <c r="I601" i="33"/>
  <c r="H602" i="33"/>
  <c r="I602" i="33"/>
  <c r="H603" i="33"/>
  <c r="I603" i="33"/>
  <c r="H604" i="33"/>
  <c r="I604" i="33"/>
  <c r="I599" i="33"/>
  <c r="H607" i="33"/>
  <c r="I607" i="33"/>
  <c r="H608" i="33"/>
  <c r="I608" i="33"/>
  <c r="H609" i="33"/>
  <c r="I609" i="33"/>
  <c r="H610" i="33"/>
  <c r="I610" i="33"/>
  <c r="H611" i="33"/>
  <c r="I611" i="33"/>
  <c r="H623" i="33"/>
  <c r="I623" i="33"/>
  <c r="H624" i="33"/>
  <c r="I624" i="33"/>
  <c r="H625" i="33"/>
  <c r="I625" i="33"/>
  <c r="H626" i="33"/>
  <c r="I626" i="33"/>
  <c r="I622" i="33"/>
  <c r="H630" i="33"/>
  <c r="I630" i="33"/>
  <c r="H631" i="33"/>
  <c r="I631" i="33"/>
  <c r="H632" i="33"/>
  <c r="I632" i="33"/>
  <c r="H633" i="33"/>
  <c r="I633" i="33"/>
  <c r="I536" i="33"/>
  <c r="H537" i="33"/>
  <c r="I537" i="33"/>
  <c r="H538" i="33"/>
  <c r="I538" i="33"/>
  <c r="H539" i="33"/>
  <c r="I539" i="33"/>
  <c r="H540" i="33"/>
  <c r="I540" i="33"/>
  <c r="H541" i="33"/>
  <c r="I541" i="33"/>
  <c r="I535" i="33"/>
  <c r="H546" i="33"/>
  <c r="I546" i="33"/>
  <c r="H547" i="33"/>
  <c r="I547" i="33"/>
  <c r="H548" i="33"/>
  <c r="I548" i="33"/>
  <c r="H640" i="33"/>
  <c r="I640" i="33"/>
  <c r="H641" i="33"/>
  <c r="I641" i="33"/>
  <c r="H642" i="33"/>
  <c r="I642" i="33"/>
  <c r="H643" i="33"/>
  <c r="I643" i="33"/>
  <c r="H644" i="33"/>
  <c r="I644" i="33"/>
  <c r="H647" i="33"/>
  <c r="I647" i="33"/>
  <c r="H648" i="33"/>
  <c r="I648" i="33"/>
  <c r="H649" i="33"/>
  <c r="I649" i="33"/>
  <c r="H652" i="33"/>
  <c r="I652" i="33"/>
  <c r="H653" i="33"/>
  <c r="I653" i="33"/>
  <c r="H654" i="33"/>
  <c r="I654" i="33"/>
  <c r="H657" i="33"/>
  <c r="I657" i="33"/>
  <c r="H658" i="33"/>
  <c r="I658" i="33"/>
  <c r="H659" i="33"/>
  <c r="I659" i="33"/>
  <c r="H662" i="33"/>
  <c r="I662" i="33"/>
  <c r="H663" i="33"/>
  <c r="I663" i="33"/>
  <c r="H664" i="33"/>
  <c r="I664" i="33"/>
  <c r="H669" i="33"/>
  <c r="I669" i="33"/>
  <c r="H670" i="33"/>
  <c r="I670" i="33"/>
  <c r="I668" i="33"/>
  <c r="H673" i="33"/>
  <c r="I673" i="33"/>
  <c r="H674" i="33"/>
  <c r="I674" i="33"/>
  <c r="H675" i="33"/>
  <c r="I675" i="33"/>
  <c r="H682" i="33"/>
  <c r="I682" i="33"/>
  <c r="H683" i="33"/>
  <c r="I683" i="33"/>
  <c r="I684" i="33"/>
  <c r="H685" i="33"/>
  <c r="I685" i="33"/>
  <c r="H686" i="33"/>
  <c r="I686" i="33"/>
  <c r="H689" i="33"/>
  <c r="I689" i="33"/>
  <c r="H690" i="33"/>
  <c r="I690" i="33"/>
  <c r="H691" i="33"/>
  <c r="I691" i="33"/>
  <c r="H692" i="33"/>
  <c r="I692" i="33"/>
  <c r="H693" i="33"/>
  <c r="I693" i="33"/>
  <c r="H694" i="33"/>
  <c r="I694" i="33"/>
  <c r="H705" i="33"/>
  <c r="I705" i="33"/>
  <c r="H706" i="33"/>
  <c r="I706" i="33"/>
  <c r="H707" i="33"/>
  <c r="I707" i="33"/>
  <c r="H708" i="33"/>
  <c r="I708" i="33"/>
  <c r="H711" i="33"/>
  <c r="I711" i="33"/>
  <c r="H712" i="33"/>
  <c r="I712" i="33"/>
  <c r="H713" i="33"/>
  <c r="I713" i="33"/>
  <c r="H714" i="33"/>
  <c r="I714" i="33"/>
  <c r="H716" i="33"/>
  <c r="I716" i="33"/>
  <c r="I710" i="33"/>
  <c r="H710" i="33"/>
  <c r="I704" i="33"/>
  <c r="H704" i="33"/>
  <c r="I688" i="33"/>
  <c r="H688" i="33"/>
  <c r="I681" i="33"/>
  <c r="H681" i="33"/>
  <c r="I672" i="33"/>
  <c r="H672" i="33"/>
  <c r="H668" i="33"/>
  <c r="I661" i="33"/>
  <c r="H661" i="33"/>
  <c r="I656" i="33"/>
  <c r="H656" i="33"/>
  <c r="I651" i="33"/>
  <c r="H651" i="33"/>
  <c r="I646" i="33"/>
  <c r="H646" i="33"/>
  <c r="I639" i="33"/>
  <c r="H639" i="33"/>
  <c r="I545" i="33"/>
  <c r="H545" i="33"/>
  <c r="I629" i="33"/>
  <c r="H629" i="33"/>
  <c r="H622" i="33"/>
  <c r="I606" i="33"/>
  <c r="H606" i="33"/>
  <c r="H599" i="33"/>
  <c r="I584" i="33"/>
  <c r="H584" i="33"/>
  <c r="I576" i="33"/>
  <c r="H576" i="33"/>
  <c r="H570" i="33"/>
  <c r="H563" i="33"/>
  <c r="I526" i="33"/>
  <c r="H526" i="33"/>
  <c r="I521" i="33"/>
  <c r="H521" i="33"/>
  <c r="I514" i="33"/>
  <c r="H514" i="33"/>
  <c r="I509" i="33"/>
  <c r="H509" i="33"/>
  <c r="I504" i="33"/>
  <c r="H504" i="33"/>
  <c r="I497" i="33"/>
  <c r="H497" i="33"/>
  <c r="I462" i="33"/>
  <c r="H462" i="33"/>
  <c r="I457" i="33"/>
  <c r="H457" i="33"/>
  <c r="I444" i="33"/>
  <c r="H444" i="33"/>
  <c r="I437" i="33"/>
  <c r="H437" i="33"/>
  <c r="I432" i="33"/>
  <c r="H432" i="33"/>
  <c r="I419" i="33"/>
  <c r="I412" i="33"/>
  <c r="H412" i="33"/>
  <c r="I407" i="33"/>
  <c r="H407" i="33"/>
  <c r="H313" i="33"/>
  <c r="H308" i="33"/>
  <c r="H297" i="33"/>
  <c r="I285" i="33"/>
  <c r="H285" i="33"/>
  <c r="I280" i="33"/>
  <c r="H280" i="33"/>
  <c r="I267" i="33"/>
  <c r="H267" i="33"/>
  <c r="I260" i="33"/>
  <c r="H260" i="33"/>
  <c r="I255" i="33"/>
  <c r="H255" i="33"/>
  <c r="H242" i="33"/>
  <c r="I234" i="33"/>
  <c r="H234" i="33"/>
  <c r="I229" i="33"/>
  <c r="H229" i="33"/>
  <c r="I224" i="33"/>
  <c r="H224" i="33"/>
  <c r="I160" i="33"/>
  <c r="H160" i="33"/>
  <c r="I151" i="33"/>
  <c r="H151" i="33"/>
  <c r="I110" i="33"/>
  <c r="H110" i="33"/>
  <c r="I96" i="33"/>
  <c r="H96" i="33"/>
  <c r="I89" i="33"/>
  <c r="H89" i="33"/>
  <c r="I77" i="33"/>
  <c r="H77" i="33"/>
  <c r="I61" i="33"/>
  <c r="H61" i="33"/>
  <c r="I56" i="33"/>
  <c r="H56" i="33"/>
  <c r="I51" i="33"/>
  <c r="H51" i="33"/>
  <c r="I46" i="33"/>
  <c r="H46" i="33"/>
  <c r="I38" i="33"/>
  <c r="H38" i="33"/>
  <c r="I31" i="33"/>
  <c r="H31" i="33"/>
  <c r="I25" i="33"/>
  <c r="H25" i="33"/>
  <c r="H22" i="33"/>
  <c r="I22" i="33"/>
  <c r="H23" i="33"/>
  <c r="I23" i="33"/>
  <c r="I21" i="33"/>
  <c r="H21" i="33"/>
  <c r="I20" i="33"/>
  <c r="H20" i="33"/>
  <c r="I19" i="33"/>
  <c r="H19" i="33"/>
  <c r="I18" i="33"/>
  <c r="H18" i="33"/>
  <c r="I17" i="33"/>
  <c r="H17" i="33"/>
  <c r="I12" i="33"/>
  <c r="I13" i="33"/>
  <c r="I14" i="33"/>
  <c r="I15" i="33"/>
  <c r="H12" i="33"/>
  <c r="H13" i="33"/>
  <c r="H14" i="33"/>
  <c r="H15" i="33"/>
  <c r="H10" i="33"/>
  <c r="Q11" i="33"/>
  <c r="Q12" i="33"/>
  <c r="M13" i="27"/>
  <c r="Q13" i="33" s="1"/>
  <c r="P14" i="27"/>
  <c r="V14" i="33" s="1"/>
  <c r="P15" i="27"/>
  <c r="V15" i="33" s="1"/>
  <c r="M18" i="27"/>
  <c r="P18" i="27" s="1"/>
  <c r="V18" i="33" s="1"/>
  <c r="M19" i="27"/>
  <c r="Q19" i="33" s="1"/>
  <c r="M20" i="27"/>
  <c r="Q20" i="33" s="1"/>
  <c r="M21" i="27"/>
  <c r="Q21" i="33" s="1"/>
  <c r="M22" i="27"/>
  <c r="P22" i="27" s="1"/>
  <c r="V22" i="33" s="1"/>
  <c r="M23" i="27"/>
  <c r="P23" i="27" s="1"/>
  <c r="V23" i="33" s="1"/>
  <c r="M26" i="27"/>
  <c r="P26" i="27" s="1"/>
  <c r="V26" i="33" s="1"/>
  <c r="M27" i="27"/>
  <c r="Q27" i="33" s="1"/>
  <c r="M28" i="27"/>
  <c r="Q28" i="33" s="1"/>
  <c r="M29" i="27"/>
  <c r="Q29" i="33" s="1"/>
  <c r="M32" i="27"/>
  <c r="P32" i="27" s="1"/>
  <c r="V32" i="33" s="1"/>
  <c r="M33" i="27"/>
  <c r="Q33" i="33" s="1"/>
  <c r="M34" i="27"/>
  <c r="P34" i="27" s="1"/>
  <c r="V34" i="33" s="1"/>
  <c r="M39" i="27"/>
  <c r="P39" i="27" s="1"/>
  <c r="V39" i="33" s="1"/>
  <c r="M40" i="27"/>
  <c r="Q40" i="33" s="1"/>
  <c r="M41" i="27"/>
  <c r="Q41" i="33" s="1"/>
  <c r="M42" i="27"/>
  <c r="Q42" i="33" s="1"/>
  <c r="M43" i="27"/>
  <c r="P43" i="27" s="1"/>
  <c r="V43" i="33" s="1"/>
  <c r="M44" i="27"/>
  <c r="Q44" i="33" s="1"/>
  <c r="M47" i="27"/>
  <c r="Q47" i="33" s="1"/>
  <c r="M48" i="27"/>
  <c r="P48" i="27" s="1"/>
  <c r="V48" i="33" s="1"/>
  <c r="M49" i="27"/>
  <c r="P49" i="27" s="1"/>
  <c r="V49" i="33" s="1"/>
  <c r="M52" i="27"/>
  <c r="Q52" i="33" s="1"/>
  <c r="M53" i="27"/>
  <c r="P53" i="27" s="1"/>
  <c r="V53" i="33" s="1"/>
  <c r="M54" i="27"/>
  <c r="P54" i="27" s="1"/>
  <c r="V54" i="33" s="1"/>
  <c r="Q57" i="33"/>
  <c r="Q58" i="33"/>
  <c r="M59" i="27"/>
  <c r="Q59" i="33" s="1"/>
  <c r="Q62" i="33"/>
  <c r="P65" i="27"/>
  <c r="V65" i="33" s="1"/>
  <c r="M66" i="27"/>
  <c r="P66" i="27" s="1"/>
  <c r="V66" i="33" s="1"/>
  <c r="M67" i="27"/>
  <c r="P67" i="27" s="1"/>
  <c r="V67" i="33" s="1"/>
  <c r="Q68" i="33"/>
  <c r="M78" i="27"/>
  <c r="Q78" i="33" s="1"/>
  <c r="M79" i="27"/>
  <c r="Q79" i="33" s="1"/>
  <c r="M80" i="27"/>
  <c r="Q80" i="33" s="1"/>
  <c r="M81" i="27"/>
  <c r="P81" i="27" s="1"/>
  <c r="V81" i="33" s="1"/>
  <c r="M82" i="27"/>
  <c r="P82" i="27" s="1"/>
  <c r="V82" i="33" s="1"/>
  <c r="M83" i="27"/>
  <c r="P83" i="27" s="1"/>
  <c r="V83" i="33" s="1"/>
  <c r="M91" i="27"/>
  <c r="Q91" i="33" s="1"/>
  <c r="M92" i="27"/>
  <c r="Q92" i="33" s="1"/>
  <c r="M93" i="27"/>
  <c r="Q93" i="33" s="1"/>
  <c r="M94" i="27"/>
  <c r="Q94" i="33" s="1"/>
  <c r="M97" i="27"/>
  <c r="Q97" i="33" s="1"/>
  <c r="M98" i="27"/>
  <c r="P98" i="27" s="1"/>
  <c r="V98" i="33" s="1"/>
  <c r="M99" i="27"/>
  <c r="P99" i="27" s="1"/>
  <c r="V99" i="33" s="1"/>
  <c r="M100" i="27"/>
  <c r="P100" i="27" s="1"/>
  <c r="V100" i="33" s="1"/>
  <c r="M101" i="27"/>
  <c r="Q101" i="33" s="1"/>
  <c r="M104" i="27"/>
  <c r="Q104" i="33" s="1"/>
  <c r="M105" i="27"/>
  <c r="M107" i="27"/>
  <c r="Q107" i="33" s="1"/>
  <c r="M108" i="27"/>
  <c r="Q108" i="33" s="1"/>
  <c r="P111" i="27"/>
  <c r="V111" i="33" s="1"/>
  <c r="M112" i="27"/>
  <c r="P112" i="27" s="1"/>
  <c r="V112" i="33" s="1"/>
  <c r="Q113" i="33"/>
  <c r="M131" i="27"/>
  <c r="Q131" i="33" s="1"/>
  <c r="M152" i="27"/>
  <c r="Q152" i="33" s="1"/>
  <c r="M153" i="27"/>
  <c r="Q153" i="33" s="1"/>
  <c r="M154" i="27"/>
  <c r="P154" i="27" s="1"/>
  <c r="V154" i="33" s="1"/>
  <c r="M155" i="27"/>
  <c r="P155" i="27" s="1"/>
  <c r="V155" i="33" s="1"/>
  <c r="M156" i="27"/>
  <c r="P156" i="27" s="1"/>
  <c r="V156" i="33" s="1"/>
  <c r="M157" i="27"/>
  <c r="P157" i="27" s="1"/>
  <c r="V157" i="33" s="1"/>
  <c r="M158" i="27"/>
  <c r="Q158" i="33" s="1"/>
  <c r="M161" i="27"/>
  <c r="Q161" i="33" s="1"/>
  <c r="M162" i="27"/>
  <c r="Q162" i="33" s="1"/>
  <c r="M163" i="27"/>
  <c r="Q163" i="33" s="1"/>
  <c r="M164" i="27"/>
  <c r="P164" i="27" s="1"/>
  <c r="V164" i="33" s="1"/>
  <c r="M165" i="27"/>
  <c r="P165" i="27" s="1"/>
  <c r="V165" i="33" s="1"/>
  <c r="Q170" i="33"/>
  <c r="Q172" i="33"/>
  <c r="M181" i="27"/>
  <c r="P181" i="27" s="1"/>
  <c r="V181" i="33" s="1"/>
  <c r="M182" i="27"/>
  <c r="M187" i="27"/>
  <c r="P187" i="27" s="1"/>
  <c r="V187" i="33" s="1"/>
  <c r="M188" i="27"/>
  <c r="M137" i="27"/>
  <c r="Q138" i="33"/>
  <c r="M143" i="27"/>
  <c r="Q143" i="33" s="1"/>
  <c r="M144" i="27"/>
  <c r="Q144" i="33" s="1"/>
  <c r="M145" i="27"/>
  <c r="Q145" i="33" s="1"/>
  <c r="M211" i="27"/>
  <c r="P211" i="27" s="1"/>
  <c r="V211" i="33" s="1"/>
  <c r="P212" i="27"/>
  <c r="V212" i="33" s="1"/>
  <c r="Q213" i="33"/>
  <c r="M215" i="27"/>
  <c r="Q215" i="33" s="1"/>
  <c r="M216" i="27"/>
  <c r="Q216" i="33" s="1"/>
  <c r="Q219" i="33"/>
  <c r="M220" i="27"/>
  <c r="P220" i="27" s="1"/>
  <c r="V220" i="33" s="1"/>
  <c r="M221" i="27"/>
  <c r="P221" i="27" s="1"/>
  <c r="V221" i="33" s="1"/>
  <c r="M222" i="27"/>
  <c r="P222" i="27" s="1"/>
  <c r="V222" i="33" s="1"/>
  <c r="M225" i="27"/>
  <c r="Q225" i="33" s="1"/>
  <c r="M226" i="27"/>
  <c r="Q226" i="33" s="1"/>
  <c r="M227" i="27"/>
  <c r="Q227" i="33" s="1"/>
  <c r="P230" i="27"/>
  <c r="V230" i="33" s="1"/>
  <c r="M231" i="27"/>
  <c r="Q231" i="33" s="1"/>
  <c r="M232" i="27"/>
  <c r="P232" i="27" s="1"/>
  <c r="V232" i="33" s="1"/>
  <c r="M235" i="27"/>
  <c r="P235" i="27" s="1"/>
  <c r="V235" i="33" s="1"/>
  <c r="M237" i="27"/>
  <c r="Q237" i="33" s="1"/>
  <c r="V243" i="33"/>
  <c r="P246" i="27"/>
  <c r="V246" i="33" s="1"/>
  <c r="M247" i="27"/>
  <c r="Q247" i="33" s="1"/>
  <c r="M250" i="27"/>
  <c r="Q250" i="33" s="1"/>
  <c r="M251" i="27"/>
  <c r="Q251" i="33" s="1"/>
  <c r="M252" i="27"/>
  <c r="P252" i="27" s="1"/>
  <c r="V252" i="33" s="1"/>
  <c r="M253" i="27"/>
  <c r="Q253" i="33" s="1"/>
  <c r="M256" i="27"/>
  <c r="Q256" i="33" s="1"/>
  <c r="M257" i="27"/>
  <c r="P257" i="27" s="1"/>
  <c r="V257" i="33" s="1"/>
  <c r="M258" i="27"/>
  <c r="P258" i="27" s="1"/>
  <c r="V258" i="33" s="1"/>
  <c r="Q261" i="33"/>
  <c r="M262" i="27"/>
  <c r="Q262" i="33" s="1"/>
  <c r="M263" i="27"/>
  <c r="P263" i="27" s="1"/>
  <c r="V263" i="33" s="1"/>
  <c r="M268" i="27"/>
  <c r="Q268" i="33" s="1"/>
  <c r="M269" i="27"/>
  <c r="P269" i="27" s="1"/>
  <c r="V269" i="33" s="1"/>
  <c r="M270" i="27"/>
  <c r="Q270" i="33" s="1"/>
  <c r="M272" i="27"/>
  <c r="Q272" i="33" s="1"/>
  <c r="M273" i="27"/>
  <c r="Q273" i="33" s="1"/>
  <c r="M276" i="27"/>
  <c r="Q276" i="33" s="1"/>
  <c r="M277" i="27"/>
  <c r="Q277" i="33" s="1"/>
  <c r="M278" i="27"/>
  <c r="Q278" i="33" s="1"/>
  <c r="M281" i="27"/>
  <c r="P281" i="27" s="1"/>
  <c r="V281" i="33" s="1"/>
  <c r="M282" i="27"/>
  <c r="P282" i="27" s="1"/>
  <c r="V282" i="33" s="1"/>
  <c r="M283" i="27"/>
  <c r="Q283" i="33" s="1"/>
  <c r="Q286" i="33"/>
  <c r="M287" i="27"/>
  <c r="Q287" i="33" s="1"/>
  <c r="M288" i="27"/>
  <c r="Q288" i="33" s="1"/>
  <c r="M298" i="27"/>
  <c r="Q298" i="33" s="1"/>
  <c r="M300" i="27"/>
  <c r="Q300" i="33" s="1"/>
  <c r="M301" i="27"/>
  <c r="Q301" i="33" s="1"/>
  <c r="M304" i="27"/>
  <c r="Q304" i="33" s="1"/>
  <c r="M305" i="27"/>
  <c r="Q305" i="33" s="1"/>
  <c r="M306" i="27"/>
  <c r="Q306" i="33" s="1"/>
  <c r="M309" i="27"/>
  <c r="Q309" i="33" s="1"/>
  <c r="M310" i="27"/>
  <c r="Q310" i="33" s="1"/>
  <c r="M311" i="27"/>
  <c r="Q311" i="33" s="1"/>
  <c r="Q314" i="33"/>
  <c r="M315" i="27"/>
  <c r="Q315" i="33" s="1"/>
  <c r="Q396" i="33"/>
  <c r="M398" i="27"/>
  <c r="M399" i="27"/>
  <c r="Q399" i="33" s="1"/>
  <c r="M402" i="27"/>
  <c r="Q402" i="33" s="1"/>
  <c r="M403" i="27"/>
  <c r="Q403" i="33" s="1"/>
  <c r="M404" i="27"/>
  <c r="Q404" i="33" s="1"/>
  <c r="M405" i="27"/>
  <c r="Q405" i="33" s="1"/>
  <c r="M408" i="27"/>
  <c r="Q408" i="33" s="1"/>
  <c r="M409" i="27"/>
  <c r="P409" i="27" s="1"/>
  <c r="V409" i="33" s="1"/>
  <c r="M410" i="27"/>
  <c r="Q410" i="33" s="1"/>
  <c r="Q413" i="33"/>
  <c r="M414" i="27"/>
  <c r="Q414" i="33" s="1"/>
  <c r="M415" i="27"/>
  <c r="Q415" i="33" s="1"/>
  <c r="M420" i="27"/>
  <c r="Q420" i="33" s="1"/>
  <c r="M421" i="27"/>
  <c r="P421" i="27" s="1"/>
  <c r="V421" i="33" s="1"/>
  <c r="M423" i="27"/>
  <c r="Q423" i="33" s="1"/>
  <c r="M424" i="27"/>
  <c r="Q424" i="33" s="1"/>
  <c r="M427" i="27"/>
  <c r="Q427" i="33" s="1"/>
  <c r="M428" i="27"/>
  <c r="Q428" i="33" s="1"/>
  <c r="M429" i="27"/>
  <c r="Q429" i="33" s="1"/>
  <c r="M430" i="27"/>
  <c r="Q430" i="33" s="1"/>
  <c r="M433" i="27"/>
  <c r="Q433" i="33" s="1"/>
  <c r="M434" i="27"/>
  <c r="Q434" i="33" s="1"/>
  <c r="M435" i="27"/>
  <c r="Q435" i="33" s="1"/>
  <c r="Q438" i="33"/>
  <c r="M439" i="27"/>
  <c r="Q439" i="33" s="1"/>
  <c r="M445" i="27"/>
  <c r="Q445" i="33" s="1"/>
  <c r="M446" i="27"/>
  <c r="Q446" i="33" s="1"/>
  <c r="M447" i="27"/>
  <c r="Q447" i="33" s="1"/>
  <c r="M449" i="27"/>
  <c r="Q449" i="33" s="1"/>
  <c r="M450" i="27"/>
  <c r="Q450" i="33" s="1"/>
  <c r="M453" i="27"/>
  <c r="Q453" i="33" s="1"/>
  <c r="M454" i="27"/>
  <c r="Q454" i="33" s="1"/>
  <c r="M455" i="27"/>
  <c r="Q455" i="33" s="1"/>
  <c r="M458" i="27"/>
  <c r="Q458" i="33" s="1"/>
  <c r="M459" i="27"/>
  <c r="Q459" i="33" s="1"/>
  <c r="M460" i="27"/>
  <c r="Q460" i="33" s="1"/>
  <c r="Q463" i="33"/>
  <c r="M464" i="27"/>
  <c r="Q464" i="33" s="1"/>
  <c r="M465" i="27"/>
  <c r="Q465" i="33" s="1"/>
  <c r="M498" i="27"/>
  <c r="M499" i="27"/>
  <c r="M500" i="27"/>
  <c r="M501" i="27"/>
  <c r="M502" i="27"/>
  <c r="Q502" i="33" s="1"/>
  <c r="M505" i="27"/>
  <c r="M506" i="27"/>
  <c r="M507" i="27"/>
  <c r="M510" i="27"/>
  <c r="M511" i="27"/>
  <c r="M512" i="27"/>
  <c r="P515" i="27"/>
  <c r="M516" i="27"/>
  <c r="M522" i="27"/>
  <c r="Q522" i="33" s="1"/>
  <c r="M523" i="27"/>
  <c r="P523" i="27" s="1"/>
  <c r="V523" i="33" s="1"/>
  <c r="M524" i="27"/>
  <c r="Q524" i="33" s="1"/>
  <c r="Q527" i="33"/>
  <c r="Q528" i="33"/>
  <c r="M529" i="27"/>
  <c r="Q529" i="33" s="1"/>
  <c r="M564" i="27"/>
  <c r="Q564" i="33" s="1"/>
  <c r="M565" i="27"/>
  <c r="P565" i="27" s="1"/>
  <c r="V565" i="33" s="1"/>
  <c r="M566" i="27"/>
  <c r="Q566" i="33" s="1"/>
  <c r="M567" i="27"/>
  <c r="Q567" i="33" s="1"/>
  <c r="M568" i="27"/>
  <c r="Q568" i="33" s="1"/>
  <c r="M571" i="27"/>
  <c r="Q571" i="33" s="1"/>
  <c r="M572" i="27"/>
  <c r="Q572" i="33" s="1"/>
  <c r="M573" i="27"/>
  <c r="Q573" i="33" s="1"/>
  <c r="M574" i="27"/>
  <c r="P574" i="27" s="1"/>
  <c r="V574" i="33" s="1"/>
  <c r="M577" i="27"/>
  <c r="Q577" i="33" s="1"/>
  <c r="M579" i="27"/>
  <c r="Q579" i="33" s="1"/>
  <c r="M580" i="27"/>
  <c r="Q580" i="33" s="1"/>
  <c r="M581" i="27"/>
  <c r="Q581" i="33" s="1"/>
  <c r="M582" i="27"/>
  <c r="Q582" i="33" s="1"/>
  <c r="M585" i="27"/>
  <c r="Q585" i="33" s="1"/>
  <c r="M586" i="27"/>
  <c r="Q586" i="33" s="1"/>
  <c r="M587" i="27"/>
  <c r="Q587" i="33" s="1"/>
  <c r="M590" i="27"/>
  <c r="Q590" i="33" s="1"/>
  <c r="M591" i="27"/>
  <c r="Q591" i="33" s="1"/>
  <c r="M595" i="27"/>
  <c r="Q595" i="33" s="1"/>
  <c r="M600" i="27"/>
  <c r="Q600" i="33" s="1"/>
  <c r="M601" i="27"/>
  <c r="Q601" i="33" s="1"/>
  <c r="M602" i="27"/>
  <c r="Q602" i="33" s="1"/>
  <c r="M603" i="27"/>
  <c r="Q603" i="33" s="1"/>
  <c r="M604" i="27"/>
  <c r="Q604" i="33" s="1"/>
  <c r="M607" i="27"/>
  <c r="Q607" i="33" s="1"/>
  <c r="M608" i="27"/>
  <c r="Q608" i="33" s="1"/>
  <c r="M609" i="27"/>
  <c r="Q609" i="33" s="1"/>
  <c r="M610" i="27"/>
  <c r="Q610" i="33" s="1"/>
  <c r="M611" i="27"/>
  <c r="Q611" i="33" s="1"/>
  <c r="M614" i="27"/>
  <c r="Q614" i="33" s="1"/>
  <c r="M615" i="27"/>
  <c r="M618" i="27"/>
  <c r="Q618" i="33" s="1"/>
  <c r="M623" i="27"/>
  <c r="Q623" i="33" s="1"/>
  <c r="M624" i="27"/>
  <c r="Q624" i="33" s="1"/>
  <c r="M625" i="27"/>
  <c r="Q625" i="33" s="1"/>
  <c r="M626" i="27"/>
  <c r="Q626" i="33" s="1"/>
  <c r="M630" i="27"/>
  <c r="Q630" i="33" s="1"/>
  <c r="M631" i="27"/>
  <c r="Q631" i="33" s="1"/>
  <c r="M632" i="27"/>
  <c r="Q632" i="33" s="1"/>
  <c r="M633" i="27"/>
  <c r="P633" i="27" s="1"/>
  <c r="V633" i="33" s="1"/>
  <c r="M536" i="27"/>
  <c r="Q536" i="33" s="1"/>
  <c r="M537" i="27"/>
  <c r="Q537" i="33" s="1"/>
  <c r="M538" i="27"/>
  <c r="Q538" i="33" s="1"/>
  <c r="M539" i="27"/>
  <c r="Q539" i="33" s="1"/>
  <c r="M540" i="27"/>
  <c r="Q540" i="33" s="1"/>
  <c r="M541" i="27"/>
  <c r="Q541" i="33" s="1"/>
  <c r="Q546" i="33"/>
  <c r="M547" i="27"/>
  <c r="Q547" i="33" s="1"/>
  <c r="M548" i="27"/>
  <c r="Q548" i="33" s="1"/>
  <c r="M554" i="27"/>
  <c r="Q554" i="33" s="1"/>
  <c r="M555" i="27"/>
  <c r="P555" i="27" s="1"/>
  <c r="V555" i="33" s="1"/>
  <c r="M556" i="27"/>
  <c r="Q556" i="33" s="1"/>
  <c r="M557" i="27"/>
  <c r="Q557" i="33" s="1"/>
  <c r="M640" i="27"/>
  <c r="Q640" i="33" s="1"/>
  <c r="M641" i="27"/>
  <c r="Q641" i="33" s="1"/>
  <c r="M642" i="27"/>
  <c r="Q642" i="33" s="1"/>
  <c r="M643" i="27"/>
  <c r="Q643" i="33" s="1"/>
  <c r="M644" i="27"/>
  <c r="P644" i="27" s="1"/>
  <c r="V644" i="33" s="1"/>
  <c r="M647" i="27"/>
  <c r="Q647" i="33" s="1"/>
  <c r="M648" i="27"/>
  <c r="Q648" i="33" s="1"/>
  <c r="M649" i="27"/>
  <c r="Q649" i="33" s="1"/>
  <c r="M652" i="27"/>
  <c r="Q652" i="33" s="1"/>
  <c r="M653" i="27"/>
  <c r="Q653" i="33" s="1"/>
  <c r="M654" i="27"/>
  <c r="Q654" i="33" s="1"/>
  <c r="Q657" i="33"/>
  <c r="M658" i="27"/>
  <c r="Q658" i="33" s="1"/>
  <c r="M659" i="27"/>
  <c r="Q659" i="33" s="1"/>
  <c r="M662" i="27"/>
  <c r="Q662" i="33" s="1"/>
  <c r="M663" i="27"/>
  <c r="Q663" i="33" s="1"/>
  <c r="M664" i="27"/>
  <c r="Q664" i="33" s="1"/>
  <c r="M669" i="27"/>
  <c r="Q669" i="33" s="1"/>
  <c r="M670" i="27"/>
  <c r="Q670" i="33" s="1"/>
  <c r="M673" i="27"/>
  <c r="Q673" i="33" s="1"/>
  <c r="M674" i="27"/>
  <c r="Q674" i="33" s="1"/>
  <c r="M675" i="27"/>
  <c r="Q675" i="33" s="1"/>
  <c r="M682" i="27"/>
  <c r="Q682" i="33" s="1"/>
  <c r="M683" i="27"/>
  <c r="Q683" i="33" s="1"/>
  <c r="M684" i="27"/>
  <c r="Q684" i="33" s="1"/>
  <c r="M685" i="27"/>
  <c r="Q685" i="33" s="1"/>
  <c r="M686" i="27"/>
  <c r="Q686" i="33" s="1"/>
  <c r="M689" i="27"/>
  <c r="Q689" i="33" s="1"/>
  <c r="M690" i="27"/>
  <c r="P690" i="27" s="1"/>
  <c r="V690" i="33" s="1"/>
  <c r="M691" i="27"/>
  <c r="Q691" i="33" s="1"/>
  <c r="M692" i="27"/>
  <c r="Q692" i="33" s="1"/>
  <c r="M693" i="27"/>
  <c r="Q693" i="33" s="1"/>
  <c r="M694" i="27"/>
  <c r="Q694" i="33" s="1"/>
  <c r="M705" i="27"/>
  <c r="Q705" i="33" s="1"/>
  <c r="M706" i="27"/>
  <c r="Q706" i="33" s="1"/>
  <c r="M707" i="27"/>
  <c r="Q707" i="33" s="1"/>
  <c r="M708" i="27"/>
  <c r="Q708" i="33" s="1"/>
  <c r="M711" i="27"/>
  <c r="Q711" i="33" s="1"/>
  <c r="M712" i="27"/>
  <c r="Q712" i="33" s="1"/>
  <c r="M713" i="27"/>
  <c r="Q713" i="33" s="1"/>
  <c r="M714" i="27"/>
  <c r="Q714" i="33" s="1"/>
  <c r="M716" i="27"/>
  <c r="Q716" i="33" s="1"/>
  <c r="M710" i="27"/>
  <c r="Q710" i="33" s="1"/>
  <c r="M704" i="27"/>
  <c r="Q704" i="33" s="1"/>
  <c r="M688" i="27"/>
  <c r="Q688" i="33" s="1"/>
  <c r="M681" i="27"/>
  <c r="P681" i="27" s="1"/>
  <c r="V681" i="33" s="1"/>
  <c r="M672" i="27"/>
  <c r="Q672" i="33" s="1"/>
  <c r="M668" i="27"/>
  <c r="Q668" i="33" s="1"/>
  <c r="M661" i="27"/>
  <c r="Q661" i="33" s="1"/>
  <c r="Q656" i="33"/>
  <c r="M651" i="27"/>
  <c r="Q651" i="33" s="1"/>
  <c r="M646" i="27"/>
  <c r="Q646" i="33" s="1"/>
  <c r="M639" i="27"/>
  <c r="Q639" i="33" s="1"/>
  <c r="M553" i="27"/>
  <c r="Q553" i="33" s="1"/>
  <c r="Q545" i="33"/>
  <c r="M535" i="27"/>
  <c r="Q535" i="33" s="1"/>
  <c r="M629" i="27"/>
  <c r="Q629" i="33" s="1"/>
  <c r="M622" i="27"/>
  <c r="Q622" i="33" s="1"/>
  <c r="M613" i="27"/>
  <c r="Q613" i="33" s="1"/>
  <c r="M606" i="27"/>
  <c r="Q606" i="33" s="1"/>
  <c r="M599" i="27"/>
  <c r="Q599" i="33" s="1"/>
  <c r="M589" i="27"/>
  <c r="Q589" i="33" s="1"/>
  <c r="M584" i="27"/>
  <c r="Q584" i="33" s="1"/>
  <c r="M576" i="27"/>
  <c r="Q576" i="33" s="1"/>
  <c r="M570" i="27"/>
  <c r="Q570" i="33" s="1"/>
  <c r="M563" i="27"/>
  <c r="Q563" i="33" s="1"/>
  <c r="Q526" i="33"/>
  <c r="M521" i="27"/>
  <c r="Q521" i="33" s="1"/>
  <c r="Q514" i="33"/>
  <c r="M509" i="27"/>
  <c r="M504" i="27"/>
  <c r="M497" i="27"/>
  <c r="Q462" i="33"/>
  <c r="M457" i="27"/>
  <c r="Q457" i="33" s="1"/>
  <c r="M452" i="27"/>
  <c r="Q452" i="33" s="1"/>
  <c r="M444" i="27"/>
  <c r="Q444" i="33" s="1"/>
  <c r="Q437" i="33"/>
  <c r="M432" i="27"/>
  <c r="Q432" i="33" s="1"/>
  <c r="M426" i="27"/>
  <c r="Q426" i="33" s="1"/>
  <c r="M419" i="27"/>
  <c r="Q419" i="33" s="1"/>
  <c r="Q412" i="33"/>
  <c r="M407" i="27"/>
  <c r="P407" i="27" s="1"/>
  <c r="V407" i="33" s="1"/>
  <c r="M401" i="27"/>
  <c r="Q401" i="33" s="1"/>
  <c r="M394" i="27"/>
  <c r="Q313" i="33"/>
  <c r="M308" i="27"/>
  <c r="Q308" i="33" s="1"/>
  <c r="M303" i="27"/>
  <c r="Q303" i="33" s="1"/>
  <c r="M297" i="27"/>
  <c r="P297" i="27" s="1"/>
  <c r="V297" i="33" s="1"/>
  <c r="Q285" i="33"/>
  <c r="M280" i="27"/>
  <c r="Q280" i="33" s="1"/>
  <c r="M275" i="27"/>
  <c r="Q275" i="33" s="1"/>
  <c r="M267" i="27"/>
  <c r="Q267" i="33" s="1"/>
  <c r="Q260" i="33"/>
  <c r="M255" i="27"/>
  <c r="Q255" i="33" s="1"/>
  <c r="M249" i="27"/>
  <c r="Q249" i="33" s="1"/>
  <c r="M242" i="27"/>
  <c r="Q242" i="33" s="1"/>
  <c r="M234" i="27"/>
  <c r="P234" i="27" s="1"/>
  <c r="V234" i="33" s="1"/>
  <c r="Q229" i="33"/>
  <c r="M224" i="27"/>
  <c r="P224" i="27" s="1"/>
  <c r="V224" i="33" s="1"/>
  <c r="Q218" i="33"/>
  <c r="M210" i="27"/>
  <c r="P210" i="27" s="1"/>
  <c r="V210" i="33" s="1"/>
  <c r="M142" i="27"/>
  <c r="Q142" i="33" s="1"/>
  <c r="M186" i="27"/>
  <c r="P186" i="27" s="1"/>
  <c r="V186" i="33" s="1"/>
  <c r="Q180" i="33"/>
  <c r="M160" i="27"/>
  <c r="Q160" i="33" s="1"/>
  <c r="M151" i="27"/>
  <c r="Q151" i="33" s="1"/>
  <c r="M110" i="27"/>
  <c r="P110" i="27" s="1"/>
  <c r="V110" i="33" s="1"/>
  <c r="Q103" i="33"/>
  <c r="M96" i="27"/>
  <c r="P96" i="27" s="1"/>
  <c r="V96" i="33" s="1"/>
  <c r="M89" i="27"/>
  <c r="P89" i="27" s="1"/>
  <c r="V89" i="33" s="1"/>
  <c r="M77" i="27"/>
  <c r="Q77" i="33" s="1"/>
  <c r="Q61" i="33"/>
  <c r="Q56" i="33"/>
  <c r="Q51" i="33"/>
  <c r="M46" i="27"/>
  <c r="P46" i="27" s="1"/>
  <c r="V46" i="33" s="1"/>
  <c r="M38" i="27"/>
  <c r="P38" i="27" s="1"/>
  <c r="V38" i="33" s="1"/>
  <c r="M31" i="27"/>
  <c r="Q31" i="33" s="1"/>
  <c r="M25" i="27"/>
  <c r="P25" i="27" s="1"/>
  <c r="V25" i="33" s="1"/>
  <c r="M17" i="27"/>
  <c r="P17" i="27" s="1"/>
  <c r="V17" i="33" s="1"/>
  <c r="F98" i="32"/>
  <c r="B2" i="32"/>
  <c r="C2" i="32" s="1"/>
  <c r="Q182" i="33" l="1"/>
  <c r="P182" i="27"/>
  <c r="V182" i="33" s="1"/>
  <c r="P188" i="27"/>
  <c r="V188" i="33" s="1"/>
  <c r="D2" i="32"/>
  <c r="B116" i="27"/>
  <c r="N24" i="32" s="1"/>
  <c r="N23" i="32" s="1"/>
  <c r="B95" i="27"/>
  <c r="H20" i="32" s="1"/>
  <c r="B88" i="27"/>
  <c r="H19" i="32" s="1"/>
  <c r="F113" i="32"/>
  <c r="F77" i="32"/>
  <c r="U93" i="32" s="1"/>
  <c r="F40" i="32"/>
  <c r="C113" i="35"/>
  <c r="J128" i="27"/>
  <c r="H128" i="33" s="1"/>
  <c r="J129" i="27"/>
  <c r="C115" i="35"/>
  <c r="J120" i="27" s="1"/>
  <c r="Q497" i="33"/>
  <c r="Q505" i="33"/>
  <c r="Q504" i="33"/>
  <c r="Q516" i="33"/>
  <c r="Q510" i="33"/>
  <c r="Q498" i="33"/>
  <c r="Q511" i="33"/>
  <c r="Q509" i="33"/>
  <c r="V515" i="33"/>
  <c r="Q507" i="33"/>
  <c r="Q501" i="33"/>
  <c r="Q499" i="33"/>
  <c r="Q512" i="33"/>
  <c r="Q506" i="33"/>
  <c r="Q500" i="33"/>
  <c r="Q398" i="33"/>
  <c r="P398" i="27"/>
  <c r="V398" i="33" s="1"/>
  <c r="U103" i="32"/>
  <c r="U102" i="32"/>
  <c r="U100" i="32"/>
  <c r="U126" i="32"/>
  <c r="U125" i="32"/>
  <c r="U34" i="32"/>
  <c r="U36" i="32"/>
  <c r="U32" i="32"/>
  <c r="U31" i="32"/>
  <c r="U105" i="32"/>
  <c r="U106" i="32"/>
  <c r="U130" i="32"/>
  <c r="U129" i="32"/>
  <c r="U131" i="32"/>
  <c r="U133" i="32"/>
  <c r="U132" i="32"/>
  <c r="U116" i="32"/>
  <c r="U117" i="32"/>
  <c r="U118" i="32"/>
  <c r="U119" i="32"/>
  <c r="U115" i="32"/>
  <c r="U123" i="32"/>
  <c r="U121" i="32"/>
  <c r="U122" i="32"/>
  <c r="U90" i="32"/>
  <c r="U89" i="32"/>
  <c r="U91" i="32"/>
  <c r="U92" i="32"/>
  <c r="U85" i="32"/>
  <c r="U84" i="32"/>
  <c r="U86" i="32"/>
  <c r="U87" i="32"/>
  <c r="U79" i="32"/>
  <c r="U82" i="32"/>
  <c r="U80" i="32"/>
  <c r="U81" i="32"/>
  <c r="U60" i="32"/>
  <c r="U59" i="32"/>
  <c r="U62" i="32"/>
  <c r="U51" i="32"/>
  <c r="U50" i="32"/>
  <c r="U48" i="32"/>
  <c r="U42" i="32"/>
  <c r="U46" i="32"/>
  <c r="U45" i="32"/>
  <c r="Q394" i="33"/>
  <c r="P394" i="27"/>
  <c r="V394" i="33" s="1"/>
  <c r="Q137" i="33"/>
  <c r="P137" i="27"/>
  <c r="V137" i="33" s="1"/>
  <c r="P300" i="27"/>
  <c r="V300" i="33" s="1"/>
  <c r="Q171" i="33"/>
  <c r="P105" i="27"/>
  <c r="V105" i="33" s="1"/>
  <c r="Q105" i="33"/>
  <c r="Q617" i="33"/>
  <c r="Q615" i="33"/>
  <c r="P144" i="27"/>
  <c r="V144" i="33" s="1"/>
  <c r="P404" i="27"/>
  <c r="V404" i="33" s="1"/>
  <c r="P143" i="27"/>
  <c r="V143" i="33" s="1"/>
  <c r="P576" i="27"/>
  <c r="V576" i="33" s="1"/>
  <c r="P643" i="27"/>
  <c r="V643" i="33" s="1"/>
  <c r="P59" i="27"/>
  <c r="V59" i="33" s="1"/>
  <c r="P573" i="27"/>
  <c r="V573" i="33" s="1"/>
  <c r="P51" i="27"/>
  <c r="V51" i="33" s="1"/>
  <c r="P535" i="27"/>
  <c r="V535" i="33" s="1"/>
  <c r="P529" i="27"/>
  <c r="V529" i="33" s="1"/>
  <c r="P311" i="27"/>
  <c r="V311" i="33" s="1"/>
  <c r="P47" i="27"/>
  <c r="V47" i="33" s="1"/>
  <c r="P646" i="27"/>
  <c r="V646" i="33" s="1"/>
  <c r="P298" i="27"/>
  <c r="V298" i="33" s="1"/>
  <c r="P163" i="27"/>
  <c r="V163" i="33" s="1"/>
  <c r="P33" i="27"/>
  <c r="V33" i="33" s="1"/>
  <c r="P134" i="27"/>
  <c r="V134" i="33" s="1"/>
  <c r="P704" i="27"/>
  <c r="V704" i="33" s="1"/>
  <c r="P505" i="27"/>
  <c r="P277" i="27"/>
  <c r="V277" i="33" s="1"/>
  <c r="P153" i="27"/>
  <c r="V153" i="33" s="1"/>
  <c r="P249" i="27"/>
  <c r="V249" i="33" s="1"/>
  <c r="P707" i="27"/>
  <c r="V707" i="33" s="1"/>
  <c r="P632" i="27"/>
  <c r="V632" i="33" s="1"/>
  <c r="P463" i="27"/>
  <c r="V463" i="33" s="1"/>
  <c r="P262" i="27"/>
  <c r="V262" i="33" s="1"/>
  <c r="P12" i="27"/>
  <c r="V12" i="33" s="1"/>
  <c r="P303" i="27"/>
  <c r="V303" i="33" s="1"/>
  <c r="P689" i="27"/>
  <c r="V689" i="33" s="1"/>
  <c r="P615" i="27"/>
  <c r="P449" i="27"/>
  <c r="V449" i="33" s="1"/>
  <c r="P250" i="27"/>
  <c r="V250" i="33" s="1"/>
  <c r="P108" i="27"/>
  <c r="V108" i="33" s="1"/>
  <c r="P426" i="27"/>
  <c r="V426" i="33" s="1"/>
  <c r="P673" i="27"/>
  <c r="V673" i="33" s="1"/>
  <c r="P603" i="27"/>
  <c r="V603" i="33" s="1"/>
  <c r="P433" i="27"/>
  <c r="V433" i="33" s="1"/>
  <c r="P231" i="27"/>
  <c r="V231" i="33" s="1"/>
  <c r="P97" i="27"/>
  <c r="V97" i="33" s="1"/>
  <c r="P504" i="27"/>
  <c r="P657" i="27"/>
  <c r="V657" i="33" s="1"/>
  <c r="P586" i="27"/>
  <c r="V586" i="33" s="1"/>
  <c r="P420" i="27"/>
  <c r="V420" i="33" s="1"/>
  <c r="P219" i="27"/>
  <c r="V219" i="33" s="1"/>
  <c r="P80" i="27"/>
  <c r="V80" i="33" s="1"/>
  <c r="Q14" i="33"/>
  <c r="Q22" i="33"/>
  <c r="Q32" i="33"/>
  <c r="Q43" i="33"/>
  <c r="Q53" i="33"/>
  <c r="Q65" i="33"/>
  <c r="Q81" i="33"/>
  <c r="Q96" i="33"/>
  <c r="Q154" i="33"/>
  <c r="Q181" i="33"/>
  <c r="Q210" i="33"/>
  <c r="Q220" i="33"/>
  <c r="Q230" i="33"/>
  <c r="Q243" i="33"/>
  <c r="Q257" i="33"/>
  <c r="Q281" i="33"/>
  <c r="Q407" i="33"/>
  <c r="Q515" i="33"/>
  <c r="Q633" i="33"/>
  <c r="Q681" i="33"/>
  <c r="P56" i="27"/>
  <c r="V56" i="33" s="1"/>
  <c r="P142" i="27"/>
  <c r="V142" i="33" s="1"/>
  <c r="P255" i="27"/>
  <c r="V255" i="33" s="1"/>
  <c r="P308" i="27"/>
  <c r="V308" i="33" s="1"/>
  <c r="P432" i="27"/>
  <c r="V432" i="33" s="1"/>
  <c r="P509" i="27"/>
  <c r="P584" i="27"/>
  <c r="V584" i="33" s="1"/>
  <c r="P545" i="27"/>
  <c r="V545" i="33" s="1"/>
  <c r="P651" i="27"/>
  <c r="V651" i="33" s="1"/>
  <c r="P710" i="27"/>
  <c r="V710" i="33" s="1"/>
  <c r="P706" i="27"/>
  <c r="V706" i="33" s="1"/>
  <c r="P686" i="27"/>
  <c r="V686" i="33" s="1"/>
  <c r="P670" i="27"/>
  <c r="V670" i="33" s="1"/>
  <c r="P654" i="27"/>
  <c r="V654" i="33" s="1"/>
  <c r="P642" i="27"/>
  <c r="V642" i="33" s="1"/>
  <c r="P541" i="27"/>
  <c r="V541" i="33" s="1"/>
  <c r="P631" i="27"/>
  <c r="V631" i="33" s="1"/>
  <c r="P614" i="27"/>
  <c r="V614" i="33" s="1"/>
  <c r="P602" i="27"/>
  <c r="V602" i="33" s="1"/>
  <c r="P585" i="27"/>
  <c r="V585" i="33" s="1"/>
  <c r="P572" i="27"/>
  <c r="V572" i="33" s="1"/>
  <c r="P528" i="27"/>
  <c r="V528" i="33" s="1"/>
  <c r="P516" i="27"/>
  <c r="P502" i="27"/>
  <c r="V502" i="33" s="1"/>
  <c r="P460" i="27"/>
  <c r="V460" i="33" s="1"/>
  <c r="P447" i="27"/>
  <c r="V447" i="33" s="1"/>
  <c r="P430" i="27"/>
  <c r="V430" i="33" s="1"/>
  <c r="P415" i="27"/>
  <c r="V415" i="33" s="1"/>
  <c r="P403" i="27"/>
  <c r="V403" i="33" s="1"/>
  <c r="P310" i="27"/>
  <c r="V310" i="33" s="1"/>
  <c r="P288" i="27"/>
  <c r="V288" i="33" s="1"/>
  <c r="P276" i="27"/>
  <c r="V276" i="33" s="1"/>
  <c r="P261" i="27"/>
  <c r="V261" i="33" s="1"/>
  <c r="P247" i="27"/>
  <c r="V247" i="33" s="1"/>
  <c r="P216" i="27"/>
  <c r="V216" i="33" s="1"/>
  <c r="P162" i="27"/>
  <c r="V162" i="33" s="1"/>
  <c r="P152" i="27"/>
  <c r="V152" i="33" s="1"/>
  <c r="P107" i="27"/>
  <c r="V107" i="33" s="1"/>
  <c r="P94" i="27"/>
  <c r="V94" i="33" s="1"/>
  <c r="P79" i="27"/>
  <c r="V79" i="33" s="1"/>
  <c r="P58" i="27"/>
  <c r="V58" i="33" s="1"/>
  <c r="P44" i="27"/>
  <c r="V44" i="33" s="1"/>
  <c r="P21" i="27"/>
  <c r="V21" i="33" s="1"/>
  <c r="P11" i="27"/>
  <c r="V11" i="33" s="1"/>
  <c r="Q15" i="33"/>
  <c r="Q23" i="33"/>
  <c r="Q54" i="33"/>
  <c r="Q66" i="33"/>
  <c r="Q82" i="33"/>
  <c r="Q155" i="33"/>
  <c r="Q164" i="33"/>
  <c r="Q211" i="33"/>
  <c r="Q221" i="33"/>
  <c r="Q246" i="33"/>
  <c r="Q258" i="33"/>
  <c r="Q282" i="33"/>
  <c r="Q409" i="33"/>
  <c r="Q523" i="33"/>
  <c r="Q690" i="33"/>
  <c r="P61" i="27"/>
  <c r="V61" i="33" s="1"/>
  <c r="P260" i="27"/>
  <c r="V260" i="33" s="1"/>
  <c r="P313" i="27"/>
  <c r="V313" i="33" s="1"/>
  <c r="P437" i="27"/>
  <c r="V437" i="33" s="1"/>
  <c r="P514" i="27"/>
  <c r="P589" i="27"/>
  <c r="V589" i="33" s="1"/>
  <c r="P656" i="27"/>
  <c r="V656" i="33" s="1"/>
  <c r="P716" i="27"/>
  <c r="V716" i="33" s="1"/>
  <c r="P705" i="27"/>
  <c r="V705" i="33" s="1"/>
  <c r="P685" i="27"/>
  <c r="V685" i="33" s="1"/>
  <c r="P669" i="27"/>
  <c r="V669" i="33" s="1"/>
  <c r="P653" i="27"/>
  <c r="V653" i="33" s="1"/>
  <c r="P641" i="27"/>
  <c r="V641" i="33" s="1"/>
  <c r="P540" i="27"/>
  <c r="V540" i="33" s="1"/>
  <c r="P630" i="27"/>
  <c r="V630" i="33" s="1"/>
  <c r="P611" i="27"/>
  <c r="V611" i="33" s="1"/>
  <c r="P601" i="27"/>
  <c r="V601" i="33" s="1"/>
  <c r="P582" i="27"/>
  <c r="V582" i="33" s="1"/>
  <c r="P571" i="27"/>
  <c r="V571" i="33" s="1"/>
  <c r="P527" i="27"/>
  <c r="V527" i="33" s="1"/>
  <c r="P501" i="27"/>
  <c r="P459" i="27"/>
  <c r="V459" i="33" s="1"/>
  <c r="P446" i="27"/>
  <c r="V446" i="33" s="1"/>
  <c r="P429" i="27"/>
  <c r="V429" i="33" s="1"/>
  <c r="P414" i="27"/>
  <c r="V414" i="33" s="1"/>
  <c r="P402" i="27"/>
  <c r="V402" i="33" s="1"/>
  <c r="P309" i="27"/>
  <c r="V309" i="33" s="1"/>
  <c r="P287" i="27"/>
  <c r="V287" i="33" s="1"/>
  <c r="P273" i="27"/>
  <c r="V273" i="33" s="1"/>
  <c r="P227" i="27"/>
  <c r="V227" i="33" s="1"/>
  <c r="P215" i="27"/>
  <c r="V215" i="33" s="1"/>
  <c r="P161" i="27"/>
  <c r="V161" i="33" s="1"/>
  <c r="P93" i="27"/>
  <c r="V93" i="33" s="1"/>
  <c r="P78" i="27"/>
  <c r="V78" i="33" s="1"/>
  <c r="P57" i="27"/>
  <c r="V57" i="33" s="1"/>
  <c r="P29" i="27"/>
  <c r="V29" i="33" s="1"/>
  <c r="P20" i="27"/>
  <c r="V20" i="33" s="1"/>
  <c r="Q17" i="33"/>
  <c r="Q25" i="33"/>
  <c r="Q34" i="33"/>
  <c r="Q46" i="33"/>
  <c r="Q67" i="33"/>
  <c r="Q83" i="33"/>
  <c r="Q98" i="33"/>
  <c r="Q156" i="33"/>
  <c r="Q165" i="33"/>
  <c r="Q212" i="33"/>
  <c r="Q222" i="33"/>
  <c r="Q232" i="33"/>
  <c r="Q297" i="33"/>
  <c r="Q421" i="33"/>
  <c r="Q565" i="33"/>
  <c r="P77" i="27"/>
  <c r="V77" i="33" s="1"/>
  <c r="P151" i="27"/>
  <c r="V151" i="33" s="1"/>
  <c r="P218" i="27"/>
  <c r="V218" i="33" s="1"/>
  <c r="P267" i="27"/>
  <c r="V267" i="33" s="1"/>
  <c r="P444" i="27"/>
  <c r="V444" i="33" s="1"/>
  <c r="P599" i="27"/>
  <c r="V599" i="33" s="1"/>
  <c r="P661" i="27"/>
  <c r="V661" i="33" s="1"/>
  <c r="P714" i="27"/>
  <c r="V714" i="33" s="1"/>
  <c r="P694" i="27"/>
  <c r="V694" i="33" s="1"/>
  <c r="P684" i="27"/>
  <c r="V684" i="33" s="1"/>
  <c r="P664" i="27"/>
  <c r="V664" i="33" s="1"/>
  <c r="P652" i="27"/>
  <c r="V652" i="33" s="1"/>
  <c r="P640" i="27"/>
  <c r="V640" i="33" s="1"/>
  <c r="P539" i="27"/>
  <c r="V539" i="33" s="1"/>
  <c r="P626" i="27"/>
  <c r="V626" i="33" s="1"/>
  <c r="P610" i="27"/>
  <c r="V610" i="33" s="1"/>
  <c r="P600" i="27"/>
  <c r="V600" i="33" s="1"/>
  <c r="P581" i="27"/>
  <c r="V581" i="33" s="1"/>
  <c r="P568" i="27"/>
  <c r="V568" i="33" s="1"/>
  <c r="P524" i="27"/>
  <c r="V524" i="33" s="1"/>
  <c r="P512" i="27"/>
  <c r="P500" i="27"/>
  <c r="P458" i="27"/>
  <c r="V458" i="33" s="1"/>
  <c r="P445" i="27"/>
  <c r="V445" i="33" s="1"/>
  <c r="P428" i="27"/>
  <c r="V428" i="33" s="1"/>
  <c r="P413" i="27"/>
  <c r="V413" i="33" s="1"/>
  <c r="P399" i="27"/>
  <c r="V399" i="33" s="1"/>
  <c r="P306" i="27"/>
  <c r="V306" i="33" s="1"/>
  <c r="P286" i="27"/>
  <c r="V286" i="33" s="1"/>
  <c r="P272" i="27"/>
  <c r="V272" i="33" s="1"/>
  <c r="P226" i="27"/>
  <c r="V226" i="33" s="1"/>
  <c r="P213" i="27"/>
  <c r="V213" i="33" s="1"/>
  <c r="V172" i="33"/>
  <c r="P158" i="27"/>
  <c r="V158" i="33" s="1"/>
  <c r="P131" i="27"/>
  <c r="V131" i="33" s="1"/>
  <c r="P104" i="27"/>
  <c r="V104" i="33" s="1"/>
  <c r="P92" i="27"/>
  <c r="V92" i="33" s="1"/>
  <c r="P68" i="27"/>
  <c r="V68" i="33" s="1"/>
  <c r="P42" i="27"/>
  <c r="V42" i="33" s="1"/>
  <c r="P28" i="27"/>
  <c r="V28" i="33" s="1"/>
  <c r="P19" i="27"/>
  <c r="V19" i="33" s="1"/>
  <c r="Q18" i="33"/>
  <c r="Q26" i="33"/>
  <c r="Q38" i="33"/>
  <c r="Q89" i="33"/>
  <c r="Q99" i="33"/>
  <c r="Q110" i="33"/>
  <c r="Q157" i="33"/>
  <c r="Q186" i="33"/>
  <c r="Q224" i="33"/>
  <c r="Q234" i="33"/>
  <c r="Q263" i="33"/>
  <c r="Q574" i="33"/>
  <c r="P160" i="27"/>
  <c r="V160" i="33" s="1"/>
  <c r="P275" i="27"/>
  <c r="V275" i="33" s="1"/>
  <c r="P401" i="27"/>
  <c r="V401" i="33" s="1"/>
  <c r="P452" i="27"/>
  <c r="V452" i="33" s="1"/>
  <c r="P521" i="27"/>
  <c r="V521" i="33" s="1"/>
  <c r="P606" i="27"/>
  <c r="V606" i="33" s="1"/>
  <c r="P668" i="27"/>
  <c r="V668" i="33" s="1"/>
  <c r="P713" i="27"/>
  <c r="V713" i="33" s="1"/>
  <c r="P693" i="27"/>
  <c r="V693" i="33" s="1"/>
  <c r="P683" i="27"/>
  <c r="V683" i="33" s="1"/>
  <c r="P663" i="27"/>
  <c r="V663" i="33" s="1"/>
  <c r="P649" i="27"/>
  <c r="V649" i="33" s="1"/>
  <c r="P557" i="27"/>
  <c r="V557" i="33" s="1"/>
  <c r="P538" i="27"/>
  <c r="V538" i="33" s="1"/>
  <c r="P625" i="27"/>
  <c r="V625" i="33" s="1"/>
  <c r="P609" i="27"/>
  <c r="V609" i="33" s="1"/>
  <c r="P595" i="27"/>
  <c r="V595" i="33" s="1"/>
  <c r="P580" i="27"/>
  <c r="V580" i="33" s="1"/>
  <c r="P567" i="27"/>
  <c r="V567" i="33" s="1"/>
  <c r="P511" i="27"/>
  <c r="P499" i="27"/>
  <c r="P455" i="27"/>
  <c r="V455" i="33" s="1"/>
  <c r="P439" i="27"/>
  <c r="V439" i="33" s="1"/>
  <c r="P427" i="27"/>
  <c r="V427" i="33" s="1"/>
  <c r="P410" i="27"/>
  <c r="V410" i="33" s="1"/>
  <c r="P305" i="27"/>
  <c r="V305" i="33" s="1"/>
  <c r="P283" i="27"/>
  <c r="V283" i="33" s="1"/>
  <c r="P270" i="27"/>
  <c r="V270" i="33" s="1"/>
  <c r="P256" i="27"/>
  <c r="V256" i="33" s="1"/>
  <c r="P237" i="27"/>
  <c r="V237" i="33" s="1"/>
  <c r="P225" i="27"/>
  <c r="V225" i="33" s="1"/>
  <c r="P101" i="27"/>
  <c r="V101" i="33" s="1"/>
  <c r="P91" i="27"/>
  <c r="V91" i="33" s="1"/>
  <c r="P41" i="27"/>
  <c r="V41" i="33" s="1"/>
  <c r="P27" i="27"/>
  <c r="V27" i="33" s="1"/>
  <c r="Q39" i="33"/>
  <c r="Q48" i="33"/>
  <c r="Q100" i="33"/>
  <c r="Q111" i="33"/>
  <c r="Q187" i="33"/>
  <c r="Q235" i="33"/>
  <c r="Q269" i="33"/>
  <c r="Q555" i="33"/>
  <c r="P31" i="27"/>
  <c r="V31" i="33" s="1"/>
  <c r="P229" i="27"/>
  <c r="V229" i="33" s="1"/>
  <c r="P280" i="27"/>
  <c r="V280" i="33" s="1"/>
  <c r="P457" i="27"/>
  <c r="V457" i="33" s="1"/>
  <c r="P526" i="27"/>
  <c r="V526" i="33" s="1"/>
  <c r="P613" i="27"/>
  <c r="V613" i="33" s="1"/>
  <c r="P672" i="27"/>
  <c r="V672" i="33" s="1"/>
  <c r="P712" i="27"/>
  <c r="V712" i="33" s="1"/>
  <c r="P692" i="27"/>
  <c r="V692" i="33" s="1"/>
  <c r="P682" i="27"/>
  <c r="V682" i="33" s="1"/>
  <c r="P662" i="27"/>
  <c r="V662" i="33" s="1"/>
  <c r="P648" i="27"/>
  <c r="V648" i="33" s="1"/>
  <c r="P556" i="27"/>
  <c r="V556" i="33" s="1"/>
  <c r="P548" i="27"/>
  <c r="V548" i="33" s="1"/>
  <c r="P537" i="27"/>
  <c r="V537" i="33" s="1"/>
  <c r="P624" i="27"/>
  <c r="V624" i="33" s="1"/>
  <c r="P608" i="27"/>
  <c r="V608" i="33" s="1"/>
  <c r="P591" i="27"/>
  <c r="V591" i="33" s="1"/>
  <c r="P579" i="27"/>
  <c r="V579" i="33" s="1"/>
  <c r="P566" i="27"/>
  <c r="V566" i="33" s="1"/>
  <c r="P522" i="27"/>
  <c r="V522" i="33" s="1"/>
  <c r="P510" i="27"/>
  <c r="P498" i="27"/>
  <c r="P454" i="27"/>
  <c r="V454" i="33" s="1"/>
  <c r="P438" i="27"/>
  <c r="V438" i="33" s="1"/>
  <c r="P424" i="27"/>
  <c r="V424" i="33" s="1"/>
  <c r="V396" i="33"/>
  <c r="P304" i="27"/>
  <c r="V304" i="33" s="1"/>
  <c r="P253" i="27"/>
  <c r="V253" i="33" s="1"/>
  <c r="P113" i="27"/>
  <c r="V113" i="33" s="1"/>
  <c r="P52" i="27"/>
  <c r="V52" i="33" s="1"/>
  <c r="P40" i="27"/>
  <c r="V40" i="33" s="1"/>
  <c r="Q49" i="33"/>
  <c r="Q112" i="33"/>
  <c r="Q188" i="33"/>
  <c r="Q252" i="33"/>
  <c r="Q644" i="33"/>
  <c r="P103" i="27"/>
  <c r="V103" i="33" s="1"/>
  <c r="P180" i="27"/>
  <c r="V180" i="33" s="1"/>
  <c r="P285" i="27"/>
  <c r="V285" i="33" s="1"/>
  <c r="P412" i="27"/>
  <c r="V412" i="33" s="1"/>
  <c r="P462" i="27"/>
  <c r="V462" i="33" s="1"/>
  <c r="P563" i="27"/>
  <c r="V563" i="33" s="1"/>
  <c r="P622" i="27"/>
  <c r="V622" i="33" s="1"/>
  <c r="P553" i="27"/>
  <c r="V553" i="33" s="1"/>
  <c r="P711" i="27"/>
  <c r="V711" i="33" s="1"/>
  <c r="P691" i="27"/>
  <c r="V691" i="33" s="1"/>
  <c r="P675" i="27"/>
  <c r="V675" i="33" s="1"/>
  <c r="P659" i="27"/>
  <c r="V659" i="33" s="1"/>
  <c r="P647" i="27"/>
  <c r="V647" i="33" s="1"/>
  <c r="P547" i="27"/>
  <c r="V547" i="33" s="1"/>
  <c r="P536" i="27"/>
  <c r="V536" i="33" s="1"/>
  <c r="P623" i="27"/>
  <c r="V623" i="33" s="1"/>
  <c r="P607" i="27"/>
  <c r="V607" i="33" s="1"/>
  <c r="P590" i="27"/>
  <c r="V590" i="33" s="1"/>
  <c r="P577" i="27"/>
  <c r="V577" i="33" s="1"/>
  <c r="P507" i="27"/>
  <c r="P465" i="27"/>
  <c r="V465" i="33" s="1"/>
  <c r="P453" i="27"/>
  <c r="V453" i="33" s="1"/>
  <c r="P435" i="27"/>
  <c r="V435" i="33" s="1"/>
  <c r="P423" i="27"/>
  <c r="V423" i="33" s="1"/>
  <c r="P408" i="27"/>
  <c r="V408" i="33" s="1"/>
  <c r="P315" i="27"/>
  <c r="V315" i="33" s="1"/>
  <c r="P301" i="27"/>
  <c r="V301" i="33" s="1"/>
  <c r="P268" i="27"/>
  <c r="V268" i="33" s="1"/>
  <c r="P145" i="27"/>
  <c r="V145" i="33" s="1"/>
  <c r="P242" i="27"/>
  <c r="V242" i="33" s="1"/>
  <c r="P419" i="27"/>
  <c r="V419" i="33" s="1"/>
  <c r="P497" i="27"/>
  <c r="P570" i="27"/>
  <c r="V570" i="33" s="1"/>
  <c r="P629" i="27"/>
  <c r="V629" i="33" s="1"/>
  <c r="P639" i="27"/>
  <c r="V639" i="33" s="1"/>
  <c r="P688" i="27"/>
  <c r="V688" i="33" s="1"/>
  <c r="P708" i="27"/>
  <c r="V708" i="33" s="1"/>
  <c r="P674" i="27"/>
  <c r="V674" i="33" s="1"/>
  <c r="P658" i="27"/>
  <c r="V658" i="33" s="1"/>
  <c r="P554" i="27"/>
  <c r="V554" i="33" s="1"/>
  <c r="P546" i="27"/>
  <c r="V546" i="33" s="1"/>
  <c r="P618" i="27"/>
  <c r="V618" i="33" s="1"/>
  <c r="P604" i="27"/>
  <c r="V604" i="33" s="1"/>
  <c r="P587" i="27"/>
  <c r="V587" i="33" s="1"/>
  <c r="P564" i="27"/>
  <c r="V564" i="33" s="1"/>
  <c r="P506" i="27"/>
  <c r="P464" i="27"/>
  <c r="V464" i="33" s="1"/>
  <c r="P450" i="27"/>
  <c r="V450" i="33" s="1"/>
  <c r="P434" i="27"/>
  <c r="V434" i="33" s="1"/>
  <c r="P405" i="27"/>
  <c r="V405" i="33" s="1"/>
  <c r="P314" i="27"/>
  <c r="V314" i="33" s="1"/>
  <c r="P278" i="27"/>
  <c r="V278" i="33" s="1"/>
  <c r="P251" i="27"/>
  <c r="V251" i="33" s="1"/>
  <c r="P62" i="27"/>
  <c r="V62" i="33" s="1"/>
  <c r="P13" i="27"/>
  <c r="V13" i="33" s="1"/>
  <c r="H22" i="32" l="1"/>
  <c r="H21" i="32"/>
  <c r="H64" i="32"/>
  <c r="H44" i="32"/>
  <c r="H59" i="32"/>
  <c r="H31" i="32"/>
  <c r="I31" i="32" s="1"/>
  <c r="H36" i="32"/>
  <c r="H42" i="32"/>
  <c r="H66" i="32"/>
  <c r="H45" i="32"/>
  <c r="H33" i="32"/>
  <c r="I33" i="32" s="1"/>
  <c r="H48" i="32"/>
  <c r="H67" i="32"/>
  <c r="H74" i="32"/>
  <c r="H56" i="32"/>
  <c r="H65" i="32"/>
  <c r="H57" i="32"/>
  <c r="H35" i="32"/>
  <c r="H61" i="32"/>
  <c r="H75" i="32"/>
  <c r="H62" i="32"/>
  <c r="H72" i="32"/>
  <c r="H54" i="32"/>
  <c r="H50" i="32"/>
  <c r="H51" i="32"/>
  <c r="H71" i="32"/>
  <c r="H55" i="32"/>
  <c r="H46" i="32"/>
  <c r="H53" i="32"/>
  <c r="H49" i="32"/>
  <c r="H60" i="32"/>
  <c r="H76" i="32"/>
  <c r="H34" i="32"/>
  <c r="H68" i="32"/>
  <c r="H70" i="32"/>
  <c r="H32" i="32"/>
  <c r="I32" i="32" s="1"/>
  <c r="H43" i="32"/>
  <c r="K128" i="27"/>
  <c r="M128" i="27" s="1"/>
  <c r="J132" i="27"/>
  <c r="K132" i="27" s="1"/>
  <c r="K129" i="27"/>
  <c r="H129" i="33"/>
  <c r="K130" i="27"/>
  <c r="H130" i="33"/>
  <c r="J125" i="27"/>
  <c r="J124" i="27"/>
  <c r="J123" i="27"/>
  <c r="J117" i="27"/>
  <c r="J119" i="27"/>
  <c r="J118" i="27"/>
  <c r="U63" i="32"/>
  <c r="U69" i="32"/>
  <c r="U73" i="32"/>
  <c r="V497" i="33"/>
  <c r="V511" i="33"/>
  <c r="V516" i="33"/>
  <c r="V509" i="33"/>
  <c r="V505" i="33"/>
  <c r="V512" i="33"/>
  <c r="V506" i="33"/>
  <c r="V507" i="33"/>
  <c r="V498" i="33"/>
  <c r="V510" i="33"/>
  <c r="V499" i="33"/>
  <c r="V500" i="33"/>
  <c r="V501" i="33"/>
  <c r="V514" i="33"/>
  <c r="V504" i="33"/>
  <c r="U78" i="32"/>
  <c r="U83" i="32"/>
  <c r="U88" i="32"/>
  <c r="U37" i="32"/>
  <c r="U30" i="32"/>
  <c r="V170" i="33"/>
  <c r="V171" i="33"/>
  <c r="V617" i="33"/>
  <c r="V615" i="33"/>
  <c r="F127" i="32"/>
  <c r="H18" i="32" l="1"/>
  <c r="H17" i="32" s="1"/>
  <c r="H73" i="32"/>
  <c r="H69" i="32"/>
  <c r="H63" i="32"/>
  <c r="H132" i="33"/>
  <c r="I128" i="33"/>
  <c r="M130" i="27"/>
  <c r="I130" i="33"/>
  <c r="I129" i="33"/>
  <c r="M129" i="27"/>
  <c r="M132" i="27"/>
  <c r="I132" i="33"/>
  <c r="P128" i="27"/>
  <c r="V128" i="33" s="1"/>
  <c r="Q128" i="33"/>
  <c r="J126" i="27"/>
  <c r="K123" i="27"/>
  <c r="H123" i="33"/>
  <c r="K124" i="27"/>
  <c r="H124" i="33"/>
  <c r="K125" i="27"/>
  <c r="H125" i="33"/>
  <c r="J121" i="27"/>
  <c r="K120" i="27"/>
  <c r="H120" i="33"/>
  <c r="K119" i="27"/>
  <c r="H119" i="33"/>
  <c r="K118" i="27"/>
  <c r="H118" i="33"/>
  <c r="K117" i="27"/>
  <c r="H117" i="33"/>
  <c r="U135" i="32"/>
  <c r="U136" i="32"/>
  <c r="F137" i="32"/>
  <c r="P129" i="27" l="1"/>
  <c r="V129" i="33" s="1"/>
  <c r="Q129" i="33"/>
  <c r="P130" i="27"/>
  <c r="V130" i="33" s="1"/>
  <c r="Q130" i="33"/>
  <c r="Q132" i="33"/>
  <c r="P132" i="27"/>
  <c r="V132" i="33" s="1"/>
  <c r="M125" i="27"/>
  <c r="I125" i="33"/>
  <c r="M123" i="27"/>
  <c r="I123" i="33"/>
  <c r="K126" i="27"/>
  <c r="H126" i="33"/>
  <c r="I124" i="33"/>
  <c r="M124" i="27"/>
  <c r="M117" i="27"/>
  <c r="I117" i="33"/>
  <c r="M120" i="27"/>
  <c r="I120" i="33"/>
  <c r="M119" i="27"/>
  <c r="I119" i="33"/>
  <c r="I118" i="33"/>
  <c r="M118" i="27"/>
  <c r="K121" i="27"/>
  <c r="H121" i="33"/>
  <c r="U144" i="32"/>
  <c r="U143" i="32"/>
  <c r="U35" i="32"/>
  <c r="U13" i="32"/>
  <c r="U20" i="32"/>
  <c r="U140" i="32"/>
  <c r="U55" i="32"/>
  <c r="U33" i="32"/>
  <c r="U61" i="32"/>
  <c r="U43" i="32"/>
  <c r="U44" i="32"/>
  <c r="U49" i="32"/>
  <c r="U54" i="32"/>
  <c r="U101" i="32"/>
  <c r="F2" i="32" l="1"/>
  <c r="Q123" i="33"/>
  <c r="P123" i="27"/>
  <c r="V123" i="33" s="1"/>
  <c r="I126" i="33"/>
  <c r="M126" i="27"/>
  <c r="P125" i="27"/>
  <c r="V125" i="33" s="1"/>
  <c r="Q125" i="33"/>
  <c r="Q124" i="33"/>
  <c r="P124" i="27"/>
  <c r="V124" i="33" s="1"/>
  <c r="Q120" i="33"/>
  <c r="P120" i="27"/>
  <c r="V120" i="33" s="1"/>
  <c r="P118" i="27"/>
  <c r="V118" i="33" s="1"/>
  <c r="Q118" i="33"/>
  <c r="M121" i="27"/>
  <c r="I121" i="33"/>
  <c r="P119" i="27"/>
  <c r="V119" i="33" s="1"/>
  <c r="Q119" i="33"/>
  <c r="Q117" i="33"/>
  <c r="P117" i="27"/>
  <c r="V117" i="33" s="1"/>
  <c r="I36" i="32"/>
  <c r="I34" i="32"/>
  <c r="I35" i="32"/>
  <c r="U52" i="32"/>
  <c r="U41" i="32"/>
  <c r="U58" i="32"/>
  <c r="U47" i="32"/>
  <c r="U18" i="32"/>
  <c r="U23" i="32"/>
  <c r="H58" i="32" l="1"/>
  <c r="H52" i="32"/>
  <c r="H47" i="32"/>
  <c r="H41" i="32"/>
  <c r="H30" i="32"/>
  <c r="Q126" i="33"/>
  <c r="P126" i="27"/>
  <c r="V126" i="33" s="1"/>
  <c r="Q121" i="33"/>
  <c r="P121" i="27"/>
  <c r="V121" i="33" s="1"/>
  <c r="H29" i="32" l="1"/>
  <c r="I30" i="32"/>
  <c r="I29" i="32" s="1"/>
  <c r="H40" i="32" l="1"/>
  <c r="H2" i="32" l="1"/>
  <c r="I10" i="32"/>
  <c r="I43" i="32"/>
  <c r="I57" i="32"/>
  <c r="I67" i="32"/>
  <c r="I44" i="32"/>
  <c r="I22" i="32"/>
  <c r="I61" i="32"/>
  <c r="I8" i="32"/>
  <c r="I13" i="32"/>
  <c r="I55" i="32"/>
  <c r="I48" i="32"/>
  <c r="I49" i="32"/>
  <c r="I71" i="32"/>
  <c r="I15" i="32"/>
  <c r="I21" i="32"/>
  <c r="I14" i="32"/>
  <c r="I11" i="32"/>
  <c r="I51" i="32"/>
  <c r="I46" i="32"/>
  <c r="I74" i="32"/>
  <c r="I65" i="32"/>
  <c r="I45" i="32"/>
  <c r="I59" i="32"/>
  <c r="I16" i="32"/>
  <c r="I12" i="32"/>
  <c r="I72" i="32"/>
  <c r="I62" i="32"/>
  <c r="I54" i="32"/>
  <c r="I70" i="32"/>
  <c r="I66" i="32"/>
  <c r="I56" i="32"/>
  <c r="I5" i="32"/>
  <c r="I19" i="32"/>
  <c r="I50" i="32"/>
  <c r="I64" i="32"/>
  <c r="I68" i="32"/>
  <c r="I42" i="32"/>
  <c r="I7" i="32"/>
  <c r="I20" i="32"/>
  <c r="I53" i="32"/>
  <c r="I60" i="32"/>
  <c r="I75" i="32"/>
  <c r="I6" i="32"/>
  <c r="I76" i="32"/>
  <c r="I69" i="32" l="1"/>
  <c r="I58" i="32"/>
  <c r="I47" i="32"/>
  <c r="I63" i="32"/>
  <c r="I18" i="32"/>
  <c r="I17" i="32" s="1"/>
  <c r="I4" i="32"/>
  <c r="I9" i="32"/>
  <c r="I73" i="32"/>
  <c r="I41" i="32"/>
  <c r="I52" i="32"/>
  <c r="I3" i="32" l="1"/>
  <c r="I40" i="32"/>
  <c r="J42" i="32" l="1"/>
  <c r="K42" i="32" s="1"/>
  <c r="J31" i="32"/>
  <c r="K31" i="32" s="1"/>
  <c r="L31" i="32" s="1"/>
  <c r="J33" i="32"/>
  <c r="K33" i="32" s="1"/>
  <c r="L33" i="32" s="1"/>
  <c r="N33" i="32" s="1"/>
  <c r="J34" i="32"/>
  <c r="K34" i="32" s="1"/>
  <c r="L34" i="32" s="1"/>
  <c r="N34" i="32" s="1"/>
  <c r="J36" i="32"/>
  <c r="K36" i="32" s="1"/>
  <c r="L36" i="32" s="1"/>
  <c r="N36" i="32" s="1"/>
  <c r="J35" i="32"/>
  <c r="K35" i="32" s="1"/>
  <c r="L35" i="32" s="1"/>
  <c r="N35" i="32" s="1"/>
  <c r="J32" i="32"/>
  <c r="K32" i="32" s="1"/>
  <c r="L32" i="32" s="1"/>
  <c r="N32" i="32" s="1"/>
  <c r="J20" i="32"/>
  <c r="K20" i="32" s="1"/>
  <c r="J65" i="32"/>
  <c r="K65" i="32" s="1"/>
  <c r="J49" i="32"/>
  <c r="K49" i="32" s="1"/>
  <c r="J57" i="32"/>
  <c r="K57" i="32" s="1"/>
  <c r="J55" i="32"/>
  <c r="K55" i="32" s="1"/>
  <c r="J5" i="32"/>
  <c r="K5" i="32" s="1"/>
  <c r="L5" i="32" s="1"/>
  <c r="J68" i="32"/>
  <c r="K68" i="32" s="1"/>
  <c r="J61" i="32"/>
  <c r="K61" i="32" s="1"/>
  <c r="J71" i="32"/>
  <c r="K71" i="32" s="1"/>
  <c r="J67" i="32"/>
  <c r="K67" i="32" s="1"/>
  <c r="J59" i="32"/>
  <c r="K59" i="32" s="1"/>
  <c r="J43" i="32"/>
  <c r="K43" i="32" s="1"/>
  <c r="J16" i="32"/>
  <c r="K16" i="32" s="1"/>
  <c r="L16" i="32" s="1"/>
  <c r="N16" i="32" s="1"/>
  <c r="J74" i="32"/>
  <c r="K74" i="32" s="1"/>
  <c r="J7" i="32"/>
  <c r="K7" i="32" s="1"/>
  <c r="L7" i="32" s="1"/>
  <c r="N7" i="32" s="1"/>
  <c r="J44" i="32"/>
  <c r="K44" i="32" s="1"/>
  <c r="J56" i="32"/>
  <c r="K56" i="32" s="1"/>
  <c r="J76" i="32"/>
  <c r="K76" i="32" s="1"/>
  <c r="J12" i="32"/>
  <c r="K12" i="32" s="1"/>
  <c r="L12" i="32" s="1"/>
  <c r="N12" i="32" s="1"/>
  <c r="J14" i="32"/>
  <c r="K14" i="32" s="1"/>
  <c r="L14" i="32" s="1"/>
  <c r="N14" i="32" s="1"/>
  <c r="J62" i="32"/>
  <c r="K62" i="32" s="1"/>
  <c r="J51" i="32"/>
  <c r="K51" i="32" s="1"/>
  <c r="J66" i="32"/>
  <c r="K66" i="32" s="1"/>
  <c r="J60" i="32"/>
  <c r="K60" i="32" s="1"/>
  <c r="J70" i="32"/>
  <c r="K70" i="32" s="1"/>
  <c r="J6" i="32"/>
  <c r="K6" i="32" s="1"/>
  <c r="L6" i="32" s="1"/>
  <c r="N6" i="32" s="1"/>
  <c r="J11" i="32"/>
  <c r="K11" i="32" s="1"/>
  <c r="L11" i="32" s="1"/>
  <c r="N11" i="32" s="1"/>
  <c r="J8" i="32"/>
  <c r="K8" i="32" s="1"/>
  <c r="L8" i="32" s="1"/>
  <c r="N8" i="32" s="1"/>
  <c r="J50" i="32"/>
  <c r="K50" i="32" s="1"/>
  <c r="J53" i="32"/>
  <c r="K53" i="32" s="1"/>
  <c r="J45" i="32"/>
  <c r="K45" i="32" s="1"/>
  <c r="J64" i="32"/>
  <c r="K64" i="32" s="1"/>
  <c r="J75" i="32"/>
  <c r="K75" i="32" s="1"/>
  <c r="J13" i="32"/>
  <c r="K13" i="32" s="1"/>
  <c r="L13" i="32" s="1"/>
  <c r="N13" i="32" s="1"/>
  <c r="J15" i="32"/>
  <c r="K15" i="32" s="1"/>
  <c r="L15" i="32" s="1"/>
  <c r="N15" i="32" s="1"/>
  <c r="J10" i="32"/>
  <c r="K10" i="32" s="1"/>
  <c r="J22" i="32"/>
  <c r="K22" i="32" s="1"/>
  <c r="J54" i="32"/>
  <c r="K54" i="32" s="1"/>
  <c r="J46" i="32"/>
  <c r="K46" i="32" s="1"/>
  <c r="J72" i="32"/>
  <c r="K72" i="32" s="1"/>
  <c r="J19" i="32"/>
  <c r="K19" i="32" s="1"/>
  <c r="L19" i="32" s="1"/>
  <c r="J21" i="32"/>
  <c r="K21" i="32" s="1"/>
  <c r="J48" i="32"/>
  <c r="K48" i="32" s="1"/>
  <c r="I2" i="32"/>
  <c r="L4" i="32" l="1"/>
  <c r="K41" i="32"/>
  <c r="J41" i="32"/>
  <c r="J58" i="32"/>
  <c r="J30" i="32"/>
  <c r="J29" i="32" s="1"/>
  <c r="J47" i="32"/>
  <c r="J63" i="32"/>
  <c r="J69" i="32"/>
  <c r="J4" i="32"/>
  <c r="J73" i="32"/>
  <c r="J9" i="32"/>
  <c r="J18" i="32"/>
  <c r="J17" i="32" s="1"/>
  <c r="J52" i="32"/>
  <c r="N5" i="32"/>
  <c r="N4" i="32" s="1"/>
  <c r="K63" i="32"/>
  <c r="K52" i="32"/>
  <c r="K73" i="32"/>
  <c r="K47" i="32"/>
  <c r="K58" i="32"/>
  <c r="K69" i="32"/>
  <c r="K30" i="32"/>
  <c r="K29" i="32" s="1"/>
  <c r="N19" i="32"/>
  <c r="K18" i="32"/>
  <c r="K17" i="32" s="1"/>
  <c r="K4" i="32"/>
  <c r="L10" i="32"/>
  <c r="K9" i="32"/>
  <c r="L20" i="32"/>
  <c r="N20" i="32" s="1"/>
  <c r="L21" i="32"/>
  <c r="N21" i="32" s="1"/>
  <c r="L22" i="32"/>
  <c r="N22" i="32" s="1"/>
  <c r="J40" i="32" l="1"/>
  <c r="J3" i="32"/>
  <c r="N31" i="32"/>
  <c r="N30" i="32" s="1"/>
  <c r="N29" i="32" s="1"/>
  <c r="L30" i="32"/>
  <c r="L29" i="32" s="1"/>
  <c r="K3" i="32"/>
  <c r="L18" i="32"/>
  <c r="L17" i="32" s="1"/>
  <c r="N18" i="32"/>
  <c r="N17" i="32" s="1"/>
  <c r="L9" i="32"/>
  <c r="L3" i="32" s="1"/>
  <c r="N10" i="32"/>
  <c r="J2" i="32" l="1"/>
  <c r="N9" i="32"/>
  <c r="N3" i="32" s="1"/>
  <c r="K40" i="32" l="1"/>
  <c r="Q10" i="33"/>
  <c r="I10" i="33"/>
  <c r="L59" i="32" l="1"/>
  <c r="L64" i="32"/>
  <c r="L65" i="32"/>
  <c r="N65" i="32" s="1"/>
  <c r="K2" i="32"/>
  <c r="L42" i="32"/>
  <c r="L57" i="32"/>
  <c r="N57" i="32" s="1"/>
  <c r="L46" i="32"/>
  <c r="N46" i="32" s="1"/>
  <c r="L44" i="32"/>
  <c r="N44" i="32" s="1"/>
  <c r="L53" i="32"/>
  <c r="L60" i="32"/>
  <c r="N60" i="32" s="1"/>
  <c r="L45" i="32"/>
  <c r="N45" i="32" s="1"/>
  <c r="L62" i="32"/>
  <c r="N62" i="32" s="1"/>
  <c r="L54" i="32"/>
  <c r="N54" i="32" s="1"/>
  <c r="L55" i="32"/>
  <c r="N55" i="32" s="1"/>
  <c r="L61" i="32"/>
  <c r="N61" i="32" s="1"/>
  <c r="L43" i="32"/>
  <c r="N43" i="32" s="1"/>
  <c r="L56" i="32"/>
  <c r="N56" i="32" s="1"/>
  <c r="L48" i="32"/>
  <c r="L70" i="32"/>
  <c r="L49" i="32"/>
  <c r="N49" i="32" s="1"/>
  <c r="L76" i="32"/>
  <c r="N76" i="32" s="1"/>
  <c r="L75" i="32"/>
  <c r="N75" i="32" s="1"/>
  <c r="L74" i="32"/>
  <c r="L71" i="32"/>
  <c r="N71" i="32" s="1"/>
  <c r="L72" i="32"/>
  <c r="N72" i="32" s="1"/>
  <c r="L67" i="32"/>
  <c r="N67" i="32" s="1"/>
  <c r="L51" i="32"/>
  <c r="N51" i="32" s="1"/>
  <c r="L68" i="32"/>
  <c r="N68" i="32" s="1"/>
  <c r="L50" i="32"/>
  <c r="N50" i="32" s="1"/>
  <c r="L66" i="32"/>
  <c r="N66" i="32" s="1"/>
  <c r="P10" i="27"/>
  <c r="V10" i="33" s="1"/>
  <c r="L63" i="32" l="1"/>
  <c r="N74" i="32"/>
  <c r="N73" i="32" s="1"/>
  <c r="L73" i="32"/>
  <c r="N70" i="32"/>
  <c r="N69" i="32" s="1"/>
  <c r="L69" i="32"/>
  <c r="N64" i="32"/>
  <c r="N63" i="32" s="1"/>
  <c r="N53" i="32"/>
  <c r="N52" i="32" s="1"/>
  <c r="L52" i="32"/>
  <c r="N59" i="32"/>
  <c r="N58" i="32" s="1"/>
  <c r="L58" i="32"/>
  <c r="N48" i="32"/>
  <c r="N47" i="32" s="1"/>
  <c r="L47" i="32"/>
  <c r="N42" i="32"/>
  <c r="N41" i="32" s="1"/>
  <c r="L41" i="32"/>
  <c r="N40" i="32" l="1"/>
  <c r="L40" i="32"/>
  <c r="L2" i="32" s="1"/>
  <c r="N2" i="32" l="1"/>
  <c r="P6" i="32" s="1"/>
  <c r="N16" i="33" s="1"/>
  <c r="P48" i="32" l="1"/>
  <c r="N240" i="33" s="1"/>
  <c r="S240" i="33" s="1"/>
  <c r="T243" i="33" s="1"/>
  <c r="P76" i="32"/>
  <c r="N383" i="33" s="1"/>
  <c r="L383" i="33" s="1"/>
  <c r="M386" i="33" s="1"/>
  <c r="P59" i="32"/>
  <c r="N296" i="33" s="1"/>
  <c r="S296" i="33" s="1"/>
  <c r="T300" i="33" s="1"/>
  <c r="P75" i="32"/>
  <c r="N377" i="33" s="1"/>
  <c r="J377" i="33" s="1"/>
  <c r="K379" i="33" s="1"/>
  <c r="P123" i="32"/>
  <c r="N612" i="33" s="1"/>
  <c r="J612" i="33" s="1"/>
  <c r="K615" i="33" s="1"/>
  <c r="P68" i="32"/>
  <c r="N342" i="33" s="1"/>
  <c r="L342" i="33" s="1"/>
  <c r="M345" i="33" s="1"/>
  <c r="P144" i="32"/>
  <c r="N709" i="33" s="1"/>
  <c r="J709" i="33" s="1"/>
  <c r="K714" i="33" s="1"/>
  <c r="P92" i="32"/>
  <c r="N461" i="33" s="1"/>
  <c r="L461" i="33" s="1"/>
  <c r="M465" i="33" s="1"/>
  <c r="P32" i="32"/>
  <c r="N159" i="33" s="1"/>
  <c r="S159" i="33" s="1"/>
  <c r="T160" i="33" s="1"/>
  <c r="P72" i="32"/>
  <c r="N362" i="33" s="1"/>
  <c r="L362" i="33" s="1"/>
  <c r="M365" i="33" s="1"/>
  <c r="P135" i="32"/>
  <c r="N667" i="33" s="1"/>
  <c r="J667" i="33" s="1"/>
  <c r="K668" i="33" s="1"/>
  <c r="P46" i="32"/>
  <c r="N233" i="33" s="1"/>
  <c r="L233" i="33" s="1"/>
  <c r="M237" i="33" s="1"/>
  <c r="P60" i="32"/>
  <c r="N302" i="33" s="1"/>
  <c r="S302" i="33" s="1"/>
  <c r="T305" i="33" s="1"/>
  <c r="P56" i="32"/>
  <c r="N284" i="33" s="1"/>
  <c r="J284" i="33" s="1"/>
  <c r="K288" i="33" s="1"/>
  <c r="P97" i="32"/>
  <c r="N487" i="33" s="1"/>
  <c r="L487" i="33" s="1"/>
  <c r="M490" i="33" s="1"/>
  <c r="P82" i="32"/>
  <c r="N411" i="33" s="1"/>
  <c r="J411" i="33" s="1"/>
  <c r="K413" i="33" s="1"/>
  <c r="P19" i="32"/>
  <c r="N88" i="33" s="1"/>
  <c r="J88" i="33" s="1"/>
  <c r="K94" i="33" s="1"/>
  <c r="P65" i="32"/>
  <c r="N327" i="33" s="1"/>
  <c r="L327" i="33" s="1"/>
  <c r="M330" i="33" s="1"/>
  <c r="P53" i="32"/>
  <c r="N266" i="33" s="1"/>
  <c r="L266" i="33" s="1"/>
  <c r="M267" i="33" s="1"/>
  <c r="P66" i="32"/>
  <c r="N332" i="33" s="1"/>
  <c r="L332" i="33" s="1"/>
  <c r="M334" i="33" s="1"/>
  <c r="P21" i="32"/>
  <c r="N102" i="33" s="1"/>
  <c r="S102" i="33" s="1"/>
  <c r="T107" i="33" s="1"/>
  <c r="P12" i="32"/>
  <c r="N50" i="33" s="1"/>
  <c r="J50" i="33" s="1"/>
  <c r="K53" i="33" s="1"/>
  <c r="P42" i="32"/>
  <c r="N209" i="33" s="1"/>
  <c r="L209" i="33" s="1"/>
  <c r="M210" i="33" s="1"/>
  <c r="P94" i="32"/>
  <c r="N468" i="33" s="1"/>
  <c r="P110" i="32"/>
  <c r="N544" i="33" s="1"/>
  <c r="S544" i="33" s="1"/>
  <c r="T546" i="33" s="1"/>
  <c r="P95" i="32"/>
  <c r="N476" i="33" s="1"/>
  <c r="L476" i="33" s="1"/>
  <c r="M478" i="33" s="1"/>
  <c r="P49" i="32"/>
  <c r="N248" i="33" s="1"/>
  <c r="S248" i="33" s="1"/>
  <c r="T251" i="33" s="1"/>
  <c r="P143" i="32"/>
  <c r="N703" i="33" s="1"/>
  <c r="J703" i="33" s="1"/>
  <c r="K706" i="33" s="1"/>
  <c r="P140" i="32"/>
  <c r="N687" i="33" s="1"/>
  <c r="J687" i="33" s="1"/>
  <c r="K689" i="33" s="1"/>
  <c r="P55" i="32"/>
  <c r="N279" i="33" s="1"/>
  <c r="S279" i="33" s="1"/>
  <c r="T281" i="33" s="1"/>
  <c r="P96" i="32"/>
  <c r="N482" i="33" s="1"/>
  <c r="S482" i="33" s="1"/>
  <c r="X482" i="33" s="1"/>
  <c r="Y486" i="33" s="1"/>
  <c r="P45" i="32"/>
  <c r="N228" i="33" s="1"/>
  <c r="S228" i="33" s="1"/>
  <c r="T231" i="33" s="1"/>
  <c r="P86" i="32"/>
  <c r="N431" i="33" s="1"/>
  <c r="S431" i="33" s="1"/>
  <c r="T433" i="33" s="1"/>
  <c r="P7" i="32"/>
  <c r="N24" i="33" s="1"/>
  <c r="S24" i="33" s="1"/>
  <c r="P130" i="32"/>
  <c r="N645" i="33" s="1"/>
  <c r="L645" i="33" s="1"/>
  <c r="M647" i="33" s="1"/>
  <c r="P89" i="32"/>
  <c r="N443" i="33" s="1"/>
  <c r="J443" i="33" s="1"/>
  <c r="K444" i="33" s="1"/>
  <c r="P22" i="32"/>
  <c r="N109" i="33" s="1"/>
  <c r="J109" i="33" s="1"/>
  <c r="K110" i="33" s="1"/>
  <c r="P122" i="32"/>
  <c r="N605" i="33" s="1"/>
  <c r="S605" i="33" s="1"/>
  <c r="T609" i="33" s="1"/>
  <c r="P24" i="32"/>
  <c r="N116" i="33" s="1"/>
  <c r="L116" i="33" s="1"/>
  <c r="M121" i="33" s="1"/>
  <c r="P70" i="32"/>
  <c r="N349" i="33" s="1"/>
  <c r="L349" i="33" s="1"/>
  <c r="M353" i="33" s="1"/>
  <c r="P133" i="32"/>
  <c r="N660" i="33" s="1"/>
  <c r="S660" i="33" s="1"/>
  <c r="X660" i="33" s="1"/>
  <c r="Y662" i="33" s="1"/>
  <c r="P31" i="32"/>
  <c r="N150" i="33" s="1"/>
  <c r="J150" i="33" s="1"/>
  <c r="K152" i="33" s="1"/>
  <c r="P36" i="32"/>
  <c r="N185" i="33" s="1"/>
  <c r="J185" i="33" s="1"/>
  <c r="K187" i="33" s="1"/>
  <c r="P126" i="32"/>
  <c r="N628" i="33" s="1"/>
  <c r="J628" i="33" s="1"/>
  <c r="K632" i="33" s="1"/>
  <c r="P79" i="32"/>
  <c r="N392" i="33" s="1"/>
  <c r="J392" i="33" s="1"/>
  <c r="K394" i="33" s="1"/>
  <c r="P141" i="32"/>
  <c r="N695" i="33" s="1"/>
  <c r="J695" i="33" s="1"/>
  <c r="K696" i="33" s="1"/>
  <c r="P20" i="32"/>
  <c r="N95" i="33" s="1"/>
  <c r="S95" i="33" s="1"/>
  <c r="T96" i="33" s="1"/>
  <c r="P117" i="32"/>
  <c r="N575" i="33" s="1"/>
  <c r="J575" i="33" s="1"/>
  <c r="K577" i="33" s="1"/>
  <c r="P8" i="32"/>
  <c r="N30" i="33" s="1"/>
  <c r="L30" i="33" s="1"/>
  <c r="P11" i="32"/>
  <c r="N45" i="33" s="1"/>
  <c r="L45" i="33" s="1"/>
  <c r="M49" i="33" s="1"/>
  <c r="P28" i="32"/>
  <c r="N141" i="33" s="1"/>
  <c r="S141" i="33" s="1"/>
  <c r="T144" i="33" s="1"/>
  <c r="P34" i="32"/>
  <c r="N173" i="33" s="1"/>
  <c r="L173" i="33" s="1"/>
  <c r="M174" i="33" s="1"/>
  <c r="P67" i="32"/>
  <c r="N337" i="33" s="1"/>
  <c r="S337" i="33" s="1"/>
  <c r="T341" i="33" s="1"/>
  <c r="P26" i="32"/>
  <c r="N127" i="33" s="1"/>
  <c r="S127" i="33" s="1"/>
  <c r="T130" i="33" s="1"/>
  <c r="P105" i="32"/>
  <c r="N520" i="33" s="1"/>
  <c r="S520" i="33" s="1"/>
  <c r="T523" i="33" s="1"/>
  <c r="P119" i="32"/>
  <c r="N588" i="33" s="1"/>
  <c r="J588" i="33" s="1"/>
  <c r="K592" i="33" s="1"/>
  <c r="P84" i="32"/>
  <c r="N418" i="33" s="1"/>
  <c r="L418" i="33" s="1"/>
  <c r="M422" i="33" s="1"/>
  <c r="P103" i="32"/>
  <c r="N513" i="33" s="1"/>
  <c r="S513" i="33" s="1"/>
  <c r="X513" i="33" s="1"/>
  <c r="Y517" i="33" s="1"/>
  <c r="P35" i="32"/>
  <c r="N179" i="33" s="1"/>
  <c r="L179" i="33" s="1"/>
  <c r="M180" i="33" s="1"/>
  <c r="P106" i="32"/>
  <c r="N525" i="33" s="1"/>
  <c r="S525" i="33" s="1"/>
  <c r="T527" i="33" s="1"/>
  <c r="P115" i="32"/>
  <c r="N562" i="33" s="1"/>
  <c r="J562" i="33" s="1"/>
  <c r="K568" i="33" s="1"/>
  <c r="P87" i="32"/>
  <c r="N436" i="33" s="1"/>
  <c r="S436" i="33" s="1"/>
  <c r="T440" i="33" s="1"/>
  <c r="P121" i="32"/>
  <c r="N598" i="33" s="1"/>
  <c r="L598" i="33" s="1"/>
  <c r="M601" i="33" s="1"/>
  <c r="P33" i="32"/>
  <c r="N166" i="33" s="1"/>
  <c r="S166" i="33" s="1"/>
  <c r="T169" i="33" s="1"/>
  <c r="P39" i="32"/>
  <c r="N199" i="33" s="1"/>
  <c r="L199" i="33" s="1"/>
  <c r="M203" i="33" s="1"/>
  <c r="P71" i="32"/>
  <c r="N356" i="33" s="1"/>
  <c r="L356" i="33" s="1"/>
  <c r="M358" i="33" s="1"/>
  <c r="P43" i="32"/>
  <c r="N217" i="33" s="1"/>
  <c r="J217" i="33" s="1"/>
  <c r="K220" i="33" s="1"/>
  <c r="P109" i="32"/>
  <c r="N534" i="33" s="1"/>
  <c r="L534" i="33" s="1"/>
  <c r="P102" i="32"/>
  <c r="N508" i="33" s="1"/>
  <c r="L508" i="33" s="1"/>
  <c r="M511" i="33" s="1"/>
  <c r="P91" i="32"/>
  <c r="N456" i="33" s="1"/>
  <c r="J456" i="33" s="1"/>
  <c r="K460" i="33" s="1"/>
  <c r="P90" i="32"/>
  <c r="N451" i="33" s="1"/>
  <c r="S451" i="33" s="1"/>
  <c r="X451" i="33" s="1"/>
  <c r="Y452" i="33" s="1"/>
  <c r="P64" i="32"/>
  <c r="P139" i="32"/>
  <c r="N680" i="33" s="1"/>
  <c r="L680" i="33" s="1"/>
  <c r="M683" i="33" s="1"/>
  <c r="P85" i="32"/>
  <c r="N425" i="33" s="1"/>
  <c r="J425" i="33" s="1"/>
  <c r="K429" i="33" s="1"/>
  <c r="P132" i="32"/>
  <c r="N655" i="33" s="1"/>
  <c r="S655" i="33" s="1"/>
  <c r="X655" i="33" s="1"/>
  <c r="Y659" i="33" s="1"/>
  <c r="P14" i="32"/>
  <c r="N60" i="33" s="1"/>
  <c r="L60" i="33" s="1"/>
  <c r="M67" i="33" s="1"/>
  <c r="P51" i="32"/>
  <c r="N259" i="33" s="1"/>
  <c r="L259" i="33" s="1"/>
  <c r="M261" i="33" s="1"/>
  <c r="P57" i="32"/>
  <c r="N289" i="33" s="1"/>
  <c r="S289" i="33" s="1"/>
  <c r="X289" i="33" s="1"/>
  <c r="Y290" i="33" s="1"/>
  <c r="P129" i="32"/>
  <c r="N638" i="33" s="1"/>
  <c r="J638" i="33" s="1"/>
  <c r="K642" i="33" s="1"/>
  <c r="P125" i="32"/>
  <c r="N621" i="33" s="1"/>
  <c r="J621" i="33" s="1"/>
  <c r="P10" i="32"/>
  <c r="N37" i="33" s="1"/>
  <c r="P81" i="32"/>
  <c r="N406" i="33" s="1"/>
  <c r="J406" i="33" s="1"/>
  <c r="K409" i="33" s="1"/>
  <c r="P44" i="32"/>
  <c r="N223" i="33" s="1"/>
  <c r="J223" i="33" s="1"/>
  <c r="K224" i="33" s="1"/>
  <c r="P80" i="32"/>
  <c r="N400" i="33" s="1"/>
  <c r="S400" i="33" s="1"/>
  <c r="T401" i="33" s="1"/>
  <c r="P27" i="32"/>
  <c r="N133" i="33" s="1"/>
  <c r="L133" i="33" s="1"/>
  <c r="M137" i="33" s="1"/>
  <c r="P101" i="32"/>
  <c r="N503" i="33" s="1"/>
  <c r="S503" i="33" s="1"/>
  <c r="X503" i="33" s="1"/>
  <c r="Y506" i="33" s="1"/>
  <c r="P116" i="32"/>
  <c r="N569" i="33" s="1"/>
  <c r="L569" i="33" s="1"/>
  <c r="M573" i="33" s="1"/>
  <c r="P5" i="32"/>
  <c r="N9" i="33" s="1"/>
  <c r="P13" i="32"/>
  <c r="N55" i="33" s="1"/>
  <c r="J55" i="33" s="1"/>
  <c r="K59" i="33" s="1"/>
  <c r="P62" i="32"/>
  <c r="N312" i="33" s="1"/>
  <c r="L312" i="33" s="1"/>
  <c r="M316" i="33" s="1"/>
  <c r="P118" i="32"/>
  <c r="N583" i="33" s="1"/>
  <c r="J583" i="33" s="1"/>
  <c r="K586" i="33" s="1"/>
  <c r="P74" i="32"/>
  <c r="N369" i="33" s="1"/>
  <c r="J369" i="33" s="1"/>
  <c r="P50" i="32"/>
  <c r="N254" i="33" s="1"/>
  <c r="J254" i="33" s="1"/>
  <c r="K255" i="33" s="1"/>
  <c r="P25" i="32"/>
  <c r="N122" i="33" s="1"/>
  <c r="J122" i="33" s="1"/>
  <c r="K126" i="33" s="1"/>
  <c r="P61" i="32"/>
  <c r="N307" i="33" s="1"/>
  <c r="L307" i="33" s="1"/>
  <c r="M308" i="33" s="1"/>
  <c r="P38" i="32"/>
  <c r="N193" i="33" s="1"/>
  <c r="P15" i="32"/>
  <c r="N69" i="33" s="1"/>
  <c r="S69" i="33" s="1"/>
  <c r="T71" i="33" s="1"/>
  <c r="P54" i="32"/>
  <c r="N274" i="33" s="1"/>
  <c r="S274" i="33" s="1"/>
  <c r="T278" i="33" s="1"/>
  <c r="P136" i="32"/>
  <c r="N671" i="33" s="1"/>
  <c r="L671" i="33" s="1"/>
  <c r="M673" i="33" s="1"/>
  <c r="P100" i="32"/>
  <c r="N496" i="33" s="1"/>
  <c r="L496" i="33" s="1"/>
  <c r="M498" i="33" s="1"/>
  <c r="P16" i="32"/>
  <c r="N76" i="33" s="1"/>
  <c r="S76" i="33" s="1"/>
  <c r="T78" i="33" s="1"/>
  <c r="J16" i="33"/>
  <c r="K18" i="33" s="1"/>
  <c r="S16" i="33"/>
  <c r="X16" i="33" s="1"/>
  <c r="P131" i="32"/>
  <c r="N650" i="33" s="1"/>
  <c r="J650" i="33" s="1"/>
  <c r="K654" i="33" s="1"/>
  <c r="P112" i="32"/>
  <c r="N551" i="33" s="1"/>
  <c r="L551" i="33" s="1"/>
  <c r="M555" i="33" s="1"/>
  <c r="L16" i="33"/>
  <c r="M22" i="33" s="1"/>
  <c r="J24" i="33" l="1"/>
  <c r="K26" i="33" s="1"/>
  <c r="J362" i="33"/>
  <c r="K364" i="33" s="1"/>
  <c r="J383" i="33"/>
  <c r="K387" i="33" s="1"/>
  <c r="L612" i="33"/>
  <c r="M614" i="33" s="1"/>
  <c r="K613" i="33"/>
  <c r="M479" i="33"/>
  <c r="L302" i="33"/>
  <c r="M303" i="33" s="1"/>
  <c r="L525" i="33"/>
  <c r="M526" i="33" s="1"/>
  <c r="S377" i="33"/>
  <c r="T379" i="33" s="1"/>
  <c r="T515" i="33"/>
  <c r="K381" i="33"/>
  <c r="J45" i="33"/>
  <c r="K48" i="33" s="1"/>
  <c r="T303" i="33"/>
  <c r="T105" i="33"/>
  <c r="S383" i="33"/>
  <c r="T386" i="33" s="1"/>
  <c r="J476" i="33"/>
  <c r="K477" i="33" s="1"/>
  <c r="M48" i="33"/>
  <c r="S362" i="33"/>
  <c r="T366" i="33" s="1"/>
  <c r="T516" i="33"/>
  <c r="M363" i="33"/>
  <c r="K616" i="33"/>
  <c r="J327" i="33"/>
  <c r="K329" i="33" s="1"/>
  <c r="L513" i="33"/>
  <c r="M515" i="33" s="1"/>
  <c r="M366" i="33"/>
  <c r="M387" i="33"/>
  <c r="T664" i="33"/>
  <c r="S60" i="33"/>
  <c r="T64" i="33" s="1"/>
  <c r="T611" i="33"/>
  <c r="K378" i="33"/>
  <c r="K630" i="33"/>
  <c r="M234" i="33"/>
  <c r="T526" i="33"/>
  <c r="M175" i="33"/>
  <c r="M336" i="33"/>
  <c r="K699" i="33"/>
  <c r="T132" i="33"/>
  <c r="J525" i="33"/>
  <c r="K526" i="33" s="1"/>
  <c r="L377" i="33"/>
  <c r="M381" i="33" s="1"/>
  <c r="S628" i="33"/>
  <c r="T633" i="33" s="1"/>
  <c r="S233" i="33"/>
  <c r="T235" i="33" s="1"/>
  <c r="K380" i="33"/>
  <c r="S332" i="33"/>
  <c r="T333" i="33" s="1"/>
  <c r="K633" i="33"/>
  <c r="K382" i="33"/>
  <c r="L628" i="33"/>
  <c r="M630" i="33" s="1"/>
  <c r="S173" i="33"/>
  <c r="T176" i="33" s="1"/>
  <c r="T529" i="33"/>
  <c r="M335" i="33"/>
  <c r="J173" i="33"/>
  <c r="K174" i="33" s="1"/>
  <c r="O174" i="33" s="1"/>
  <c r="K629" i="33"/>
  <c r="S109" i="33"/>
  <c r="T110" i="33" s="1"/>
  <c r="T129" i="33"/>
  <c r="S695" i="33"/>
  <c r="T696" i="33" s="1"/>
  <c r="M176" i="33"/>
  <c r="Y656" i="33"/>
  <c r="M177" i="33"/>
  <c r="K631" i="33"/>
  <c r="M333" i="33"/>
  <c r="M343" i="33"/>
  <c r="M178" i="33"/>
  <c r="J332" i="33"/>
  <c r="K336" i="33" s="1"/>
  <c r="T528" i="33"/>
  <c r="X525" i="33"/>
  <c r="Y529" i="33" s="1"/>
  <c r="J342" i="33"/>
  <c r="K345" i="33" s="1"/>
  <c r="O345" i="33" s="1"/>
  <c r="S284" i="33"/>
  <c r="T286" i="33" s="1"/>
  <c r="M344" i="33"/>
  <c r="K697" i="33"/>
  <c r="L279" i="33"/>
  <c r="M280" i="33" s="1"/>
  <c r="M346" i="33"/>
  <c r="X605" i="33"/>
  <c r="Y607" i="33" s="1"/>
  <c r="T282" i="33"/>
  <c r="K285" i="33"/>
  <c r="K51" i="33"/>
  <c r="J605" i="33"/>
  <c r="K607" i="33" s="1"/>
  <c r="Y661" i="33"/>
  <c r="J337" i="33"/>
  <c r="K338" i="33" s="1"/>
  <c r="L337" i="33"/>
  <c r="M339" i="33" s="1"/>
  <c r="T306" i="33"/>
  <c r="T304" i="33"/>
  <c r="J431" i="33"/>
  <c r="K432" i="33" s="1"/>
  <c r="K614" i="33"/>
  <c r="X302" i="33"/>
  <c r="Y305" i="33" s="1"/>
  <c r="L109" i="33"/>
  <c r="M110" i="33" s="1"/>
  <c r="O110" i="33" s="1"/>
  <c r="K617" i="33"/>
  <c r="K52" i="33"/>
  <c r="M384" i="33"/>
  <c r="M385" i="33"/>
  <c r="T131" i="33"/>
  <c r="T283" i="33"/>
  <c r="S342" i="33"/>
  <c r="T345" i="33" s="1"/>
  <c r="K54" i="33"/>
  <c r="S50" i="33"/>
  <c r="X50" i="33" s="1"/>
  <c r="Y53" i="33" s="1"/>
  <c r="L24" i="33"/>
  <c r="M28" i="33" s="1"/>
  <c r="T606" i="33"/>
  <c r="J279" i="33"/>
  <c r="K283" i="33" s="1"/>
  <c r="Y663" i="33"/>
  <c r="T280" i="33"/>
  <c r="K286" i="33"/>
  <c r="M480" i="33"/>
  <c r="X431" i="33"/>
  <c r="Y434" i="33" s="1"/>
  <c r="K698" i="33"/>
  <c r="L50" i="33"/>
  <c r="M51" i="33" s="1"/>
  <c r="T610" i="33"/>
  <c r="T548" i="33"/>
  <c r="S185" i="33"/>
  <c r="T187" i="33" s="1"/>
  <c r="J312" i="33"/>
  <c r="K315" i="33" s="1"/>
  <c r="S425" i="33"/>
  <c r="T426" i="33" s="1"/>
  <c r="J95" i="33"/>
  <c r="K98" i="33" s="1"/>
  <c r="S487" i="33"/>
  <c r="T489" i="33" s="1"/>
  <c r="M62" i="33"/>
  <c r="M61" i="33"/>
  <c r="M68" i="33"/>
  <c r="K691" i="33"/>
  <c r="L102" i="33"/>
  <c r="M108" i="33" s="1"/>
  <c r="T432" i="33"/>
  <c r="J302" i="33"/>
  <c r="K306" i="33" s="1"/>
  <c r="K112" i="33"/>
  <c r="M66" i="33"/>
  <c r="J127" i="33"/>
  <c r="K129" i="33" s="1"/>
  <c r="L436" i="33"/>
  <c r="M440" i="33" s="1"/>
  <c r="S55" i="33"/>
  <c r="T58" i="33" s="1"/>
  <c r="T75" i="33"/>
  <c r="L456" i="33"/>
  <c r="M458" i="33" s="1"/>
  <c r="T439" i="33"/>
  <c r="S406" i="33"/>
  <c r="T407" i="33" s="1"/>
  <c r="X248" i="33"/>
  <c r="Y252" i="33" s="1"/>
  <c r="K188" i="33"/>
  <c r="T250" i="33"/>
  <c r="J274" i="33"/>
  <c r="K275" i="33" s="1"/>
  <c r="K430" i="33"/>
  <c r="K426" i="33"/>
  <c r="T253" i="33"/>
  <c r="K186" i="33"/>
  <c r="L248" i="33"/>
  <c r="M252" i="33" s="1"/>
  <c r="T249" i="33"/>
  <c r="M649" i="33"/>
  <c r="J248" i="33"/>
  <c r="K249" i="33" s="1"/>
  <c r="K427" i="33"/>
  <c r="L185" i="33"/>
  <c r="M189" i="33" s="1"/>
  <c r="L425" i="33"/>
  <c r="M426" i="33" s="1"/>
  <c r="L406" i="33"/>
  <c r="M409" i="33" s="1"/>
  <c r="O409" i="33" s="1"/>
  <c r="K428" i="33"/>
  <c r="T252" i="33"/>
  <c r="T276" i="33"/>
  <c r="X24" i="33"/>
  <c r="Y26" i="33" s="1"/>
  <c r="T25" i="33"/>
  <c r="Y664" i="33"/>
  <c r="T514" i="33"/>
  <c r="T661" i="33"/>
  <c r="X337" i="33"/>
  <c r="Y341" i="33" s="1"/>
  <c r="X279" i="33"/>
  <c r="Y282" i="33" s="1"/>
  <c r="M477" i="33"/>
  <c r="L127" i="33"/>
  <c r="M130" i="33" s="1"/>
  <c r="T108" i="33"/>
  <c r="K700" i="33"/>
  <c r="T103" i="33"/>
  <c r="M65" i="33"/>
  <c r="M481" i="33"/>
  <c r="T608" i="33"/>
  <c r="X127" i="33"/>
  <c r="Y132" i="33" s="1"/>
  <c r="L284" i="33"/>
  <c r="M286" i="33" s="1"/>
  <c r="T402" i="33"/>
  <c r="T517" i="33"/>
  <c r="L660" i="33"/>
  <c r="M662" i="33" s="1"/>
  <c r="L605" i="33"/>
  <c r="M607" i="33" s="1"/>
  <c r="S45" i="33"/>
  <c r="T47" i="33" s="1"/>
  <c r="S687" i="33"/>
  <c r="T690" i="33" s="1"/>
  <c r="M63" i="33"/>
  <c r="L655" i="33"/>
  <c r="M659" i="33" s="1"/>
  <c r="T128" i="33"/>
  <c r="J356" i="33"/>
  <c r="K360" i="33" s="1"/>
  <c r="T438" i="33"/>
  <c r="M331" i="33"/>
  <c r="T403" i="33"/>
  <c r="J513" i="33"/>
  <c r="K517" i="33" s="1"/>
  <c r="J660" i="33"/>
  <c r="K664" i="33" s="1"/>
  <c r="J102" i="33"/>
  <c r="K104" i="33" s="1"/>
  <c r="L695" i="33"/>
  <c r="M697" i="33" s="1"/>
  <c r="K618" i="33"/>
  <c r="S476" i="33"/>
  <c r="T478" i="33" s="1"/>
  <c r="T607" i="33"/>
  <c r="M46" i="33"/>
  <c r="K457" i="33"/>
  <c r="T165" i="33"/>
  <c r="K287" i="33"/>
  <c r="T663" i="33"/>
  <c r="T338" i="33"/>
  <c r="K113" i="33"/>
  <c r="O113" i="33" s="1"/>
  <c r="X102" i="33"/>
  <c r="Y106" i="33" s="1"/>
  <c r="T106" i="33"/>
  <c r="M47" i="33"/>
  <c r="S612" i="33"/>
  <c r="X612" i="33" s="1"/>
  <c r="Y615" i="33" s="1"/>
  <c r="J30" i="33"/>
  <c r="K32" i="33" s="1"/>
  <c r="M329" i="33"/>
  <c r="M364" i="33"/>
  <c r="J400" i="33"/>
  <c r="K402" i="33" s="1"/>
  <c r="L482" i="33"/>
  <c r="M485" i="33" s="1"/>
  <c r="K712" i="33"/>
  <c r="L95" i="33"/>
  <c r="M99" i="33" s="1"/>
  <c r="T454" i="33"/>
  <c r="Y483" i="33"/>
  <c r="S709" i="33"/>
  <c r="T711" i="33" s="1"/>
  <c r="L709" i="33"/>
  <c r="M716" i="33" s="1"/>
  <c r="J487" i="33"/>
  <c r="K491" i="33" s="1"/>
  <c r="Y484" i="33"/>
  <c r="J482" i="33"/>
  <c r="K486" i="33" s="1"/>
  <c r="T452" i="33"/>
  <c r="T98" i="33"/>
  <c r="M675" i="33"/>
  <c r="Y453" i="33"/>
  <c r="Y485" i="33"/>
  <c r="T484" i="33"/>
  <c r="T483" i="33"/>
  <c r="X95" i="33"/>
  <c r="Y99" i="33" s="1"/>
  <c r="T485" i="33"/>
  <c r="Y454" i="33"/>
  <c r="K713" i="33"/>
  <c r="T101" i="33"/>
  <c r="T97" i="33"/>
  <c r="M262" i="33"/>
  <c r="M491" i="33"/>
  <c r="M489" i="33"/>
  <c r="Y455" i="33"/>
  <c r="K716" i="33"/>
  <c r="T486" i="33"/>
  <c r="K710" i="33"/>
  <c r="T100" i="33"/>
  <c r="K715" i="33"/>
  <c r="K711" i="33"/>
  <c r="M488" i="33"/>
  <c r="T99" i="33"/>
  <c r="M357" i="33"/>
  <c r="S508" i="33"/>
  <c r="T511" i="33" s="1"/>
  <c r="K584" i="33"/>
  <c r="L544" i="33"/>
  <c r="M548" i="33" s="1"/>
  <c r="K692" i="33"/>
  <c r="K690" i="33"/>
  <c r="J544" i="33"/>
  <c r="K547" i="33" s="1"/>
  <c r="S671" i="33"/>
  <c r="X671" i="33" s="1"/>
  <c r="Y674" i="33" s="1"/>
  <c r="K587" i="33"/>
  <c r="K111" i="33"/>
  <c r="T339" i="33"/>
  <c r="J159" i="33"/>
  <c r="K163" i="33" s="1"/>
  <c r="T164" i="33"/>
  <c r="T435" i="33"/>
  <c r="K693" i="33"/>
  <c r="K585" i="33"/>
  <c r="M674" i="33"/>
  <c r="L687" i="33"/>
  <c r="M693" i="33" s="1"/>
  <c r="T104" i="33"/>
  <c r="L583" i="33"/>
  <c r="M585" i="33" s="1"/>
  <c r="T161" i="33"/>
  <c r="S583" i="33"/>
  <c r="X583" i="33" s="1"/>
  <c r="Y584" i="33" s="1"/>
  <c r="M646" i="33"/>
  <c r="S645" i="33"/>
  <c r="T646" i="33" s="1"/>
  <c r="K190" i="33"/>
  <c r="J645" i="33"/>
  <c r="K646" i="33" s="1"/>
  <c r="M64" i="33"/>
  <c r="T277" i="33"/>
  <c r="J671" i="33"/>
  <c r="K675" i="33" s="1"/>
  <c r="T143" i="33"/>
  <c r="M182" i="33"/>
  <c r="S217" i="33"/>
  <c r="X217" i="33" s="1"/>
  <c r="Y218" i="33" s="1"/>
  <c r="M648" i="33"/>
  <c r="K225" i="33"/>
  <c r="S30" i="33"/>
  <c r="X30" i="33" s="1"/>
  <c r="Y32" i="33" s="1"/>
  <c r="P142" i="32"/>
  <c r="T142" i="33"/>
  <c r="M181" i="33"/>
  <c r="P138" i="32"/>
  <c r="Y293" i="33"/>
  <c r="M138" i="33"/>
  <c r="M136" i="33"/>
  <c r="L166" i="33"/>
  <c r="M169" i="33" s="1"/>
  <c r="K590" i="33"/>
  <c r="S461" i="33"/>
  <c r="T464" i="33" s="1"/>
  <c r="K580" i="33"/>
  <c r="K578" i="33"/>
  <c r="M462" i="33"/>
  <c r="J451" i="33"/>
  <c r="K455" i="33" s="1"/>
  <c r="J259" i="33"/>
  <c r="K262" i="33" s="1"/>
  <c r="P23" i="32"/>
  <c r="N467" i="33"/>
  <c r="M135" i="33"/>
  <c r="M134" i="33"/>
  <c r="M263" i="33"/>
  <c r="M260" i="33"/>
  <c r="M139" i="33"/>
  <c r="M140" i="33"/>
  <c r="J133" i="33"/>
  <c r="K139" i="33" s="1"/>
  <c r="S259" i="33"/>
  <c r="T261" i="33" s="1"/>
  <c r="P120" i="32"/>
  <c r="S133" i="33"/>
  <c r="T134" i="33" s="1"/>
  <c r="T455" i="33"/>
  <c r="L451" i="33"/>
  <c r="M454" i="33" s="1"/>
  <c r="T453" i="33"/>
  <c r="P18" i="32"/>
  <c r="M464" i="33"/>
  <c r="K594" i="33"/>
  <c r="S199" i="33"/>
  <c r="T203" i="33" s="1"/>
  <c r="T547" i="33"/>
  <c r="Y505" i="33"/>
  <c r="K591" i="33"/>
  <c r="L411" i="33"/>
  <c r="M415" i="33" s="1"/>
  <c r="X76" i="33"/>
  <c r="Y83" i="33" s="1"/>
  <c r="T80" i="33"/>
  <c r="J233" i="33"/>
  <c r="K235" i="33" s="1"/>
  <c r="Y507" i="33"/>
  <c r="Y291" i="33"/>
  <c r="T232" i="33"/>
  <c r="Y504" i="33"/>
  <c r="S575" i="33"/>
  <c r="T579" i="33" s="1"/>
  <c r="S588" i="33"/>
  <c r="T594" i="33" s="1"/>
  <c r="K582" i="33"/>
  <c r="K595" i="33"/>
  <c r="L588" i="33"/>
  <c r="M594" i="33" s="1"/>
  <c r="J69" i="33"/>
  <c r="K74" i="33" s="1"/>
  <c r="K581" i="33"/>
  <c r="T81" i="33"/>
  <c r="M574" i="33"/>
  <c r="X228" i="33"/>
  <c r="Y232" i="33" s="1"/>
  <c r="T229" i="33"/>
  <c r="T506" i="33"/>
  <c r="L228" i="33"/>
  <c r="M231" i="33" s="1"/>
  <c r="J228" i="33"/>
  <c r="K232" i="33" s="1"/>
  <c r="M463" i="33"/>
  <c r="K589" i="33"/>
  <c r="K415" i="33"/>
  <c r="T168" i="33"/>
  <c r="K410" i="33"/>
  <c r="K20" i="33"/>
  <c r="K125" i="33"/>
  <c r="M235" i="33"/>
  <c r="Y292" i="33"/>
  <c r="T230" i="33"/>
  <c r="K412" i="33"/>
  <c r="K408" i="33"/>
  <c r="K579" i="33"/>
  <c r="T171" i="33"/>
  <c r="K407" i="33"/>
  <c r="S411" i="33"/>
  <c r="X411" i="33" s="1"/>
  <c r="J461" i="33"/>
  <c r="K463" i="33" s="1"/>
  <c r="K414" i="33"/>
  <c r="K576" i="33"/>
  <c r="M672" i="33"/>
  <c r="M34" i="33"/>
  <c r="M32" i="33"/>
  <c r="M33" i="33"/>
  <c r="J199" i="33"/>
  <c r="K200" i="33" s="1"/>
  <c r="M204" i="33"/>
  <c r="S356" i="33"/>
  <c r="T359" i="33" s="1"/>
  <c r="K688" i="33"/>
  <c r="S569" i="33"/>
  <c r="T574" i="33" s="1"/>
  <c r="T145" i="33"/>
  <c r="T662" i="33"/>
  <c r="T162" i="33"/>
  <c r="T434" i="33"/>
  <c r="L159" i="33"/>
  <c r="M161" i="33" s="1"/>
  <c r="S327" i="33"/>
  <c r="T329" i="33" s="1"/>
  <c r="P134" i="32"/>
  <c r="M184" i="33"/>
  <c r="L431" i="33"/>
  <c r="M433" i="33" s="1"/>
  <c r="J179" i="33"/>
  <c r="K182" i="33" s="1"/>
  <c r="K23" i="33"/>
  <c r="M361" i="33"/>
  <c r="T82" i="33"/>
  <c r="T163" i="33"/>
  <c r="L141" i="33"/>
  <c r="M142" i="33" s="1"/>
  <c r="M328" i="33"/>
  <c r="M183" i="33"/>
  <c r="M201" i="33"/>
  <c r="S179" i="33"/>
  <c r="T181" i="33" s="1"/>
  <c r="M360" i="33"/>
  <c r="J141" i="33"/>
  <c r="K145" i="33" s="1"/>
  <c r="X141" i="33"/>
  <c r="Y144" i="33" s="1"/>
  <c r="K226" i="33"/>
  <c r="S254" i="33"/>
  <c r="T258" i="33" s="1"/>
  <c r="K189" i="33"/>
  <c r="T340" i="33"/>
  <c r="K694" i="33"/>
  <c r="X544" i="33"/>
  <c r="Y546" i="33" s="1"/>
  <c r="M359" i="33"/>
  <c r="T545" i="33"/>
  <c r="J569" i="33"/>
  <c r="K573" i="33" s="1"/>
  <c r="O573" i="33" s="1"/>
  <c r="K256" i="33"/>
  <c r="K218" i="33"/>
  <c r="X159" i="33"/>
  <c r="Y161" i="33" s="1"/>
  <c r="K258" i="33"/>
  <c r="P93" i="32"/>
  <c r="K123" i="33"/>
  <c r="P63" i="32"/>
  <c r="S122" i="33"/>
  <c r="T124" i="33" s="1"/>
  <c r="K124" i="33"/>
  <c r="K22" i="33"/>
  <c r="O22" i="33" s="1"/>
  <c r="P4" i="32"/>
  <c r="K17" i="33"/>
  <c r="L122" i="33"/>
  <c r="M123" i="33" s="1"/>
  <c r="K21" i="33"/>
  <c r="K19" i="33"/>
  <c r="P108" i="32"/>
  <c r="K593" i="33"/>
  <c r="J166" i="33"/>
  <c r="K170" i="33" s="1"/>
  <c r="T293" i="33"/>
  <c r="L575" i="33"/>
  <c r="M577" i="33" s="1"/>
  <c r="O577" i="33" s="1"/>
  <c r="T291" i="33"/>
  <c r="P83" i="32"/>
  <c r="T505" i="33"/>
  <c r="T504" i="33"/>
  <c r="P30" i="32"/>
  <c r="N319" i="33"/>
  <c r="L319" i="33" s="1"/>
  <c r="M323" i="33" s="1"/>
  <c r="X166" i="33"/>
  <c r="Y169" i="33" s="1"/>
  <c r="T292" i="33"/>
  <c r="P69" i="32"/>
  <c r="T170" i="33"/>
  <c r="T290" i="33"/>
  <c r="J503" i="33"/>
  <c r="K507" i="33" s="1"/>
  <c r="L289" i="33"/>
  <c r="M291" i="33" s="1"/>
  <c r="L503" i="33"/>
  <c r="M505" i="33" s="1"/>
  <c r="J289" i="33"/>
  <c r="K290" i="33" s="1"/>
  <c r="T167" i="33"/>
  <c r="T507" i="33"/>
  <c r="P73" i="32"/>
  <c r="M31" i="33"/>
  <c r="T172" i="33"/>
  <c r="P124" i="32"/>
  <c r="P128" i="32"/>
  <c r="P104" i="32"/>
  <c r="K222" i="33"/>
  <c r="K221" i="33"/>
  <c r="S307" i="33"/>
  <c r="T310" i="33" s="1"/>
  <c r="P58" i="32"/>
  <c r="M309" i="33"/>
  <c r="K58" i="33"/>
  <c r="L217" i="33"/>
  <c r="M218" i="33" s="1"/>
  <c r="P41" i="32"/>
  <c r="L55" i="33"/>
  <c r="M59" i="33" s="1"/>
  <c r="O59" i="33" s="1"/>
  <c r="K57" i="33"/>
  <c r="K219" i="33"/>
  <c r="J307" i="33"/>
  <c r="K311" i="33" s="1"/>
  <c r="M310" i="33"/>
  <c r="K56" i="33"/>
  <c r="M311" i="33"/>
  <c r="T19" i="33"/>
  <c r="M509" i="33"/>
  <c r="T658" i="33"/>
  <c r="K459" i="33"/>
  <c r="M202" i="33"/>
  <c r="X274" i="33"/>
  <c r="Y276" i="33" s="1"/>
  <c r="L650" i="33"/>
  <c r="M652" i="33" s="1"/>
  <c r="J60" i="33"/>
  <c r="K64" i="33" s="1"/>
  <c r="M314" i="33"/>
  <c r="M570" i="33"/>
  <c r="P111" i="32"/>
  <c r="J508" i="33"/>
  <c r="K510" i="33" s="1"/>
  <c r="T657" i="33"/>
  <c r="T73" i="33"/>
  <c r="J436" i="33"/>
  <c r="K440" i="33" s="1"/>
  <c r="T659" i="33"/>
  <c r="M572" i="33"/>
  <c r="P37" i="32"/>
  <c r="P47" i="32"/>
  <c r="P52" i="32"/>
  <c r="Y658" i="33"/>
  <c r="T74" i="33"/>
  <c r="J76" i="33"/>
  <c r="K79" i="33" s="1"/>
  <c r="K257" i="33"/>
  <c r="M571" i="33"/>
  <c r="L76" i="33"/>
  <c r="M78" i="33" s="1"/>
  <c r="T437" i="33"/>
  <c r="X400" i="33"/>
  <c r="Y401" i="33" s="1"/>
  <c r="S312" i="33"/>
  <c r="T316" i="33" s="1"/>
  <c r="T405" i="33"/>
  <c r="N192" i="33"/>
  <c r="P88" i="32"/>
  <c r="T77" i="33"/>
  <c r="S9" i="33"/>
  <c r="T15" i="33" s="1"/>
  <c r="N8" i="33"/>
  <c r="L9" i="33"/>
  <c r="M11" i="33" s="1"/>
  <c r="J9" i="33"/>
  <c r="T656" i="33"/>
  <c r="Y657" i="33"/>
  <c r="J655" i="33"/>
  <c r="K656" i="33" s="1"/>
  <c r="M512" i="33"/>
  <c r="T275" i="33"/>
  <c r="T72" i="33"/>
  <c r="M200" i="33"/>
  <c r="T79" i="33"/>
  <c r="S650" i="33"/>
  <c r="T652" i="33" s="1"/>
  <c r="M313" i="33"/>
  <c r="X436" i="33"/>
  <c r="Y440" i="33" s="1"/>
  <c r="T404" i="33"/>
  <c r="T83" i="33"/>
  <c r="P78" i="32"/>
  <c r="P99" i="32"/>
  <c r="P114" i="32"/>
  <c r="M510" i="33"/>
  <c r="L69" i="33"/>
  <c r="M74" i="33" s="1"/>
  <c r="T70" i="33"/>
  <c r="X69" i="33"/>
  <c r="Y72" i="33" s="1"/>
  <c r="L254" i="33"/>
  <c r="M257" i="33" s="1"/>
  <c r="S456" i="33"/>
  <c r="T459" i="33" s="1"/>
  <c r="L274" i="33"/>
  <c r="M277" i="33" s="1"/>
  <c r="M315" i="33"/>
  <c r="P9" i="32"/>
  <c r="L400" i="33"/>
  <c r="M405" i="33" s="1"/>
  <c r="K458" i="33"/>
  <c r="L223" i="33"/>
  <c r="M227" i="33" s="1"/>
  <c r="L37" i="33"/>
  <c r="M43" i="33" s="1"/>
  <c r="N36" i="33"/>
  <c r="L36" i="33" s="1"/>
  <c r="K227" i="33"/>
  <c r="S223" i="33"/>
  <c r="T225" i="33" s="1"/>
  <c r="K651" i="33"/>
  <c r="K652" i="33"/>
  <c r="K653" i="33"/>
  <c r="N620" i="33"/>
  <c r="S621" i="33"/>
  <c r="T627" i="33" s="1"/>
  <c r="L621" i="33"/>
  <c r="M535" i="33"/>
  <c r="M542" i="33"/>
  <c r="K626" i="33"/>
  <c r="K627" i="33"/>
  <c r="K374" i="33"/>
  <c r="S638" i="33"/>
  <c r="T639" i="33" s="1"/>
  <c r="M603" i="33"/>
  <c r="K704" i="33"/>
  <c r="K567" i="33"/>
  <c r="M681" i="33"/>
  <c r="K644" i="33"/>
  <c r="M684" i="33"/>
  <c r="K643" i="33"/>
  <c r="M685" i="33"/>
  <c r="K640" i="33"/>
  <c r="M686" i="33"/>
  <c r="S680" i="33"/>
  <c r="T686" i="33" s="1"/>
  <c r="K641" i="33"/>
  <c r="K639" i="33"/>
  <c r="M682" i="33"/>
  <c r="N679" i="33"/>
  <c r="L679" i="33" s="1"/>
  <c r="N637" i="33"/>
  <c r="L637" i="33" s="1"/>
  <c r="K705" i="33"/>
  <c r="N702" i="33"/>
  <c r="L702" i="33" s="1"/>
  <c r="L667" i="33"/>
  <c r="M668" i="33" s="1"/>
  <c r="O668" i="33" s="1"/>
  <c r="S667" i="33"/>
  <c r="T670" i="33" s="1"/>
  <c r="N666" i="33"/>
  <c r="S666" i="33" s="1"/>
  <c r="X666" i="33" s="1"/>
  <c r="K708" i="33"/>
  <c r="S703" i="33"/>
  <c r="T707" i="33" s="1"/>
  <c r="K707" i="33"/>
  <c r="L703" i="33"/>
  <c r="M707" i="33" s="1"/>
  <c r="J680" i="33"/>
  <c r="K685" i="33" s="1"/>
  <c r="L638" i="33"/>
  <c r="M644" i="33" s="1"/>
  <c r="K563" i="33"/>
  <c r="M600" i="33"/>
  <c r="M554" i="33"/>
  <c r="K397" i="33"/>
  <c r="K565" i="33"/>
  <c r="K566" i="33"/>
  <c r="K564" i="33"/>
  <c r="M557" i="33"/>
  <c r="M552" i="33"/>
  <c r="M502" i="33"/>
  <c r="M602" i="33"/>
  <c r="M599" i="33"/>
  <c r="J598" i="33"/>
  <c r="K599" i="33" s="1"/>
  <c r="L562" i="33"/>
  <c r="M566" i="33" s="1"/>
  <c r="S562" i="33"/>
  <c r="X562" i="33" s="1"/>
  <c r="Y568" i="33" s="1"/>
  <c r="M553" i="33"/>
  <c r="M556" i="33"/>
  <c r="M497" i="33"/>
  <c r="M604" i="33"/>
  <c r="N495" i="33"/>
  <c r="N597" i="33"/>
  <c r="N561" i="33"/>
  <c r="M500" i="33"/>
  <c r="J496" i="33"/>
  <c r="K498" i="33" s="1"/>
  <c r="O498" i="33" s="1"/>
  <c r="S598" i="33"/>
  <c r="T601" i="33" s="1"/>
  <c r="M541" i="33"/>
  <c r="M419" i="33"/>
  <c r="K445" i="33"/>
  <c r="J520" i="33"/>
  <c r="K521" i="33" s="1"/>
  <c r="T524" i="33"/>
  <c r="K448" i="33"/>
  <c r="J534" i="33"/>
  <c r="T522" i="33"/>
  <c r="M536" i="33"/>
  <c r="M421" i="33"/>
  <c r="N442" i="33"/>
  <c r="T521" i="33"/>
  <c r="K446" i="33"/>
  <c r="N519" i="33"/>
  <c r="L520" i="33"/>
  <c r="M521" i="33" s="1"/>
  <c r="L443" i="33"/>
  <c r="M446" i="33" s="1"/>
  <c r="M538" i="33"/>
  <c r="X520" i="33"/>
  <c r="Y521" i="33" s="1"/>
  <c r="M543" i="33"/>
  <c r="M537" i="33"/>
  <c r="K449" i="33"/>
  <c r="K447" i="33"/>
  <c r="S534" i="33"/>
  <c r="N417" i="33"/>
  <c r="M540" i="33"/>
  <c r="M539" i="33"/>
  <c r="K450" i="33"/>
  <c r="N533" i="33"/>
  <c r="K393" i="33"/>
  <c r="J551" i="33"/>
  <c r="K554" i="33" s="1"/>
  <c r="N550" i="33"/>
  <c r="M501" i="33"/>
  <c r="M499" i="33"/>
  <c r="S551" i="33"/>
  <c r="T557" i="33" s="1"/>
  <c r="S496" i="33"/>
  <c r="T502" i="33" s="1"/>
  <c r="S443" i="33"/>
  <c r="T445" i="33" s="1"/>
  <c r="S349" i="33"/>
  <c r="T354" i="33" s="1"/>
  <c r="K398" i="33"/>
  <c r="K399" i="33"/>
  <c r="N391" i="33"/>
  <c r="K396" i="33"/>
  <c r="L392" i="33"/>
  <c r="M398" i="33" s="1"/>
  <c r="K395" i="33"/>
  <c r="S392" i="33"/>
  <c r="T399" i="33" s="1"/>
  <c r="M424" i="33"/>
  <c r="M420" i="33"/>
  <c r="M423" i="33"/>
  <c r="S418" i="33"/>
  <c r="T419" i="33" s="1"/>
  <c r="J418" i="33"/>
  <c r="K420" i="33" s="1"/>
  <c r="M350" i="33"/>
  <c r="K370" i="33"/>
  <c r="K373" i="33"/>
  <c r="K376" i="33"/>
  <c r="K371" i="33"/>
  <c r="L369" i="33"/>
  <c r="K375" i="33"/>
  <c r="S369" i="33"/>
  <c r="K372" i="33"/>
  <c r="N368" i="33"/>
  <c r="M272" i="33"/>
  <c r="M351" i="33"/>
  <c r="M354" i="33"/>
  <c r="M268" i="33"/>
  <c r="M352" i="33"/>
  <c r="M355" i="33"/>
  <c r="M270" i="33"/>
  <c r="N265" i="33"/>
  <c r="L265" i="33" s="1"/>
  <c r="N348" i="33"/>
  <c r="M273" i="33"/>
  <c r="J349" i="33"/>
  <c r="K354" i="33" s="1"/>
  <c r="T245" i="33"/>
  <c r="M269" i="33"/>
  <c r="M271" i="33"/>
  <c r="L240" i="33"/>
  <c r="M246" i="33" s="1"/>
  <c r="T241" i="33"/>
  <c r="S266" i="33"/>
  <c r="T268" i="33" s="1"/>
  <c r="J266" i="33"/>
  <c r="K269" i="33" s="1"/>
  <c r="T297" i="33"/>
  <c r="J296" i="33"/>
  <c r="K299" i="33" s="1"/>
  <c r="T299" i="33"/>
  <c r="X296" i="33"/>
  <c r="Y299" i="33" s="1"/>
  <c r="L296" i="33"/>
  <c r="M297" i="33" s="1"/>
  <c r="T298" i="33"/>
  <c r="T301" i="33"/>
  <c r="M216" i="33"/>
  <c r="N295" i="33"/>
  <c r="S295" i="33" s="1"/>
  <c r="X295" i="33" s="1"/>
  <c r="S209" i="33"/>
  <c r="T211" i="33" s="1"/>
  <c r="N208" i="33"/>
  <c r="S208" i="33" s="1"/>
  <c r="X208" i="33" s="1"/>
  <c r="T246" i="33"/>
  <c r="T247" i="33"/>
  <c r="X240" i="33"/>
  <c r="Y243" i="33" s="1"/>
  <c r="N239" i="33"/>
  <c r="J239" i="33" s="1"/>
  <c r="T242" i="33"/>
  <c r="T244" i="33"/>
  <c r="J240" i="33"/>
  <c r="K241" i="33" s="1"/>
  <c r="M212" i="33"/>
  <c r="J209" i="33"/>
  <c r="K214" i="33" s="1"/>
  <c r="M211" i="33"/>
  <c r="M214" i="33"/>
  <c r="M215" i="33"/>
  <c r="M213" i="33"/>
  <c r="K153" i="33"/>
  <c r="J193" i="33"/>
  <c r="K198" i="33" s="1"/>
  <c r="L193" i="33"/>
  <c r="K155" i="33"/>
  <c r="N149" i="33"/>
  <c r="S193" i="33"/>
  <c r="T197" i="33" s="1"/>
  <c r="K156" i="33"/>
  <c r="K154" i="33"/>
  <c r="K158" i="33"/>
  <c r="S150" i="33"/>
  <c r="T158" i="33" s="1"/>
  <c r="K151" i="33"/>
  <c r="L150" i="33"/>
  <c r="M158" i="33" s="1"/>
  <c r="L88" i="33"/>
  <c r="M93" i="33" s="1"/>
  <c r="K157" i="33"/>
  <c r="J116" i="33"/>
  <c r="K121" i="33" s="1"/>
  <c r="O121" i="33" s="1"/>
  <c r="M117" i="33"/>
  <c r="M120" i="33"/>
  <c r="T17" i="33"/>
  <c r="K93" i="33"/>
  <c r="N115" i="33"/>
  <c r="K90" i="33"/>
  <c r="K89" i="33"/>
  <c r="K91" i="33"/>
  <c r="S88" i="33"/>
  <c r="T94" i="33" s="1"/>
  <c r="N87" i="33"/>
  <c r="K92" i="33"/>
  <c r="M118" i="33"/>
  <c r="K623" i="33"/>
  <c r="M119" i="33"/>
  <c r="Y18" i="33"/>
  <c r="K622" i="33"/>
  <c r="T18" i="33"/>
  <c r="S116" i="33"/>
  <c r="T117" i="33" s="1"/>
  <c r="M19" i="33"/>
  <c r="T28" i="33"/>
  <c r="T27" i="33"/>
  <c r="T26" i="33"/>
  <c r="T29" i="33"/>
  <c r="J37" i="33"/>
  <c r="S37" i="33"/>
  <c r="X37" i="33" s="1"/>
  <c r="K625" i="33"/>
  <c r="K624" i="33"/>
  <c r="T22" i="33"/>
  <c r="T20" i="33"/>
  <c r="T23" i="33"/>
  <c r="T21" i="33"/>
  <c r="M17" i="33"/>
  <c r="M23" i="33"/>
  <c r="M21" i="33"/>
  <c r="M18" i="33"/>
  <c r="O18" i="33" s="1"/>
  <c r="M20" i="33"/>
  <c r="L468" i="33"/>
  <c r="M473" i="33" s="1"/>
  <c r="J468" i="33"/>
  <c r="K471" i="33" s="1"/>
  <c r="S468" i="33"/>
  <c r="T474" i="33" s="1"/>
  <c r="K670" i="33"/>
  <c r="K669" i="33"/>
  <c r="Y516" i="33"/>
  <c r="Y515" i="33"/>
  <c r="Y514" i="33"/>
  <c r="J561" i="33" l="1"/>
  <c r="L597" i="33"/>
  <c r="S620" i="33"/>
  <c r="X620" i="33" s="1"/>
  <c r="J550" i="33"/>
  <c r="S533" i="33"/>
  <c r="X533" i="33" s="1"/>
  <c r="C66" i="38"/>
  <c r="B66" i="38" s="1"/>
  <c r="J519" i="33"/>
  <c r="J495" i="33"/>
  <c r="L391" i="33"/>
  <c r="J467" i="33"/>
  <c r="J442" i="33"/>
  <c r="S417" i="33"/>
  <c r="X417" i="33" s="1"/>
  <c r="C59" i="38"/>
  <c r="B59" i="38" s="1"/>
  <c r="J348" i="33"/>
  <c r="L368" i="33"/>
  <c r="L192" i="33"/>
  <c r="L87" i="33"/>
  <c r="L115" i="33"/>
  <c r="T69" i="33"/>
  <c r="K366" i="33"/>
  <c r="O366" i="33" s="1"/>
  <c r="K365" i="33"/>
  <c r="O365" i="33" s="1"/>
  <c r="K28" i="33"/>
  <c r="O28" i="33" s="1"/>
  <c r="K386" i="33"/>
  <c r="O386" i="33" s="1"/>
  <c r="M615" i="33"/>
  <c r="O615" i="33" s="1"/>
  <c r="K385" i="33"/>
  <c r="O385" i="33" s="1"/>
  <c r="K363" i="33"/>
  <c r="O363" i="33" s="1"/>
  <c r="K384" i="33"/>
  <c r="O384" i="33" s="1"/>
  <c r="K27" i="33"/>
  <c r="K25" i="33"/>
  <c r="M618" i="33"/>
  <c r="O618" i="33" s="1"/>
  <c r="M617" i="33"/>
  <c r="O617" i="33" s="1"/>
  <c r="T34" i="33"/>
  <c r="O387" i="33"/>
  <c r="K29" i="33"/>
  <c r="M529" i="33"/>
  <c r="M613" i="33"/>
  <c r="O613" i="33" s="1"/>
  <c r="M616" i="33"/>
  <c r="O616" i="33" s="1"/>
  <c r="O614" i="33"/>
  <c r="M305" i="33"/>
  <c r="M527" i="33"/>
  <c r="K478" i="33"/>
  <c r="O478" i="33" s="1"/>
  <c r="M528" i="33"/>
  <c r="O526" i="33"/>
  <c r="T188" i="33"/>
  <c r="T111" i="33"/>
  <c r="O463" i="33"/>
  <c r="T178" i="33"/>
  <c r="K46" i="33"/>
  <c r="M306" i="33"/>
  <c r="O306" i="33" s="1"/>
  <c r="O381" i="33"/>
  <c r="T380" i="33"/>
  <c r="T381" i="33"/>
  <c r="M304" i="33"/>
  <c r="K47" i="33"/>
  <c r="O47" i="33" s="1"/>
  <c r="K49" i="33"/>
  <c r="O49" i="33" s="1"/>
  <c r="O48" i="33"/>
  <c r="T378" i="33"/>
  <c r="X377" i="33"/>
  <c r="Y379" i="33" s="1"/>
  <c r="T382" i="33"/>
  <c r="M516" i="33"/>
  <c r="T385" i="33"/>
  <c r="X383" i="33"/>
  <c r="Y385" i="33" s="1"/>
  <c r="M514" i="33"/>
  <c r="T384" i="33"/>
  <c r="M517" i="33"/>
  <c r="O517" i="33" s="1"/>
  <c r="T387" i="33"/>
  <c r="T697" i="33"/>
  <c r="M633" i="33"/>
  <c r="O633" i="33" s="1"/>
  <c r="T113" i="33"/>
  <c r="K480" i="33"/>
  <c r="O480" i="33" s="1"/>
  <c r="K481" i="33"/>
  <c r="O481" i="33" s="1"/>
  <c r="K479" i="33"/>
  <c r="O479" i="33" s="1"/>
  <c r="T700" i="33"/>
  <c r="T61" i="33"/>
  <c r="T365" i="33"/>
  <c r="X362" i="33"/>
  <c r="Y363" i="33" s="1"/>
  <c r="T427" i="33"/>
  <c r="T68" i="33"/>
  <c r="T62" i="33"/>
  <c r="T66" i="33"/>
  <c r="T63" i="33"/>
  <c r="X60" i="33"/>
  <c r="Y66" i="33" s="1"/>
  <c r="T67" i="33"/>
  <c r="X109" i="33"/>
  <c r="Y113" i="33" s="1"/>
  <c r="T65" i="33"/>
  <c r="T364" i="33"/>
  <c r="T363" i="33"/>
  <c r="O630" i="33"/>
  <c r="O336" i="33"/>
  <c r="M379" i="33"/>
  <c r="O379" i="33" s="1"/>
  <c r="T177" i="33"/>
  <c r="M632" i="33"/>
  <c r="O632" i="33" s="1"/>
  <c r="K333" i="33"/>
  <c r="O333" i="33" s="1"/>
  <c r="X695" i="33"/>
  <c r="Y696" i="33" s="1"/>
  <c r="Y609" i="33"/>
  <c r="Y100" i="33"/>
  <c r="M251" i="33"/>
  <c r="K334" i="33"/>
  <c r="O334" i="33" s="1"/>
  <c r="T699" i="33"/>
  <c r="M26" i="33"/>
  <c r="O26" i="33" s="1"/>
  <c r="M362" i="33"/>
  <c r="O329" i="33"/>
  <c r="K546" i="33"/>
  <c r="K529" i="33"/>
  <c r="M281" i="33"/>
  <c r="M631" i="33"/>
  <c r="O631" i="33" s="1"/>
  <c r="K330" i="33"/>
  <c r="O330" i="33" s="1"/>
  <c r="K331" i="33"/>
  <c r="O331" i="33" s="1"/>
  <c r="T698" i="33"/>
  <c r="K528" i="33"/>
  <c r="T174" i="33"/>
  <c r="Y611" i="33"/>
  <c r="K527" i="33"/>
  <c r="M380" i="33"/>
  <c r="O380" i="33" s="1"/>
  <c r="X173" i="33"/>
  <c r="Y175" i="33" s="1"/>
  <c r="K168" i="33"/>
  <c r="K328" i="33"/>
  <c r="O328" i="33" s="1"/>
  <c r="M253" i="33"/>
  <c r="K335" i="33"/>
  <c r="O335" i="33" s="1"/>
  <c r="M378" i="33"/>
  <c r="O378" i="33" s="1"/>
  <c r="T175" i="33"/>
  <c r="Y339" i="33"/>
  <c r="M53" i="33"/>
  <c r="O53" i="33" s="1"/>
  <c r="M382" i="33"/>
  <c r="O382" i="33" s="1"/>
  <c r="M629" i="33"/>
  <c r="O629" i="33" s="1"/>
  <c r="T525" i="33"/>
  <c r="Y526" i="33"/>
  <c r="K176" i="33"/>
  <c r="O176" i="33" s="1"/>
  <c r="T692" i="33"/>
  <c r="K178" i="33"/>
  <c r="O178" i="33" s="1"/>
  <c r="K177" i="33"/>
  <c r="O177" i="33" s="1"/>
  <c r="T190" i="33"/>
  <c r="X284" i="33"/>
  <c r="Y286" i="33" s="1"/>
  <c r="X185" i="33"/>
  <c r="Y189" i="33" s="1"/>
  <c r="K175" i="33"/>
  <c r="O175" i="33" s="1"/>
  <c r="M656" i="33"/>
  <c r="O656" i="33" s="1"/>
  <c r="M128" i="33"/>
  <c r="K276" i="33"/>
  <c r="K278" i="33"/>
  <c r="Y528" i="33"/>
  <c r="T630" i="33"/>
  <c r="K434" i="33"/>
  <c r="Y527" i="33"/>
  <c r="T629" i="33"/>
  <c r="X628" i="33"/>
  <c r="Y632" i="33" s="1"/>
  <c r="T632" i="33"/>
  <c r="K346" i="33"/>
  <c r="O346" i="33" s="1"/>
  <c r="T631" i="33"/>
  <c r="X233" i="33"/>
  <c r="Y237" i="33" s="1"/>
  <c r="T430" i="33"/>
  <c r="T112" i="33"/>
  <c r="M111" i="33"/>
  <c r="O111" i="33" s="1"/>
  <c r="M190" i="33"/>
  <c r="O190" i="33" s="1"/>
  <c r="O697" i="33"/>
  <c r="M112" i="33"/>
  <c r="M282" i="33"/>
  <c r="K609" i="33"/>
  <c r="X332" i="33"/>
  <c r="Y336" i="33" s="1"/>
  <c r="T336" i="33"/>
  <c r="T335" i="33"/>
  <c r="T334" i="33"/>
  <c r="K610" i="33"/>
  <c r="K435" i="33"/>
  <c r="K343" i="33"/>
  <c r="O343" i="33" s="1"/>
  <c r="K433" i="33"/>
  <c r="O433" i="33" s="1"/>
  <c r="T237" i="33"/>
  <c r="K344" i="33"/>
  <c r="O344" i="33" s="1"/>
  <c r="T234" i="33"/>
  <c r="M173" i="33"/>
  <c r="K377" i="33"/>
  <c r="Y660" i="33"/>
  <c r="M332" i="33"/>
  <c r="M341" i="33"/>
  <c r="M283" i="33"/>
  <c r="O283" i="33" s="1"/>
  <c r="T490" i="33"/>
  <c r="T127" i="33"/>
  <c r="M342" i="33"/>
  <c r="K339" i="33"/>
  <c r="O339" i="33" s="1"/>
  <c r="T488" i="33"/>
  <c r="K628" i="33"/>
  <c r="K341" i="33"/>
  <c r="T491" i="33"/>
  <c r="K340" i="33"/>
  <c r="M29" i="33"/>
  <c r="K611" i="33"/>
  <c r="K606" i="33"/>
  <c r="K608" i="33"/>
  <c r="O607" i="33"/>
  <c r="T285" i="33"/>
  <c r="T186" i="33"/>
  <c r="T189" i="33"/>
  <c r="T288" i="33"/>
  <c r="M658" i="33"/>
  <c r="K253" i="33"/>
  <c r="M288" i="33"/>
  <c r="O288" i="33" s="1"/>
  <c r="K251" i="33"/>
  <c r="T59" i="33"/>
  <c r="T302" i="33"/>
  <c r="T279" i="33"/>
  <c r="T287" i="33"/>
  <c r="K250" i="33"/>
  <c r="X55" i="33"/>
  <c r="Y56" i="33" s="1"/>
  <c r="K107" i="33"/>
  <c r="O51" i="33"/>
  <c r="K106" i="33"/>
  <c r="M285" i="33"/>
  <c r="O285" i="33" s="1"/>
  <c r="T56" i="33"/>
  <c r="K648" i="33"/>
  <c r="O648" i="33" s="1"/>
  <c r="K108" i="33"/>
  <c r="O108" i="33" s="1"/>
  <c r="O675" i="33"/>
  <c r="Y608" i="33"/>
  <c r="T48" i="33"/>
  <c r="M338" i="33"/>
  <c r="M27" i="33"/>
  <c r="M25" i="33"/>
  <c r="K130" i="33"/>
  <c r="O130" i="33" s="1"/>
  <c r="X487" i="33"/>
  <c r="Y488" i="33" s="1"/>
  <c r="Y98" i="33"/>
  <c r="M340" i="33"/>
  <c r="K464" i="33"/>
  <c r="O464" i="33" s="1"/>
  <c r="X45" i="33"/>
  <c r="Y48" i="33" s="1"/>
  <c r="T49" i="33"/>
  <c r="K483" i="33"/>
  <c r="K144" i="33"/>
  <c r="K484" i="33"/>
  <c r="T693" i="33"/>
  <c r="Y253" i="33"/>
  <c r="M609" i="33"/>
  <c r="M54" i="33"/>
  <c r="O54" i="33" s="1"/>
  <c r="K545" i="33"/>
  <c r="Y101" i="33"/>
  <c r="K485" i="33"/>
  <c r="O485" i="33" s="1"/>
  <c r="M162" i="33"/>
  <c r="K514" i="33"/>
  <c r="Y340" i="33"/>
  <c r="M249" i="33"/>
  <c r="O249" i="33" s="1"/>
  <c r="M250" i="33"/>
  <c r="Y606" i="33"/>
  <c r="M52" i="33"/>
  <c r="O52" i="33" s="1"/>
  <c r="Y251" i="33"/>
  <c r="K548" i="33"/>
  <c r="O548" i="33" s="1"/>
  <c r="Y97" i="33"/>
  <c r="M101" i="33"/>
  <c r="Y673" i="33"/>
  <c r="Y338" i="33"/>
  <c r="Y610" i="33"/>
  <c r="M410" i="33"/>
  <c r="O410" i="33" s="1"/>
  <c r="Y249" i="33"/>
  <c r="T46" i="33"/>
  <c r="Y96" i="33"/>
  <c r="M100" i="33"/>
  <c r="Y250" i="33"/>
  <c r="M383" i="33"/>
  <c r="K695" i="33"/>
  <c r="T343" i="33"/>
  <c r="O17" i="33"/>
  <c r="T219" i="33"/>
  <c r="K425" i="33"/>
  <c r="M452" i="33"/>
  <c r="T672" i="33"/>
  <c r="Y219" i="33"/>
  <c r="K281" i="33"/>
  <c r="K282" i="33"/>
  <c r="T649" i="33"/>
  <c r="Y280" i="33"/>
  <c r="K128" i="33"/>
  <c r="T357" i="33"/>
  <c r="K132" i="33"/>
  <c r="M453" i="33"/>
  <c r="M97" i="33"/>
  <c r="M455" i="33"/>
  <c r="O455" i="33" s="1"/>
  <c r="K280" i="33"/>
  <c r="O280" i="33" s="1"/>
  <c r="O426" i="33"/>
  <c r="K50" i="33"/>
  <c r="O286" i="33"/>
  <c r="Y304" i="33"/>
  <c r="T346" i="33"/>
  <c r="Y306" i="33"/>
  <c r="K313" i="33"/>
  <c r="O313" i="33" s="1"/>
  <c r="K136" i="33"/>
  <c r="O136" i="33" s="1"/>
  <c r="X122" i="33"/>
  <c r="Y125" i="33" s="1"/>
  <c r="T125" i="33"/>
  <c r="O315" i="33"/>
  <c r="M105" i="33"/>
  <c r="Y303" i="33"/>
  <c r="K612" i="33"/>
  <c r="T436" i="33"/>
  <c r="K101" i="33"/>
  <c r="K99" i="33"/>
  <c r="O99" i="33" s="1"/>
  <c r="K284" i="33"/>
  <c r="Y435" i="33"/>
  <c r="X425" i="33"/>
  <c r="Y429" i="33" s="1"/>
  <c r="M661" i="33"/>
  <c r="X342" i="33"/>
  <c r="Y343" i="33" s="1"/>
  <c r="Y432" i="33"/>
  <c r="M657" i="33"/>
  <c r="T57" i="33"/>
  <c r="M131" i="33"/>
  <c r="M698" i="33"/>
  <c r="O698" i="33" s="1"/>
  <c r="T714" i="33"/>
  <c r="K401" i="33"/>
  <c r="T54" i="33"/>
  <c r="K103" i="33"/>
  <c r="M287" i="33"/>
  <c r="O287" i="33" s="1"/>
  <c r="K33" i="33"/>
  <c r="O33" i="33" s="1"/>
  <c r="K314" i="33"/>
  <c r="O314" i="33" s="1"/>
  <c r="M476" i="33"/>
  <c r="M663" i="33"/>
  <c r="T481" i="33"/>
  <c r="M428" i="33"/>
  <c r="O428" i="33" s="1"/>
  <c r="K405" i="33"/>
  <c r="O405" i="33" s="1"/>
  <c r="T51" i="33"/>
  <c r="T457" i="33"/>
  <c r="X307" i="33"/>
  <c r="Y309" i="33" s="1"/>
  <c r="M664" i="33"/>
  <c r="O664" i="33" s="1"/>
  <c r="T429" i="33"/>
  <c r="M129" i="33"/>
  <c r="O129" i="33" s="1"/>
  <c r="K105" i="33"/>
  <c r="X508" i="33"/>
  <c r="Y512" i="33" s="1"/>
  <c r="K403" i="33"/>
  <c r="T53" i="33"/>
  <c r="T52" i="33"/>
  <c r="K316" i="33"/>
  <c r="O316" i="33" s="1"/>
  <c r="M430" i="33"/>
  <c r="O430" i="33" s="1"/>
  <c r="Y433" i="33"/>
  <c r="T201" i="33"/>
  <c r="T480" i="33"/>
  <c r="T428" i="33"/>
  <c r="K304" i="33"/>
  <c r="K305" i="33"/>
  <c r="M429" i="33"/>
  <c r="O429" i="33" s="1"/>
  <c r="M132" i="33"/>
  <c r="K100" i="33"/>
  <c r="K34" i="33"/>
  <c r="O34" i="33" s="1"/>
  <c r="T308" i="33"/>
  <c r="K138" i="33"/>
  <c r="O138" i="33" s="1"/>
  <c r="X476" i="33"/>
  <c r="Y477" i="33" s="1"/>
  <c r="T344" i="33"/>
  <c r="K303" i="33"/>
  <c r="O303" i="33" s="1"/>
  <c r="K252" i="33"/>
  <c r="O252" i="33" s="1"/>
  <c r="M427" i="33"/>
  <c r="O427" i="33" s="1"/>
  <c r="M187" i="33"/>
  <c r="O187" i="33" s="1"/>
  <c r="K96" i="33"/>
  <c r="T479" i="33"/>
  <c r="K277" i="33"/>
  <c r="O277" i="33" s="1"/>
  <c r="T477" i="33"/>
  <c r="K97" i="33"/>
  <c r="T309" i="33"/>
  <c r="K31" i="33"/>
  <c r="O31" i="33" s="1"/>
  <c r="M45" i="33"/>
  <c r="T248" i="33"/>
  <c r="Y614" i="33"/>
  <c r="Y131" i="33"/>
  <c r="Y129" i="33"/>
  <c r="O477" i="33"/>
  <c r="T102" i="33"/>
  <c r="Y672" i="33"/>
  <c r="K515" i="33"/>
  <c r="K662" i="33"/>
  <c r="O662" i="33" s="1"/>
  <c r="T614" i="33"/>
  <c r="T361" i="33"/>
  <c r="M98" i="33"/>
  <c r="O98" i="33" s="1"/>
  <c r="T673" i="33"/>
  <c r="T616" i="33"/>
  <c r="M437" i="33"/>
  <c r="T221" i="33"/>
  <c r="O440" i="33"/>
  <c r="K516" i="33"/>
  <c r="Y281" i="33"/>
  <c r="T360" i="33"/>
  <c r="M96" i="33"/>
  <c r="T674" i="33"/>
  <c r="K291" i="33"/>
  <c r="O291" i="33" s="1"/>
  <c r="T617" i="33"/>
  <c r="M439" i="33"/>
  <c r="Y167" i="33"/>
  <c r="X356" i="33"/>
  <c r="Y361" i="33" s="1"/>
  <c r="T331" i="33"/>
  <c r="Y220" i="33"/>
  <c r="Y283" i="33"/>
  <c r="T615" i="33"/>
  <c r="Y172" i="33"/>
  <c r="Y222" i="33"/>
  <c r="X327" i="33"/>
  <c r="Y330" i="33" s="1"/>
  <c r="T691" i="33"/>
  <c r="T694" i="33"/>
  <c r="Y617" i="33"/>
  <c r="T648" i="33"/>
  <c r="Y170" i="33"/>
  <c r="Y168" i="33"/>
  <c r="T328" i="33"/>
  <c r="T220" i="33"/>
  <c r="T218" i="33"/>
  <c r="K661" i="33"/>
  <c r="T647" i="33"/>
  <c r="T618" i="33"/>
  <c r="K131" i="33"/>
  <c r="Y128" i="33"/>
  <c r="M438" i="33"/>
  <c r="T222" i="33"/>
  <c r="T330" i="33"/>
  <c r="T228" i="33"/>
  <c r="Y675" i="33"/>
  <c r="T688" i="33"/>
  <c r="Y618" i="33"/>
  <c r="X687" i="33"/>
  <c r="Y693" i="33" s="1"/>
  <c r="Y613" i="33"/>
  <c r="K663" i="33"/>
  <c r="Y616" i="33"/>
  <c r="X645" i="33"/>
  <c r="Y646" i="33" s="1"/>
  <c r="T689" i="33"/>
  <c r="T613" i="33"/>
  <c r="Y130" i="33"/>
  <c r="K293" i="33"/>
  <c r="Y171" i="33"/>
  <c r="K292" i="33"/>
  <c r="T675" i="33"/>
  <c r="T358" i="33"/>
  <c r="Y221" i="33"/>
  <c r="T95" i="33"/>
  <c r="M186" i="33"/>
  <c r="O186" i="33" s="1"/>
  <c r="M106" i="33"/>
  <c r="T32" i="33"/>
  <c r="T710" i="33"/>
  <c r="M170" i="33"/>
  <c r="O170" i="33" s="1"/>
  <c r="M584" i="33"/>
  <c r="O584" i="33" s="1"/>
  <c r="M459" i="33"/>
  <c r="O459" i="33" s="1"/>
  <c r="M107" i="33"/>
  <c r="M104" i="33"/>
  <c r="O104" i="33" s="1"/>
  <c r="M432" i="33"/>
  <c r="O432" i="33" s="1"/>
  <c r="T713" i="33"/>
  <c r="T31" i="33"/>
  <c r="M172" i="33"/>
  <c r="K160" i="33"/>
  <c r="O364" i="33"/>
  <c r="M103" i="33"/>
  <c r="M435" i="33"/>
  <c r="K137" i="33"/>
  <c r="O137" i="33" s="1"/>
  <c r="T460" i="33"/>
  <c r="T715" i="33"/>
  <c r="M167" i="33"/>
  <c r="M168" i="33"/>
  <c r="M171" i="33"/>
  <c r="M460" i="33"/>
  <c r="O460" i="33" s="1"/>
  <c r="K135" i="33"/>
  <c r="O135" i="33" s="1"/>
  <c r="O458" i="33"/>
  <c r="M434" i="33"/>
  <c r="M700" i="33"/>
  <c r="O700" i="33" s="1"/>
  <c r="X709" i="33"/>
  <c r="Y713" i="33" s="1"/>
  <c r="O64" i="33"/>
  <c r="K181" i="33"/>
  <c r="O181" i="33" s="1"/>
  <c r="X456" i="33"/>
  <c r="Y458" i="33" s="1"/>
  <c r="M699" i="33"/>
  <c r="O699" i="33" s="1"/>
  <c r="T262" i="33"/>
  <c r="O19" i="33"/>
  <c r="T431" i="33"/>
  <c r="O235" i="33"/>
  <c r="T544" i="33"/>
  <c r="M487" i="33"/>
  <c r="T605" i="33"/>
  <c r="M60" i="33"/>
  <c r="M188" i="33"/>
  <c r="O188" i="33" s="1"/>
  <c r="T33" i="33"/>
  <c r="M696" i="33"/>
  <c r="O696" i="33" s="1"/>
  <c r="T712" i="33"/>
  <c r="T716" i="33"/>
  <c r="K308" i="33"/>
  <c r="O308" i="33" s="1"/>
  <c r="M546" i="33"/>
  <c r="T126" i="33"/>
  <c r="M457" i="33"/>
  <c r="O457" i="33" s="1"/>
  <c r="T311" i="33"/>
  <c r="T123" i="33"/>
  <c r="Y586" i="33"/>
  <c r="Y107" i="33"/>
  <c r="M608" i="33"/>
  <c r="T135" i="33"/>
  <c r="M408" i="33"/>
  <c r="O408" i="33" s="1"/>
  <c r="K203" i="33"/>
  <c r="O203" i="33" s="1"/>
  <c r="M610" i="33"/>
  <c r="T408" i="33"/>
  <c r="K73" i="33"/>
  <c r="Y108" i="33"/>
  <c r="T140" i="33"/>
  <c r="M484" i="33"/>
  <c r="M293" i="33"/>
  <c r="T413" i="33"/>
  <c r="X406" i="33"/>
  <c r="Y409" i="33" s="1"/>
  <c r="K201" i="33"/>
  <c r="O201" i="33" s="1"/>
  <c r="T584" i="33"/>
  <c r="T139" i="33"/>
  <c r="K70" i="33"/>
  <c r="M606" i="33"/>
  <c r="T415" i="33"/>
  <c r="T410" i="33"/>
  <c r="Y547" i="33"/>
  <c r="Y105" i="33"/>
  <c r="M292" i="33"/>
  <c r="K75" i="33"/>
  <c r="P98" i="32"/>
  <c r="O200" i="33"/>
  <c r="T660" i="33"/>
  <c r="O32" i="33"/>
  <c r="P137" i="32"/>
  <c r="O585" i="33"/>
  <c r="Y482" i="33"/>
  <c r="M611" i="33"/>
  <c r="T414" i="33"/>
  <c r="K230" i="33"/>
  <c r="Y545" i="33"/>
  <c r="Y548" i="33"/>
  <c r="T587" i="33"/>
  <c r="K71" i="33"/>
  <c r="Y585" i="33"/>
  <c r="K231" i="33"/>
  <c r="O231" i="33" s="1"/>
  <c r="Y103" i="33"/>
  <c r="M486" i="33"/>
  <c r="O486" i="33" s="1"/>
  <c r="K229" i="33"/>
  <c r="M290" i="33"/>
  <c r="O290" i="33" s="1"/>
  <c r="T585" i="33"/>
  <c r="K72" i="33"/>
  <c r="M327" i="33"/>
  <c r="T586" i="33"/>
  <c r="X133" i="33"/>
  <c r="Y140" i="33" s="1"/>
  <c r="T137" i="33"/>
  <c r="M483" i="33"/>
  <c r="T412" i="33"/>
  <c r="K204" i="33"/>
  <c r="O204" i="33" s="1"/>
  <c r="Y587" i="33"/>
  <c r="Y104" i="33"/>
  <c r="M407" i="33"/>
  <c r="O407" i="33" s="1"/>
  <c r="T409" i="33"/>
  <c r="K202" i="33"/>
  <c r="O202" i="33" s="1"/>
  <c r="T138" i="33"/>
  <c r="T136" i="33"/>
  <c r="M654" i="33"/>
  <c r="O654" i="33" s="1"/>
  <c r="O360" i="33"/>
  <c r="K588" i="33"/>
  <c r="T337" i="33"/>
  <c r="T513" i="33"/>
  <c r="M592" i="33"/>
  <c r="O592" i="33" s="1"/>
  <c r="K109" i="33"/>
  <c r="X179" i="33"/>
  <c r="Y183" i="33" s="1"/>
  <c r="K404" i="33"/>
  <c r="K488" i="33"/>
  <c r="O488" i="33" s="1"/>
  <c r="K512" i="33"/>
  <c r="O512" i="33" s="1"/>
  <c r="M712" i="33"/>
  <c r="O712" i="33" s="1"/>
  <c r="M714" i="33"/>
  <c r="O714" i="33" s="1"/>
  <c r="K357" i="33"/>
  <c r="O357" i="33" s="1"/>
  <c r="Y162" i="33"/>
  <c r="K509" i="33"/>
  <c r="O509" i="33" s="1"/>
  <c r="O20" i="33"/>
  <c r="K361" i="33"/>
  <c r="O361" i="33" s="1"/>
  <c r="M713" i="33"/>
  <c r="O713" i="33" s="1"/>
  <c r="M711" i="33"/>
  <c r="O711" i="33" s="1"/>
  <c r="K161" i="33"/>
  <c r="O161" i="33" s="1"/>
  <c r="Y403" i="33"/>
  <c r="T263" i="33"/>
  <c r="K183" i="33"/>
  <c r="O183" i="33" s="1"/>
  <c r="K162" i="33"/>
  <c r="K164" i="33"/>
  <c r="Y164" i="33"/>
  <c r="M545" i="33"/>
  <c r="Y160" i="33"/>
  <c r="K234" i="33"/>
  <c r="O234" i="33" s="1"/>
  <c r="L467" i="33"/>
  <c r="K180" i="33"/>
  <c r="O180" i="33" s="1"/>
  <c r="K358" i="33"/>
  <c r="O358" i="33" s="1"/>
  <c r="K310" i="33"/>
  <c r="O310" i="33" s="1"/>
  <c r="Y163" i="33"/>
  <c r="O594" i="33"/>
  <c r="K309" i="33"/>
  <c r="O309" i="33" s="1"/>
  <c r="M278" i="33"/>
  <c r="M547" i="33"/>
  <c r="O547" i="33" s="1"/>
  <c r="M710" i="33"/>
  <c r="O710" i="33" s="1"/>
  <c r="X259" i="33"/>
  <c r="Y261" i="33" s="1"/>
  <c r="S467" i="33"/>
  <c r="X467" i="33" s="1"/>
  <c r="Y404" i="33"/>
  <c r="K511" i="33"/>
  <c r="O511" i="33" s="1"/>
  <c r="K359" i="33"/>
  <c r="O359" i="33" s="1"/>
  <c r="M275" i="33"/>
  <c r="O275" i="33" s="1"/>
  <c r="M715" i="33"/>
  <c r="O715" i="33" s="1"/>
  <c r="M586" i="33"/>
  <c r="O586" i="33" s="1"/>
  <c r="T260" i="33"/>
  <c r="K165" i="33"/>
  <c r="O165" i="33" s="1"/>
  <c r="Y405" i="33"/>
  <c r="Y402" i="33"/>
  <c r="M587" i="33"/>
  <c r="O587" i="33" s="1"/>
  <c r="K237" i="33"/>
  <c r="O237" i="33" s="1"/>
  <c r="T274" i="33"/>
  <c r="P17" i="32"/>
  <c r="O646" i="33"/>
  <c r="K411" i="33"/>
  <c r="M645" i="33"/>
  <c r="K583" i="33"/>
  <c r="M30" i="33"/>
  <c r="T141" i="33"/>
  <c r="T159" i="33"/>
  <c r="O491" i="33"/>
  <c r="M589" i="33"/>
  <c r="O589" i="33" s="1"/>
  <c r="T204" i="33"/>
  <c r="T184" i="33"/>
  <c r="T465" i="33"/>
  <c r="M590" i="33"/>
  <c r="O590" i="33" s="1"/>
  <c r="T202" i="33"/>
  <c r="T182" i="33"/>
  <c r="M232" i="33"/>
  <c r="O232" i="33" s="1"/>
  <c r="T183" i="33"/>
  <c r="M229" i="33"/>
  <c r="K490" i="33"/>
  <c r="O490" i="33" s="1"/>
  <c r="T226" i="33"/>
  <c r="K406" i="33"/>
  <c r="O262" i="33"/>
  <c r="T462" i="33"/>
  <c r="T200" i="33"/>
  <c r="X461" i="33"/>
  <c r="Y462" i="33" s="1"/>
  <c r="X199" i="33"/>
  <c r="Y202" i="33" s="1"/>
  <c r="K673" i="33"/>
  <c r="O673" i="33" s="1"/>
  <c r="K674" i="33"/>
  <c r="O674" i="33" s="1"/>
  <c r="T180" i="33"/>
  <c r="O227" i="33"/>
  <c r="M569" i="33"/>
  <c r="M508" i="33"/>
  <c r="K687" i="33"/>
  <c r="O415" i="33"/>
  <c r="K185" i="33"/>
  <c r="O716" i="33"/>
  <c r="Y451" i="33"/>
  <c r="M591" i="33"/>
  <c r="O591" i="33" s="1"/>
  <c r="M230" i="33"/>
  <c r="K672" i="33"/>
  <c r="O672" i="33" s="1"/>
  <c r="M593" i="33"/>
  <c r="O593" i="33" s="1"/>
  <c r="M595" i="33"/>
  <c r="O595" i="33" s="1"/>
  <c r="K489" i="33"/>
  <c r="O489" i="33" s="1"/>
  <c r="K505" i="33"/>
  <c r="O505" i="33" s="1"/>
  <c r="O311" i="33"/>
  <c r="T463" i="33"/>
  <c r="O23" i="33"/>
  <c r="M57" i="33"/>
  <c r="Y70" i="33"/>
  <c r="M580" i="33"/>
  <c r="O580" i="33" s="1"/>
  <c r="M225" i="33"/>
  <c r="O225" i="33" s="1"/>
  <c r="M578" i="33"/>
  <c r="O578" i="33" s="1"/>
  <c r="M671" i="33"/>
  <c r="T166" i="33"/>
  <c r="O693" i="33"/>
  <c r="T482" i="33"/>
  <c r="K709" i="33"/>
  <c r="M56" i="33"/>
  <c r="O56" i="33" s="1"/>
  <c r="T580" i="33"/>
  <c r="T582" i="33"/>
  <c r="T595" i="33"/>
  <c r="T509" i="33"/>
  <c r="K572" i="33"/>
  <c r="O572" i="33" s="1"/>
  <c r="M581" i="33"/>
  <c r="O581" i="33" s="1"/>
  <c r="M58" i="33"/>
  <c r="O58" i="33" s="1"/>
  <c r="X575" i="33"/>
  <c r="Y581" i="33" s="1"/>
  <c r="K570" i="33"/>
  <c r="O570" i="33" s="1"/>
  <c r="K453" i="33"/>
  <c r="Y73" i="33"/>
  <c r="K452" i="33"/>
  <c r="M125" i="33"/>
  <c r="O125" i="33" s="1"/>
  <c r="K454" i="33"/>
  <c r="O454" i="33" s="1"/>
  <c r="M143" i="33"/>
  <c r="O218" i="33"/>
  <c r="M356" i="33"/>
  <c r="Y289" i="33"/>
  <c r="M461" i="33"/>
  <c r="T577" i="33"/>
  <c r="M413" i="33"/>
  <c r="O413" i="33" s="1"/>
  <c r="T576" i="33"/>
  <c r="Y71" i="33"/>
  <c r="M144" i="33"/>
  <c r="T581" i="33"/>
  <c r="M414" i="33"/>
  <c r="O414" i="33" s="1"/>
  <c r="K574" i="33"/>
  <c r="O574" i="33" s="1"/>
  <c r="M579" i="33"/>
  <c r="O579" i="33" s="1"/>
  <c r="Y74" i="33"/>
  <c r="M126" i="33"/>
  <c r="O126" i="33" s="1"/>
  <c r="M124" i="33"/>
  <c r="O124" i="33" s="1"/>
  <c r="T578" i="33"/>
  <c r="Y75" i="33"/>
  <c r="M412" i="33"/>
  <c r="O412" i="33" s="1"/>
  <c r="K571" i="33"/>
  <c r="O571" i="33" s="1"/>
  <c r="T572" i="33"/>
  <c r="M576" i="33"/>
  <c r="O576" i="33" s="1"/>
  <c r="M582" i="33"/>
  <c r="O582" i="33" s="1"/>
  <c r="M226" i="33"/>
  <c r="O226" i="33" s="1"/>
  <c r="Y229" i="33"/>
  <c r="T589" i="33"/>
  <c r="T592" i="33"/>
  <c r="K647" i="33"/>
  <c r="O647" i="33" s="1"/>
  <c r="Y79" i="33"/>
  <c r="X588" i="33"/>
  <c r="Y594" i="33" s="1"/>
  <c r="T593" i="33"/>
  <c r="Y231" i="33"/>
  <c r="Y77" i="33"/>
  <c r="K261" i="33"/>
  <c r="O261" i="33" s="1"/>
  <c r="M691" i="33"/>
  <c r="O691" i="33" s="1"/>
  <c r="M42" i="33"/>
  <c r="T591" i="33"/>
  <c r="T510" i="33"/>
  <c r="Y80" i="33"/>
  <c r="M689" i="33"/>
  <c r="O689" i="33" s="1"/>
  <c r="T590" i="33"/>
  <c r="M688" i="33"/>
  <c r="O688" i="33" s="1"/>
  <c r="M690" i="33"/>
  <c r="O690" i="33" s="1"/>
  <c r="T512" i="33"/>
  <c r="O21" i="33"/>
  <c r="K260" i="33"/>
  <c r="O260" i="33" s="1"/>
  <c r="K263" i="33"/>
  <c r="O263" i="33" s="1"/>
  <c r="M692" i="33"/>
  <c r="O692" i="33" s="1"/>
  <c r="Y82" i="33"/>
  <c r="M80" i="33"/>
  <c r="Y78" i="33"/>
  <c r="M694" i="33"/>
  <c r="O694" i="33" s="1"/>
  <c r="Y230" i="33"/>
  <c r="Y81" i="33"/>
  <c r="K649" i="33"/>
  <c r="O649" i="33" s="1"/>
  <c r="Y143" i="33"/>
  <c r="Y145" i="33"/>
  <c r="Y142" i="33"/>
  <c r="M133" i="33"/>
  <c r="P127" i="32"/>
  <c r="O123" i="33"/>
  <c r="Y503" i="33"/>
  <c r="T451" i="33"/>
  <c r="M259" i="33"/>
  <c r="K223" i="33"/>
  <c r="O139" i="33"/>
  <c r="T458" i="33"/>
  <c r="K140" i="33"/>
  <c r="O140" i="33" s="1"/>
  <c r="K134" i="33"/>
  <c r="O134" i="33" s="1"/>
  <c r="O182" i="33"/>
  <c r="M220" i="33"/>
  <c r="O220" i="33" s="1"/>
  <c r="M276" i="33"/>
  <c r="M224" i="33"/>
  <c r="O224" i="33" s="1"/>
  <c r="Y165" i="33"/>
  <c r="K184" i="33"/>
  <c r="M145" i="33"/>
  <c r="O145" i="33" s="1"/>
  <c r="M199" i="33"/>
  <c r="K575" i="33"/>
  <c r="K462" i="33"/>
  <c r="O462" i="33" s="1"/>
  <c r="M70" i="33"/>
  <c r="M72" i="33"/>
  <c r="K172" i="33"/>
  <c r="J192" i="33"/>
  <c r="K65" i="33"/>
  <c r="O65" i="33" s="1"/>
  <c r="K67" i="33"/>
  <c r="O67" i="33" s="1"/>
  <c r="M160" i="33"/>
  <c r="M163" i="33"/>
  <c r="O163" i="33" s="1"/>
  <c r="J319" i="33"/>
  <c r="K326" i="33" s="1"/>
  <c r="P3" i="32"/>
  <c r="M75" i="33"/>
  <c r="S192" i="33"/>
  <c r="X192" i="33" s="1"/>
  <c r="K438" i="33"/>
  <c r="M164" i="33"/>
  <c r="N318" i="33"/>
  <c r="M506" i="33"/>
  <c r="K169" i="33"/>
  <c r="O169" i="33" s="1"/>
  <c r="M219" i="33"/>
  <c r="O219" i="33" s="1"/>
  <c r="S319" i="33"/>
  <c r="T320" i="33" s="1"/>
  <c r="K167" i="33"/>
  <c r="K62" i="33"/>
  <c r="O62" i="33" s="1"/>
  <c r="M326" i="33"/>
  <c r="M507" i="33"/>
  <c r="O507" i="33" s="1"/>
  <c r="M325" i="33"/>
  <c r="M71" i="33"/>
  <c r="K80" i="33"/>
  <c r="K439" i="33"/>
  <c r="K63" i="33"/>
  <c r="O63" i="33" s="1"/>
  <c r="K142" i="33"/>
  <c r="O142" i="33" s="1"/>
  <c r="P107" i="32"/>
  <c r="K465" i="33"/>
  <c r="O465" i="33" s="1"/>
  <c r="M73" i="33"/>
  <c r="K437" i="33"/>
  <c r="K66" i="33"/>
  <c r="O66" i="33" s="1"/>
  <c r="K61" i="33"/>
  <c r="O61" i="33" s="1"/>
  <c r="K122" i="33"/>
  <c r="M320" i="33"/>
  <c r="M321" i="33"/>
  <c r="M504" i="33"/>
  <c r="K171" i="33"/>
  <c r="K143" i="33"/>
  <c r="K81" i="33"/>
  <c r="M322" i="33"/>
  <c r="M324" i="33"/>
  <c r="K16" i="33"/>
  <c r="T12" i="33"/>
  <c r="T400" i="33"/>
  <c r="K217" i="33"/>
  <c r="T289" i="33"/>
  <c r="M179" i="33"/>
  <c r="M255" i="33"/>
  <c r="O255" i="33" s="1"/>
  <c r="T625" i="33"/>
  <c r="M82" i="33"/>
  <c r="M81" i="33"/>
  <c r="M258" i="33"/>
  <c r="O258" i="33" s="1"/>
  <c r="M77" i="33"/>
  <c r="T257" i="33"/>
  <c r="T573" i="33"/>
  <c r="M83" i="33"/>
  <c r="M79" i="33"/>
  <c r="O79" i="33" s="1"/>
  <c r="M40" i="33"/>
  <c r="T571" i="33"/>
  <c r="T255" i="33"/>
  <c r="T256" i="33"/>
  <c r="K55" i="33"/>
  <c r="M256" i="33"/>
  <c r="O256" i="33" s="1"/>
  <c r="M39" i="33"/>
  <c r="M44" i="33"/>
  <c r="T570" i="33"/>
  <c r="X569" i="33"/>
  <c r="Y571" i="33" s="1"/>
  <c r="M41" i="33"/>
  <c r="M38" i="33"/>
  <c r="X254" i="33"/>
  <c r="Y255" i="33" s="1"/>
  <c r="P77" i="32"/>
  <c r="P29" i="32"/>
  <c r="P113" i="32"/>
  <c r="T76" i="33"/>
  <c r="Y655" i="33"/>
  <c r="T503" i="33"/>
  <c r="M651" i="33"/>
  <c r="O651" i="33" s="1"/>
  <c r="Y278" i="33"/>
  <c r="K504" i="33"/>
  <c r="X312" i="33"/>
  <c r="Y313" i="33" s="1"/>
  <c r="M403" i="33"/>
  <c r="Y277" i="33"/>
  <c r="T314" i="33"/>
  <c r="M404" i="33"/>
  <c r="Y275" i="33"/>
  <c r="T227" i="33"/>
  <c r="T224" i="33"/>
  <c r="X223" i="33"/>
  <c r="Y225" i="33" s="1"/>
  <c r="T313" i="33"/>
  <c r="T315" i="33"/>
  <c r="K506" i="33"/>
  <c r="M307" i="33"/>
  <c r="O257" i="33"/>
  <c r="M13" i="33"/>
  <c r="P40" i="32"/>
  <c r="O510" i="33"/>
  <c r="O652" i="33"/>
  <c r="Y439" i="33"/>
  <c r="T653" i="33"/>
  <c r="M401" i="33"/>
  <c r="M222" i="33"/>
  <c r="O222" i="33" s="1"/>
  <c r="K82" i="33"/>
  <c r="T654" i="33"/>
  <c r="M653" i="33"/>
  <c r="O653" i="33" s="1"/>
  <c r="M221" i="33"/>
  <c r="O221" i="33" s="1"/>
  <c r="M15" i="33"/>
  <c r="K77" i="33"/>
  <c r="K83" i="33"/>
  <c r="T651" i="33"/>
  <c r="X650" i="33"/>
  <c r="Y654" i="33" s="1"/>
  <c r="K68" i="33"/>
  <c r="O68" i="33" s="1"/>
  <c r="K78" i="33"/>
  <c r="O78" i="33" s="1"/>
  <c r="M402" i="33"/>
  <c r="O402" i="33" s="1"/>
  <c r="T13" i="33"/>
  <c r="T11" i="33"/>
  <c r="T655" i="33"/>
  <c r="M312" i="33"/>
  <c r="K456" i="33"/>
  <c r="Y438" i="33"/>
  <c r="K254" i="33"/>
  <c r="K14" i="33"/>
  <c r="K15" i="33"/>
  <c r="K12" i="33"/>
  <c r="K13" i="33"/>
  <c r="K11" i="33"/>
  <c r="O11" i="33" s="1"/>
  <c r="K10" i="33"/>
  <c r="K659" i="33"/>
  <c r="O659" i="33" s="1"/>
  <c r="M10" i="33"/>
  <c r="M12" i="33"/>
  <c r="M14" i="33"/>
  <c r="K658" i="33"/>
  <c r="S8" i="33"/>
  <c r="X8" i="33" s="1"/>
  <c r="L8" i="33"/>
  <c r="J8" i="33"/>
  <c r="K657" i="33"/>
  <c r="Y437" i="33"/>
  <c r="X9" i="33"/>
  <c r="Y13" i="33" s="1"/>
  <c r="T10" i="33"/>
  <c r="T14" i="33"/>
  <c r="K650" i="33"/>
  <c r="S36" i="33"/>
  <c r="X36" i="33" s="1"/>
  <c r="N6" i="33"/>
  <c r="S6" i="33" s="1"/>
  <c r="X6" i="33" s="1"/>
  <c r="T622" i="33"/>
  <c r="J620" i="33"/>
  <c r="L620" i="33"/>
  <c r="T623" i="33"/>
  <c r="X621" i="33"/>
  <c r="Y627" i="33" s="1"/>
  <c r="T624" i="33"/>
  <c r="O189" i="33"/>
  <c r="T626" i="33"/>
  <c r="X638" i="33"/>
  <c r="Y643" i="33" s="1"/>
  <c r="M627" i="33"/>
  <c r="O627" i="33" s="1"/>
  <c r="M624" i="33"/>
  <c r="O624" i="33" s="1"/>
  <c r="M623" i="33"/>
  <c r="O623" i="33" s="1"/>
  <c r="M622" i="33"/>
  <c r="O622" i="33" s="1"/>
  <c r="M625" i="33"/>
  <c r="O625" i="33" s="1"/>
  <c r="M626" i="33"/>
  <c r="O626" i="33" s="1"/>
  <c r="K621" i="33"/>
  <c r="T537" i="33"/>
  <c r="T542" i="33"/>
  <c r="T543" i="33"/>
  <c r="T541" i="33"/>
  <c r="K541" i="33"/>
  <c r="O541" i="33" s="1"/>
  <c r="K542" i="33"/>
  <c r="O542" i="33" s="1"/>
  <c r="T375" i="33"/>
  <c r="M370" i="33"/>
  <c r="O370" i="33" s="1"/>
  <c r="T644" i="33"/>
  <c r="O554" i="33"/>
  <c r="T643" i="33"/>
  <c r="T641" i="33"/>
  <c r="T642" i="33"/>
  <c r="T640" i="33"/>
  <c r="J149" i="33"/>
  <c r="N147" i="33"/>
  <c r="T355" i="33"/>
  <c r="O644" i="33"/>
  <c r="K682" i="33"/>
  <c r="O682" i="33" s="1"/>
  <c r="K686" i="33"/>
  <c r="O686" i="33" s="1"/>
  <c r="S702" i="33"/>
  <c r="X702" i="33" s="1"/>
  <c r="S550" i="33"/>
  <c r="X550" i="33" s="1"/>
  <c r="M641" i="33"/>
  <c r="O641" i="33" s="1"/>
  <c r="K703" i="33"/>
  <c r="N677" i="33"/>
  <c r="S677" i="33" s="1"/>
  <c r="X677" i="33" s="1"/>
  <c r="L550" i="33"/>
  <c r="J702" i="33"/>
  <c r="X680" i="33"/>
  <c r="Y683" i="33" s="1"/>
  <c r="M670" i="33"/>
  <c r="O670" i="33" s="1"/>
  <c r="M640" i="33"/>
  <c r="O640" i="33" s="1"/>
  <c r="M642" i="33"/>
  <c r="O642" i="33" s="1"/>
  <c r="M639" i="33"/>
  <c r="O639" i="33" s="1"/>
  <c r="M643" i="33"/>
  <c r="O643" i="33" s="1"/>
  <c r="O707" i="33"/>
  <c r="M680" i="33"/>
  <c r="T683" i="33"/>
  <c r="T685" i="33"/>
  <c r="O685" i="33"/>
  <c r="K638" i="33"/>
  <c r="K681" i="33"/>
  <c r="O681" i="33" s="1"/>
  <c r="T706" i="33"/>
  <c r="K684" i="33"/>
  <c r="O684" i="33" s="1"/>
  <c r="T708" i="33"/>
  <c r="X703" i="33"/>
  <c r="Y708" i="33" s="1"/>
  <c r="K683" i="33"/>
  <c r="O683" i="33" s="1"/>
  <c r="L666" i="33"/>
  <c r="J666" i="33"/>
  <c r="T705" i="33"/>
  <c r="T704" i="33"/>
  <c r="S679" i="33"/>
  <c r="X679" i="33" s="1"/>
  <c r="T684" i="33"/>
  <c r="T681" i="33"/>
  <c r="M669" i="33"/>
  <c r="J679" i="33"/>
  <c r="T682" i="33"/>
  <c r="K601" i="33"/>
  <c r="O601" i="33" s="1"/>
  <c r="N635" i="33"/>
  <c r="L635" i="33" s="1"/>
  <c r="X598" i="33"/>
  <c r="Y600" i="33" s="1"/>
  <c r="J597" i="33"/>
  <c r="J637" i="33"/>
  <c r="S637" i="33"/>
  <c r="X637" i="33" s="1"/>
  <c r="O566" i="33"/>
  <c r="M706" i="33"/>
  <c r="O706" i="33" s="1"/>
  <c r="M704" i="33"/>
  <c r="O704" i="33" s="1"/>
  <c r="T669" i="33"/>
  <c r="M708" i="33"/>
  <c r="O708" i="33" s="1"/>
  <c r="T668" i="33"/>
  <c r="M705" i="33"/>
  <c r="O705" i="33" s="1"/>
  <c r="X667" i="33"/>
  <c r="Y668" i="33" s="1"/>
  <c r="O521" i="33"/>
  <c r="N559" i="33"/>
  <c r="L561" i="33"/>
  <c r="T352" i="33"/>
  <c r="M565" i="33"/>
  <c r="O565" i="33" s="1"/>
  <c r="K562" i="33"/>
  <c r="Y523" i="33"/>
  <c r="Y567" i="33"/>
  <c r="M563" i="33"/>
  <c r="O563" i="33" s="1"/>
  <c r="S561" i="33"/>
  <c r="X561" i="33" s="1"/>
  <c r="X349" i="33"/>
  <c r="Y350" i="33" s="1"/>
  <c r="M567" i="33"/>
  <c r="O567" i="33" s="1"/>
  <c r="Y566" i="33"/>
  <c r="X551" i="33"/>
  <c r="Y553" i="33" s="1"/>
  <c r="T567" i="33"/>
  <c r="Y563" i="33"/>
  <c r="T353" i="33"/>
  <c r="T565" i="33"/>
  <c r="M568" i="33"/>
  <c r="O568" i="33" s="1"/>
  <c r="M564" i="33"/>
  <c r="O564" i="33" s="1"/>
  <c r="Y564" i="33"/>
  <c r="Y565" i="33"/>
  <c r="T564" i="33"/>
  <c r="M551" i="33"/>
  <c r="M550" i="33" s="1"/>
  <c r="M598" i="33"/>
  <c r="K538" i="33"/>
  <c r="O538" i="33" s="1"/>
  <c r="K537" i="33"/>
  <c r="O537" i="33" s="1"/>
  <c r="N493" i="33"/>
  <c r="T538" i="33"/>
  <c r="T536" i="33"/>
  <c r="M522" i="33"/>
  <c r="T539" i="33"/>
  <c r="T535" i="33"/>
  <c r="K536" i="33"/>
  <c r="O536" i="33" s="1"/>
  <c r="S495" i="33"/>
  <c r="X495" i="33" s="1"/>
  <c r="K500" i="33"/>
  <c r="O500" i="33" s="1"/>
  <c r="M524" i="33"/>
  <c r="K543" i="33"/>
  <c r="O543" i="33" s="1"/>
  <c r="K540" i="33"/>
  <c r="O540" i="33" s="1"/>
  <c r="K535" i="33"/>
  <c r="L495" i="33"/>
  <c r="S442" i="33"/>
  <c r="X442" i="33" s="1"/>
  <c r="K497" i="33"/>
  <c r="O497" i="33" s="1"/>
  <c r="L442" i="33"/>
  <c r="K502" i="33"/>
  <c r="O502" i="33" s="1"/>
  <c r="X496" i="33"/>
  <c r="Y498" i="33" s="1"/>
  <c r="T563" i="33"/>
  <c r="T568" i="33"/>
  <c r="M523" i="33"/>
  <c r="T555" i="33"/>
  <c r="T540" i="33"/>
  <c r="X534" i="33"/>
  <c r="K539" i="33"/>
  <c r="O539" i="33" s="1"/>
  <c r="K501" i="33"/>
  <c r="O501" i="33" s="1"/>
  <c r="K499" i="33"/>
  <c r="O499" i="33" s="1"/>
  <c r="T499" i="33"/>
  <c r="K422" i="33"/>
  <c r="O422" i="33" s="1"/>
  <c r="T566" i="33"/>
  <c r="O599" i="33"/>
  <c r="T604" i="33"/>
  <c r="S597" i="33"/>
  <c r="X597" i="33" s="1"/>
  <c r="M450" i="33"/>
  <c r="O450" i="33" s="1"/>
  <c r="T602" i="33"/>
  <c r="K600" i="33"/>
  <c r="O600" i="33" s="1"/>
  <c r="K602" i="33"/>
  <c r="O602" i="33" s="1"/>
  <c r="K604" i="33"/>
  <c r="O604" i="33" s="1"/>
  <c r="T600" i="33"/>
  <c r="K522" i="33"/>
  <c r="T599" i="33"/>
  <c r="K603" i="33"/>
  <c r="O603" i="33" s="1"/>
  <c r="T603" i="33"/>
  <c r="K523" i="33"/>
  <c r="M444" i="33"/>
  <c r="O444" i="33" s="1"/>
  <c r="K524" i="33"/>
  <c r="M447" i="33"/>
  <c r="O447" i="33" s="1"/>
  <c r="M448" i="33"/>
  <c r="O448" i="33" s="1"/>
  <c r="M449" i="33"/>
  <c r="O449" i="33" s="1"/>
  <c r="M445" i="33"/>
  <c r="O445" i="33" s="1"/>
  <c r="O446" i="33"/>
  <c r="T520" i="33"/>
  <c r="Y522" i="33"/>
  <c r="L519" i="33"/>
  <c r="K443" i="33"/>
  <c r="T556" i="33"/>
  <c r="T554" i="33"/>
  <c r="T553" i="33"/>
  <c r="K552" i="33"/>
  <c r="O552" i="33" s="1"/>
  <c r="T351" i="33"/>
  <c r="T350" i="33"/>
  <c r="M496" i="33"/>
  <c r="M534" i="33"/>
  <c r="T552" i="33"/>
  <c r="K555" i="33"/>
  <c r="O555" i="33" s="1"/>
  <c r="Y524" i="33"/>
  <c r="K557" i="33"/>
  <c r="O557" i="33" s="1"/>
  <c r="K553" i="33"/>
  <c r="O553" i="33" s="1"/>
  <c r="K556" i="33"/>
  <c r="O556" i="33" s="1"/>
  <c r="S519" i="33"/>
  <c r="X519" i="33" s="1"/>
  <c r="K421" i="33"/>
  <c r="O421" i="33" s="1"/>
  <c r="O420" i="33"/>
  <c r="O398" i="33"/>
  <c r="L417" i="33"/>
  <c r="L533" i="33"/>
  <c r="J533" i="33"/>
  <c r="T446" i="33"/>
  <c r="T444" i="33"/>
  <c r="N531" i="33"/>
  <c r="J417" i="33"/>
  <c r="T397" i="33"/>
  <c r="T447" i="33"/>
  <c r="T501" i="33"/>
  <c r="T498" i="33"/>
  <c r="T500" i="33"/>
  <c r="T497" i="33"/>
  <c r="X443" i="33"/>
  <c r="Y446" i="33" s="1"/>
  <c r="M396" i="33"/>
  <c r="O396" i="33" s="1"/>
  <c r="T450" i="33"/>
  <c r="T449" i="33"/>
  <c r="T448" i="33"/>
  <c r="K424" i="33"/>
  <c r="O424" i="33" s="1"/>
  <c r="K423" i="33"/>
  <c r="O423" i="33" s="1"/>
  <c r="M374" i="33"/>
  <c r="O374" i="33" s="1"/>
  <c r="M372" i="33"/>
  <c r="O372" i="33" s="1"/>
  <c r="M373" i="33"/>
  <c r="O373" i="33" s="1"/>
  <c r="M395" i="33"/>
  <c r="O395" i="33" s="1"/>
  <c r="M397" i="33"/>
  <c r="O397" i="33" s="1"/>
  <c r="M394" i="33"/>
  <c r="O394" i="33" s="1"/>
  <c r="M393" i="33"/>
  <c r="O393" i="33" s="1"/>
  <c r="M399" i="33"/>
  <c r="O399" i="33" s="1"/>
  <c r="M418" i="33"/>
  <c r="K392" i="33"/>
  <c r="S391" i="33"/>
  <c r="X391" i="33" s="1"/>
  <c r="T396" i="33"/>
  <c r="T420" i="33"/>
  <c r="T393" i="33"/>
  <c r="J391" i="33"/>
  <c r="N389" i="33"/>
  <c r="T394" i="33"/>
  <c r="T398" i="33"/>
  <c r="T421" i="33"/>
  <c r="X418" i="33"/>
  <c r="Y420" i="33" s="1"/>
  <c r="T422" i="33"/>
  <c r="T395" i="33"/>
  <c r="T423" i="33"/>
  <c r="T424" i="33"/>
  <c r="T372" i="33"/>
  <c r="X392" i="33"/>
  <c r="Y397" i="33" s="1"/>
  <c r="K419" i="33"/>
  <c r="O419" i="33" s="1"/>
  <c r="K351" i="33"/>
  <c r="O351" i="33" s="1"/>
  <c r="K271" i="33"/>
  <c r="O271" i="33" s="1"/>
  <c r="O354" i="33"/>
  <c r="M371" i="33"/>
  <c r="O371" i="33" s="1"/>
  <c r="M376" i="33"/>
  <c r="O376" i="33" s="1"/>
  <c r="M375" i="33"/>
  <c r="O375" i="33" s="1"/>
  <c r="M349" i="33"/>
  <c r="K369" i="33"/>
  <c r="T269" i="33"/>
  <c r="T371" i="33"/>
  <c r="T373" i="33"/>
  <c r="X369" i="33"/>
  <c r="T376" i="33"/>
  <c r="T370" i="33"/>
  <c r="T374" i="33"/>
  <c r="S368" i="33"/>
  <c r="X368" i="33" s="1"/>
  <c r="J368" i="33"/>
  <c r="J265" i="33"/>
  <c r="M245" i="33"/>
  <c r="M266" i="33"/>
  <c r="M243" i="33"/>
  <c r="K350" i="33"/>
  <c r="K355" i="33"/>
  <c r="O355" i="33" s="1"/>
  <c r="S265" i="33"/>
  <c r="X265" i="33" s="1"/>
  <c r="M244" i="33"/>
  <c r="T272" i="33"/>
  <c r="K270" i="33"/>
  <c r="O270" i="33" s="1"/>
  <c r="M247" i="33"/>
  <c r="M242" i="33"/>
  <c r="M241" i="33"/>
  <c r="O241" i="33" s="1"/>
  <c r="L348" i="33"/>
  <c r="K273" i="33"/>
  <c r="O273" i="33" s="1"/>
  <c r="K267" i="33"/>
  <c r="O267" i="33" s="1"/>
  <c r="K268" i="33"/>
  <c r="O268" i="33" s="1"/>
  <c r="S348" i="33"/>
  <c r="X348" i="33" s="1"/>
  <c r="K272" i="33"/>
  <c r="O272" i="33" s="1"/>
  <c r="T270" i="33"/>
  <c r="T214" i="33"/>
  <c r="K353" i="33"/>
  <c r="O353" i="33" s="1"/>
  <c r="T271" i="33"/>
  <c r="K352" i="33"/>
  <c r="O352" i="33" s="1"/>
  <c r="M300" i="33"/>
  <c r="L295" i="33"/>
  <c r="M301" i="33"/>
  <c r="M299" i="33"/>
  <c r="O299" i="33" s="1"/>
  <c r="K300" i="33"/>
  <c r="J295" i="33"/>
  <c r="K301" i="33"/>
  <c r="M298" i="33"/>
  <c r="K298" i="33"/>
  <c r="K297" i="33"/>
  <c r="O297" i="33" s="1"/>
  <c r="O269" i="33"/>
  <c r="Y245" i="33"/>
  <c r="T267" i="33"/>
  <c r="K212" i="33"/>
  <c r="O212" i="33" s="1"/>
  <c r="T210" i="33"/>
  <c r="X266" i="33"/>
  <c r="Y267" i="33" s="1"/>
  <c r="T273" i="33"/>
  <c r="T215" i="33"/>
  <c r="T212" i="33"/>
  <c r="Y298" i="33"/>
  <c r="Y300" i="33"/>
  <c r="T216" i="33"/>
  <c r="T296" i="33"/>
  <c r="X209" i="33"/>
  <c r="Y215" i="33" s="1"/>
  <c r="T213" i="33"/>
  <c r="Y297" i="33"/>
  <c r="Y301" i="33"/>
  <c r="L208" i="33"/>
  <c r="J208" i="33"/>
  <c r="K244" i="33"/>
  <c r="K242" i="33"/>
  <c r="L239" i="33"/>
  <c r="K243" i="33"/>
  <c r="K245" i="33"/>
  <c r="S239" i="33"/>
  <c r="X239" i="33" s="1"/>
  <c r="K246" i="33"/>
  <c r="O246" i="33" s="1"/>
  <c r="K247" i="33"/>
  <c r="T240" i="33"/>
  <c r="Y241" i="33"/>
  <c r="Y242" i="33"/>
  <c r="Y247" i="33"/>
  <c r="Y244" i="33"/>
  <c r="K213" i="33"/>
  <c r="O213" i="33" s="1"/>
  <c r="K211" i="33"/>
  <c r="O211" i="33" s="1"/>
  <c r="K215" i="33"/>
  <c r="Y246" i="33"/>
  <c r="K216" i="33"/>
  <c r="O216" i="33" s="1"/>
  <c r="K210" i="33"/>
  <c r="O210" i="33" s="1"/>
  <c r="O214" i="33"/>
  <c r="S149" i="33"/>
  <c r="X149" i="33" s="1"/>
  <c r="L149" i="33"/>
  <c r="M209" i="33"/>
  <c r="M152" i="33"/>
  <c r="O152" i="33" s="1"/>
  <c r="T195" i="33"/>
  <c r="K196" i="33"/>
  <c r="X193" i="33"/>
  <c r="Y198" i="33" s="1"/>
  <c r="K194" i="33"/>
  <c r="K197" i="33"/>
  <c r="K195" i="33"/>
  <c r="M195" i="33"/>
  <c r="M197" i="33"/>
  <c r="M196" i="33"/>
  <c r="T198" i="33"/>
  <c r="T196" i="33"/>
  <c r="M194" i="33"/>
  <c r="T194" i="33"/>
  <c r="M198" i="33"/>
  <c r="O198" i="33" s="1"/>
  <c r="O158" i="33"/>
  <c r="M153" i="33"/>
  <c r="O153" i="33" s="1"/>
  <c r="M156" i="33"/>
  <c r="O156" i="33" s="1"/>
  <c r="M151" i="33"/>
  <c r="O151" i="33" s="1"/>
  <c r="K119" i="33"/>
  <c r="O119" i="33" s="1"/>
  <c r="K117" i="33"/>
  <c r="O117" i="33" s="1"/>
  <c r="K118" i="33"/>
  <c r="O118" i="33" s="1"/>
  <c r="T151" i="33"/>
  <c r="T153" i="33"/>
  <c r="T156" i="33"/>
  <c r="T154" i="33"/>
  <c r="M92" i="33"/>
  <c r="M90" i="33"/>
  <c r="O90" i="33" s="1"/>
  <c r="O93" i="33"/>
  <c r="M94" i="33"/>
  <c r="O94" i="33" s="1"/>
  <c r="M155" i="33"/>
  <c r="O155" i="33" s="1"/>
  <c r="M157" i="33"/>
  <c r="O157" i="33" s="1"/>
  <c r="T155" i="33"/>
  <c r="X150" i="33"/>
  <c r="Y154" i="33" s="1"/>
  <c r="T152" i="33"/>
  <c r="M89" i="33"/>
  <c r="O89" i="33" s="1"/>
  <c r="K120" i="33"/>
  <c r="K150" i="33"/>
  <c r="M154" i="33"/>
  <c r="O154" i="33" s="1"/>
  <c r="T157" i="33"/>
  <c r="M91" i="33"/>
  <c r="O91" i="33" s="1"/>
  <c r="Y20" i="33"/>
  <c r="S115" i="33"/>
  <c r="X115" i="33" s="1"/>
  <c r="J115" i="33"/>
  <c r="T119" i="33"/>
  <c r="T121" i="33"/>
  <c r="N85" i="33"/>
  <c r="M116" i="33"/>
  <c r="T93" i="33"/>
  <c r="X88" i="33"/>
  <c r="Y94" i="33" s="1"/>
  <c r="T90" i="33"/>
  <c r="T91" i="33"/>
  <c r="K88" i="33"/>
  <c r="Y21" i="33"/>
  <c r="Y22" i="33"/>
  <c r="Y17" i="33"/>
  <c r="J87" i="33"/>
  <c r="S87" i="33"/>
  <c r="X87" i="33" s="1"/>
  <c r="Y19" i="33"/>
  <c r="Y23" i="33"/>
  <c r="O74" i="33"/>
  <c r="T118" i="33"/>
  <c r="T92" i="33"/>
  <c r="T89" i="33"/>
  <c r="X116" i="33"/>
  <c r="Y117" i="33" s="1"/>
  <c r="T120" i="33"/>
  <c r="J36" i="33"/>
  <c r="T38" i="33"/>
  <c r="T39" i="33"/>
  <c r="T24" i="33"/>
  <c r="T16" i="33"/>
  <c r="Y43" i="33"/>
  <c r="Y41" i="33"/>
  <c r="Y44" i="33"/>
  <c r="Y38" i="33"/>
  <c r="Y42" i="33"/>
  <c r="Y27" i="33"/>
  <c r="T40" i="33"/>
  <c r="T41" i="33"/>
  <c r="T44" i="33"/>
  <c r="Y25" i="33"/>
  <c r="T42" i="33"/>
  <c r="T43" i="33"/>
  <c r="M16" i="33"/>
  <c r="Y29" i="33"/>
  <c r="Y28" i="33"/>
  <c r="K43" i="33"/>
  <c r="O43" i="33" s="1"/>
  <c r="K39" i="33"/>
  <c r="K41" i="33"/>
  <c r="K38" i="33"/>
  <c r="K44" i="33"/>
  <c r="K42" i="33"/>
  <c r="K40" i="33"/>
  <c r="Y51" i="33"/>
  <c r="Y52" i="33"/>
  <c r="Y54" i="33"/>
  <c r="K469" i="33"/>
  <c r="X468" i="33"/>
  <c r="Y475" i="33" s="1"/>
  <c r="Y39" i="33"/>
  <c r="Y40" i="33"/>
  <c r="K473" i="33"/>
  <c r="O473" i="33" s="1"/>
  <c r="M475" i="33"/>
  <c r="T473" i="33"/>
  <c r="Y31" i="33"/>
  <c r="M471" i="33"/>
  <c r="O471" i="33" s="1"/>
  <c r="T475" i="33"/>
  <c r="Y33" i="33"/>
  <c r="M472" i="33"/>
  <c r="K475" i="33"/>
  <c r="Y34" i="33"/>
  <c r="T471" i="33"/>
  <c r="M470" i="33"/>
  <c r="M474" i="33"/>
  <c r="K470" i="33"/>
  <c r="K472" i="33"/>
  <c r="T470" i="33"/>
  <c r="T472" i="33"/>
  <c r="T469" i="33"/>
  <c r="K474" i="33"/>
  <c r="M469" i="33"/>
  <c r="Y414" i="33"/>
  <c r="Y412" i="33"/>
  <c r="Y413" i="33"/>
  <c r="Y415" i="33"/>
  <c r="K667" i="33"/>
  <c r="Y513" i="33"/>
  <c r="O10" i="33" l="1"/>
  <c r="L318" i="33"/>
  <c r="S493" i="33"/>
  <c r="X493" i="33" s="1"/>
  <c r="L531" i="33"/>
  <c r="S147" i="33"/>
  <c r="X147" i="33" s="1"/>
  <c r="L559" i="33"/>
  <c r="L389" i="33"/>
  <c r="J85" i="33"/>
  <c r="M69" i="33"/>
  <c r="Y69" i="33"/>
  <c r="K69" i="33"/>
  <c r="K362" i="33"/>
  <c r="O25" i="33"/>
  <c r="O27" i="33"/>
  <c r="K383" i="33"/>
  <c r="K368" i="33" s="1"/>
  <c r="K24" i="33"/>
  <c r="O29" i="33"/>
  <c r="O529" i="33"/>
  <c r="M612" i="33"/>
  <c r="O305" i="33"/>
  <c r="M525" i="33"/>
  <c r="O527" i="33"/>
  <c r="O528" i="33"/>
  <c r="O514" i="33"/>
  <c r="T377" i="33"/>
  <c r="K45" i="33"/>
  <c r="O46" i="33"/>
  <c r="O45" i="33" s="1"/>
  <c r="Y364" i="33"/>
  <c r="Y381" i="33"/>
  <c r="Y382" i="33"/>
  <c r="Y380" i="33"/>
  <c r="Y378" i="33"/>
  <c r="M302" i="33"/>
  <c r="O516" i="33"/>
  <c r="Y64" i="33"/>
  <c r="Y63" i="33"/>
  <c r="Y112" i="33"/>
  <c r="O304" i="33"/>
  <c r="T383" i="33"/>
  <c r="M513" i="33"/>
  <c r="T109" i="33"/>
  <c r="Y386" i="33"/>
  <c r="Y387" i="33"/>
  <c r="K476" i="33"/>
  <c r="Y384" i="33"/>
  <c r="Y62" i="33"/>
  <c r="Y61" i="33"/>
  <c r="Y67" i="33"/>
  <c r="Y68" i="33"/>
  <c r="Y65" i="33"/>
  <c r="Y365" i="33"/>
  <c r="Y366" i="33"/>
  <c r="Y190" i="33"/>
  <c r="Y110" i="33"/>
  <c r="T362" i="33"/>
  <c r="Y700" i="33"/>
  <c r="Y234" i="33"/>
  <c r="Y699" i="33"/>
  <c r="Y697" i="33"/>
  <c r="Y698" i="33"/>
  <c r="Y178" i="33"/>
  <c r="Y111" i="33"/>
  <c r="Y334" i="33"/>
  <c r="T60" i="33"/>
  <c r="T173" i="33"/>
  <c r="O281" i="33"/>
  <c r="K332" i="33"/>
  <c r="Y631" i="33"/>
  <c r="Y123" i="33"/>
  <c r="O168" i="33"/>
  <c r="Y126" i="33"/>
  <c r="Y629" i="33"/>
  <c r="Y124" i="33"/>
  <c r="O128" i="33"/>
  <c r="T695" i="33"/>
  <c r="O609" i="33"/>
  <c r="K525" i="33"/>
  <c r="O377" i="33"/>
  <c r="Y188" i="33"/>
  <c r="O546" i="33"/>
  <c r="O282" i="33"/>
  <c r="Y525" i="33"/>
  <c r="O251" i="33"/>
  <c r="M377" i="33"/>
  <c r="Y235" i="33"/>
  <c r="K173" i="33"/>
  <c r="Y186" i="33"/>
  <c r="Y187" i="33"/>
  <c r="O253" i="33"/>
  <c r="T519" i="33"/>
  <c r="O610" i="33"/>
  <c r="Y176" i="33"/>
  <c r="O628" i="33"/>
  <c r="K327" i="33"/>
  <c r="M628" i="33"/>
  <c r="Y174" i="33"/>
  <c r="Y177" i="33"/>
  <c r="O276" i="33"/>
  <c r="Y285" i="33"/>
  <c r="O278" i="33"/>
  <c r="T628" i="33"/>
  <c r="Y288" i="33"/>
  <c r="Y287" i="33"/>
  <c r="Y49" i="33"/>
  <c r="Y46" i="33"/>
  <c r="O341" i="33"/>
  <c r="O173" i="33"/>
  <c r="O342" i="33"/>
  <c r="Y630" i="33"/>
  <c r="O332" i="33"/>
  <c r="K342" i="33"/>
  <c r="Y335" i="33"/>
  <c r="Y47" i="33"/>
  <c r="O608" i="33"/>
  <c r="Y333" i="33"/>
  <c r="M50" i="33"/>
  <c r="Y633" i="33"/>
  <c r="T332" i="33"/>
  <c r="M109" i="33"/>
  <c r="T487" i="33"/>
  <c r="Y407" i="33"/>
  <c r="O658" i="33"/>
  <c r="O112" i="33"/>
  <c r="O109" i="33" s="1"/>
  <c r="M655" i="33"/>
  <c r="O611" i="33"/>
  <c r="O476" i="33"/>
  <c r="K431" i="33"/>
  <c r="O435" i="33"/>
  <c r="Y408" i="33"/>
  <c r="O612" i="33"/>
  <c r="O545" i="33"/>
  <c r="O106" i="33"/>
  <c r="T425" i="33"/>
  <c r="O383" i="33"/>
  <c r="K605" i="33"/>
  <c r="O484" i="33"/>
  <c r="T185" i="33"/>
  <c r="O340" i="33"/>
  <c r="T284" i="33"/>
  <c r="M279" i="33"/>
  <c r="M337" i="33"/>
  <c r="K620" i="33"/>
  <c r="M24" i="33"/>
  <c r="K337" i="33"/>
  <c r="Y337" i="33"/>
  <c r="O606" i="33"/>
  <c r="O250" i="33"/>
  <c r="O50" i="33"/>
  <c r="O73" i="33"/>
  <c r="Y648" i="33"/>
  <c r="Y647" i="33"/>
  <c r="Y649" i="33"/>
  <c r="O105" i="33"/>
  <c r="T671" i="33"/>
  <c r="Y248" i="33"/>
  <c r="K102" i="33"/>
  <c r="O338" i="33"/>
  <c r="M451" i="33"/>
  <c r="K482" i="33"/>
  <c r="Y180" i="33"/>
  <c r="T55" i="33"/>
  <c r="K127" i="33"/>
  <c r="O101" i="33"/>
  <c r="T45" i="33"/>
  <c r="Y181" i="33"/>
  <c r="O162" i="33"/>
  <c r="O284" i="33"/>
  <c r="K274" i="33"/>
  <c r="Y58" i="33"/>
  <c r="O438" i="33"/>
  <c r="O131" i="33"/>
  <c r="Y459" i="33"/>
  <c r="Y427" i="33"/>
  <c r="Y490" i="33"/>
  <c r="Y57" i="33"/>
  <c r="Y59" i="33"/>
  <c r="Y478" i="33"/>
  <c r="Y605" i="33"/>
  <c r="M660" i="33"/>
  <c r="Y95" i="33"/>
  <c r="K544" i="33"/>
  <c r="Y360" i="33"/>
  <c r="Y690" i="33"/>
  <c r="M248" i="33"/>
  <c r="Y428" i="33"/>
  <c r="Y489" i="33"/>
  <c r="Y308" i="33"/>
  <c r="K312" i="33"/>
  <c r="Y328" i="33"/>
  <c r="Y688" i="33"/>
  <c r="Y692" i="33"/>
  <c r="O483" i="33"/>
  <c r="Y457" i="33"/>
  <c r="Y491" i="33"/>
  <c r="Y481" i="33"/>
  <c r="O453" i="33"/>
  <c r="O100" i="33"/>
  <c r="Y480" i="33"/>
  <c r="Y689" i="33"/>
  <c r="Y691" i="33"/>
  <c r="Y430" i="33"/>
  <c r="Y479" i="33"/>
  <c r="Y359" i="33"/>
  <c r="Y331" i="33"/>
  <c r="O144" i="33"/>
  <c r="O661" i="33"/>
  <c r="Y357" i="33"/>
  <c r="Y694" i="33"/>
  <c r="Y426" i="33"/>
  <c r="Y460" i="33"/>
  <c r="Y310" i="33"/>
  <c r="Y311" i="33"/>
  <c r="Y358" i="33"/>
  <c r="Y329" i="33"/>
  <c r="O663" i="33"/>
  <c r="Y182" i="33"/>
  <c r="Y184" i="33"/>
  <c r="T342" i="33"/>
  <c r="K307" i="33"/>
  <c r="Y263" i="33"/>
  <c r="Y262" i="33"/>
  <c r="Y260" i="33"/>
  <c r="Y302" i="33"/>
  <c r="T645" i="33"/>
  <c r="K279" i="33"/>
  <c r="Y136" i="33"/>
  <c r="Y135" i="33"/>
  <c r="Y346" i="33"/>
  <c r="O452" i="33"/>
  <c r="J318" i="33"/>
  <c r="K95" i="33"/>
  <c r="O132" i="33"/>
  <c r="O82" i="33"/>
  <c r="O293" i="33"/>
  <c r="M431" i="33"/>
  <c r="K513" i="33"/>
  <c r="Y127" i="33"/>
  <c r="Y345" i="33"/>
  <c r="O401" i="33"/>
  <c r="T687" i="33"/>
  <c r="M583" i="33"/>
  <c r="T122" i="33"/>
  <c r="T356" i="33"/>
  <c r="Y671" i="33"/>
  <c r="T476" i="33"/>
  <c r="T50" i="33"/>
  <c r="M425" i="33"/>
  <c r="Y279" i="33"/>
  <c r="Y344" i="33"/>
  <c r="O695" i="33"/>
  <c r="O425" i="33"/>
  <c r="O103" i="33"/>
  <c r="Y102" i="33"/>
  <c r="Y431" i="33"/>
  <c r="O160" i="33"/>
  <c r="T307" i="33"/>
  <c r="Y511" i="33"/>
  <c r="Y509" i="33"/>
  <c r="Y716" i="33"/>
  <c r="Y134" i="33"/>
  <c r="Y711" i="33"/>
  <c r="O97" i="33"/>
  <c r="Y715" i="33"/>
  <c r="Y137" i="33"/>
  <c r="Y138" i="33"/>
  <c r="Y714" i="33"/>
  <c r="Y510" i="33"/>
  <c r="O437" i="33"/>
  <c r="M127" i="33"/>
  <c r="O515" i="33"/>
  <c r="K302" i="33"/>
  <c r="Y582" i="33"/>
  <c r="Y710" i="33"/>
  <c r="M406" i="33"/>
  <c r="K30" i="33"/>
  <c r="Y139" i="33"/>
  <c r="O657" i="33"/>
  <c r="O403" i="33"/>
  <c r="Y712" i="33"/>
  <c r="K400" i="33"/>
  <c r="K391" i="33" s="1"/>
  <c r="K248" i="33"/>
  <c r="O172" i="33"/>
  <c r="Y410" i="33"/>
  <c r="M695" i="33"/>
  <c r="M284" i="33"/>
  <c r="O167" i="33"/>
  <c r="Y166" i="33"/>
  <c r="M436" i="33"/>
  <c r="O456" i="33"/>
  <c r="T30" i="33"/>
  <c r="Y612" i="33"/>
  <c r="T327" i="33"/>
  <c r="T612" i="33"/>
  <c r="O171" i="33"/>
  <c r="Y400" i="33"/>
  <c r="M482" i="33"/>
  <c r="T259" i="33"/>
  <c r="T709" i="33"/>
  <c r="O292" i="33"/>
  <c r="T217" i="33"/>
  <c r="Y217" i="33"/>
  <c r="M95" i="33"/>
  <c r="K660" i="33"/>
  <c r="O439" i="33"/>
  <c r="M605" i="33"/>
  <c r="O434" i="33"/>
  <c r="T133" i="33"/>
  <c r="M274" i="33"/>
  <c r="M456" i="33"/>
  <c r="O199" i="33"/>
  <c r="O96" i="33"/>
  <c r="K199" i="33"/>
  <c r="K289" i="33"/>
  <c r="T456" i="33"/>
  <c r="Y544" i="33"/>
  <c r="M166" i="33"/>
  <c r="K645" i="33"/>
  <c r="M185" i="33"/>
  <c r="O75" i="33"/>
  <c r="O72" i="33"/>
  <c r="T583" i="33"/>
  <c r="T411" i="33"/>
  <c r="O327" i="33"/>
  <c r="O71" i="33"/>
  <c r="O30" i="33"/>
  <c r="T406" i="33"/>
  <c r="M102" i="33"/>
  <c r="O107" i="33"/>
  <c r="O229" i="33"/>
  <c r="O487" i="33"/>
  <c r="Y583" i="33"/>
  <c r="M709" i="33"/>
  <c r="M55" i="33"/>
  <c r="O362" i="33"/>
  <c r="K356" i="33"/>
  <c r="Y76" i="33"/>
  <c r="M544" i="33"/>
  <c r="M533" i="33" s="1"/>
  <c r="M531" i="33" s="1"/>
  <c r="O709" i="33"/>
  <c r="M289" i="33"/>
  <c r="O356" i="33"/>
  <c r="K228" i="33"/>
  <c r="T322" i="33"/>
  <c r="O504" i="33"/>
  <c r="O230" i="33"/>
  <c r="Y159" i="33"/>
  <c r="K487" i="33"/>
  <c r="O41" i="33"/>
  <c r="M228" i="33"/>
  <c r="O16" i="33"/>
  <c r="K508" i="33"/>
  <c r="T223" i="33"/>
  <c r="O57" i="33"/>
  <c r="O55" i="33" s="1"/>
  <c r="O70" i="33"/>
  <c r="Y203" i="33"/>
  <c r="K655" i="33"/>
  <c r="Y200" i="33"/>
  <c r="O307" i="33"/>
  <c r="Y228" i="33"/>
  <c r="O583" i="33"/>
  <c r="T179" i="33"/>
  <c r="O164" i="33"/>
  <c r="O645" i="33"/>
  <c r="K159" i="33"/>
  <c r="Y464" i="33"/>
  <c r="K671" i="33"/>
  <c r="K666" i="33" s="1"/>
  <c r="M223" i="33"/>
  <c r="K451" i="33"/>
  <c r="Y465" i="33"/>
  <c r="K179" i="33"/>
  <c r="Y463" i="33"/>
  <c r="O184" i="33"/>
  <c r="O179" i="33" s="1"/>
  <c r="K702" i="33"/>
  <c r="T461" i="33"/>
  <c r="T199" i="33"/>
  <c r="O122" i="33"/>
  <c r="O588" i="33"/>
  <c r="O254" i="33"/>
  <c r="O39" i="33"/>
  <c r="M348" i="33"/>
  <c r="Y578" i="33"/>
  <c r="Y577" i="33"/>
  <c r="M588" i="33"/>
  <c r="Y579" i="33"/>
  <c r="Y580" i="33"/>
  <c r="O40" i="33"/>
  <c r="Y204" i="33"/>
  <c r="Y201" i="33"/>
  <c r="O185" i="33"/>
  <c r="Y576" i="33"/>
  <c r="O143" i="33"/>
  <c r="M141" i="33"/>
  <c r="O223" i="33"/>
  <c r="O411" i="33"/>
  <c r="Y141" i="33"/>
  <c r="T508" i="33"/>
  <c r="O406" i="33"/>
  <c r="O508" i="33"/>
  <c r="Y592" i="33"/>
  <c r="Y589" i="33"/>
  <c r="Y316" i="33"/>
  <c r="Y591" i="33"/>
  <c r="Y590" i="33"/>
  <c r="Y593" i="33"/>
  <c r="O671" i="33"/>
  <c r="O687" i="33"/>
  <c r="O569" i="33"/>
  <c r="Y595" i="33"/>
  <c r="Y314" i="33"/>
  <c r="O259" i="33"/>
  <c r="T575" i="33"/>
  <c r="M254" i="33"/>
  <c r="Y315" i="33"/>
  <c r="O42" i="33"/>
  <c r="T254" i="33"/>
  <c r="O575" i="33"/>
  <c r="M122" i="33"/>
  <c r="N206" i="33"/>
  <c r="L206" i="33" s="1"/>
  <c r="M319" i="33"/>
  <c r="O217" i="33"/>
  <c r="O461" i="33"/>
  <c r="T588" i="33"/>
  <c r="M575" i="33"/>
  <c r="K259" i="33"/>
  <c r="S318" i="33"/>
  <c r="X318" i="33" s="1"/>
  <c r="Y257" i="33"/>
  <c r="K133" i="33"/>
  <c r="M411" i="33"/>
  <c r="Y256" i="33"/>
  <c r="K436" i="33"/>
  <c r="M687" i="33"/>
  <c r="K569" i="33"/>
  <c r="K561" i="33" s="1"/>
  <c r="Y258" i="33"/>
  <c r="K461" i="33"/>
  <c r="M159" i="33"/>
  <c r="K141" i="33"/>
  <c r="O81" i="33"/>
  <c r="O80" i="33"/>
  <c r="O312" i="33"/>
  <c r="O326" i="33"/>
  <c r="O133" i="33"/>
  <c r="Y573" i="33"/>
  <c r="K325" i="33"/>
  <c r="O325" i="33" s="1"/>
  <c r="K320" i="33"/>
  <c r="O320" i="33" s="1"/>
  <c r="Y574" i="33"/>
  <c r="K321" i="33"/>
  <c r="O321" i="33" s="1"/>
  <c r="K324" i="33"/>
  <c r="O324" i="33" s="1"/>
  <c r="Y226" i="33"/>
  <c r="Y570" i="33"/>
  <c r="T324" i="33"/>
  <c r="Y224" i="33"/>
  <c r="K323" i="33"/>
  <c r="O323" i="33" s="1"/>
  <c r="Y227" i="33"/>
  <c r="K322" i="33"/>
  <c r="O322" i="33" s="1"/>
  <c r="T323" i="33"/>
  <c r="T326" i="33"/>
  <c r="T321" i="33"/>
  <c r="Y572" i="33"/>
  <c r="X319" i="33"/>
  <c r="Y323" i="33" s="1"/>
  <c r="T325" i="33"/>
  <c r="O44" i="33"/>
  <c r="M217" i="33"/>
  <c r="Y274" i="33"/>
  <c r="T569" i="33"/>
  <c r="M503" i="33"/>
  <c r="K166" i="33"/>
  <c r="O60" i="33"/>
  <c r="K503" i="33"/>
  <c r="M400" i="33"/>
  <c r="O83" i="33"/>
  <c r="O506" i="33"/>
  <c r="M650" i="33"/>
  <c r="T650" i="33"/>
  <c r="K60" i="33"/>
  <c r="O404" i="33"/>
  <c r="M76" i="33"/>
  <c r="M37" i="33"/>
  <c r="P2" i="32"/>
  <c r="O650" i="33"/>
  <c r="T312" i="33"/>
  <c r="O13" i="33"/>
  <c r="Y653" i="33"/>
  <c r="Y651" i="33"/>
  <c r="Y652" i="33"/>
  <c r="Y14" i="33"/>
  <c r="Y12" i="33"/>
  <c r="Y11" i="33"/>
  <c r="Y436" i="33"/>
  <c r="T9" i="33"/>
  <c r="K76" i="33"/>
  <c r="O12" i="33"/>
  <c r="O15" i="33"/>
  <c r="O77" i="33"/>
  <c r="O14" i="33"/>
  <c r="M9" i="33"/>
  <c r="Y10" i="33"/>
  <c r="Y15" i="33"/>
  <c r="K9" i="33"/>
  <c r="Y625" i="33"/>
  <c r="J6" i="33"/>
  <c r="L6" i="33"/>
  <c r="Y623" i="33"/>
  <c r="Y624" i="33"/>
  <c r="Y640" i="33"/>
  <c r="Y622" i="33"/>
  <c r="T621" i="33"/>
  <c r="Y626" i="33"/>
  <c r="O196" i="33"/>
  <c r="O197" i="33"/>
  <c r="T193" i="33"/>
  <c r="O195" i="33"/>
  <c r="M193" i="33"/>
  <c r="M192" i="33" s="1"/>
  <c r="O194" i="33"/>
  <c r="K193" i="33"/>
  <c r="Y639" i="33"/>
  <c r="Y644" i="33"/>
  <c r="Y641" i="33"/>
  <c r="Y642" i="33"/>
  <c r="O621" i="33"/>
  <c r="M621" i="33"/>
  <c r="O535" i="33"/>
  <c r="O534" i="33" s="1"/>
  <c r="K534" i="33"/>
  <c r="Y535" i="33"/>
  <c r="Y542" i="33"/>
  <c r="Y543" i="33"/>
  <c r="Y371" i="33"/>
  <c r="T638" i="33"/>
  <c r="L147" i="33"/>
  <c r="J147" i="33"/>
  <c r="J677" i="33"/>
  <c r="L677" i="33"/>
  <c r="Y681" i="33"/>
  <c r="M667" i="33"/>
  <c r="M666" i="33" s="1"/>
  <c r="O669" i="33"/>
  <c r="O667" i="33" s="1"/>
  <c r="Y552" i="33"/>
  <c r="M638" i="33"/>
  <c r="Y686" i="33"/>
  <c r="Y684" i="33"/>
  <c r="Y682" i="33"/>
  <c r="T680" i="33"/>
  <c r="Y685" i="33"/>
  <c r="Y707" i="33"/>
  <c r="Y706" i="33"/>
  <c r="Y705" i="33"/>
  <c r="O680" i="33"/>
  <c r="Y704" i="33"/>
  <c r="K680" i="33"/>
  <c r="K679" i="33" s="1"/>
  <c r="S559" i="33"/>
  <c r="X559" i="33" s="1"/>
  <c r="Y536" i="33"/>
  <c r="J635" i="33"/>
  <c r="S635" i="33"/>
  <c r="X635" i="33" s="1"/>
  <c r="O638" i="33"/>
  <c r="T703" i="33"/>
  <c r="Y603" i="33"/>
  <c r="Y601" i="33"/>
  <c r="Y604" i="33"/>
  <c r="Y599" i="33"/>
  <c r="Y602" i="33"/>
  <c r="O703" i="33"/>
  <c r="O562" i="33"/>
  <c r="M703" i="33"/>
  <c r="Y501" i="33"/>
  <c r="Y352" i="33"/>
  <c r="Y355" i="33"/>
  <c r="Y669" i="33"/>
  <c r="Y670" i="33"/>
  <c r="T667" i="33"/>
  <c r="Y499" i="33"/>
  <c r="L493" i="33"/>
  <c r="J559" i="33"/>
  <c r="Y351" i="33"/>
  <c r="Y353" i="33"/>
  <c r="Y354" i="33"/>
  <c r="Y562" i="33"/>
  <c r="Y557" i="33"/>
  <c r="Y555" i="33"/>
  <c r="Y554" i="33"/>
  <c r="Y541" i="33"/>
  <c r="Y538" i="33"/>
  <c r="Y556" i="33"/>
  <c r="O522" i="33"/>
  <c r="J531" i="33"/>
  <c r="M520" i="33"/>
  <c r="J493" i="33"/>
  <c r="Y497" i="33"/>
  <c r="M562" i="33"/>
  <c r="O598" i="33"/>
  <c r="S531" i="33"/>
  <c r="X531" i="33" s="1"/>
  <c r="Y500" i="33"/>
  <c r="Y502" i="33"/>
  <c r="O524" i="33"/>
  <c r="Y539" i="33"/>
  <c r="Y540" i="33"/>
  <c r="T598" i="33"/>
  <c r="Y537" i="33"/>
  <c r="Y520" i="33"/>
  <c r="T562" i="33"/>
  <c r="K520" i="33"/>
  <c r="O496" i="33"/>
  <c r="O523" i="33"/>
  <c r="T534" i="33"/>
  <c r="T533" i="33" s="1"/>
  <c r="K496" i="33"/>
  <c r="O443" i="33"/>
  <c r="K598" i="33"/>
  <c r="T551" i="33"/>
  <c r="T550" i="33" s="1"/>
  <c r="K551" i="33"/>
  <c r="K550" i="33" s="1"/>
  <c r="M443" i="33"/>
  <c r="O551" i="33"/>
  <c r="O550" i="33" s="1"/>
  <c r="C67" i="38" s="1"/>
  <c r="B67" i="38" s="1"/>
  <c r="T349" i="33"/>
  <c r="Y447" i="33"/>
  <c r="Y445" i="33"/>
  <c r="Y450" i="33"/>
  <c r="Y444" i="33"/>
  <c r="Y448" i="33"/>
  <c r="Y449" i="33"/>
  <c r="T496" i="33"/>
  <c r="T443" i="33"/>
  <c r="O418" i="33"/>
  <c r="Y398" i="33"/>
  <c r="O392" i="33"/>
  <c r="Y421" i="33"/>
  <c r="T392" i="33"/>
  <c r="M392" i="33"/>
  <c r="T418" i="33"/>
  <c r="S389" i="33"/>
  <c r="X389" i="33" s="1"/>
  <c r="Y214" i="33"/>
  <c r="Y373" i="33"/>
  <c r="J389" i="33"/>
  <c r="Y394" i="33"/>
  <c r="Y399" i="33"/>
  <c r="Y395" i="33"/>
  <c r="Y393" i="33"/>
  <c r="Y396" i="33"/>
  <c r="Y376" i="33"/>
  <c r="Y424" i="33"/>
  <c r="K418" i="33"/>
  <c r="Y419" i="33"/>
  <c r="Y422" i="33"/>
  <c r="Y372" i="33"/>
  <c r="Y375" i="33"/>
  <c r="Y423" i="33"/>
  <c r="O245" i="33"/>
  <c r="O369" i="33"/>
  <c r="O244" i="33"/>
  <c r="M369" i="33"/>
  <c r="Y272" i="33"/>
  <c r="O242" i="33"/>
  <c r="K349" i="33"/>
  <c r="Y374" i="33"/>
  <c r="Y370" i="33"/>
  <c r="Y211" i="33"/>
  <c r="Y216" i="33"/>
  <c r="O350" i="33"/>
  <c r="O349" i="33" s="1"/>
  <c r="T369" i="33"/>
  <c r="Y269" i="33"/>
  <c r="O247" i="33"/>
  <c r="T266" i="33"/>
  <c r="M240" i="33"/>
  <c r="K266" i="33"/>
  <c r="Y273" i="33"/>
  <c r="Y270" i="33"/>
  <c r="O298" i="33"/>
  <c r="O300" i="33"/>
  <c r="O301" i="33"/>
  <c r="Y271" i="33"/>
  <c r="Y213" i="33"/>
  <c r="Y210" i="33"/>
  <c r="O266" i="33"/>
  <c r="K296" i="33"/>
  <c r="M296" i="33"/>
  <c r="Y268" i="33"/>
  <c r="T209" i="33"/>
  <c r="Y212" i="33"/>
  <c r="Y296" i="33"/>
  <c r="K240" i="33"/>
  <c r="K209" i="33"/>
  <c r="O243" i="33"/>
  <c r="Y240" i="33"/>
  <c r="O215" i="33"/>
  <c r="O209" i="33" s="1"/>
  <c r="Y195" i="33"/>
  <c r="Y196" i="33"/>
  <c r="Y156" i="33"/>
  <c r="Y197" i="33"/>
  <c r="Y194" i="33"/>
  <c r="Y158" i="33"/>
  <c r="M150" i="33"/>
  <c r="T150" i="33"/>
  <c r="M88" i="33"/>
  <c r="O150" i="33"/>
  <c r="K116" i="33"/>
  <c r="Y152" i="33"/>
  <c r="Y153" i="33"/>
  <c r="O92" i="33"/>
  <c r="O88" i="33" s="1"/>
  <c r="Y157" i="33"/>
  <c r="O120" i="33"/>
  <c r="O116" i="33" s="1"/>
  <c r="Y155" i="33"/>
  <c r="Y151" i="33"/>
  <c r="Y93" i="33"/>
  <c r="L85" i="33"/>
  <c r="Y90" i="33"/>
  <c r="Y92" i="33"/>
  <c r="Y121" i="33"/>
  <c r="Y91" i="33"/>
  <c r="Y89" i="33"/>
  <c r="S85" i="33"/>
  <c r="X85" i="33" s="1"/>
  <c r="T88" i="33"/>
  <c r="Y120" i="33"/>
  <c r="Y16" i="33"/>
  <c r="T116" i="33"/>
  <c r="Y118" i="33"/>
  <c r="Y119" i="33"/>
  <c r="Y24" i="33"/>
  <c r="Y473" i="33"/>
  <c r="Y471" i="33"/>
  <c r="Y470" i="33"/>
  <c r="Y474" i="33"/>
  <c r="T37" i="33"/>
  <c r="Y472" i="33"/>
  <c r="Y50" i="33"/>
  <c r="Y37" i="33"/>
  <c r="Y469" i="33"/>
  <c r="K37" i="33"/>
  <c r="O38" i="33"/>
  <c r="O474" i="33"/>
  <c r="O472" i="33"/>
  <c r="M468" i="33"/>
  <c r="T468" i="33"/>
  <c r="O470" i="33"/>
  <c r="Y30" i="33"/>
  <c r="O475" i="33"/>
  <c r="O469" i="33"/>
  <c r="K468" i="33"/>
  <c r="Y411" i="33"/>
  <c r="O69" i="33" l="1"/>
  <c r="T295" i="33"/>
  <c r="M597" i="33"/>
  <c r="T8" i="33"/>
  <c r="O24" i="33"/>
  <c r="K8" i="33"/>
  <c r="O302" i="33"/>
  <c r="M519" i="33"/>
  <c r="M295" i="33"/>
  <c r="O525" i="33"/>
  <c r="T368" i="33"/>
  <c r="Y109" i="33"/>
  <c r="Y377" i="33"/>
  <c r="O513" i="33"/>
  <c r="T87" i="33"/>
  <c r="M495" i="33"/>
  <c r="Y383" i="33"/>
  <c r="Y60" i="33"/>
  <c r="Y362" i="33"/>
  <c r="Y695" i="33"/>
  <c r="O279" i="33"/>
  <c r="M620" i="33"/>
  <c r="Y185" i="33"/>
  <c r="Y122" i="33"/>
  <c r="Y628" i="33"/>
  <c r="O620" i="33"/>
  <c r="C71" i="38" s="1"/>
  <c r="B71" i="38" s="1"/>
  <c r="O274" i="33"/>
  <c r="M368" i="33"/>
  <c r="K519" i="33"/>
  <c r="T620" i="33"/>
  <c r="M318" i="33"/>
  <c r="T417" i="33"/>
  <c r="O248" i="33"/>
  <c r="O544" i="33"/>
  <c r="O533" i="33" s="1"/>
  <c r="O531" i="33" s="1"/>
  <c r="C31" i="38" s="1"/>
  <c r="B31" i="38" s="1"/>
  <c r="B65" i="38" s="1"/>
  <c r="Y284" i="33"/>
  <c r="Y173" i="33"/>
  <c r="Y519" i="33"/>
  <c r="Y332" i="33"/>
  <c r="Y45" i="33"/>
  <c r="T265" i="33"/>
  <c r="O482" i="33"/>
  <c r="Y406" i="33"/>
  <c r="O431" i="33"/>
  <c r="O605" i="33"/>
  <c r="O597" i="33" s="1"/>
  <c r="C70" i="38" s="1"/>
  <c r="B70" i="38" s="1"/>
  <c r="J206" i="33"/>
  <c r="T666" i="33"/>
  <c r="O655" i="33"/>
  <c r="Y487" i="33"/>
  <c r="O337" i="33"/>
  <c r="O368" i="33"/>
  <c r="C56" i="38" s="1"/>
  <c r="B56" i="38" s="1"/>
  <c r="T597" i="33"/>
  <c r="O451" i="33"/>
  <c r="O442" i="33" s="1"/>
  <c r="C60" i="38" s="1"/>
  <c r="B60" i="38" s="1"/>
  <c r="Y687" i="33"/>
  <c r="Y645" i="33"/>
  <c r="M8" i="33"/>
  <c r="K597" i="33"/>
  <c r="K559" i="33" s="1"/>
  <c r="O660" i="33"/>
  <c r="Y55" i="33"/>
  <c r="Y179" i="33"/>
  <c r="Y356" i="33"/>
  <c r="M679" i="33"/>
  <c r="O141" i="33"/>
  <c r="K265" i="33"/>
  <c r="O127" i="33"/>
  <c r="M467" i="33"/>
  <c r="T679" i="33"/>
  <c r="T36" i="33"/>
  <c r="K87" i="33"/>
  <c r="Y425" i="33"/>
  <c r="Y259" i="33"/>
  <c r="K533" i="33"/>
  <c r="K531" i="33" s="1"/>
  <c r="O228" i="33"/>
  <c r="Y327" i="33"/>
  <c r="Y456" i="33"/>
  <c r="Y476" i="33"/>
  <c r="Y307" i="33"/>
  <c r="T702" i="33"/>
  <c r="O289" i="33"/>
  <c r="O159" i="33"/>
  <c r="M417" i="33"/>
  <c r="K295" i="33"/>
  <c r="Y342" i="33"/>
  <c r="O102" i="33"/>
  <c r="Y508" i="33"/>
  <c r="K467" i="33"/>
  <c r="T239" i="33"/>
  <c r="Y324" i="33"/>
  <c r="T348" i="33"/>
  <c r="Y312" i="33"/>
  <c r="K637" i="33"/>
  <c r="K635" i="33" s="1"/>
  <c r="T115" i="33"/>
  <c r="M702" i="33"/>
  <c r="O436" i="33"/>
  <c r="Y133" i="33"/>
  <c r="T467" i="33"/>
  <c r="O166" i="33"/>
  <c r="O95" i="33"/>
  <c r="M265" i="33"/>
  <c r="Y709" i="33"/>
  <c r="T391" i="33"/>
  <c r="M87" i="33"/>
  <c r="M442" i="33"/>
  <c r="O400" i="33"/>
  <c r="O391" i="33" s="1"/>
  <c r="C58" i="38" s="1"/>
  <c r="B58" i="38" s="1"/>
  <c r="O666" i="33"/>
  <c r="C77" i="38" s="1"/>
  <c r="B77" i="38" s="1"/>
  <c r="K348" i="33"/>
  <c r="K192" i="33"/>
  <c r="K442" i="33"/>
  <c r="M115" i="33"/>
  <c r="Y320" i="33"/>
  <c r="O503" i="33"/>
  <c r="T149" i="33"/>
  <c r="O702" i="33"/>
  <c r="C80" i="38" s="1"/>
  <c r="B80" i="38" s="1"/>
  <c r="K417" i="33"/>
  <c r="T192" i="33"/>
  <c r="O348" i="33"/>
  <c r="C55" i="38" s="1"/>
  <c r="B55" i="38" s="1"/>
  <c r="T442" i="33"/>
  <c r="S206" i="33"/>
  <c r="X206" i="33" s="1"/>
  <c r="K149" i="33"/>
  <c r="Y588" i="33"/>
  <c r="Y199" i="33"/>
  <c r="T495" i="33"/>
  <c r="T493" i="33" s="1"/>
  <c r="M239" i="33"/>
  <c r="Y461" i="33"/>
  <c r="Y325" i="33"/>
  <c r="K115" i="33"/>
  <c r="Y575" i="33"/>
  <c r="M149" i="33"/>
  <c r="M147" i="33" s="1"/>
  <c r="Y326" i="33"/>
  <c r="Y322" i="33"/>
  <c r="K677" i="33"/>
  <c r="M391" i="33"/>
  <c r="O561" i="33"/>
  <c r="C69" i="38" s="1"/>
  <c r="B69" i="38" s="1"/>
  <c r="K239" i="33"/>
  <c r="Y223" i="33"/>
  <c r="Y254" i="33"/>
  <c r="Y321" i="33"/>
  <c r="M36" i="33"/>
  <c r="T561" i="33"/>
  <c r="O37" i="33"/>
  <c r="O679" i="33"/>
  <c r="C79" i="38" s="1"/>
  <c r="B79" i="38" s="1"/>
  <c r="T319" i="33"/>
  <c r="T318" i="33" s="1"/>
  <c r="O319" i="33"/>
  <c r="M561" i="33"/>
  <c r="K319" i="33"/>
  <c r="K318" i="33" s="1"/>
  <c r="Y569" i="33"/>
  <c r="O76" i="33"/>
  <c r="K495" i="33"/>
  <c r="M637" i="33"/>
  <c r="M635" i="33" s="1"/>
  <c r="T637" i="33"/>
  <c r="Y650" i="33"/>
  <c r="O9" i="33"/>
  <c r="K36" i="33"/>
  <c r="Y9" i="33"/>
  <c r="Y8" i="33" s="1"/>
  <c r="Y621" i="33"/>
  <c r="Y193" i="33"/>
  <c r="O193" i="33"/>
  <c r="O192" i="33" s="1"/>
  <c r="C48" i="38" s="1"/>
  <c r="B48" i="38" s="1"/>
  <c r="Y638" i="33"/>
  <c r="Y680" i="33"/>
  <c r="Y703" i="33"/>
  <c r="Y598" i="33"/>
  <c r="Y597" i="33" s="1"/>
  <c r="Y667" i="33"/>
  <c r="Y666" i="33" s="1"/>
  <c r="Y551" i="33"/>
  <c r="Y550" i="33" s="1"/>
  <c r="Y349" i="33"/>
  <c r="T531" i="33"/>
  <c r="O520" i="33"/>
  <c r="Y496" i="33"/>
  <c r="Y534" i="33"/>
  <c r="Y533" i="33" s="1"/>
  <c r="Y443" i="33"/>
  <c r="Y418" i="33"/>
  <c r="Y392" i="33"/>
  <c r="Y369" i="33"/>
  <c r="O240" i="33"/>
  <c r="O296" i="33"/>
  <c r="Y266" i="33"/>
  <c r="Y209" i="33"/>
  <c r="Y150" i="33"/>
  <c r="Y88" i="33"/>
  <c r="Y116" i="33"/>
  <c r="Y468" i="33"/>
  <c r="O468" i="33"/>
  <c r="H236" i="33"/>
  <c r="K236" i="33" s="1"/>
  <c r="K233" i="33" s="1"/>
  <c r="K208" i="33" s="1"/>
  <c r="K236" i="27"/>
  <c r="M236" i="27" s="1"/>
  <c r="O495" i="33" l="1"/>
  <c r="C63" i="38" s="1"/>
  <c r="B63" i="38" s="1"/>
  <c r="M493" i="33"/>
  <c r="O8" i="33"/>
  <c r="C41" i="38" s="1"/>
  <c r="B41" i="38" s="1"/>
  <c r="K6" i="33"/>
  <c r="T6" i="33"/>
  <c r="O295" i="33"/>
  <c r="C53" i="38" s="1"/>
  <c r="B53" i="38" s="1"/>
  <c r="O519" i="33"/>
  <c r="C64" i="38" s="1"/>
  <c r="B64" i="38" s="1"/>
  <c r="Y87" i="33"/>
  <c r="T85" i="33"/>
  <c r="Y368" i="33"/>
  <c r="M559" i="33"/>
  <c r="Y620" i="33"/>
  <c r="O115" i="33"/>
  <c r="C45" i="38" s="1"/>
  <c r="B45" i="38" s="1"/>
  <c r="T635" i="33"/>
  <c r="K493" i="33"/>
  <c r="O265" i="33"/>
  <c r="C52" i="38" s="1"/>
  <c r="B52" i="38" s="1"/>
  <c r="Y265" i="33"/>
  <c r="O417" i="33"/>
  <c r="Y391" i="33"/>
  <c r="Y36" i="33"/>
  <c r="Y6" i="33" s="1"/>
  <c r="O467" i="33"/>
  <c r="C61" i="38" s="1"/>
  <c r="B61" i="38" s="1"/>
  <c r="O239" i="33"/>
  <c r="C51" i="38" s="1"/>
  <c r="B51" i="38" s="1"/>
  <c r="M677" i="33"/>
  <c r="Y679" i="33"/>
  <c r="M6" i="33"/>
  <c r="O637" i="33"/>
  <c r="O318" i="33"/>
  <c r="C54" i="38" s="1"/>
  <c r="B54" i="38" s="1"/>
  <c r="T559" i="33"/>
  <c r="Y149" i="33"/>
  <c r="Y348" i="33"/>
  <c r="K85" i="33"/>
  <c r="T677" i="33"/>
  <c r="Y239" i="33"/>
  <c r="M85" i="33"/>
  <c r="M389" i="33"/>
  <c r="Y417" i="33"/>
  <c r="Y115" i="33"/>
  <c r="O149" i="33"/>
  <c r="Y467" i="33"/>
  <c r="Y295" i="33"/>
  <c r="O87" i="33"/>
  <c r="C44" i="38" s="1"/>
  <c r="B44" i="38" s="1"/>
  <c r="Y495" i="33"/>
  <c r="Y493" i="33" s="1"/>
  <c r="Y702" i="33"/>
  <c r="T389" i="33"/>
  <c r="T147" i="33"/>
  <c r="K147" i="33"/>
  <c r="K389" i="33"/>
  <c r="O677" i="33"/>
  <c r="C34" i="38" s="1"/>
  <c r="B34" i="38" s="1"/>
  <c r="B78" i="38" s="1"/>
  <c r="Y192" i="33"/>
  <c r="Y561" i="33"/>
  <c r="Y442" i="33"/>
  <c r="Y319" i="33"/>
  <c r="Y318" i="33" s="1"/>
  <c r="O36" i="33"/>
  <c r="C42" i="38" s="1"/>
  <c r="B42" i="38" s="1"/>
  <c r="O559" i="33"/>
  <c r="C32" i="38" s="1"/>
  <c r="B32" i="38" s="1"/>
  <c r="B68" i="38" s="1"/>
  <c r="K206" i="33"/>
  <c r="Y637" i="33"/>
  <c r="Y635" i="33" s="1"/>
  <c r="Y531" i="33"/>
  <c r="I236" i="33"/>
  <c r="M236" i="33" s="1"/>
  <c r="O236" i="33" s="1"/>
  <c r="O233" i="33" s="1"/>
  <c r="O208" i="33" s="1"/>
  <c r="C50" i="38" s="1"/>
  <c r="B50" i="38" s="1"/>
  <c r="Q236" i="33"/>
  <c r="T236" i="33" s="1"/>
  <c r="T233" i="33" s="1"/>
  <c r="T208" i="33" s="1"/>
  <c r="T206" i="33" s="1"/>
  <c r="P236" i="27"/>
  <c r="V236" i="33" s="1"/>
  <c r="Y236" i="33" s="1"/>
  <c r="Y233" i="33" s="1"/>
  <c r="Y208" i="33" s="1"/>
  <c r="O147" i="33" l="1"/>
  <c r="C27" i="38" s="1"/>
  <c r="B27" i="38" s="1"/>
  <c r="B46" i="38" s="1"/>
  <c r="C47" i="38"/>
  <c r="B47" i="38" s="1"/>
  <c r="O493" i="33"/>
  <c r="C30" i="38" s="1"/>
  <c r="B30" i="38" s="1"/>
  <c r="B62" i="38" s="1"/>
  <c r="O635" i="33"/>
  <c r="C33" i="38" s="1"/>
  <c r="B33" i="38" s="1"/>
  <c r="B75" i="38" s="1"/>
  <c r="C76" i="38"/>
  <c r="B76" i="38" s="1"/>
  <c r="O6" i="33"/>
  <c r="C25" i="38" s="1"/>
  <c r="Y85" i="33"/>
  <c r="Y559" i="33"/>
  <c r="O85" i="33"/>
  <c r="C26" i="38" s="1"/>
  <c r="B26" i="38" s="1"/>
  <c r="B43" i="38" s="1"/>
  <c r="Y677" i="33"/>
  <c r="O389" i="33"/>
  <c r="C29" i="38" s="1"/>
  <c r="B29" i="38" s="1"/>
  <c r="B57" i="38" s="1"/>
  <c r="O206" i="33"/>
  <c r="C28" i="38" s="1"/>
  <c r="B28" i="38" s="1"/>
  <c r="B49" i="38" s="1"/>
  <c r="Y147" i="33"/>
  <c r="R2" i="33"/>
  <c r="N2" i="27" s="1"/>
  <c r="N3" i="27" s="1"/>
  <c r="Y389" i="33"/>
  <c r="Y206" i="33"/>
  <c r="M233" i="33"/>
  <c r="M208" i="33" s="1"/>
  <c r="M206" i="33" s="1"/>
  <c r="B25" i="38" l="1"/>
  <c r="B40" i="38" s="1"/>
  <c r="W2" i="33"/>
  <c r="W3" i="33" s="1"/>
  <c r="B124" i="38" s="1"/>
  <c r="I2" i="33"/>
  <c r="I3" i="33" s="1"/>
  <c r="B36" i="38" s="1"/>
  <c r="R3" i="33"/>
  <c r="B123" i="38" s="1"/>
  <c r="Q2" i="27" l="1"/>
  <c r="Q3" i="27" s="1"/>
  <c r="K2" i="27"/>
  <c r="K3"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Vanessa Faia</author>
  </authors>
  <commentList>
    <comment ref="C152" authorId="0" shapeId="0" xr:uid="{4E2522D8-D03C-4581-BC0D-A2BCC2AEF248}">
      <text>
        <r>
          <rPr>
            <sz val="9"/>
            <color indexed="81"/>
            <rFont val="Tahoma"/>
            <family val="2"/>
          </rPr>
          <t>Inserir a quantidade de dispositivos existentes por tipo de unidade de alojamento.</t>
        </r>
      </text>
    </comment>
    <comment ref="A153" authorId="0" shapeId="0" xr:uid="{BB6A2B3E-3D9C-4618-A783-4C3629086D48}">
      <text>
        <r>
          <rPr>
            <sz val="9"/>
            <color indexed="81"/>
            <rFont val="Tahoma"/>
            <family val="2"/>
          </rPr>
          <t>Inserir o nº da unidade de alojamento e/ou o tipo de unidade e/ou o piso</t>
        </r>
      </text>
    </comment>
    <comment ref="B180" authorId="0" shapeId="0" xr:uid="{AD390934-FEA8-47FB-9BB7-DEFF287777BF}">
      <text>
        <r>
          <rPr>
            <sz val="9"/>
            <color indexed="81"/>
            <rFont val="Tahoma"/>
            <family val="2"/>
          </rPr>
          <t>Vermelho significa que a quantidade de unidades de alojamento aqui discriminada difere da quantidade de UA total (célula B7).</t>
        </r>
      </text>
    </comment>
    <comment ref="A388" authorId="0" shapeId="0" xr:uid="{1DADF8C1-B6E5-47C7-97E8-70D043BA37CF}">
      <text>
        <r>
          <rPr>
            <sz val="9"/>
            <color indexed="81"/>
            <rFont val="Tahoma"/>
            <family val="2"/>
          </rPr>
          <t>Identificar a localização do dispositivo, por exemplo, nº de unidade de alojamento.</t>
        </r>
      </text>
    </comment>
    <comment ref="A1001" authorId="0" shapeId="0" xr:uid="{65C70E4A-AD1E-4173-882F-BF7D79CFFCE2}">
      <text>
        <r>
          <rPr>
            <sz val="9"/>
            <color indexed="81"/>
            <rFont val="Tahoma"/>
            <family val="2"/>
          </rPr>
          <t>Identificar a localização do dispositivo, por exemplo, piso, se é WC público, de staff,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Santos</author>
    <author>Ana Poças</author>
    <author>Filipe Silva</author>
    <author>Vanessa Faia</author>
  </authors>
  <commentList>
    <comment ref="J9" authorId="0" shapeId="0" xr:uid="{93504FD8-6F1D-4694-A863-35E4D31A57DB}">
      <text>
        <r>
          <rPr>
            <sz val="9"/>
            <color indexed="81"/>
            <rFont val="Tahoma"/>
            <family val="2"/>
          </rPr>
          <t>Pode ser escolhida mais do que uma opção, assinalando com "1" a(s) opção(ões) selecionada(s). 
Unidade: existência de aproveitamento</t>
        </r>
      </text>
    </comment>
    <comment ref="J16" authorId="0" shapeId="0" xr:uid="{94B98736-89A0-4CDF-87AC-06C51E1A26AF}">
      <text>
        <r>
          <rPr>
            <sz val="9"/>
            <color indexed="81"/>
            <rFont val="Tahoma"/>
            <family val="2"/>
          </rPr>
          <t xml:space="preserve">Pode ser escolhida mais do que uma opção, assinalando com "1" a(s) opção(ões) selecionada(s). 
</t>
        </r>
      </text>
    </comment>
    <comment ref="J24" authorId="1" shapeId="0" xr:uid="{C116F67B-6912-4945-9F0F-1621A65AC833}">
      <text>
        <r>
          <rPr>
            <sz val="9"/>
            <color indexed="81"/>
            <rFont val="Tahoma"/>
            <family val="2"/>
          </rPr>
          <t xml:space="preserve">Deve ser escolhida apenas uma opção, assinalando com "1" a opção selecionada. </t>
        </r>
      </text>
    </comment>
    <comment ref="J30" authorId="1" shapeId="0" xr:uid="{A5B5FF4A-4898-4134-B67D-9965D5DACDCE}">
      <text>
        <r>
          <rPr>
            <sz val="9"/>
            <color indexed="81"/>
            <rFont val="Tahoma"/>
            <family val="2"/>
          </rPr>
          <t xml:space="preserve">Pode ser identificada a percentagem de utilização para cada um dos itens. A soma das percentagens tem que totalizar 100%. </t>
        </r>
      </text>
    </comment>
    <comment ref="J37" authorId="0" shapeId="0" xr:uid="{7BD6AD8B-2FBA-4710-A3AB-45B187B9C764}">
      <text>
        <r>
          <rPr>
            <sz val="9"/>
            <color indexed="81"/>
            <rFont val="Tahoma"/>
            <family val="2"/>
          </rPr>
          <t xml:space="preserve">Pode ser escolhida mais do que uma opção, assinalando com "1" a(s) opção(ões) selecionada(s). 
</t>
        </r>
      </text>
    </comment>
    <comment ref="J45" authorId="0" shapeId="0" xr:uid="{F11713DA-55C9-4B2F-BFD5-82411A100450}">
      <text>
        <r>
          <rPr>
            <sz val="9"/>
            <color indexed="81"/>
            <rFont val="Tahoma"/>
            <family val="2"/>
          </rPr>
          <t xml:space="preserve">Pode ser escolhida mais do que uma opção, assinalando com "1" a(s) opção(ões) selecionada(s). 
</t>
        </r>
      </text>
    </comment>
    <comment ref="J50" authorId="0" shapeId="0" xr:uid="{383A698C-F86C-4AE0-8C8D-5331CD9B6E80}">
      <text>
        <r>
          <rPr>
            <sz val="9"/>
            <color indexed="81"/>
            <rFont val="Tahoma"/>
            <family val="2"/>
          </rPr>
          <t xml:space="preserve">Pode ser escolhida mais do que uma opção, assinalando com "1" a(s) opção(ões) selecionada(s). 
</t>
        </r>
      </text>
    </comment>
    <comment ref="J55" authorId="1" shapeId="0" xr:uid="{97717230-CDCE-4DAB-9614-39AB3FA24A6D}">
      <text>
        <r>
          <rPr>
            <sz val="9"/>
            <color indexed="81"/>
            <rFont val="Tahoma"/>
            <family val="2"/>
          </rPr>
          <t xml:space="preserve">Pode ser identificada a percentagem de extensão da rede em cada um dos intervalos de idade. A soma das percentagens tem que totalizar 100%. </t>
        </r>
      </text>
    </comment>
    <comment ref="J60" authorId="1" shapeId="0" xr:uid="{79938A69-F881-4091-8955-E83853C80081}">
      <text>
        <r>
          <rPr>
            <sz val="9"/>
            <color indexed="81"/>
            <rFont val="Tahoma"/>
            <family val="2"/>
          </rPr>
          <t xml:space="preserve">Deve ser escolhida apenas uma opção, assinalando com "1" a opção selecionada. </t>
        </r>
      </text>
    </comment>
    <comment ref="H63" authorId="2" shapeId="0" xr:uid="{89BFA990-ABD3-4546-84C7-414A44378025}">
      <text>
        <r>
          <rPr>
            <sz val="9"/>
            <color indexed="81"/>
            <rFont val="Tahoma"/>
            <family val="2"/>
          </rPr>
          <t>Existe desagregação de consumos mas não cumpre a desagregação mínima mencionada nas opções 1.2.5.1 ou 1.2.5.2</t>
        </r>
      </text>
    </comment>
    <comment ref="H64" authorId="2" shapeId="0" xr:uid="{78B9591F-4454-45C0-B0E5-392A668A7BB2}">
      <text>
        <r>
          <rPr>
            <sz val="9"/>
            <color indexed="81"/>
            <rFont val="Tahoma"/>
            <family val="2"/>
          </rPr>
          <t>Existe desagregação de consumos mas não cumpre a desagregação mínima mencionada nas opções 1.2.5.1 ou 1.2.5.2</t>
        </r>
      </text>
    </comment>
    <comment ref="J69" authorId="1" shapeId="0" xr:uid="{C69D71A7-9EDC-4D0B-A1F6-DF8C00A67ABA}">
      <text>
        <r>
          <rPr>
            <sz val="9"/>
            <color indexed="81"/>
            <rFont val="Tahoma"/>
            <family val="2"/>
          </rPr>
          <t xml:space="preserve">Deve ser escolhida apenas uma opção, assinalando com "1" a opção selecionada. </t>
        </r>
      </text>
    </comment>
    <comment ref="J76" authorId="0" shapeId="0" xr:uid="{54F68924-6199-4860-87E3-D27183E66B8F}">
      <text>
        <r>
          <rPr>
            <sz val="9"/>
            <color indexed="81"/>
            <rFont val="Tahoma"/>
            <family val="2"/>
          </rPr>
          <t xml:space="preserve">Pode ser escolhida mais do que uma opção, assinalando com "1" a(s) opção(ões) selecionada(s). 
</t>
        </r>
      </text>
    </comment>
    <comment ref="J88" authorId="1" shapeId="0" xr:uid="{6731ECA6-A938-4EC0-A8BF-39B0933920C4}">
      <text>
        <r>
          <rPr>
            <sz val="9"/>
            <color indexed="81"/>
            <rFont val="Tahoma"/>
            <family val="2"/>
          </rPr>
          <t xml:space="preserve">Pode ser identificada a percentagem de utilização para cada um dos itens. A soma das percentagens tem que totalizar 100%. </t>
        </r>
      </text>
    </comment>
    <comment ref="J95" authorId="1" shapeId="0" xr:uid="{8319DBA2-3573-4475-B543-25547417F5A1}">
      <text>
        <r>
          <rPr>
            <sz val="9"/>
            <color indexed="81"/>
            <rFont val="Tahoma"/>
            <family val="2"/>
          </rPr>
          <t xml:space="preserve">Pode ser identificada a percentagem de utilização para cada um dos itens. A soma das percentagens tem que totalizar 100%. </t>
        </r>
      </text>
    </comment>
    <comment ref="J102" authorId="0" shapeId="0" xr:uid="{66C0F285-C6F1-469D-B14A-8AB093A291CC}">
      <text>
        <r>
          <rPr>
            <sz val="9"/>
            <color indexed="81"/>
            <rFont val="Tahoma"/>
            <family val="2"/>
          </rPr>
          <t xml:space="preserve">Pode ser escolhida mais do que uma opção, assinalando com "1" a(s) opção(ões) selecionada(s). 
</t>
        </r>
      </text>
    </comment>
    <comment ref="J109" authorId="1" shapeId="0" xr:uid="{5303E680-F762-450F-BFC8-6FA8C6834DAB}">
      <text>
        <r>
          <rPr>
            <sz val="9"/>
            <color indexed="81"/>
            <rFont val="Tahoma"/>
            <family val="2"/>
          </rPr>
          <t xml:space="preserve">Deve ser escolhida apenas uma opção, assinalando com "1" a opção selecionada. </t>
        </r>
      </text>
    </comment>
    <comment ref="J116" authorId="1" shapeId="0" xr:uid="{743E161A-1365-45E4-B171-3DD1101FD3FB}">
      <text>
        <r>
          <rPr>
            <sz val="9"/>
            <color indexed="81"/>
            <rFont val="Tahoma"/>
            <family val="2"/>
          </rPr>
          <t xml:space="preserve">Deve ser escolhida apenas uma opção, assinalando com "1" a opção selecionada. </t>
        </r>
      </text>
    </comment>
    <comment ref="J122" authorId="1" shapeId="0" xr:uid="{695C8FFE-D286-4AB8-B1E5-FBE7F242C6A3}">
      <text>
        <r>
          <rPr>
            <sz val="9"/>
            <color indexed="81"/>
            <rFont val="Tahoma"/>
            <family val="2"/>
          </rPr>
          <t xml:space="preserve">Deve ser escolhida apenas uma opção, assinalando com "1" a opção selecionada. </t>
        </r>
      </text>
    </comment>
    <comment ref="J127" authorId="1" shapeId="0" xr:uid="{E709F454-73F9-4FA6-AD25-3E31B670F46B}">
      <text>
        <r>
          <rPr>
            <sz val="9"/>
            <color indexed="81"/>
            <rFont val="Tahoma"/>
            <family val="2"/>
          </rPr>
          <t xml:space="preserve">Deve ser escolhida apenas uma opção, assinalando com "1" a opção selecionada. </t>
        </r>
      </text>
    </comment>
    <comment ref="J133" authorId="1" shapeId="0" xr:uid="{1051D1F9-A3ED-4C6B-AECC-FC72939417D7}">
      <text>
        <r>
          <rPr>
            <sz val="9"/>
            <color indexed="81"/>
            <rFont val="Tahoma"/>
            <family val="2"/>
          </rPr>
          <t xml:space="preserve">Pode ser identificada a percentagem de utilização para cada um dos itens. A soma das percentagens pode totalizar mais de 100%. </t>
        </r>
      </text>
    </comment>
    <comment ref="J141" authorId="1" shapeId="0" xr:uid="{B0304C3A-105D-4334-9219-182BFC92DFB6}">
      <text>
        <r>
          <rPr>
            <sz val="9"/>
            <color indexed="81"/>
            <rFont val="Tahoma"/>
            <family val="2"/>
          </rPr>
          <t xml:space="preserve">Pode ser identificada a percentagem de utilização para cada um dos itens. A soma das percentagens tem que totalizar 100%. </t>
        </r>
      </text>
    </comment>
    <comment ref="J150" authorId="1" shapeId="0" xr:uid="{7A989053-8706-4863-8B4C-8F96C91692D2}">
      <text>
        <r>
          <rPr>
            <sz val="9"/>
            <color indexed="81"/>
            <rFont val="Tahoma"/>
            <family val="2"/>
          </rPr>
          <t xml:space="preserve">Pode ser identificada a percentagem de utilização para cada um dos itens. A soma das percentagens tem que totalizar 100%. </t>
        </r>
      </text>
    </comment>
    <comment ref="J159" authorId="1" shapeId="0" xr:uid="{E8B7F5A6-ABA9-4CB8-A120-F188CEDC75C8}">
      <text>
        <r>
          <rPr>
            <sz val="9"/>
            <color indexed="81"/>
            <rFont val="Tahoma"/>
            <family val="2"/>
          </rPr>
          <t xml:space="preserve">Pode ser identificada a percentagem de utilização para cada um dos itens. A soma das percentagens tem que totalizar 100%. </t>
        </r>
      </text>
    </comment>
    <comment ref="J166" authorId="1" shapeId="0" xr:uid="{F51DC492-1DB4-425B-9372-D8988DAA983F}">
      <text>
        <r>
          <rPr>
            <sz val="9"/>
            <color indexed="81"/>
            <rFont val="Tahoma"/>
            <family val="2"/>
          </rPr>
          <t xml:space="preserve">Pode ser identificada a percentagem de utilização para cada um dos itens. A soma das percentagens tem que totalizar 100%. </t>
        </r>
      </text>
    </comment>
    <comment ref="J173" authorId="1" shapeId="0" xr:uid="{AEFD2E9C-2156-4422-8957-0D2665F29929}">
      <text>
        <r>
          <rPr>
            <sz val="9"/>
            <color indexed="81"/>
            <rFont val="Tahoma"/>
            <family val="2"/>
          </rPr>
          <t xml:space="preserve">Pode ser identificada a percentagem de utilização para cada um dos itens. A soma das percentagens tem que totalizar 100%. </t>
        </r>
      </text>
    </comment>
    <comment ref="J179" authorId="1" shapeId="0" xr:uid="{AFD65021-15D0-4427-B35E-2A3E0D6ED008}">
      <text>
        <r>
          <rPr>
            <sz val="9"/>
            <color indexed="81"/>
            <rFont val="Tahoma"/>
            <family val="2"/>
          </rPr>
          <t xml:space="preserve">Pode ser identificada a percentagem de utilização para cada um dos itens. A soma das percentagens pode totalizar mais de 100%. </t>
        </r>
      </text>
    </comment>
    <comment ref="J185" authorId="1" shapeId="0" xr:uid="{4AD668B9-4D7A-48EA-B526-A8EF4767512A}">
      <text>
        <r>
          <rPr>
            <sz val="9"/>
            <color indexed="81"/>
            <rFont val="Tahoma"/>
            <family val="2"/>
          </rPr>
          <t xml:space="preserve">Pode ser identificada a percentagem de utilização para cada um dos itens. A soma das percentagens pode totalizar mais de 100%. </t>
        </r>
      </text>
    </comment>
    <comment ref="J193" authorId="1" shapeId="0" xr:uid="{8432AB62-F4A9-4432-ABC0-904136D736CE}">
      <text>
        <r>
          <rPr>
            <sz val="9"/>
            <color indexed="81"/>
            <rFont val="Tahoma"/>
            <family val="2"/>
          </rPr>
          <t xml:space="preserve">Pode ser identificada a percentagem de utilização para cada um dos itens. A soma das percentagens tem que totalizar 100%. </t>
        </r>
      </text>
    </comment>
    <comment ref="J199" authorId="1" shapeId="0" xr:uid="{642533B0-8115-49EB-A112-C09A8CC40401}">
      <text>
        <r>
          <rPr>
            <sz val="9"/>
            <color indexed="81"/>
            <rFont val="Tahoma"/>
            <family val="2"/>
          </rPr>
          <t xml:space="preserve">Pode ser identificada a percentagem de utilização para cada um dos itens. A soma das percentagens tem que totalizar 100%. </t>
        </r>
      </text>
    </comment>
    <comment ref="J209" authorId="0" shapeId="0" xr:uid="{3C0F7CF2-D32A-431B-8F2D-C59EF8ED91E3}">
      <text>
        <r>
          <rPr>
            <sz val="9"/>
            <color indexed="81"/>
            <rFont val="Tahoma"/>
            <family val="2"/>
          </rPr>
          <t>% da totalidade dos dispositivos deste tipo. Possibilidade de multiplas opções.</t>
        </r>
      </text>
    </comment>
    <comment ref="G217" authorId="0" shapeId="0" xr:uid="{79D0DF83-5740-4E0A-B3D1-BE54E5724B62}">
      <text>
        <r>
          <rPr>
            <sz val="9"/>
            <color indexed="81"/>
            <rFont val="Tahoma"/>
            <family val="2"/>
          </rPr>
          <t>Medir o caudal para os chuveiros de mão (móveis) e de teto (fixos).</t>
        </r>
      </text>
    </comment>
    <comment ref="J217" authorId="0" shapeId="0" xr:uid="{9E44016A-38AB-4400-A5A9-037041806271}">
      <text>
        <r>
          <rPr>
            <sz val="9"/>
            <color indexed="81"/>
            <rFont val="Tahoma"/>
            <family val="2"/>
          </rPr>
          <t>% do total de dispositivos deste tipo que existem nas unidades de alojamento objeto de avaliação.</t>
        </r>
      </text>
    </comment>
    <comment ref="J223" authorId="0" shapeId="0" xr:uid="{D54CEA59-6B7F-44E4-9F65-B8D11A5ACB82}">
      <text>
        <r>
          <rPr>
            <sz val="9"/>
            <color indexed="81"/>
            <rFont val="Tahoma"/>
            <family val="2"/>
          </rPr>
          <t>% do total de dispositivos deste tipo que existem nas unidades de alojamento objeto de avaliação.</t>
        </r>
      </text>
    </comment>
    <comment ref="J228" authorId="0" shapeId="0" xr:uid="{45644BA4-38F6-47AA-B35D-F693EBEB550C}">
      <text>
        <r>
          <rPr>
            <sz val="9"/>
            <color indexed="81"/>
            <rFont val="Tahoma"/>
            <family val="2"/>
          </rPr>
          <t>% do total de dispositivos deste tipo que existem nas unidades de alojamento objeto de avaliação.</t>
        </r>
      </text>
    </comment>
    <comment ref="J233" authorId="0" shapeId="0" xr:uid="{3207E817-B2ED-4408-B5E3-728D0C2205C1}">
      <text>
        <r>
          <rPr>
            <sz val="9"/>
            <color indexed="81"/>
            <rFont val="Tahoma"/>
            <family val="2"/>
          </rPr>
          <t>% do total de dispositivos deste tipo que existem nas unidades de alojamento objeto de avaliação.</t>
        </r>
      </text>
    </comment>
    <comment ref="J240" authorId="0" shapeId="0" xr:uid="{A576A4A1-7B20-4019-84E7-E9ACF8DCE6AD}">
      <text>
        <r>
          <rPr>
            <sz val="9"/>
            <color indexed="81"/>
            <rFont val="Tahoma"/>
            <family val="2"/>
          </rPr>
          <t>% da totalidade dos dispositivos deste tipo. Possibilidade de multiplas opções.</t>
        </r>
      </text>
    </comment>
    <comment ref="J248" authorId="0" shapeId="0" xr:uid="{2DE1B3F0-E2B6-48CB-9E68-A4A5680E2CFF}">
      <text>
        <r>
          <rPr>
            <sz val="9"/>
            <color indexed="81"/>
            <rFont val="Tahoma"/>
            <family val="2"/>
          </rPr>
          <t>% do total de dispositivos deste tipo que existem nas unidades de alojamento objeto de avaliação.</t>
        </r>
      </text>
    </comment>
    <comment ref="J254" authorId="0" shapeId="0" xr:uid="{2E27EF12-1C2A-4E16-A2F7-42FD6D71C153}">
      <text>
        <r>
          <rPr>
            <sz val="9"/>
            <color indexed="81"/>
            <rFont val="Tahoma"/>
            <family val="2"/>
          </rPr>
          <t>% do total de dispositivos deste tipo que existem nas unidades de alojamento objeto de avaliação.</t>
        </r>
      </text>
    </comment>
    <comment ref="J259" authorId="0" shapeId="0" xr:uid="{BC8D924B-EC11-436E-9849-95104CF584BC}">
      <text>
        <r>
          <rPr>
            <sz val="9"/>
            <color indexed="81"/>
            <rFont val="Tahoma"/>
            <family val="2"/>
          </rPr>
          <t>% do total de dispositivos deste tipo que existem nas unidades de alojamento objeto de avaliação.</t>
        </r>
      </text>
    </comment>
    <comment ref="J266" authorId="0" shapeId="0" xr:uid="{3DCD5997-8068-44CC-AF57-008BD79A75AB}">
      <text>
        <r>
          <rPr>
            <sz val="9"/>
            <color indexed="81"/>
            <rFont val="Tahoma"/>
            <family val="2"/>
          </rPr>
          <t>% da totalidade dos dispositivos deste tipo. Possibilidade de multiplas opções.</t>
        </r>
      </text>
    </comment>
    <comment ref="J274" authorId="0" shapeId="0" xr:uid="{D1FA9AE4-47B5-4DD5-AD2F-865C8E20BB5E}">
      <text>
        <r>
          <rPr>
            <sz val="9"/>
            <color indexed="81"/>
            <rFont val="Tahoma"/>
            <family val="2"/>
          </rPr>
          <t>% do total de dispositivos deste tipo que existem nas unidades de alojamento objeto de avaliação.</t>
        </r>
      </text>
    </comment>
    <comment ref="J279" authorId="0" shapeId="0" xr:uid="{6073E21C-0F7D-423E-945E-FEC61BE60A2D}">
      <text>
        <r>
          <rPr>
            <sz val="9"/>
            <color indexed="81"/>
            <rFont val="Tahoma"/>
            <family val="2"/>
          </rPr>
          <t>% do total de dispositivos deste tipo que existem nas unidades de alojamento objeto de avaliação.</t>
        </r>
      </text>
    </comment>
    <comment ref="J284" authorId="0" shapeId="0" xr:uid="{FFAA5C1C-A497-4746-A18F-5A89A6DA7B2A}">
      <text>
        <r>
          <rPr>
            <sz val="9"/>
            <color indexed="81"/>
            <rFont val="Tahoma"/>
            <family val="2"/>
          </rPr>
          <t>% do total de dispositivos deste tipo que existem nas unidades de alojamento objeto de avaliação.</t>
        </r>
      </text>
    </comment>
    <comment ref="J289" authorId="0" shapeId="0" xr:uid="{D01E7FA0-2187-4E32-9E7A-C68D09B4D90A}">
      <text>
        <r>
          <rPr>
            <sz val="9"/>
            <color indexed="81"/>
            <rFont val="Tahoma"/>
            <family val="2"/>
          </rPr>
          <t>% do total de dispositivos deste tipo que existem nas unidades de alojamento objeto de avaliação.</t>
        </r>
      </text>
    </comment>
    <comment ref="J296" authorId="0" shapeId="0" xr:uid="{EA56BA62-276C-4D14-8D48-40B7F7EC6606}">
      <text>
        <r>
          <rPr>
            <sz val="9"/>
            <color indexed="81"/>
            <rFont val="Tahoma"/>
            <family val="2"/>
          </rPr>
          <t>% da totalidade dos dispositivos deste tipo. Possibilidade de multiplas opções.</t>
        </r>
      </text>
    </comment>
    <comment ref="J302" authorId="0" shapeId="0" xr:uid="{F06AEF67-1CB0-4172-BCC3-80570EDBA859}">
      <text>
        <r>
          <rPr>
            <sz val="9"/>
            <color indexed="81"/>
            <rFont val="Tahoma"/>
            <family val="2"/>
          </rPr>
          <t>% do total de dispositivos deste tipo que existem nas unidades de alojamento objeto de avaliação.</t>
        </r>
      </text>
    </comment>
    <comment ref="J307" authorId="0" shapeId="0" xr:uid="{BCCC0245-8F8A-4229-9DF8-4B4C6E15AFDA}">
      <text>
        <r>
          <rPr>
            <sz val="9"/>
            <color indexed="81"/>
            <rFont val="Tahoma"/>
            <family val="2"/>
          </rPr>
          <t>% do total de dispositivos deste tipo que existem nas unidades de alojamento objeto de avaliação.</t>
        </r>
      </text>
    </comment>
    <comment ref="J312" authorId="0" shapeId="0" xr:uid="{7749E45A-D322-4181-8165-4599D72AECCE}">
      <text>
        <r>
          <rPr>
            <sz val="9"/>
            <color indexed="81"/>
            <rFont val="Tahoma"/>
            <family val="2"/>
          </rPr>
          <t>% do total de dispositivos deste tipo que existem nas unidades de alojamento objeto de avaliação.</t>
        </r>
      </text>
    </comment>
    <comment ref="J319" authorId="0" shapeId="0" xr:uid="{04E393DA-D4A9-4A1C-A25B-2BB17DDBC976}">
      <text>
        <r>
          <rPr>
            <sz val="9"/>
            <color indexed="81"/>
            <rFont val="Tahoma"/>
            <family val="2"/>
          </rPr>
          <t>% da totalidade dos dispositivos deste tipo. Possibilidade de multiplas opções.</t>
        </r>
      </text>
    </comment>
    <comment ref="J327" authorId="0" shapeId="0" xr:uid="{271AFB7B-A0B0-4DD7-BA6C-E742B189D537}">
      <text>
        <r>
          <rPr>
            <sz val="9"/>
            <color indexed="81"/>
            <rFont val="Tahoma"/>
            <family val="2"/>
          </rPr>
          <t>% do total de dispositivos deste tipo que existem nas unidades de alojamento objeto de avaliação.</t>
        </r>
      </text>
    </comment>
    <comment ref="J332" authorId="0" shapeId="0" xr:uid="{20C52A58-55D8-4527-8EB4-1189D21E2FC9}">
      <text>
        <r>
          <rPr>
            <sz val="9"/>
            <color indexed="81"/>
            <rFont val="Tahoma"/>
            <family val="2"/>
          </rPr>
          <t>% do total de dispositivos deste tipo que existem nas unidades de alojamento objeto de avaliação.</t>
        </r>
      </text>
    </comment>
    <comment ref="J337" authorId="0" shapeId="0" xr:uid="{88395033-CB03-4131-93F6-0B177B89C6B2}">
      <text>
        <r>
          <rPr>
            <sz val="9"/>
            <color indexed="81"/>
            <rFont val="Tahoma"/>
            <family val="2"/>
          </rPr>
          <t>% do total de dispositivos deste tipo que existem nas unidades de alojamento objeto de avaliação.</t>
        </r>
      </text>
    </comment>
    <comment ref="J342" authorId="0" shapeId="0" xr:uid="{95DDB008-381C-4D23-AC77-7B95B0450E27}">
      <text>
        <r>
          <rPr>
            <sz val="9"/>
            <color indexed="81"/>
            <rFont val="Tahoma"/>
            <family val="2"/>
          </rPr>
          <t>% do total de dispositivos deste tipo que existem nas unidades de alojamento objeto de avaliação.</t>
        </r>
      </text>
    </comment>
    <comment ref="J349" authorId="0" shapeId="0" xr:uid="{C685019D-6626-480D-914F-447BCF53C279}">
      <text>
        <r>
          <rPr>
            <sz val="9"/>
            <color indexed="81"/>
            <rFont val="Tahoma"/>
            <family val="2"/>
          </rPr>
          <t>% da totalidade dos equipamentos deste tipo. Possibilidade de multiplas opções.</t>
        </r>
      </text>
    </comment>
    <comment ref="J356" authorId="0" shapeId="0" xr:uid="{81B74AF2-EFEA-4457-94A1-FD12B37D3408}">
      <text>
        <r>
          <rPr>
            <sz val="9"/>
            <color indexed="81"/>
            <rFont val="Tahoma"/>
            <family val="2"/>
          </rPr>
          <t>% do total de equipamentos deste tipo que existem nas unidades de alojamento objeto de avaliação.</t>
        </r>
      </text>
    </comment>
    <comment ref="J362" authorId="0" shapeId="0" xr:uid="{ED3C2638-8C09-4E1C-8064-0B9BBCC25FF4}">
      <text>
        <r>
          <rPr>
            <sz val="9"/>
            <color indexed="81"/>
            <rFont val="Tahoma"/>
            <family val="2"/>
          </rPr>
          <t>% do total de equipamentos deste tipo que existem nas unidades de alojamento objeto de avaliação.</t>
        </r>
      </text>
    </comment>
    <comment ref="J369" authorId="0" shapeId="0" xr:uid="{08268B41-B2D0-4B89-8148-326CCF526061}">
      <text>
        <r>
          <rPr>
            <sz val="9"/>
            <color indexed="81"/>
            <rFont val="Tahoma"/>
            <family val="2"/>
          </rPr>
          <t>% da totalidade dos equipamentos deste tipo. Possibilidade de multiplas opções.</t>
        </r>
      </text>
    </comment>
    <comment ref="J377" authorId="0" shapeId="0" xr:uid="{651A0A1E-AFBB-4130-AB69-82B353502248}">
      <text>
        <r>
          <rPr>
            <sz val="9"/>
            <color indexed="81"/>
            <rFont val="Tahoma"/>
            <family val="2"/>
          </rPr>
          <t>% do total de equipamentos deste tipo que existem nas unidades de alojamento objeto de avaliação.</t>
        </r>
      </text>
    </comment>
    <comment ref="J383" authorId="0" shapeId="0" xr:uid="{D99EDA0A-0967-4600-BBDF-91DF2F6481D6}">
      <text>
        <r>
          <rPr>
            <sz val="9"/>
            <color indexed="81"/>
            <rFont val="Tahoma"/>
            <family val="2"/>
          </rPr>
          <t>% do total de equipamentos deste tipo que existem nas unidades de alojamento objeto de avaliação.</t>
        </r>
      </text>
    </comment>
    <comment ref="D389" authorId="3" shapeId="0" xr:uid="{FD5763B8-3710-4C19-B583-CA980F8A4DC6}">
      <text>
        <r>
          <rPr>
            <sz val="9"/>
            <color indexed="81"/>
            <rFont val="Tahoma"/>
            <family val="2"/>
          </rPr>
          <t xml:space="preserve">Inclui WC do </t>
        </r>
        <r>
          <rPr>
            <i/>
            <sz val="9"/>
            <color indexed="81"/>
            <rFont val="Tahoma"/>
            <family val="2"/>
          </rPr>
          <t>staff</t>
        </r>
      </text>
    </comment>
    <comment ref="J392" authorId="0" shapeId="0" xr:uid="{81B9CCE4-9557-469C-936D-677DC768CE01}">
      <text>
        <r>
          <rPr>
            <sz val="9"/>
            <color indexed="81"/>
            <rFont val="Tahoma"/>
            <family val="2"/>
          </rPr>
          <t>% da totalidade dos dispositivos deste tipo. Possibilidade de multiplas opções.</t>
        </r>
      </text>
    </comment>
    <comment ref="J400" authorId="0" shapeId="0" xr:uid="{24DC3DBB-12C2-4775-ACB9-66CEFF78B8B0}">
      <text>
        <r>
          <rPr>
            <sz val="9"/>
            <color indexed="81"/>
            <rFont val="Tahoma"/>
            <family val="2"/>
          </rPr>
          <t>% do total de dispositivos deste tipo que existem nas casas de banho/balneários objeto de avaliação.</t>
        </r>
      </text>
    </comment>
    <comment ref="J406" authorId="0" shapeId="0" xr:uid="{C678AAC5-A97B-4F4D-A677-216F64728825}">
      <text>
        <r>
          <rPr>
            <sz val="9"/>
            <color indexed="81"/>
            <rFont val="Tahoma"/>
            <family val="2"/>
          </rPr>
          <t>% do total de dispositivos deste tipo que existem nas casas de banho/balneários objeto de avaliação.</t>
        </r>
      </text>
    </comment>
    <comment ref="J411" authorId="0" shapeId="0" xr:uid="{764A6044-E8B5-4838-9AE8-85F54055D5B3}">
      <text>
        <r>
          <rPr>
            <sz val="9"/>
            <color indexed="81"/>
            <rFont val="Tahoma"/>
            <family val="2"/>
          </rPr>
          <t>% do total de dispositivos deste tipo que existem nas casas de banho/balneários objeto de avaliação.</t>
        </r>
      </text>
    </comment>
    <comment ref="J418" authorId="0" shapeId="0" xr:uid="{2E0A39FC-A684-4452-BF54-9E85B7E6E3D4}">
      <text>
        <r>
          <rPr>
            <sz val="9"/>
            <color indexed="81"/>
            <rFont val="Tahoma"/>
            <family val="2"/>
          </rPr>
          <t>% da totalidade dos dispositivos deste tipo. Possibilidade de multiplas opções.</t>
        </r>
      </text>
    </comment>
    <comment ref="J425" authorId="0" shapeId="0" xr:uid="{1DE4BEAD-A014-4FBC-9664-C2948D9AD0FE}">
      <text>
        <r>
          <rPr>
            <sz val="9"/>
            <color indexed="81"/>
            <rFont val="Tahoma"/>
            <family val="2"/>
          </rPr>
          <t>% do total de dispositivos deste tipo que existem nas casas de banho/balneários objeto de avaliação.</t>
        </r>
      </text>
    </comment>
    <comment ref="J431" authorId="0" shapeId="0" xr:uid="{A960C8A3-F881-491E-8558-D5A6D53693B9}">
      <text>
        <r>
          <rPr>
            <sz val="9"/>
            <color indexed="81"/>
            <rFont val="Tahoma"/>
            <family val="2"/>
          </rPr>
          <t>% do total de dispositivos deste tipo que existem nas casas de banho/balneários objeto de avaliação.</t>
        </r>
      </text>
    </comment>
    <comment ref="J436" authorId="0" shapeId="0" xr:uid="{40AA21C9-88F4-4EE4-B97B-9A9BA5420D50}">
      <text>
        <r>
          <rPr>
            <sz val="9"/>
            <color indexed="81"/>
            <rFont val="Tahoma"/>
            <family val="2"/>
          </rPr>
          <t>% do total de dispositivos deste tipo que existem nas casas de banho/balneários objeto de avaliação.</t>
        </r>
      </text>
    </comment>
    <comment ref="J443" authorId="0" shapeId="0" xr:uid="{34B75810-473D-4CEC-991E-005FCDB607DB}">
      <text>
        <r>
          <rPr>
            <sz val="9"/>
            <color indexed="81"/>
            <rFont val="Tahoma"/>
            <family val="2"/>
          </rPr>
          <t>% da totalidade dos dispositivos deste tipo. Possibilidade de multiplas opções.</t>
        </r>
      </text>
    </comment>
    <comment ref="J451" authorId="0" shapeId="0" xr:uid="{23A8CC53-D7FF-4D97-B80A-7095BB8695A6}">
      <text>
        <r>
          <rPr>
            <sz val="9"/>
            <color indexed="81"/>
            <rFont val="Tahoma"/>
            <family val="2"/>
          </rPr>
          <t>% do total de dispositivos deste tipo que existem nas casas de banho/balneários objeto de avaliação.</t>
        </r>
      </text>
    </comment>
    <comment ref="J456" authorId="0" shapeId="0" xr:uid="{2061D951-95C4-429B-B912-11CC300E4C6F}">
      <text>
        <r>
          <rPr>
            <sz val="9"/>
            <color indexed="81"/>
            <rFont val="Tahoma"/>
            <family val="2"/>
          </rPr>
          <t>% do total de dispositivos deste tipo que existem nas casas de banho/balneários objeto de avaliação.</t>
        </r>
      </text>
    </comment>
    <comment ref="J461" authorId="0" shapeId="0" xr:uid="{B830497D-55B0-459E-853C-B9305E4A9CAB}">
      <text>
        <r>
          <rPr>
            <sz val="9"/>
            <color indexed="81"/>
            <rFont val="Tahoma"/>
            <family val="2"/>
          </rPr>
          <t>% do total de dispositivos deste tipo que existem nas casas de banho/balneários objeto de avaliação.</t>
        </r>
      </text>
    </comment>
    <comment ref="J468" authorId="0" shapeId="0" xr:uid="{EFBD7A8B-D6DB-4F76-B953-B2A8127B8897}">
      <text>
        <r>
          <rPr>
            <sz val="9"/>
            <color indexed="81"/>
            <rFont val="Tahoma"/>
            <family val="2"/>
          </rPr>
          <t>% da totalidade dos dispositivos deste tipo. Possibilidade de multiplas opções.</t>
        </r>
      </text>
    </comment>
    <comment ref="J476" authorId="0" shapeId="0" xr:uid="{C36556CE-B381-429B-AE5F-0243959CFBFE}">
      <text>
        <r>
          <rPr>
            <sz val="9"/>
            <color indexed="81"/>
            <rFont val="Tahoma"/>
            <family val="2"/>
          </rPr>
          <t>% do total de dispositivos deste tipo que existem nas casas de banho/balneários objeto de avaliação.</t>
        </r>
      </text>
    </comment>
    <comment ref="J482" authorId="0" shapeId="0" xr:uid="{9E5E196E-6C18-4789-9AE6-84E844598553}">
      <text>
        <r>
          <rPr>
            <sz val="9"/>
            <color indexed="81"/>
            <rFont val="Tahoma"/>
            <family val="2"/>
          </rPr>
          <t>% do total de dispositivos deste tipo que existem nas casas de banho/balneários objeto de avaliação.</t>
        </r>
      </text>
    </comment>
    <comment ref="J487" authorId="0" shapeId="0" xr:uid="{BBF61883-AF94-4EC3-B882-C19A878D75A5}">
      <text>
        <r>
          <rPr>
            <sz val="9"/>
            <color indexed="81"/>
            <rFont val="Tahoma"/>
            <family val="2"/>
          </rPr>
          <t>% do total de dispositivos deste tipo que existem nas casas de banho/balneários objeto de avaliação.</t>
        </r>
      </text>
    </comment>
    <comment ref="J496" authorId="0" shapeId="0" xr:uid="{3E2CDEF2-C6B1-4904-99FF-0B8C51AD1352}">
      <text>
        <r>
          <rPr>
            <sz val="9"/>
            <color indexed="81"/>
            <rFont val="Tahoma"/>
            <family val="2"/>
          </rPr>
          <t>% da totalidade dos dispositivos deste tipo. Possibilidade de multiplas opções.</t>
        </r>
      </text>
    </comment>
    <comment ref="J503" authorId="0" shapeId="0" xr:uid="{A933B0AC-4A12-47F7-8423-CA6B93BBF904}">
      <text>
        <r>
          <rPr>
            <sz val="9"/>
            <color indexed="81"/>
            <rFont val="Tahoma"/>
            <family val="2"/>
          </rPr>
          <t>% do total de dispositivos deste tipo que existem nas cozinhas/restauração objeto de avaliação.</t>
        </r>
      </text>
    </comment>
    <comment ref="J508" authorId="0" shapeId="0" xr:uid="{13A82EE4-267C-45F7-8A67-62F87450A6F2}">
      <text>
        <r>
          <rPr>
            <sz val="9"/>
            <color indexed="81"/>
            <rFont val="Tahoma"/>
            <family val="2"/>
          </rPr>
          <t>% do total de dispositivos deste tipo que existem nas cozinhas/restauração objeto de avaliação.</t>
        </r>
      </text>
    </comment>
    <comment ref="J513" authorId="0" shapeId="0" xr:uid="{220EB8B3-9218-4FE6-89E7-F409EDB022B8}">
      <text>
        <r>
          <rPr>
            <sz val="9"/>
            <color indexed="81"/>
            <rFont val="Tahoma"/>
            <family val="2"/>
          </rPr>
          <t>% do total de dispositivos deste tipo que existem nas cozinhas/restauração objeto de avaliação.</t>
        </r>
      </text>
    </comment>
    <comment ref="J520" authorId="0" shapeId="0" xr:uid="{4DD6AACF-97D8-47F4-84B1-FACD1A85CDDD}">
      <text>
        <r>
          <rPr>
            <sz val="9"/>
            <color indexed="81"/>
            <rFont val="Tahoma"/>
            <family val="2"/>
          </rPr>
          <t>% do total de equipamentos deste tipo que existem nas cozinhas/restauração objeto de avaliação.</t>
        </r>
      </text>
    </comment>
    <comment ref="J525" authorId="0" shapeId="0" xr:uid="{0F849EBB-C978-4178-BF2B-6DC526664254}">
      <text>
        <r>
          <rPr>
            <sz val="9"/>
            <color indexed="81"/>
            <rFont val="Tahoma"/>
            <family val="2"/>
          </rPr>
          <t>% do total de equipamentos deste tipo que existem nas cozinhas/restauração objeto de avaliação.</t>
        </r>
      </text>
    </comment>
    <comment ref="J534" authorId="0" shapeId="0" xr:uid="{133DB059-AF46-4FAF-801E-F8F93EB8083A}">
      <text>
        <r>
          <rPr>
            <sz val="9"/>
            <color indexed="81"/>
            <rFont val="Tahoma"/>
            <family val="2"/>
          </rPr>
          <t>% da totalidade dos equipamentos deste tipo. Possibilidade de multiplas opções.</t>
        </r>
      </text>
    </comment>
    <comment ref="J544" authorId="0" shapeId="0" xr:uid="{E0B9C82A-2E0A-4812-88C2-561530C7D4DB}">
      <text>
        <r>
          <rPr>
            <sz val="9"/>
            <color indexed="81"/>
            <rFont val="Tahoma"/>
            <family val="2"/>
          </rPr>
          <t>% do total de equipamentos deste tipo que existem nas lavandarias objeto de avaliação.</t>
        </r>
      </text>
    </comment>
    <comment ref="J551" authorId="1" shapeId="0" xr:uid="{CCA0EAD6-4DE7-4002-9D6D-7A1C7798F22C}">
      <text>
        <r>
          <rPr>
            <sz val="9"/>
            <color indexed="81"/>
            <rFont val="Tahoma"/>
            <family val="2"/>
          </rPr>
          <t xml:space="preserve">Deve ser escolhida apenas uma opção, assinalando com "1" a opção selecionada. </t>
        </r>
      </text>
    </comment>
    <comment ref="J562" authorId="1" shapeId="0" xr:uid="{36CCBA8B-4FCC-4EF9-B620-4F76BF7B4C5E}">
      <text>
        <r>
          <rPr>
            <sz val="9"/>
            <color indexed="81"/>
            <rFont val="Tahoma"/>
            <family val="2"/>
          </rPr>
          <t xml:space="preserve">Deve ser escolhida apenas uma opção, assinalando com "1" a opção selecionada. </t>
        </r>
      </text>
    </comment>
    <comment ref="J569" authorId="1" shapeId="0" xr:uid="{C034D8B5-88ED-4FF8-9EAB-6ACCC7A1C527}">
      <text>
        <r>
          <rPr>
            <sz val="9"/>
            <color indexed="81"/>
            <rFont val="Tahoma"/>
            <family val="2"/>
          </rPr>
          <t xml:space="preserve">Percentagem de área regada que tem cada um dos métodos de deteção de fugas elencados. A soma das percentagens tem que totalizar 100%. </t>
        </r>
      </text>
    </comment>
    <comment ref="J575" authorId="1" shapeId="0" xr:uid="{1D7B6644-25E8-40C4-91C6-A33DB4536701}">
      <text>
        <r>
          <rPr>
            <sz val="9"/>
            <color indexed="81"/>
            <rFont val="Tahoma"/>
            <family val="2"/>
          </rPr>
          <t xml:space="preserve">Percentagem de área regada que tem cada um dos sistemas de controlo de rega elencados. A soma das percentagens tem que totalizar 100%. </t>
        </r>
      </text>
    </comment>
    <comment ref="J583" authorId="1" shapeId="0" xr:uid="{EA84CE6A-95D0-44E3-8EA3-BBB2D40246D4}">
      <text>
        <r>
          <rPr>
            <sz val="9"/>
            <color indexed="81"/>
            <rFont val="Tahoma"/>
            <family val="2"/>
          </rPr>
          <t xml:space="preserve">Deve ser escolhida apenas uma opção, assinalando com "1" a opção selecionada. </t>
        </r>
      </text>
    </comment>
    <comment ref="J588" authorId="1" shapeId="0" xr:uid="{E02EDC74-67D0-4F8B-BE3F-16569EC108B3}">
      <text>
        <r>
          <rPr>
            <sz val="9"/>
            <color indexed="81"/>
            <rFont val="Tahoma"/>
            <family val="2"/>
          </rPr>
          <t xml:space="preserve">Deve ser escolhida apenas uma opção, assinalando com "1" a opção selecionada. </t>
        </r>
      </text>
    </comment>
    <comment ref="J598" authorId="0" shapeId="0" xr:uid="{7D9AB290-40E9-402B-ACEF-87E0F62EB5DD}">
      <text>
        <r>
          <rPr>
            <sz val="9"/>
            <color indexed="81"/>
            <rFont val="Tahoma"/>
            <family val="2"/>
          </rPr>
          <t>Pode ser escolhida mais do que uma opção, assinalando com "1" a(s) opção(ões) selecionada(s). 
Unidade: existência de aproveitamento</t>
        </r>
      </text>
    </comment>
    <comment ref="J605" authorId="1" shapeId="0" xr:uid="{22A89AC2-06D0-4D57-AB74-C945D2D23217}">
      <text>
        <r>
          <rPr>
            <sz val="9"/>
            <color indexed="81"/>
            <rFont val="Tahoma"/>
            <family val="2"/>
          </rPr>
          <t xml:space="preserve">Deve ser escolhida apenas uma opção, assinalando com "1" a opção selecionada. </t>
        </r>
      </text>
    </comment>
    <comment ref="J612" authorId="1" shapeId="0" xr:uid="{16B7B361-3C22-4D3E-9167-7E7A0CC796BD}">
      <text>
        <r>
          <rPr>
            <sz val="9"/>
            <color indexed="81"/>
            <rFont val="Tahoma"/>
            <family val="2"/>
          </rPr>
          <t xml:space="preserve">Deve ser escolhida apenas uma opção, assinalando com "1" a opção selecionada. </t>
        </r>
      </text>
    </comment>
    <comment ref="J621" authorId="0" shapeId="0" xr:uid="{9BC281F9-B91A-434D-AC5C-5EFEE802A33C}">
      <text>
        <r>
          <rPr>
            <sz val="9"/>
            <color indexed="81"/>
            <rFont val="Tahoma"/>
            <family val="2"/>
          </rPr>
          <t>Pode ser escolhida mais do que uma opção, assinalando com "1" a(s) opção(ões) selecionada(s). 
Unidade: utilização de espécies de relva que minimizam o consumo de água</t>
        </r>
      </text>
    </comment>
    <comment ref="J628" authorId="1" shapeId="0" xr:uid="{A6ABA346-0E6B-401A-A25C-16A43BD0139D}">
      <text>
        <r>
          <rPr>
            <sz val="9"/>
            <color indexed="81"/>
            <rFont val="Tahoma"/>
            <family val="2"/>
          </rPr>
          <t xml:space="preserve">Deve ser escolhida apenas uma opção, assinalando com "1" a opção selecionada. </t>
        </r>
      </text>
    </comment>
    <comment ref="J638" authorId="3" shapeId="0" xr:uid="{F6AB6946-2348-426D-B165-523366BB950F}">
      <text>
        <r>
          <rPr>
            <sz val="9"/>
            <color indexed="81"/>
            <rFont val="Tahoma"/>
            <family val="2"/>
          </rPr>
          <t>% da rede abrangida por cada sistema de produção e acumulação AQS com cada uma das características.
A soma pode dar mais do que 100%.</t>
        </r>
      </text>
    </comment>
    <comment ref="J645" authorId="0" shapeId="0" xr:uid="{4C9E4E87-7E15-4732-9072-78AE31B0FA84}">
      <text>
        <r>
          <rPr>
            <sz val="9"/>
            <color indexed="81"/>
            <rFont val="Tahoma"/>
            <family val="2"/>
          </rPr>
          <t>% do total de sistemas deste tipo que existem no edifício que é objeto de avaliação.</t>
        </r>
      </text>
    </comment>
    <comment ref="J650" authorId="0" shapeId="0" xr:uid="{EAC21DE0-BB12-48C3-B6E8-A55FAB771870}">
      <text>
        <r>
          <rPr>
            <sz val="9"/>
            <color indexed="81"/>
            <rFont val="Tahoma"/>
            <family val="2"/>
          </rPr>
          <t>% do total de sistemas deste tipo que existem no edifício que é objeto de avaliação.</t>
        </r>
      </text>
    </comment>
    <comment ref="J655" authorId="0" shapeId="0" xr:uid="{F21E6EF1-26AF-49CB-9D8D-CB63A06AC0E9}">
      <text>
        <r>
          <rPr>
            <sz val="9"/>
            <color indexed="81"/>
            <rFont val="Tahoma"/>
            <family val="2"/>
          </rPr>
          <t>% do total de sistemas deste tipo que existem no edifício que é objeto de avaliação.</t>
        </r>
      </text>
    </comment>
    <comment ref="J660" authorId="0" shapeId="0" xr:uid="{642FF19B-2C02-45C6-A23F-7196D678FA60}">
      <text>
        <r>
          <rPr>
            <sz val="9"/>
            <color indexed="81"/>
            <rFont val="Tahoma"/>
            <family val="2"/>
          </rPr>
          <t>% do total de sistemas deste tipo que existem no edifício que é objeto de avaliação.</t>
        </r>
      </text>
    </comment>
    <comment ref="J667" authorId="0" shapeId="0" xr:uid="{294791F9-8465-45EA-A48B-56700426538F}">
      <text>
        <r>
          <rPr>
            <sz val="9"/>
            <color indexed="81"/>
            <rFont val="Tahoma"/>
            <family val="2"/>
          </rPr>
          <t>% de rede com isolamento térmico</t>
        </r>
      </text>
    </comment>
    <comment ref="J671" authorId="0" shapeId="0" xr:uid="{286B7589-B963-400A-8B62-2597CAA3D05F}">
      <text>
        <r>
          <rPr>
            <sz val="9"/>
            <color indexed="81"/>
            <rFont val="Tahoma"/>
            <family val="2"/>
          </rPr>
          <t>% de rede com circulação e retorno em cada um dos regimes de funcionamento</t>
        </r>
      </text>
    </comment>
    <comment ref="J680" authorId="0" shapeId="0" xr:uid="{3B30AF0B-2321-48E8-8714-845689CD9630}">
      <text>
        <r>
          <rPr>
            <sz val="9"/>
            <color indexed="81"/>
            <rFont val="Tahoma"/>
            <family val="2"/>
          </rPr>
          <t xml:space="preserve">Pode ser escolhida mais do que uma opção, assinalando com "1" a(s) opção(ões) selecionada(s). </t>
        </r>
      </text>
    </comment>
    <comment ref="J687" authorId="0" shapeId="0" xr:uid="{93B75118-7A8F-453C-B4DD-6851A7F38793}">
      <text>
        <r>
          <rPr>
            <sz val="9"/>
            <color indexed="81"/>
            <rFont val="Tahoma"/>
            <family val="2"/>
          </rPr>
          <t xml:space="preserve">Pode ser escolhida mais do que uma opção, assinalando com "1" a(s) opção(ões) selecionada(s). </t>
        </r>
      </text>
    </comment>
    <comment ref="J695" authorId="0" shapeId="0" xr:uid="{BDE36BC2-F680-48F2-9EE1-8CDF992EDBB0}">
      <text>
        <r>
          <rPr>
            <sz val="9"/>
            <color indexed="81"/>
            <rFont val="Tahoma"/>
            <family val="2"/>
          </rPr>
          <t xml:space="preserve">Pode ser escolhida mais do que uma opção, assinalando com "1" a(s) opção(ões) selecionada(s). </t>
        </r>
      </text>
    </comment>
    <comment ref="J703" authorId="0" shapeId="0" xr:uid="{F19CD92E-1248-44CC-9FD2-807B46076ABC}">
      <text>
        <r>
          <rPr>
            <sz val="9"/>
            <color indexed="81"/>
            <rFont val="Tahoma"/>
            <family val="2"/>
          </rPr>
          <t xml:space="preserve">Pode ser escolhida mais do que uma opção, assinalando com "1" a(s) opção(ões) selecionada(s). </t>
        </r>
      </text>
    </comment>
    <comment ref="J709" authorId="0" shapeId="0" xr:uid="{4306758D-1D7B-4DB1-80AF-470AC14739F8}">
      <text>
        <r>
          <rPr>
            <sz val="9"/>
            <color indexed="81"/>
            <rFont val="Tahoma"/>
            <family val="2"/>
          </rPr>
          <t xml:space="preserve">Pode ser escolhida mais do que uma opção, assinalando com "1" a(s) opção(ões) selecionada(s).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Vanessa Sofia Faia</author>
  </authors>
  <commentList>
    <comment ref="A5" authorId="0" shapeId="0" xr:uid="{5B48FCAF-515A-4D5B-8226-39CD5BF78ED8}">
      <text>
        <r>
          <rPr>
            <sz val="9"/>
            <color indexed="81"/>
            <rFont val="Tahoma"/>
            <family val="2"/>
          </rPr>
          <t>Sim ou Não</t>
        </r>
      </text>
    </comment>
    <comment ref="B83" authorId="0" shapeId="0" xr:uid="{35162CA4-D373-4C0F-8287-A24D8AF0CBE9}">
      <text>
        <r>
          <rPr>
            <sz val="9"/>
            <color indexed="81"/>
            <rFont val="Tahoma"/>
            <family val="2"/>
          </rPr>
          <t>Caso seja, colocar X, caso contrário, deixar em branco</t>
        </r>
      </text>
    </comment>
    <comment ref="B85" authorId="0" shapeId="0" xr:uid="{CE4A0A77-026E-4889-863F-40AC471651E0}">
      <text>
        <r>
          <rPr>
            <sz val="9"/>
            <color indexed="81"/>
            <rFont val="Tahoma"/>
            <family val="2"/>
          </rPr>
          <t>Caso se aplique, colocar X, caso contrário, deixar em branco</t>
        </r>
      </text>
    </comment>
    <comment ref="B86" authorId="0" shapeId="0" xr:uid="{1FC51932-D78F-4551-9F90-5042E838BC5C}">
      <text>
        <r>
          <rPr>
            <sz val="9"/>
            <color indexed="81"/>
            <rFont val="Tahoma"/>
            <family val="2"/>
          </rPr>
          <t>Caso se aplique, colocar X, caso contrário, deixar em branco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Vanessa Faia</author>
  </authors>
  <commentList>
    <comment ref="H1" authorId="0" shapeId="0" xr:uid="{F5AACF46-9824-4CC1-AF69-2B05308C1CFC}">
      <text>
        <r>
          <rPr>
            <sz val="9"/>
            <color indexed="81"/>
            <rFont val="Tahoma"/>
            <family val="2"/>
          </rPr>
          <t>Distribuição da ponderação da rega pelas piscinas e unidades de alojamento</t>
        </r>
      </text>
    </comment>
    <comment ref="I1" authorId="0" shapeId="0" xr:uid="{899A99A2-433E-4CFD-9198-FB30937700FD}">
      <text>
        <r>
          <rPr>
            <sz val="9"/>
            <color indexed="81"/>
            <rFont val="Tahoma"/>
            <family val="2"/>
          </rPr>
          <t>Distribuição da ponderação da piscina pelas fontes e redes de água, rega e unidades de alojamento</t>
        </r>
      </text>
    </comment>
    <comment ref="J1" authorId="0" shapeId="0" xr:uid="{75CEE462-EC48-48EA-B643-65606A1DF6E4}">
      <text>
        <r>
          <rPr>
            <sz val="9"/>
            <color indexed="81"/>
            <rFont val="Tahoma"/>
            <family val="2"/>
          </rPr>
          <t>Distribuição da ponderação do golfe pelas fontes alternativas, rega, piscina e unidades de alojamento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Vanessa Faia</author>
  </authors>
  <commentList>
    <comment ref="D9" authorId="0" shapeId="0" xr:uid="{8D6F864B-7534-4B01-9FD2-8B9D42EA5778}">
      <text>
        <r>
          <rPr>
            <sz val="9"/>
            <color indexed="81"/>
            <rFont val="Tahoma"/>
            <family val="2"/>
          </rPr>
          <t>Implica licenciamento</t>
        </r>
      </text>
    </comment>
  </commentList>
</comments>
</file>

<file path=xl/sharedStrings.xml><?xml version="1.0" encoding="utf-8"?>
<sst xmlns="http://schemas.openxmlformats.org/spreadsheetml/2006/main" count="4557" uniqueCount="2139">
  <si>
    <t xml:space="preserve">BEM VINDO AO AQUA+® </t>
  </si>
  <si>
    <t>BOM TRABALHO!</t>
  </si>
  <si>
    <t>Caracterização do empreendimento hoteleiro</t>
  </si>
  <si>
    <t>Dados</t>
  </si>
  <si>
    <t>Valor</t>
  </si>
  <si>
    <t>Tipo</t>
  </si>
  <si>
    <t>Observações</t>
  </si>
  <si>
    <t>Distrito</t>
  </si>
  <si>
    <t>Dropdown</t>
  </si>
  <si>
    <t>Município</t>
  </si>
  <si>
    <t>Entidade Gestora</t>
  </si>
  <si>
    <t>Automático</t>
  </si>
  <si>
    <t>Número de unidades de alojamento</t>
  </si>
  <si>
    <t xml:space="preserve">Valor numérico </t>
  </si>
  <si>
    <t>Amostra</t>
  </si>
  <si>
    <t>Valor médio do ano em análise</t>
  </si>
  <si>
    <t>Consumo anual [L/ano]</t>
  </si>
  <si>
    <t>Consumo específico [L/hóspede/noite]</t>
  </si>
  <si>
    <t>Fonte da informação</t>
  </si>
  <si>
    <t>Volume deposito de água pluvial [L]</t>
  </si>
  <si>
    <t>Introduzir valor</t>
  </si>
  <si>
    <t>Documentação técnica</t>
  </si>
  <si>
    <t>Usos exteriores</t>
  </si>
  <si>
    <t>Nome</t>
  </si>
  <si>
    <t>Áreas [m2]</t>
  </si>
  <si>
    <t>% áreas</t>
  </si>
  <si>
    <t xml:space="preserve">área lote </t>
  </si>
  <si>
    <t xml:space="preserve">área de implantação P0 </t>
  </si>
  <si>
    <t xml:space="preserve">área passivel de instalação cobertura verde </t>
  </si>
  <si>
    <r>
      <t>No caso da inclinação do telhado ser superior a 15</t>
    </r>
    <r>
      <rPr>
        <b/>
        <sz val="11"/>
        <rFont val="Calibri"/>
        <family val="2"/>
      </rPr>
      <t>° colocar 0, caso contrário verificar área de cobertura sem ocupação</t>
    </r>
  </si>
  <si>
    <t>área cobertura verde instalada</t>
  </si>
  <si>
    <t>Área ajardinada</t>
  </si>
  <si>
    <t>Área permeável não ajardinada</t>
  </si>
  <si>
    <t>área exterior impermeabilizada</t>
  </si>
  <si>
    <t xml:space="preserve">área exterior </t>
  </si>
  <si>
    <t>Número de lagos/fontes decorativas existentes</t>
  </si>
  <si>
    <t>Introduzir valor, se aplicável</t>
  </si>
  <si>
    <t>N.º dispositivos</t>
  </si>
  <si>
    <t>ID da Unidade de Alojamento</t>
  </si>
  <si>
    <t>Quantidade</t>
  </si>
  <si>
    <t>Lavatório casa banho</t>
  </si>
  <si>
    <t>Autoclismo</t>
  </si>
  <si>
    <t>Bidé/Chuveiro higiénico</t>
  </si>
  <si>
    <t>Base de duche</t>
  </si>
  <si>
    <t>Banheira</t>
  </si>
  <si>
    <t>Lava-loiças</t>
  </si>
  <si>
    <t>Máquina de lavar loiça</t>
  </si>
  <si>
    <t>Máquina de lavar roupa</t>
  </si>
  <si>
    <t>TOTAL</t>
  </si>
  <si>
    <t>Unidades de alojamento</t>
  </si>
  <si>
    <t>Registo de especificações e caudais dos chuveiros, lavatórios, bidés e lava-loiças da Unidade de Alojamento</t>
  </si>
  <si>
    <t>ID dispositivo</t>
  </si>
  <si>
    <t>Tipo de dispositivo</t>
  </si>
  <si>
    <t>Caudal Nominal [L/min]</t>
  </si>
  <si>
    <t>Caudal medido [L/min]</t>
  </si>
  <si>
    <t>Idade do dispositivo</t>
  </si>
  <si>
    <t>Fugas</t>
  </si>
  <si>
    <t>Classificação ANQIP A ou superior?</t>
  </si>
  <si>
    <t>Possui redutor de caudal/arejador?</t>
  </si>
  <si>
    <t>Possui posições fixas de caudal?</t>
  </si>
  <si>
    <t>Possui torneira misturadora termostática?</t>
  </si>
  <si>
    <t>Possui torneira temporizadora/com sensor?</t>
  </si>
  <si>
    <t>Registo de especificações e volumes dos autoclismos</t>
  </si>
  <si>
    <t>Tem duplo abastecimento de água?</t>
  </si>
  <si>
    <t>Tem dupla descarga?</t>
  </si>
  <si>
    <t>Tem descarga interrompida?</t>
  </si>
  <si>
    <t>Tem válvula de enchimento regulável?</t>
  </si>
  <si>
    <t>Registo de especificações e consumos dos equipamentos de lavagem</t>
  </si>
  <si>
    <t>Tipo de equipamento</t>
  </si>
  <si>
    <t>Marca e modelo</t>
  </si>
  <si>
    <t>Idade do equipamento</t>
  </si>
  <si>
    <t>Capacidade [kg ou talher]</t>
  </si>
  <si>
    <t>Consumo de água [L/ano]</t>
  </si>
  <si>
    <t>Consumo de água [L/(ciclo*capacidade)]</t>
  </si>
  <si>
    <t>Preencher apenas uma das opções acima</t>
  </si>
  <si>
    <t>Espaços comuns (balneários, casas de banho e cozinhas e restauração)</t>
  </si>
  <si>
    <t>Registo de especificações e caudais dos chuveiros (comuns e de balneários), lavatórios, e lava-loiças</t>
  </si>
  <si>
    <t>Possui torneira temporizadora?</t>
  </si>
  <si>
    <t>Registo de especificações e volumes dos autoclismos e fluxómetros</t>
  </si>
  <si>
    <t>Tem torneira temporizada ou sensor de presença?</t>
  </si>
  <si>
    <t>Tem caudal adaptado à utilização?</t>
  </si>
  <si>
    <t>Tem sistema sem consumo de água?</t>
  </si>
  <si>
    <t>Aplicável aos autoclismos</t>
  </si>
  <si>
    <t>Aplicável aos fluxómetros</t>
  </si>
  <si>
    <t>Equipamentos de lavagem</t>
  </si>
  <si>
    <t>Consumo de água [L/ciclo]</t>
  </si>
  <si>
    <t>Golfe</t>
  </si>
  <si>
    <t>Área total do campo</t>
  </si>
  <si>
    <t>Sistemas de produção e distribuição de água quente</t>
  </si>
  <si>
    <t>EG</t>
  </si>
  <si>
    <t>Máquina de lavar loiça fechada, especializada para pratos, copos e outros utensílios</t>
  </si>
  <si>
    <t>Sistema solar térmico</t>
  </si>
  <si>
    <t>não apresenta indícios de fuga</t>
  </si>
  <si>
    <t>Sistema de duche / chuveiro</t>
  </si>
  <si>
    <t>Évora</t>
  </si>
  <si>
    <t>Abrantes</t>
  </si>
  <si>
    <t>SM de Abrantes</t>
  </si>
  <si>
    <t>Máquina de lavar loiça fechada para uso geral</t>
  </si>
  <si>
    <t>Termoacumulador (resistência elétrica)</t>
  </si>
  <si>
    <t>apresenta indícios de fuga</t>
  </si>
  <si>
    <t>Lavatório de casa de banho</t>
  </si>
  <si>
    <t>Beja</t>
  </si>
  <si>
    <t>Águeda</t>
  </si>
  <si>
    <t>Águas da Região de Aveiro</t>
  </si>
  <si>
    <t>Sim</t>
  </si>
  <si>
    <t>Máquina de lavar loiça por tapete rolante</t>
  </si>
  <si>
    <t>Esquentador a gás</t>
  </si>
  <si>
    <t>apresenta evidências de fuga</t>
  </si>
  <si>
    <t>Bidé ou chuveiro higiénico</t>
  </si>
  <si>
    <t>Setúbal</t>
  </si>
  <si>
    <t>Aguiar da Beira</t>
  </si>
  <si>
    <t>CM de Aguiar da Beira</t>
  </si>
  <si>
    <t>Não</t>
  </si>
  <si>
    <t>Esquentador elétrico</t>
  </si>
  <si>
    <t>Faro</t>
  </si>
  <si>
    <t>Alandroal</t>
  </si>
  <si>
    <t>CM de Alandroal</t>
  </si>
  <si>
    <t>Caldeira a gás</t>
  </si>
  <si>
    <t>Portalegre</t>
  </si>
  <si>
    <t>Albergaria-a-Velha</t>
  </si>
  <si>
    <t>Caldeira a biomassa</t>
  </si>
  <si>
    <t>Fluxómetro</t>
  </si>
  <si>
    <t>Viana do Castelo</t>
  </si>
  <si>
    <t>Albufeira</t>
  </si>
  <si>
    <t>CM de Albufeira</t>
  </si>
  <si>
    <t>Caldeira de condensação</t>
  </si>
  <si>
    <t>Vila Real</t>
  </si>
  <si>
    <t>Alcácer do Sal</t>
  </si>
  <si>
    <t>CM de Alcácer do Sal</t>
  </si>
  <si>
    <t>Bomba de calor</t>
  </si>
  <si>
    <t>Lisboa</t>
  </si>
  <si>
    <t>Alcanena</t>
  </si>
  <si>
    <t>Luságua Alcanena</t>
  </si>
  <si>
    <t>Outro</t>
  </si>
  <si>
    <t>Aveiro</t>
  </si>
  <si>
    <t>Alcobaça</t>
  </si>
  <si>
    <t>SM de Alcobaça</t>
  </si>
  <si>
    <t>Porto</t>
  </si>
  <si>
    <t>Alcochete</t>
  </si>
  <si>
    <t>CM de Alcochete</t>
  </si>
  <si>
    <t>AQS</t>
  </si>
  <si>
    <t>MLR</t>
  </si>
  <si>
    <t>8 ou menos</t>
  </si>
  <si>
    <t>]8 a 12]</t>
  </si>
  <si>
    <t>&gt; 12</t>
  </si>
  <si>
    <t>MLL</t>
  </si>
  <si>
    <t>Braga</t>
  </si>
  <si>
    <t>Alcoutim</t>
  </si>
  <si>
    <t>CM de Alcoutim</t>
  </si>
  <si>
    <t>5 ou menos</t>
  </si>
  <si>
    <t>Qtd</t>
  </si>
  <si>
    <t>fechada, especializada para pratos, copos e outros utensílios</t>
  </si>
  <si>
    <t>Castelo Branco</t>
  </si>
  <si>
    <t>Alenquer</t>
  </si>
  <si>
    <t>Águas de Alenquer</t>
  </si>
  <si>
    <t>]5 a 15]</t>
  </si>
  <si>
    <t>fechada para uso geral</t>
  </si>
  <si>
    <t>Guarda</t>
  </si>
  <si>
    <t>Alfândega da Fé</t>
  </si>
  <si>
    <t>CM de Alfândega da Fé</t>
  </si>
  <si>
    <t>mais de 15</t>
  </si>
  <si>
    <t>por tapete rolante</t>
  </si>
  <si>
    <t>Bragança</t>
  </si>
  <si>
    <t>Alijó</t>
  </si>
  <si>
    <t>CM de Alijó</t>
  </si>
  <si>
    <t>Total</t>
  </si>
  <si>
    <t>Viseu</t>
  </si>
  <si>
    <t>Aljezur</t>
  </si>
  <si>
    <t>CM de Aljezur</t>
  </si>
  <si>
    <t>Santarém</t>
  </si>
  <si>
    <t>Aljustrel</t>
  </si>
  <si>
    <t>CM de Aljustrel</t>
  </si>
  <si>
    <t>certificado</t>
  </si>
  <si>
    <t>≤ 7 L/min</t>
  </si>
  <si>
    <t>sem indícios fugas</t>
  </si>
  <si>
    <t>≤ 5 anos</t>
  </si>
  <si>
    <t>Leiria</t>
  </si>
  <si>
    <t>Almada</t>
  </si>
  <si>
    <t>SMAS de Almada</t>
  </si>
  <si>
    <t>redutor</t>
  </si>
  <si>
    <t>]7;9]</t>
  </si>
  <si>
    <t>indícios fuga</t>
  </si>
  <si>
    <t>Madeira</t>
  </si>
  <si>
    <t>Almeida</t>
  </si>
  <si>
    <t>CM de Almeida</t>
  </si>
  <si>
    <t>eco-stop</t>
  </si>
  <si>
    <t>]9;15]</t>
  </si>
  <si>
    <t>evidências fuga</t>
  </si>
  <si>
    <t>&gt; 15 anos</t>
  </si>
  <si>
    <t>Madeira, Ilhas Desertas</t>
  </si>
  <si>
    <t>Almeirim</t>
  </si>
  <si>
    <t>Águas do Ribatejo</t>
  </si>
  <si>
    <t>termostática</t>
  </si>
  <si>
    <t>&gt; 15 L/min</t>
  </si>
  <si>
    <t>Madeira, Ilhas Selvagens</t>
  </si>
  <si>
    <t>Almodôvar</t>
  </si>
  <si>
    <t>CM de Almodôvar</t>
  </si>
  <si>
    <t>temporizada/com sensor</t>
  </si>
  <si>
    <t>Porto Santo</t>
  </si>
  <si>
    <t>Alpiarça</t>
  </si>
  <si>
    <t>nenhuma</t>
  </si>
  <si>
    <t>vazio</t>
  </si>
  <si>
    <t>Corvo</t>
  </si>
  <si>
    <t>Alter do Chão</t>
  </si>
  <si>
    <t>CM de Alter do Chão</t>
  </si>
  <si>
    <t>Faial</t>
  </si>
  <si>
    <t>Alvaiázere</t>
  </si>
  <si>
    <t>CM de Alvaiázere</t>
  </si>
  <si>
    <t>≤ 8 L/min</t>
  </si>
  <si>
    <t>Flores</t>
  </si>
  <si>
    <t>Alvito</t>
  </si>
  <si>
    <t>CM de Alvito</t>
  </si>
  <si>
    <t>]8;12]</t>
  </si>
  <si>
    <t>Graciosa</t>
  </si>
  <si>
    <t>Amadora</t>
  </si>
  <si>
    <t>SIMAS de Oeiras e Amadora</t>
  </si>
  <si>
    <t>&gt; 12 L/min</t>
  </si>
  <si>
    <t>Pico</t>
  </si>
  <si>
    <t>Amarante</t>
  </si>
  <si>
    <t>Águas do Norte (Parceria Estado/municípios)</t>
  </si>
  <si>
    <t>Santa Maria</t>
  </si>
  <si>
    <t>Amares</t>
  </si>
  <si>
    <t>CM de Amares</t>
  </si>
  <si>
    <t>São Jorge</t>
  </si>
  <si>
    <t>Anadia</t>
  </si>
  <si>
    <t>CM de Anadia</t>
  </si>
  <si>
    <t>São Miguel</t>
  </si>
  <si>
    <t>Ansião</t>
  </si>
  <si>
    <t>CM de Ansião</t>
  </si>
  <si>
    <t>Terceira</t>
  </si>
  <si>
    <t>Arcos de Valdevez</t>
  </si>
  <si>
    <t>CM de Arcos de Valdevez</t>
  </si>
  <si>
    <t>Coimbra</t>
  </si>
  <si>
    <t>Arganil</t>
  </si>
  <si>
    <t>CM de Arganil</t>
  </si>
  <si>
    <t>≤ 8 anos</t>
  </si>
  <si>
    <t>≤ 0,60 L/ciclo*talher</t>
  </si>
  <si>
    <t>≤ 4,5 L/ciclo*kg</t>
  </si>
  <si>
    <t>Armamar</t>
  </si>
  <si>
    <t>CM de Armamar</t>
  </si>
  <si>
    <t>]0,60 e 0,90]</t>
  </si>
  <si>
    <t>]4,5 e 5,5]</t>
  </si>
  <si>
    <t>Arouca</t>
  </si>
  <si>
    <t>]0,90 e 1,20]</t>
  </si>
  <si>
    <t>]5,5 e 6,5]</t>
  </si>
  <si>
    <t>Arraiolos</t>
  </si>
  <si>
    <t>CM de Arraiolos</t>
  </si>
  <si>
    <t>&gt; 1,20 L/ciclo*talher</t>
  </si>
  <si>
    <t>&gt; 6,5 L/ciclo*kg</t>
  </si>
  <si>
    <t>Arronches</t>
  </si>
  <si>
    <t>CM de Arronches</t>
  </si>
  <si>
    <t>Arruda dos Vinhos</t>
  </si>
  <si>
    <t>CM de Arruda dos Vinhos</t>
  </si>
  <si>
    <t>Chuveiro</t>
  </si>
  <si>
    <t>Avis</t>
  </si>
  <si>
    <t>CM de Avis</t>
  </si>
  <si>
    <t>Azambuja</t>
  </si>
  <si>
    <t>Águas da Azambuja</t>
  </si>
  <si>
    <t>Baião</t>
  </si>
  <si>
    <t>Barcelos</t>
  </si>
  <si>
    <t>Águas de Barcelos</t>
  </si>
  <si>
    <t>Barrancos</t>
  </si>
  <si>
    <t>CM de Barrancos</t>
  </si>
  <si>
    <t>Barreiro</t>
  </si>
  <si>
    <t>CM de Barreiro</t>
  </si>
  <si>
    <t>Batalha</t>
  </si>
  <si>
    <t>Águas do Lena</t>
  </si>
  <si>
    <t>≤ 6,5 L</t>
  </si>
  <si>
    <t>EMAS de Beja</t>
  </si>
  <si>
    <t>duplo abastecimento</t>
  </si>
  <si>
    <t>]6,5 a 7,5]</t>
  </si>
  <si>
    <t>Belmonte</t>
  </si>
  <si>
    <t>CM de Belmonte</t>
  </si>
  <si>
    <t>dupla descarga</t>
  </si>
  <si>
    <t>]7,5 a 9,0]</t>
  </si>
  <si>
    <t>Benavente</t>
  </si>
  <si>
    <t>descarga interrompida</t>
  </si>
  <si>
    <t>&gt; 9 L</t>
  </si>
  <si>
    <t>Bombarral</t>
  </si>
  <si>
    <t>CM de Bombarral</t>
  </si>
  <si>
    <t>válvula de enchimento regulável</t>
  </si>
  <si>
    <t>Borba</t>
  </si>
  <si>
    <t>CM de Borba</t>
  </si>
  <si>
    <t>Boticas</t>
  </si>
  <si>
    <t>CM de Boticas</t>
  </si>
  <si>
    <t>AGERE</t>
  </si>
  <si>
    <t>CM de Bragança</t>
  </si>
  <si>
    <t>Lavatório</t>
  </si>
  <si>
    <t>≤ 4 L/min</t>
  </si>
  <si>
    <t>Cabeceiras de Basto</t>
  </si>
  <si>
    <t>CM de Cabeceiras de Basto</t>
  </si>
  <si>
    <t>]4;6]</t>
  </si>
  <si>
    <t>Cadaval</t>
  </si>
  <si>
    <t>CM de Cadaval</t>
  </si>
  <si>
    <t>&gt; 6 L/min</t>
  </si>
  <si>
    <t>Caldas da Rainha</t>
  </si>
  <si>
    <t>SMAS de Caldas da Rainha</t>
  </si>
  <si>
    <t>Caminha</t>
  </si>
  <si>
    <t>CM de Caminha</t>
  </si>
  <si>
    <t>Campo Maior</t>
  </si>
  <si>
    <t>Aquamaior</t>
  </si>
  <si>
    <t>Cantanhede</t>
  </si>
  <si>
    <t>INOVA</t>
  </si>
  <si>
    <t>Carrazeda de Ansiães</t>
  </si>
  <si>
    <t>Águas de Carrazeda</t>
  </si>
  <si>
    <t>Carregal do Sal</t>
  </si>
  <si>
    <t>Águas do Planalto</t>
  </si>
  <si>
    <t>Bidé</t>
  </si>
  <si>
    <t>Cartaxo</t>
  </si>
  <si>
    <t>Cartágua</t>
  </si>
  <si>
    <t>Cascais</t>
  </si>
  <si>
    <t>Águas de Cascais</t>
  </si>
  <si>
    <t>Castanheira de Pera</t>
  </si>
  <si>
    <t>CM de Castanheira de Pera</t>
  </si>
  <si>
    <t>SM de Castelo Branco</t>
  </si>
  <si>
    <t>Castelo de Paiva</t>
  </si>
  <si>
    <t>CM de Castelo de Paiva</t>
  </si>
  <si>
    <t>Castelo de Vide</t>
  </si>
  <si>
    <t>CM de Castelo de Vide</t>
  </si>
  <si>
    <t>≤ 6 L/min</t>
  </si>
  <si>
    <t>Castro Daire</t>
  </si>
  <si>
    <t>CM de Castro Daire</t>
  </si>
  <si>
    <t>]6;8]</t>
  </si>
  <si>
    <t>Castro Marim</t>
  </si>
  <si>
    <t>CM de Castro Marim</t>
  </si>
  <si>
    <t>&gt; 8 L/min</t>
  </si>
  <si>
    <t>Castro Verde</t>
  </si>
  <si>
    <t>CM de Castro Verde</t>
  </si>
  <si>
    <t>Celorico da Beira</t>
  </si>
  <si>
    <t>CM de Celorico da Beira</t>
  </si>
  <si>
    <t>Celorico de Basto</t>
  </si>
  <si>
    <t>Chamusca</t>
  </si>
  <si>
    <t>Chaves</t>
  </si>
  <si>
    <t>CM de Chaves</t>
  </si>
  <si>
    <t>Cinfães</t>
  </si>
  <si>
    <t>Casas de banho comuns</t>
  </si>
  <si>
    <t>Águas de Coimbra</t>
  </si>
  <si>
    <t>Condeixa-a-Nova</t>
  </si>
  <si>
    <t>CM de Condeixa-a-Nova</t>
  </si>
  <si>
    <t>Constância</t>
  </si>
  <si>
    <t>CM de Constância</t>
  </si>
  <si>
    <t>Coruche</t>
  </si>
  <si>
    <t>Covilhã</t>
  </si>
  <si>
    <t>Águas da Covilhã</t>
  </si>
  <si>
    <t>Crato</t>
  </si>
  <si>
    <t>CM de Crato</t>
  </si>
  <si>
    <t>Cuba</t>
  </si>
  <si>
    <t>CM de Cuba</t>
  </si>
  <si>
    <t>Elvas</t>
  </si>
  <si>
    <t>Aquaelvas</t>
  </si>
  <si>
    <t>Entroncamento</t>
  </si>
  <si>
    <t>CM de Entroncamento</t>
  </si>
  <si>
    <t>Espinho</t>
  </si>
  <si>
    <t>CM de Espinho</t>
  </si>
  <si>
    <t>≤ 2 L</t>
  </si>
  <si>
    <t>Esposende</t>
  </si>
  <si>
    <t>Esposende Ambiente</t>
  </si>
  <si>
    <t>temporizada</t>
  </si>
  <si>
    <t>]2 a 4]</t>
  </si>
  <si>
    <t>Estarreja</t>
  </si>
  <si>
    <t>caudal adaptado</t>
  </si>
  <si>
    <t>]4 a 8]</t>
  </si>
  <si>
    <t>Estremoz</t>
  </si>
  <si>
    <t>CM de Estremoz</t>
  </si>
  <si>
    <t>seco</t>
  </si>
  <si>
    <t>&gt; 8 L</t>
  </si>
  <si>
    <t>CM de Évora</t>
  </si>
  <si>
    <t>Fafe</t>
  </si>
  <si>
    <t>Indaqua Fafe</t>
  </si>
  <si>
    <t>FAGAR - Faro</t>
  </si>
  <si>
    <t>Felgueiras</t>
  </si>
  <si>
    <t>CM de Felgueiras</t>
  </si>
  <si>
    <t>Ferreira do Alentejo</t>
  </si>
  <si>
    <t>CM de Ferreira do Alentejo</t>
  </si>
  <si>
    <t>Ferreira do Zêzere</t>
  </si>
  <si>
    <t>CM de Ferreira do Zêzere</t>
  </si>
  <si>
    <t>Figueira da Foz</t>
  </si>
  <si>
    <t>Águas da Figueira</t>
  </si>
  <si>
    <t>Figueira de Castelo Rodrigo</t>
  </si>
  <si>
    <t>CM de Figueira de Castelo Rodrigo</t>
  </si>
  <si>
    <t>Figueiró dos Vinhos</t>
  </si>
  <si>
    <t>CM de Figueiró dos Vinhos</t>
  </si>
  <si>
    <t>Fornos de Algodres</t>
  </si>
  <si>
    <t>CM de Fornos de Algodres</t>
  </si>
  <si>
    <t>Freixo de Espada à Cinta</t>
  </si>
  <si>
    <t>CM de Freixo de Espada à Cinta</t>
  </si>
  <si>
    <t>Fronteira</t>
  </si>
  <si>
    <t>CM de Fronteira</t>
  </si>
  <si>
    <t>Fundão</t>
  </si>
  <si>
    <t>Aquafundalia</t>
  </si>
  <si>
    <t>Gavião</t>
  </si>
  <si>
    <t>CM de Gavião</t>
  </si>
  <si>
    <t>Góis</t>
  </si>
  <si>
    <t>CM de Góis</t>
  </si>
  <si>
    <t>Golegã</t>
  </si>
  <si>
    <t>CM de Golegã</t>
  </si>
  <si>
    <t>Gondomar</t>
  </si>
  <si>
    <t>Águas de Gondomar</t>
  </si>
  <si>
    <t>Gouveia</t>
  </si>
  <si>
    <t>CM de Gouveia</t>
  </si>
  <si>
    <t>Grândola</t>
  </si>
  <si>
    <t>CM de Grândola</t>
  </si>
  <si>
    <t>SMAS de Guarda</t>
  </si>
  <si>
    <t>Guimarães</t>
  </si>
  <si>
    <t>VIMÁGUA</t>
  </si>
  <si>
    <t>Idanha-a-Nova</t>
  </si>
  <si>
    <t>CM de Idanha-a-Nova</t>
  </si>
  <si>
    <t>Ílhavo</t>
  </si>
  <si>
    <t>CM de Lagoa</t>
  </si>
  <si>
    <t>Lagos</t>
  </si>
  <si>
    <t>CM de Lagos</t>
  </si>
  <si>
    <t>Lamego</t>
  </si>
  <si>
    <t>CM de Lamego</t>
  </si>
  <si>
    <t>SMAS de Leiria</t>
  </si>
  <si>
    <t>EPAL</t>
  </si>
  <si>
    <t>Loulé</t>
  </si>
  <si>
    <t>CM de Loulé</t>
  </si>
  <si>
    <t>Loures</t>
  </si>
  <si>
    <t>SIMAR de Loures e Odivelas</t>
  </si>
  <si>
    <t>Lourinhã</t>
  </si>
  <si>
    <t>CM de Lourinhã</t>
  </si>
  <si>
    <t>Lousã</t>
  </si>
  <si>
    <t>CM de Lousã</t>
  </si>
  <si>
    <t>Lousada</t>
  </si>
  <si>
    <t>CM de Lousada</t>
  </si>
  <si>
    <t>Mação</t>
  </si>
  <si>
    <t>CM de Mação</t>
  </si>
  <si>
    <t>Macedo de Cavaleiros</t>
  </si>
  <si>
    <t>CM de Macedo de Cavaleiros</t>
  </si>
  <si>
    <t>Mafra</t>
  </si>
  <si>
    <t>Águas de Mafra</t>
  </si>
  <si>
    <t>Maia</t>
  </si>
  <si>
    <t>SMEAS de Maia</t>
  </si>
  <si>
    <t>Mangualde</t>
  </si>
  <si>
    <t>CM de Mangualde</t>
  </si>
  <si>
    <t>Manteigas</t>
  </si>
  <si>
    <t>CM de Manteigas</t>
  </si>
  <si>
    <t>Marco de Canaveses</t>
  </si>
  <si>
    <t>Águas do Marco</t>
  </si>
  <si>
    <t>Marinha Grande</t>
  </si>
  <si>
    <t>CM de Marinha Grande</t>
  </si>
  <si>
    <t>Marvão</t>
  </si>
  <si>
    <t>CM de Marvão</t>
  </si>
  <si>
    <t>Matosinhos</t>
  </si>
  <si>
    <t>Indaqua Matosinhos</t>
  </si>
  <si>
    <t>Mealhada</t>
  </si>
  <si>
    <t>CM de Mealhada</t>
  </si>
  <si>
    <t>Mêda</t>
  </si>
  <si>
    <t>CM de Mêda</t>
  </si>
  <si>
    <t>Melgaço</t>
  </si>
  <si>
    <t>CM de Melgaço</t>
  </si>
  <si>
    <t>Mértola</t>
  </si>
  <si>
    <t>CM de Mértola</t>
  </si>
  <si>
    <t>Mesão Frio</t>
  </si>
  <si>
    <t>CM de Mesão Frio</t>
  </si>
  <si>
    <t>Mira</t>
  </si>
  <si>
    <t>CM de Mira</t>
  </si>
  <si>
    <t>Miranda do Corvo</t>
  </si>
  <si>
    <t>CM de Miranda do Corvo</t>
  </si>
  <si>
    <t>Miranda do Douro</t>
  </si>
  <si>
    <t>CM de Miranda do Douro</t>
  </si>
  <si>
    <t>Mirandela</t>
  </si>
  <si>
    <t>CM de Mirandela</t>
  </si>
  <si>
    <t>Mogadouro</t>
  </si>
  <si>
    <t>CM de Mogadouro</t>
  </si>
  <si>
    <t>Moimenta da Beira</t>
  </si>
  <si>
    <t>CM de Moimenta da Beira</t>
  </si>
  <si>
    <t>Moita</t>
  </si>
  <si>
    <t>CM de Moita</t>
  </si>
  <si>
    <t>Monção</t>
  </si>
  <si>
    <t>CM de Monção</t>
  </si>
  <si>
    <t>Monchique</t>
  </si>
  <si>
    <t>CM de Monchique</t>
  </si>
  <si>
    <t>Mondim de Basto</t>
  </si>
  <si>
    <t>CM de Mondim de Basto</t>
  </si>
  <si>
    <t>Monforte</t>
  </si>
  <si>
    <t>CM de Monforte</t>
  </si>
  <si>
    <t>Montalegre</t>
  </si>
  <si>
    <t>CM de Montalegre</t>
  </si>
  <si>
    <t>Montemor-o-Novo</t>
  </si>
  <si>
    <t>CM de Montemor-o-Novo</t>
  </si>
  <si>
    <t>Montemor-o-Velho</t>
  </si>
  <si>
    <t>CM de Montemor-o-Velho</t>
  </si>
  <si>
    <t>Montijo</t>
  </si>
  <si>
    <t>SMAS de Montijo</t>
  </si>
  <si>
    <t>Mora</t>
  </si>
  <si>
    <t>CM de Mora</t>
  </si>
  <si>
    <t>Mortágua</t>
  </si>
  <si>
    <t>Moura</t>
  </si>
  <si>
    <t>CM de Moura</t>
  </si>
  <si>
    <t>Mourão</t>
  </si>
  <si>
    <t>CM de Mourão</t>
  </si>
  <si>
    <t>Murça</t>
  </si>
  <si>
    <t>CM de Murça</t>
  </si>
  <si>
    <t>Murtosa</t>
  </si>
  <si>
    <t>Nazaré</t>
  </si>
  <si>
    <t>SM de Nazaré</t>
  </si>
  <si>
    <t>Nelas</t>
  </si>
  <si>
    <t>CM de Nelas</t>
  </si>
  <si>
    <t>Nisa</t>
  </si>
  <si>
    <t>CM de Nisa</t>
  </si>
  <si>
    <t>Óbidos</t>
  </si>
  <si>
    <t>CM de Óbidos</t>
  </si>
  <si>
    <t>Odemira</t>
  </si>
  <si>
    <t>CM de Odemira</t>
  </si>
  <si>
    <t>Odivelas</t>
  </si>
  <si>
    <t>Oeiras</t>
  </si>
  <si>
    <t>Oleiros</t>
  </si>
  <si>
    <t>CM de Oleiros</t>
  </si>
  <si>
    <t>Olhão</t>
  </si>
  <si>
    <t>AMBIOLHÃO</t>
  </si>
  <si>
    <t>Oliveira de Azeméis</t>
  </si>
  <si>
    <t>Indaqua Oliveira de Azeméis</t>
  </si>
  <si>
    <t>Oliveira de Frades</t>
  </si>
  <si>
    <t>CM de Oliveira de Frades</t>
  </si>
  <si>
    <t>Oliveira do Bairro</t>
  </si>
  <si>
    <t>Oliveira do Hospital</t>
  </si>
  <si>
    <t>CM de Oliveira do Hospital</t>
  </si>
  <si>
    <t>Ourém</t>
  </si>
  <si>
    <t>Águas de Ourém</t>
  </si>
  <si>
    <t>Ourique</t>
  </si>
  <si>
    <t>CM de Ourique</t>
  </si>
  <si>
    <t>Ovar</t>
  </si>
  <si>
    <t>Paços de Ferreira</t>
  </si>
  <si>
    <t>Águas de Paços de Ferreira</t>
  </si>
  <si>
    <t>Palmela</t>
  </si>
  <si>
    <t>CM de Palmela</t>
  </si>
  <si>
    <t>Pampilhosa da Serra</t>
  </si>
  <si>
    <t>CM de Pampilhosa da Serra</t>
  </si>
  <si>
    <t>Paredes</t>
  </si>
  <si>
    <t>Águas de Paredes</t>
  </si>
  <si>
    <t>Paredes de Coura</t>
  </si>
  <si>
    <t>CM de Paredes de Coura</t>
  </si>
  <si>
    <t>Pedrógão Grande</t>
  </si>
  <si>
    <t>CM de Pedrógão Grande</t>
  </si>
  <si>
    <t>Penacova</t>
  </si>
  <si>
    <t>CM de Penacova</t>
  </si>
  <si>
    <t>Penafiel</t>
  </si>
  <si>
    <t>Penafiel Verde</t>
  </si>
  <si>
    <t>Penalva do Castelo</t>
  </si>
  <si>
    <t>CM de Penalva do Castelo</t>
  </si>
  <si>
    <t>Penamacor</t>
  </si>
  <si>
    <t>CM de Penamacor</t>
  </si>
  <si>
    <t>Penedono</t>
  </si>
  <si>
    <t>CM de Penedono</t>
  </si>
  <si>
    <t>Penela</t>
  </si>
  <si>
    <t>CM de Penela</t>
  </si>
  <si>
    <t>Peniche</t>
  </si>
  <si>
    <t>SMAS de Peniche</t>
  </si>
  <si>
    <t>Peso da Régua</t>
  </si>
  <si>
    <t>CM de Peso da Régua</t>
  </si>
  <si>
    <t>Pinhel</t>
  </si>
  <si>
    <t>CM de Pinhel</t>
  </si>
  <si>
    <t>Pombal</t>
  </si>
  <si>
    <t>CM de Pombal</t>
  </si>
  <si>
    <t>Ponte da Barca</t>
  </si>
  <si>
    <t>CM de Ponte da Barca</t>
  </si>
  <si>
    <t>Ponte de Lima</t>
  </si>
  <si>
    <t>CM de Ponte de Lima</t>
  </si>
  <si>
    <t>Ponte de Sor</t>
  </si>
  <si>
    <t>CM de Ponte de Sor</t>
  </si>
  <si>
    <t>SMAT de Portalegre</t>
  </si>
  <si>
    <t>Portel</t>
  </si>
  <si>
    <t>CM de Portel</t>
  </si>
  <si>
    <t>Portimão</t>
  </si>
  <si>
    <t>EMAR de Portimão</t>
  </si>
  <si>
    <t>Águas do Porto</t>
  </si>
  <si>
    <t>Porto de Mós</t>
  </si>
  <si>
    <t>CM de Porto de Mós</t>
  </si>
  <si>
    <t>Póvoa de Lanhoso</t>
  </si>
  <si>
    <t>CM de Póvoa de Lanhoso</t>
  </si>
  <si>
    <t>Póvoa de Varzim</t>
  </si>
  <si>
    <t>CM de Póvoa de Varzim</t>
  </si>
  <si>
    <t>Proença-a-Nova</t>
  </si>
  <si>
    <t>CM de Proença-a-Nova</t>
  </si>
  <si>
    <t>Redondo</t>
  </si>
  <si>
    <t>CM de Redondo</t>
  </si>
  <si>
    <t>Reguengos de Monsaraz</t>
  </si>
  <si>
    <t>CM de Reguengos de Monsaraz</t>
  </si>
  <si>
    <t>Resende</t>
  </si>
  <si>
    <t>CM de Resende</t>
  </si>
  <si>
    <t>Ribeira de Pena</t>
  </si>
  <si>
    <t>CM de Ribeira de Pena</t>
  </si>
  <si>
    <t>Rio Maior</t>
  </si>
  <si>
    <t>CM de Rio Maior</t>
  </si>
  <si>
    <t>Sabrosa</t>
  </si>
  <si>
    <t>CM de Sabrosa</t>
  </si>
  <si>
    <t>Sabugal</t>
  </si>
  <si>
    <t>CM de Sabugal</t>
  </si>
  <si>
    <t>Salvaterra de Magos</t>
  </si>
  <si>
    <t>Santa Comba Dão</t>
  </si>
  <si>
    <t>Santa Maria da Feira</t>
  </si>
  <si>
    <t>Indaqua Feira</t>
  </si>
  <si>
    <t>Santa Marta de Penaguião</t>
  </si>
  <si>
    <t>CM de Santa Marta de Penaguião</t>
  </si>
  <si>
    <t>Águas de Santarém</t>
  </si>
  <si>
    <t>Santiago do Cacém</t>
  </si>
  <si>
    <t>CM de Santiago do Cacém</t>
  </si>
  <si>
    <t>Santo Tirso</t>
  </si>
  <si>
    <t>Indaqua Santo Tirso/Trofa</t>
  </si>
  <si>
    <t>São Brás de Alportel</t>
  </si>
  <si>
    <t>CM de São Brás de Alportel</t>
  </si>
  <si>
    <t>São João da Madeira</t>
  </si>
  <si>
    <t>Águas de S. João</t>
  </si>
  <si>
    <t>São João da Pesqueira</t>
  </si>
  <si>
    <t>CM de São João da Pesqueira</t>
  </si>
  <si>
    <t>São Pedro do Sul</t>
  </si>
  <si>
    <t>CM de São Pedro do Sul</t>
  </si>
  <si>
    <t>Sardoal</t>
  </si>
  <si>
    <t>CM de Sardoal</t>
  </si>
  <si>
    <t>Sátão</t>
  </si>
  <si>
    <t>CM de Sátão</t>
  </si>
  <si>
    <t>Seia</t>
  </si>
  <si>
    <t>CM de Seia</t>
  </si>
  <si>
    <t>Seixal</t>
  </si>
  <si>
    <t>CM de Seixal</t>
  </si>
  <si>
    <t>Sernancelhe</t>
  </si>
  <si>
    <t>CM de Sernancelhe</t>
  </si>
  <si>
    <t>Serpa</t>
  </si>
  <si>
    <t>CM de Serpa</t>
  </si>
  <si>
    <t>Sertã</t>
  </si>
  <si>
    <t>CM de Sertã</t>
  </si>
  <si>
    <t>Sesimbra</t>
  </si>
  <si>
    <t>CM de Sesimbra</t>
  </si>
  <si>
    <t>Águas do Sado</t>
  </si>
  <si>
    <t>Sever do Vouga</t>
  </si>
  <si>
    <t>Silves</t>
  </si>
  <si>
    <t>CM de Silves</t>
  </si>
  <si>
    <t>Sines</t>
  </si>
  <si>
    <t>CM de Sines</t>
  </si>
  <si>
    <t>Sintra</t>
  </si>
  <si>
    <t>SMAS de Sintra</t>
  </si>
  <si>
    <t>Sobral de Monte Agraço</t>
  </si>
  <si>
    <t>CM de Sobral de Monte Agraço</t>
  </si>
  <si>
    <t>Soure</t>
  </si>
  <si>
    <t>CM de Soure</t>
  </si>
  <si>
    <t>Sousel</t>
  </si>
  <si>
    <t>CM de Sousel</t>
  </si>
  <si>
    <t>Tábua</t>
  </si>
  <si>
    <t>Tabuaço</t>
  </si>
  <si>
    <t>CM de Tabuaço</t>
  </si>
  <si>
    <t>Tarouca</t>
  </si>
  <si>
    <t>CM de Tarouca</t>
  </si>
  <si>
    <t>Tavira</t>
  </si>
  <si>
    <t>Taviraverde</t>
  </si>
  <si>
    <t>Terras de Bouro</t>
  </si>
  <si>
    <t>CM de Terras de Bouro</t>
  </si>
  <si>
    <t>Tomar</t>
  </si>
  <si>
    <t>SMAS de Tomar</t>
  </si>
  <si>
    <t>Tondela</t>
  </si>
  <si>
    <t>Torre de Moncorvo</t>
  </si>
  <si>
    <t>CM de Torre de Moncorvo</t>
  </si>
  <si>
    <t>Torres Novas</t>
  </si>
  <si>
    <t>Torres Vedras</t>
  </si>
  <si>
    <t>SMAS de Torres Vedras</t>
  </si>
  <si>
    <t>Trancoso</t>
  </si>
  <si>
    <t>Águas da Teja</t>
  </si>
  <si>
    <t>Trofa</t>
  </si>
  <si>
    <t>Vagos</t>
  </si>
  <si>
    <t>Vale de Cambra</t>
  </si>
  <si>
    <t>CM de Vale de Cambra</t>
  </si>
  <si>
    <t>Valença</t>
  </si>
  <si>
    <t>CM de Valença</t>
  </si>
  <si>
    <t>Valongo</t>
  </si>
  <si>
    <t>Águas de Valongo</t>
  </si>
  <si>
    <t>Valpaços</t>
  </si>
  <si>
    <t>CM de Valpaços</t>
  </si>
  <si>
    <t>Vendas Novas</t>
  </si>
  <si>
    <t>CM de Vendas Novas</t>
  </si>
  <si>
    <t>Viana do Alentejo</t>
  </si>
  <si>
    <t>CM de Viana do Alentejo</t>
  </si>
  <si>
    <t>SMSB de Viana do Castelo</t>
  </si>
  <si>
    <t>Vidigueira</t>
  </si>
  <si>
    <t>CM de Vidigueira</t>
  </si>
  <si>
    <t>Vieira do Minho</t>
  </si>
  <si>
    <t>CM de Vieira do Minho</t>
  </si>
  <si>
    <t>Vila de Rei</t>
  </si>
  <si>
    <t>CM de Vila de Rei</t>
  </si>
  <si>
    <t>Vila do Bispo</t>
  </si>
  <si>
    <t>CM de Vila do Bispo</t>
  </si>
  <si>
    <t>Vila do Conde</t>
  </si>
  <si>
    <t>Indaqua Vila do Conde</t>
  </si>
  <si>
    <t>Vila Flor</t>
  </si>
  <si>
    <t>CM de Vila Flor</t>
  </si>
  <si>
    <t>Vila Franca de Xira</t>
  </si>
  <si>
    <t>SMAS de Vila Franca de Xira</t>
  </si>
  <si>
    <t>Vila Nova da Barquinha</t>
  </si>
  <si>
    <t>CM de Vila Nova da Barquinha</t>
  </si>
  <si>
    <t>Vila Nova de Cerveira</t>
  </si>
  <si>
    <t>CM de Vila Nova de Cerveira</t>
  </si>
  <si>
    <t>Vila Nova de Famalicão</t>
  </si>
  <si>
    <t>CM de Vila Nova de Famalicão</t>
  </si>
  <si>
    <t>CM de Vila Nova de Foz Coa</t>
  </si>
  <si>
    <t>Vila Nova de Gaia</t>
  </si>
  <si>
    <t>Águas de Gaia</t>
  </si>
  <si>
    <t>Vila Nova de Paiva</t>
  </si>
  <si>
    <t>CM de Vila Nova de Paiva</t>
  </si>
  <si>
    <t>Vila Nova de Poiares</t>
  </si>
  <si>
    <t>CM de Vila Nova de Poiares</t>
  </si>
  <si>
    <t>Vila Pouca de Aguiar</t>
  </si>
  <si>
    <t>CM de Vila Pouca de Aguiar</t>
  </si>
  <si>
    <t>EMAR de Vila Real</t>
  </si>
  <si>
    <t>Vila Real de Santo António</t>
  </si>
  <si>
    <t>VRSA, Sociedade de Gestão Urbana</t>
  </si>
  <si>
    <t>Vila Velha de Ródão</t>
  </si>
  <si>
    <t>CM de Vila Velha de Ródão</t>
  </si>
  <si>
    <t>Vila Verde</t>
  </si>
  <si>
    <t>CM de Vila Verde</t>
  </si>
  <si>
    <t>Vila Viçosa</t>
  </si>
  <si>
    <t>CM de Vila Viçosa</t>
  </si>
  <si>
    <t>Vimioso</t>
  </si>
  <si>
    <t>CM de Vimioso</t>
  </si>
  <si>
    <t>Vinhais</t>
  </si>
  <si>
    <t>CM de Vinhais</t>
  </si>
  <si>
    <t>SMAS de Viseu</t>
  </si>
  <si>
    <t>Vizela</t>
  </si>
  <si>
    <t>Vouzela</t>
  </si>
  <si>
    <t>CM de Vouzela</t>
  </si>
  <si>
    <t>Resultado agregado</t>
  </si>
  <si>
    <t>1/0</t>
  </si>
  <si>
    <t>Nome:</t>
  </si>
  <si>
    <t>Modelo base</t>
  </si>
  <si>
    <t>Classificação</t>
  </si>
  <si>
    <t>Classe</t>
  </si>
  <si>
    <t>Situação atual</t>
  </si>
  <si>
    <t>Situação prevista</t>
  </si>
  <si>
    <t>Situação QuickWin</t>
  </si>
  <si>
    <t>Situação Medidas Melhoria</t>
  </si>
  <si>
    <t>Justificação / Especificação / Observações</t>
  </si>
  <si>
    <t>(múltiplo)</t>
  </si>
  <si>
    <t>(único)</t>
  </si>
  <si>
    <t>(%)</t>
  </si>
  <si>
    <t>(múltiplo %)</t>
  </si>
  <si>
    <t>Base</t>
  </si>
  <si>
    <t>Sem Rega</t>
  </si>
  <si>
    <t>Sem Piscina</t>
  </si>
  <si>
    <t>Sem golfe</t>
  </si>
  <si>
    <t>Sem lava-loiças, MLL e MLR</t>
  </si>
  <si>
    <t>Específico</t>
  </si>
  <si>
    <t>Normalizado</t>
  </si>
  <si>
    <t>Limite (%)</t>
  </si>
  <si>
    <t>Inferior</t>
  </si>
  <si>
    <t>Superior</t>
  </si>
  <si>
    <t>1.1</t>
  </si>
  <si>
    <t>F</t>
  </si>
  <si>
    <t>1.1.1</t>
  </si>
  <si>
    <t>E</t>
  </si>
  <si>
    <t>1.1.2</t>
  </si>
  <si>
    <t>Utilizações para a água não potável</t>
  </si>
  <si>
    <t>D</t>
  </si>
  <si>
    <t>1.1.3</t>
  </si>
  <si>
    <t>C</t>
  </si>
  <si>
    <t>1.1.4</t>
  </si>
  <si>
    <t>Fornecimento por via gravítica</t>
  </si>
  <si>
    <t>B</t>
  </si>
  <si>
    <t>1.2</t>
  </si>
  <si>
    <t>Redes de água (excepto campos de golfe)</t>
  </si>
  <si>
    <t>A</t>
  </si>
  <si>
    <t>1.2.1</t>
  </si>
  <si>
    <t>Projetos de redes de água</t>
  </si>
  <si>
    <t>A+</t>
  </si>
  <si>
    <t>1.2.2</t>
  </si>
  <si>
    <t>1.2.3</t>
  </si>
  <si>
    <t>Drenagem com separação de águas usadas</t>
  </si>
  <si>
    <t>1.2.4</t>
  </si>
  <si>
    <t>Idade das condutas</t>
  </si>
  <si>
    <t>1.2.5</t>
  </si>
  <si>
    <t>Sistema monitorização e/ou gestão dos consumos de água</t>
  </si>
  <si>
    <t>1.2.6</t>
  </si>
  <si>
    <t>Consumo específico de água</t>
  </si>
  <si>
    <t>1.2.7</t>
  </si>
  <si>
    <t>Caracteristicas do sistema de monitorização dos consumos de água</t>
  </si>
  <si>
    <t>2.1</t>
  </si>
  <si>
    <t>Rega</t>
  </si>
  <si>
    <t>2.1.1</t>
  </si>
  <si>
    <t>Tipo de sistema de rega</t>
  </si>
  <si>
    <t>2.1.2</t>
  </si>
  <si>
    <t>Controlo do sistema de rega</t>
  </si>
  <si>
    <t>2.1.3</t>
  </si>
  <si>
    <t>Sistema de gestão do funcionamento</t>
  </si>
  <si>
    <t>2.1.4</t>
  </si>
  <si>
    <t>2.2</t>
  </si>
  <si>
    <t>2.2.1</t>
  </si>
  <si>
    <t>Área exterior com solo passível de infiltração</t>
  </si>
  <si>
    <t>2.2.2</t>
  </si>
  <si>
    <t>Área exterior com relvado</t>
  </si>
  <si>
    <t>2.2.3</t>
  </si>
  <si>
    <t>Área de coberturas verdes instaladas</t>
  </si>
  <si>
    <t>2.2.4</t>
  </si>
  <si>
    <t>Sistema de renovação da água</t>
  </si>
  <si>
    <t>2.2.5</t>
  </si>
  <si>
    <t>Fugas no sistema</t>
  </si>
  <si>
    <t>3.1</t>
  </si>
  <si>
    <t>Piscinas aquecidas e não aquecidas</t>
  </si>
  <si>
    <t>3.1.1</t>
  </si>
  <si>
    <t>3.1.2</t>
  </si>
  <si>
    <t>Sistema de filtração</t>
  </si>
  <si>
    <t>3.1.3</t>
  </si>
  <si>
    <t>Taxa de renovação da água</t>
  </si>
  <si>
    <t>3.1.4</t>
  </si>
  <si>
    <t>Verificação de fugas</t>
  </si>
  <si>
    <t>3.1.5</t>
  </si>
  <si>
    <t>Soluções economia de água e redução do desperdício</t>
  </si>
  <si>
    <t>3.1.6</t>
  </si>
  <si>
    <t>Registos de manutenção</t>
  </si>
  <si>
    <t>3.2</t>
  </si>
  <si>
    <t>3.2.1</t>
  </si>
  <si>
    <t>Limpeza e inspeção de filtros</t>
  </si>
  <si>
    <t>3.2.2</t>
  </si>
  <si>
    <t>Fugas e respingo</t>
  </si>
  <si>
    <t>Características do dispositivo</t>
  </si>
  <si>
    <t>4.1</t>
  </si>
  <si>
    <t>Fugas e desperdícios no dispositivo</t>
  </si>
  <si>
    <t>Características da bacia</t>
  </si>
  <si>
    <t>4.2</t>
  </si>
  <si>
    <t>Volume do maior depósito do dispositivo</t>
  </si>
  <si>
    <t>4.3</t>
  </si>
  <si>
    <t>Lavatório WC</t>
  </si>
  <si>
    <t>Fugas no ralo</t>
  </si>
  <si>
    <t>4.4</t>
  </si>
  <si>
    <t>4.5</t>
  </si>
  <si>
    <t>4.5.1</t>
  </si>
  <si>
    <t>4.5.2</t>
  </si>
  <si>
    <t>4.5.3</t>
  </si>
  <si>
    <t>4.5.4</t>
  </si>
  <si>
    <t>4.5.5</t>
  </si>
  <si>
    <t>4.6</t>
  </si>
  <si>
    <t>Máquina lavar loiça</t>
  </si>
  <si>
    <t>4.6.1</t>
  </si>
  <si>
    <t>Caracteristicas do equipamento</t>
  </si>
  <si>
    <t>4.6.2</t>
  </si>
  <si>
    <t>Consumo específico do equipamento</t>
  </si>
  <si>
    <t>4.6.3</t>
  </si>
  <si>
    <t>4.7</t>
  </si>
  <si>
    <t>Máquina lavar roupa</t>
  </si>
  <si>
    <t>4.7.1</t>
  </si>
  <si>
    <t>4.7.2</t>
  </si>
  <si>
    <t>4.7.3</t>
  </si>
  <si>
    <t>5.1</t>
  </si>
  <si>
    <t>5.1.1</t>
  </si>
  <si>
    <t>5.1.2</t>
  </si>
  <si>
    <t>5.1.3</t>
  </si>
  <si>
    <t>5.1.4</t>
  </si>
  <si>
    <t>5.2</t>
  </si>
  <si>
    <t>5.2.1</t>
  </si>
  <si>
    <t>5.2.2</t>
  </si>
  <si>
    <t>5.2.3</t>
  </si>
  <si>
    <t>5.2.4</t>
  </si>
  <si>
    <t>5.3</t>
  </si>
  <si>
    <t>5.3.1</t>
  </si>
  <si>
    <t>5.3.2</t>
  </si>
  <si>
    <t>5.3.3</t>
  </si>
  <si>
    <t>5.3.4</t>
  </si>
  <si>
    <t>5.4</t>
  </si>
  <si>
    <t>5.4.1</t>
  </si>
  <si>
    <t>5.4.2</t>
  </si>
  <si>
    <t>5.4.3</t>
  </si>
  <si>
    <t>5.4.4</t>
  </si>
  <si>
    <t>Cozinha e restauração</t>
  </si>
  <si>
    <t>6.1</t>
  </si>
  <si>
    <t>Torneira de lava-loiça</t>
  </si>
  <si>
    <t>6.1.1</t>
  </si>
  <si>
    <t>6.1.2</t>
  </si>
  <si>
    <t>6.1.3</t>
  </si>
  <si>
    <t>6.1.4</t>
  </si>
  <si>
    <t>6.2</t>
  </si>
  <si>
    <t>6.2.1</t>
  </si>
  <si>
    <t>Tipo de máquina</t>
  </si>
  <si>
    <t>6.2.2</t>
  </si>
  <si>
    <t>Lavandaria e espaços comerciais</t>
  </si>
  <si>
    <t>7.1</t>
  </si>
  <si>
    <t>Máquinas de lavar roupa</t>
  </si>
  <si>
    <t>7.1.1</t>
  </si>
  <si>
    <t>7.1.2</t>
  </si>
  <si>
    <t>7.2</t>
  </si>
  <si>
    <t>Lavagem de viaturas</t>
  </si>
  <si>
    <t>7.2.1</t>
  </si>
  <si>
    <t>Tipo de sistema de lavagem</t>
  </si>
  <si>
    <t>8.1</t>
  </si>
  <si>
    <t>Métodos de irrigação</t>
  </si>
  <si>
    <t>8.1.1</t>
  </si>
  <si>
    <t>Monitorização do sistema de rega</t>
  </si>
  <si>
    <t>8.1.2</t>
  </si>
  <si>
    <t>Método de deteção de fugas</t>
  </si>
  <si>
    <t>8.1.3</t>
  </si>
  <si>
    <t>Forma de atuação do sistema de rega</t>
  </si>
  <si>
    <t>8.1.4</t>
  </si>
  <si>
    <t>Tipo de manutenção</t>
  </si>
  <si>
    <t>8.1.5</t>
  </si>
  <si>
    <t>8.2</t>
  </si>
  <si>
    <t>8.2.1</t>
  </si>
  <si>
    <t>8.2.2</t>
  </si>
  <si>
    <t>8.2.3</t>
  </si>
  <si>
    <t>8.3</t>
  </si>
  <si>
    <t>Coberto vegetal</t>
  </si>
  <si>
    <t>8.3.1</t>
  </si>
  <si>
    <t>Tipo de relva utilizada</t>
  </si>
  <si>
    <t>8.3.2</t>
  </si>
  <si>
    <t>Área de relvado do campo</t>
  </si>
  <si>
    <t>9.1</t>
  </si>
  <si>
    <t>Sistema de produção e acumulação de água quente</t>
  </si>
  <si>
    <t>9.1.1</t>
  </si>
  <si>
    <t>Características do sistema</t>
  </si>
  <si>
    <t>9.1.2</t>
  </si>
  <si>
    <t>Fugas e desperdícios no sistema</t>
  </si>
  <si>
    <t>9.1.3</t>
  </si>
  <si>
    <t>Inspeção/manutenção do sistema</t>
  </si>
  <si>
    <t>9.1.4</t>
  </si>
  <si>
    <t>Idade do sistema</t>
  </si>
  <si>
    <t>9.1.5</t>
  </si>
  <si>
    <t>9.2</t>
  </si>
  <si>
    <t>Rede de distribuição de água quente</t>
  </si>
  <si>
    <t>9.2.1</t>
  </si>
  <si>
    <t>Isolamento da rede</t>
  </si>
  <si>
    <t>9.2.2</t>
  </si>
  <si>
    <t>Funcionamento da rede de recirculação</t>
  </si>
  <si>
    <t>Ações para a eficiência hídrica</t>
  </si>
  <si>
    <t>10.1</t>
  </si>
  <si>
    <t>Campanhas de sensibilização</t>
  </si>
  <si>
    <t>10.1.1</t>
  </si>
  <si>
    <t>Público alvo de estratégias de sensibilização</t>
  </si>
  <si>
    <t>10.1.2</t>
  </si>
  <si>
    <t>10.2</t>
  </si>
  <si>
    <t>Participação em projetos e outras medidas de impacto no uso eficiente da água</t>
  </si>
  <si>
    <t>10.2.1</t>
  </si>
  <si>
    <t>Participação em projetos, eventos e prémios</t>
  </si>
  <si>
    <t>10.2.2</t>
  </si>
  <si>
    <t>Outras medidas de impacto no uso eficiente da água</t>
  </si>
  <si>
    <t>Ponderação para a nota</t>
  </si>
  <si>
    <t>Contributo p/ classificação</t>
  </si>
  <si>
    <t>Situação      Medidas Melhoria</t>
  </si>
  <si>
    <t>Ponderação das métricas</t>
  </si>
  <si>
    <t>Distribuições</t>
  </si>
  <si>
    <t>Ponderação Base</t>
  </si>
  <si>
    <t>1.1.1.1</t>
  </si>
  <si>
    <t>águas pluviais (chuva)</t>
  </si>
  <si>
    <t>1.1.1.2</t>
  </si>
  <si>
    <t>1.1.1.3</t>
  </si>
  <si>
    <t>1.1.1.4</t>
  </si>
  <si>
    <t>água proveniente de dessalinização</t>
  </si>
  <si>
    <t>1.1.1.5</t>
  </si>
  <si>
    <t>Nenhuma das opções anteriores</t>
  </si>
  <si>
    <t>1.1.1.6</t>
  </si>
  <si>
    <t>Não foi possível determinar (justifique)</t>
  </si>
  <si>
    <t>1.1.2.1</t>
  </si>
  <si>
    <t>rega de espaços exteriores</t>
  </si>
  <si>
    <t>1.1.2.2</t>
  </si>
  <si>
    <t>descargas de autoclismo</t>
  </si>
  <si>
    <t>1.1.2.3</t>
  </si>
  <si>
    <t>lavagem de espaços (p.e. pavimentos, garagens)</t>
  </si>
  <si>
    <t>1.1.2.4</t>
  </si>
  <si>
    <t>eletrodomésticos (máq. de lavar roupa)</t>
  </si>
  <si>
    <t>1.1.2.5</t>
  </si>
  <si>
    <t>outros fins, p.e. lagos ou fontes, etc. (especificar)</t>
  </si>
  <si>
    <t>1.1.2.6</t>
  </si>
  <si>
    <t>1.1.2.7</t>
  </si>
  <si>
    <t>1.1.3.1</t>
  </si>
  <si>
    <t xml:space="preserve">superior a 50% do consumo total de água </t>
  </si>
  <si>
    <t>1.1.3.2</t>
  </si>
  <si>
    <t>1.1.3.3</t>
  </si>
  <si>
    <t xml:space="preserve">inferior a 25% do consumo total de água </t>
  </si>
  <si>
    <t>1.1.3.4</t>
  </si>
  <si>
    <t>Não existente</t>
  </si>
  <si>
    <t>1.1.3.5</t>
  </si>
  <si>
    <t>1.1.4.1</t>
  </si>
  <si>
    <t>é feita de forma exclusivamente gravítica (ou não requer energia elétrica ou outro tipo de alimentação energética)</t>
  </si>
  <si>
    <t>1.1.4.2</t>
  </si>
  <si>
    <t>1.1.4.3</t>
  </si>
  <si>
    <t>1.1.4.4</t>
  </si>
  <si>
    <t>Redes de água (exceto campos de golfe)</t>
  </si>
  <si>
    <t>1.2.1.1</t>
  </si>
  <si>
    <t>rede predial de abastecimento de água</t>
  </si>
  <si>
    <t>1.2.1.2</t>
  </si>
  <si>
    <t>1.2.1.3</t>
  </si>
  <si>
    <t>rede de drenagem de água residuais</t>
  </si>
  <si>
    <t>1.2.1.4</t>
  </si>
  <si>
    <t>rede da piscina</t>
  </si>
  <si>
    <t>1.2.1.5</t>
  </si>
  <si>
    <t>rede de rega</t>
  </si>
  <si>
    <t>1.2.1.6</t>
  </si>
  <si>
    <t xml:space="preserve">rede de produção e distribuição de AQS </t>
  </si>
  <si>
    <t>1.2.1.7</t>
  </si>
  <si>
    <t>1.2.2.1</t>
  </si>
  <si>
    <t>nos usos de água exteriores</t>
  </si>
  <si>
    <t>1.2.2.2</t>
  </si>
  <si>
    <t>nos usos de água interiores</t>
  </si>
  <si>
    <t>1.2.2.3</t>
  </si>
  <si>
    <t>1.2.2.4</t>
  </si>
  <si>
    <t>1.2.3.1</t>
  </si>
  <si>
    <t>águas cinzentas</t>
  </si>
  <si>
    <t>águas pluviais</t>
  </si>
  <si>
    <t>1.2.4.1</t>
  </si>
  <si>
    <t>igual ou inferior a 20 anos</t>
  </si>
  <si>
    <t>1.2.4.2</t>
  </si>
  <si>
    <t>entre ]20 e 40] anos</t>
  </si>
  <si>
    <t>1.2.4.3</t>
  </si>
  <si>
    <t>mais de 40 anos</t>
  </si>
  <si>
    <t>1.2.4.4</t>
  </si>
  <si>
    <t>O sistema de medição e monitorização dos consumos de água permite a verificação de consumos…</t>
  </si>
  <si>
    <t>1.2.5.1</t>
  </si>
  <si>
    <t>1.2.5.2</t>
  </si>
  <si>
    <t>1.2.5.3</t>
  </si>
  <si>
    <t>1.2.5.4</t>
  </si>
  <si>
    <t>1.2.5.5</t>
  </si>
  <si>
    <t>1.2.5.6</t>
  </si>
  <si>
    <t>1.2.5.7</t>
  </si>
  <si>
    <t>1.2.5.8</t>
  </si>
  <si>
    <t>1.2.6.1</t>
  </si>
  <si>
    <t>1.2.6.2</t>
  </si>
  <si>
    <t>1.2.6.3</t>
  </si>
  <si>
    <t>entre [80 e 160[ litros/ocupante/noite</t>
  </si>
  <si>
    <t>1.2.6.4</t>
  </si>
  <si>
    <t>entre [160 e 350[ litros/ocupante/noite</t>
  </si>
  <si>
    <t>1.2.6.5</t>
  </si>
  <si>
    <t>entre [350 e 600[ litros/ocupante/noite</t>
  </si>
  <si>
    <t>1.2.6.6</t>
  </si>
  <si>
    <t>igual ou superior a 600 litros/ocupante/noite</t>
  </si>
  <si>
    <t>O sistema de medição e monitorização permite…</t>
  </si>
  <si>
    <t>1.2.7.1</t>
  </si>
  <si>
    <t>registo/histórico de consumo com periodicidade horária ou mais frequente</t>
  </si>
  <si>
    <t>1.2.7.2</t>
  </si>
  <si>
    <t>alarmística sobre a ocorrência de fugas</t>
  </si>
  <si>
    <t>1.2.7.3</t>
  </si>
  <si>
    <t>corte de abastecimento parcial (jardim, quartos, piscina, etc.) por via remota</t>
  </si>
  <si>
    <t>1.2.7.4</t>
  </si>
  <si>
    <t>corte de abastecimento geral por via remota</t>
  </si>
  <si>
    <t>1.2.7.5</t>
  </si>
  <si>
    <t>1.2.7.6</t>
  </si>
  <si>
    <t>1.2.7.7</t>
  </si>
  <si>
    <t>A rega é realizada com recurso a…</t>
  </si>
  <si>
    <t>2.1.1.1</t>
  </si>
  <si>
    <t>sistema gota a gota</t>
  </si>
  <si>
    <t>2.1.1.2</t>
  </si>
  <si>
    <t>sistema de microaspersão</t>
  </si>
  <si>
    <t>2.1.1.3</t>
  </si>
  <si>
    <t>sistema de pulverização ou difusão</t>
  </si>
  <si>
    <t>2.1.1.4</t>
  </si>
  <si>
    <t>sistema de aspersão</t>
  </si>
  <si>
    <t>2.1.1.5</t>
  </si>
  <si>
    <t>2.1.1.6</t>
  </si>
  <si>
    <t>O sistema de controlo de rega é…</t>
  </si>
  <si>
    <t>2.1.2.1</t>
  </si>
  <si>
    <t>automático com base em sensores de humidade complementado com previsão meteorológica</t>
  </si>
  <si>
    <t>2.1.2.2</t>
  </si>
  <si>
    <t>automático com base em sensores de humidade</t>
  </si>
  <si>
    <t>automático com base num temporizador (controlo horário)</t>
  </si>
  <si>
    <t>2.1.2.3</t>
  </si>
  <si>
    <t>manual</t>
  </si>
  <si>
    <t>2.1.2.4</t>
  </si>
  <si>
    <t>2.1.2.5</t>
  </si>
  <si>
    <t>O sistema de monitorização de rega permite…</t>
  </si>
  <si>
    <t>2.1.3.1</t>
  </si>
  <si>
    <t>definir alarmísticas para ocorrência de fugas</t>
  </si>
  <si>
    <t>2.1.3.2</t>
  </si>
  <si>
    <t>registo automático de dados</t>
  </si>
  <si>
    <t>2.1.3.3</t>
  </si>
  <si>
    <t>análise de histórico de consumos</t>
  </si>
  <si>
    <t>2.1.3.4</t>
  </si>
  <si>
    <t>leituras dos consumos de cada período de rega</t>
  </si>
  <si>
    <t>2.1.3.5</t>
  </si>
  <si>
    <t>2.1.3.6</t>
  </si>
  <si>
    <t>A análise do consumo de rega nos espaços exteriores ajardinados durante os últimos 12 meses indica um consumo…</t>
  </si>
  <si>
    <t>2.1.4.1</t>
  </si>
  <si>
    <r>
      <t>inferior a 2 litros/m</t>
    </r>
    <r>
      <rPr>
        <vertAlign val="superscript"/>
        <sz val="11"/>
        <rFont val="Calibri"/>
        <family val="2"/>
        <scheme val="minor"/>
      </rPr>
      <t>2</t>
    </r>
    <r>
      <rPr>
        <sz val="11"/>
        <rFont val="Calibri"/>
        <family val="2"/>
        <scheme val="minor"/>
      </rPr>
      <t xml:space="preserve">/dia </t>
    </r>
  </si>
  <si>
    <t>2.1.4.2</t>
  </si>
  <si>
    <r>
      <t>entre [2 a 4] litros/m</t>
    </r>
    <r>
      <rPr>
        <vertAlign val="superscript"/>
        <sz val="11"/>
        <rFont val="Calibri"/>
        <family val="2"/>
        <scheme val="minor"/>
      </rPr>
      <t>2</t>
    </r>
    <r>
      <rPr>
        <sz val="11"/>
        <rFont val="Calibri"/>
        <family val="2"/>
        <scheme val="minor"/>
      </rPr>
      <t xml:space="preserve">/dia </t>
    </r>
  </si>
  <si>
    <t>2.1.4.3</t>
  </si>
  <si>
    <r>
      <t>superior a 4 litros/m</t>
    </r>
    <r>
      <rPr>
        <vertAlign val="superscript"/>
        <sz val="11"/>
        <rFont val="Calibri"/>
        <family val="2"/>
        <scheme val="minor"/>
      </rPr>
      <t>2</t>
    </r>
    <r>
      <rPr>
        <sz val="11"/>
        <rFont val="Calibri"/>
        <family val="2"/>
        <scheme val="minor"/>
      </rPr>
      <t xml:space="preserve">/dia </t>
    </r>
  </si>
  <si>
    <t>2.1.4.4</t>
  </si>
  <si>
    <t>Infraestruturas verdes e azuis</t>
  </si>
  <si>
    <t>A área exterior impermeabilizada, em relação à área exterior disponível, é…</t>
  </si>
  <si>
    <t>2.2.1.1</t>
  </si>
  <si>
    <t>inferior a 25%</t>
  </si>
  <si>
    <t>2.2.1.2</t>
  </si>
  <si>
    <t>entre [25% e 50%[</t>
  </si>
  <si>
    <t>2.2.1.3</t>
  </si>
  <si>
    <t>entre [50% e 75%[</t>
  </si>
  <si>
    <t>2.2.1.4</t>
  </si>
  <si>
    <t xml:space="preserve">igual ou superior a 75% </t>
  </si>
  <si>
    <t>2.2.1.5</t>
  </si>
  <si>
    <t>A área ocupada por relvado, em relação à área total exterior de solo ajardinado, é…</t>
  </si>
  <si>
    <t>2.2.2.1</t>
  </si>
  <si>
    <t>2.2.2.2</t>
  </si>
  <si>
    <t>2.2.2.3</t>
  </si>
  <si>
    <t>2.2.2.4</t>
  </si>
  <si>
    <r>
      <t>A área de cobertura</t>
    </r>
    <r>
      <rPr>
        <sz val="11"/>
        <rFont val="Calibri"/>
        <family val="2"/>
        <scheme val="minor"/>
      </rPr>
      <t>s v</t>
    </r>
    <r>
      <rPr>
        <sz val="11"/>
        <color theme="1"/>
        <rFont val="Calibri"/>
        <family val="2"/>
        <scheme val="minor"/>
      </rPr>
      <t>erdes instaladas em relação à área disponível (ou seja, passível de instalação e acessível para manutenção) é…</t>
    </r>
  </si>
  <si>
    <t>2.2.3.1</t>
  </si>
  <si>
    <t>2.2.3.2</t>
  </si>
  <si>
    <t>2.2.3.3</t>
  </si>
  <si>
    <t xml:space="preserve">inferior a 25% </t>
  </si>
  <si>
    <t>2.2.3.4</t>
  </si>
  <si>
    <t>2.2.3.5</t>
  </si>
  <si>
    <t>Os lagos e/ou fontes decorativas dispõem de…</t>
  </si>
  <si>
    <t>2.2.4.1</t>
  </si>
  <si>
    <t>sistema de recirculação de água</t>
  </si>
  <si>
    <t>2.2.4.2</t>
  </si>
  <si>
    <t>infraestrutura que permite usar a água do lago para rega</t>
  </si>
  <si>
    <t>2.2.4.3</t>
  </si>
  <si>
    <t>uso de plantas que promovam o tratamento da água</t>
  </si>
  <si>
    <t>2.2.4.4</t>
  </si>
  <si>
    <t>mecanismos de jardins de chuva</t>
  </si>
  <si>
    <t>2.2.4.5</t>
  </si>
  <si>
    <t>2.2.4.6</t>
  </si>
  <si>
    <t>Os lagos e/ou fontes decorativas…</t>
  </si>
  <si>
    <t>2.2.5.1</t>
  </si>
  <si>
    <t>não apresentam indícios de fuga</t>
  </si>
  <si>
    <t>2.2.5.2</t>
  </si>
  <si>
    <t>apresentam indícios de fuga (justifique)</t>
  </si>
  <si>
    <t>2.2.5.3</t>
  </si>
  <si>
    <t>apresentam evidências de fuga</t>
  </si>
  <si>
    <t>2.2.5.4</t>
  </si>
  <si>
    <t>A taxa de renovação da água da piscina é promovida por um sistema…</t>
  </si>
  <si>
    <t>3.1.1.1</t>
  </si>
  <si>
    <t>biológico ou recorrendo a água do mar</t>
  </si>
  <si>
    <t>3.1.1.2</t>
  </si>
  <si>
    <t>inteligente de tratamento (em função da qualidade de água da piscina ou similar)</t>
  </si>
  <si>
    <t>3.1.1.3</t>
  </si>
  <si>
    <t>automático de tratamento complementado com UV ou ozono</t>
  </si>
  <si>
    <t>3.1.1.4</t>
  </si>
  <si>
    <t>automático de tratamento convencional (pH, cloro, sal)</t>
  </si>
  <si>
    <t>3.1.1.5</t>
  </si>
  <si>
    <t>manual de tratamento complementado com UV ou ozono</t>
  </si>
  <si>
    <t>3.1.1.6</t>
  </si>
  <si>
    <t>manual de tratamento convencional (pH, cloro, sal)</t>
  </si>
  <si>
    <t>3.1.1.7</t>
  </si>
  <si>
    <t>3.1.1.8</t>
  </si>
  <si>
    <t>O sistema de filtração tem uma média filtrante constituida por…</t>
  </si>
  <si>
    <t>3.1.2.1</t>
  </si>
  <si>
    <t>OC - 1</t>
  </si>
  <si>
    <t>3.1.2.2</t>
  </si>
  <si>
    <t>vidro</t>
  </si>
  <si>
    <t>3.1.2.3</t>
  </si>
  <si>
    <t>areia e antracite</t>
  </si>
  <si>
    <t>3.1.2.4</t>
  </si>
  <si>
    <t>areia</t>
  </si>
  <si>
    <t>3.1.2.5</t>
  </si>
  <si>
    <t>3.1.2.6</t>
  </si>
  <si>
    <t>A taxa de renovação diária da água da piscina apresenta um consumo de água correspondente a…</t>
  </si>
  <si>
    <t>3.1.3.1</t>
  </si>
  <si>
    <t>3% ou menos do volume da piscina</t>
  </si>
  <si>
    <t>3.1.3.2</t>
  </si>
  <si>
    <t>entre ]3% e 4%] do volume da piscina</t>
  </si>
  <si>
    <t>3.1.3.3</t>
  </si>
  <si>
    <t>entre ]4% e 5%] do volume da piscina</t>
  </si>
  <si>
    <t>3.1.3.4</t>
  </si>
  <si>
    <t>superior a 5% do volume da piscina</t>
  </si>
  <si>
    <t>3.1.3.5</t>
  </si>
  <si>
    <t>3.1.3.6</t>
  </si>
  <si>
    <t>A verificação de fugas no sistema de circulação é realizada com base…</t>
  </si>
  <si>
    <t>3.1.4.1</t>
  </si>
  <si>
    <t>num sistema de monitorização</t>
  </si>
  <si>
    <t>3.1.4.2</t>
  </si>
  <si>
    <t>na comparação de faturas</t>
  </si>
  <si>
    <t>3.1.4.3</t>
  </si>
  <si>
    <t>em inspeção visual</t>
  </si>
  <si>
    <t>3.1.4.4</t>
  </si>
  <si>
    <t>3.1.4.5</t>
  </si>
  <si>
    <t>A piscina dispõe de…</t>
  </si>
  <si>
    <t>3.1.5.1</t>
  </si>
  <si>
    <t>cobertura de espelho de água</t>
  </si>
  <si>
    <t>3.1.5.2</t>
  </si>
  <si>
    <t>variadores de velocidade para bombas de circulação de água</t>
  </si>
  <si>
    <t>3.1.5.3</t>
  </si>
  <si>
    <t>caleira com tanque de compensação</t>
  </si>
  <si>
    <t>3.1.5.4</t>
  </si>
  <si>
    <t>3.1.6.1</t>
  </si>
  <si>
    <t>plano de manutenção da piscina</t>
  </si>
  <si>
    <t>3.1.6.2</t>
  </si>
  <si>
    <t>registos de manutenção</t>
  </si>
  <si>
    <t>3.1.6.3</t>
  </si>
  <si>
    <t>registo de ocorrências (sanitária e outras)</t>
  </si>
  <si>
    <t>3.1.6.4</t>
  </si>
  <si>
    <t>Jacuzzi's e banheiras de hidromassagem</t>
  </si>
  <si>
    <t>A inspeção e limpeza dos filtros dos equipamentos é realizada…</t>
  </si>
  <si>
    <t>3.2.1.1</t>
  </si>
  <si>
    <t>pelo menos uma vez por semana</t>
  </si>
  <si>
    <t>3.2.1.2</t>
  </si>
  <si>
    <t>uma vez entre uma a duas semanas</t>
  </si>
  <si>
    <t>3.2.1.3</t>
  </si>
  <si>
    <t>uma vez entre duas semanas a um mês</t>
  </si>
  <si>
    <t>3.2.1.4</t>
  </si>
  <si>
    <t>menos de uma vez por mês</t>
  </si>
  <si>
    <t>3.2.1.5</t>
  </si>
  <si>
    <t>Os equipamentos existentes…</t>
  </si>
  <si>
    <t>3.2.2.1</t>
  </si>
  <si>
    <t>não apresentam evidências de fuga ou respingo</t>
  </si>
  <si>
    <t>3.2.2.2</t>
  </si>
  <si>
    <t>não apresentam evidências de fuga mas apresentam evidências de respingo</t>
  </si>
  <si>
    <t>3.2.2.3</t>
  </si>
  <si>
    <t>apresentam evidências de fuga mas não apresentam evidências de respingo</t>
  </si>
  <si>
    <t>3.2.2.4</t>
  </si>
  <si>
    <t>3.2.2.5</t>
  </si>
  <si>
    <t>O dispositivo instalado dispõe de…</t>
  </si>
  <si>
    <t>certificado A ou superior emitido pela ANQIP ou Unified Water Label</t>
  </si>
  <si>
    <t>redutor/regulador de caudal (inclui arejador)</t>
  </si>
  <si>
    <t>torneira com posições fixas de caudal / eco-stop</t>
  </si>
  <si>
    <t>torneira misturadora termostática</t>
  </si>
  <si>
    <t>torneira temporizada/com sensor</t>
  </si>
  <si>
    <t xml:space="preserve">O caudal do dispositivo em abertura máxima para água fria é...  </t>
  </si>
  <si>
    <t>entre ]7 e 9] litros/min</t>
  </si>
  <si>
    <t>entre ]9 e 15] litros/min</t>
  </si>
  <si>
    <t>superior a 15 litros/min</t>
  </si>
  <si>
    <t>O dispositivo instalado…</t>
  </si>
  <si>
    <t>apresenta indícios de fuga (justifique)</t>
  </si>
  <si>
    <t>O dispositivo foi instalado…</t>
  </si>
  <si>
    <t>há 5 ou menos anos</t>
  </si>
  <si>
    <t>entre ]5 e 15] anos</t>
  </si>
  <si>
    <t>há mais de 15 anos</t>
  </si>
  <si>
    <t>4.1.1</t>
  </si>
  <si>
    <t>O dispositivo instalado integra um(a)…</t>
  </si>
  <si>
    <t>4.1.1.1</t>
  </si>
  <si>
    <t>o dispositivo tem um certificado A ou superior emitido pela ANQIP ou Unified Water Label</t>
  </si>
  <si>
    <t>4.1.1.2</t>
  </si>
  <si>
    <t>4.1.1.3</t>
  </si>
  <si>
    <t>4.1.1.4</t>
  </si>
  <si>
    <t>4.1.1.5</t>
  </si>
  <si>
    <t>4.1.1.6</t>
  </si>
  <si>
    <t>4.1.1.7</t>
  </si>
  <si>
    <t>4.1.2</t>
  </si>
  <si>
    <t xml:space="preserve">O caudal do dispositivo (cabeça de duche) em abertura máxima para água fria é...  </t>
  </si>
  <si>
    <t>4.1.2.1</t>
  </si>
  <si>
    <t>4.1.2.2</t>
  </si>
  <si>
    <t>4.1.2.3</t>
  </si>
  <si>
    <t>4.1.2.4</t>
  </si>
  <si>
    <t>4.1.2.5</t>
  </si>
  <si>
    <t>4.1.3</t>
  </si>
  <si>
    <t>4.1.3.1</t>
  </si>
  <si>
    <t>4.1.3.2</t>
  </si>
  <si>
    <t>4.1.3.3</t>
  </si>
  <si>
    <t>4.1.3.4</t>
  </si>
  <si>
    <t>4.1.4</t>
  </si>
  <si>
    <t>4.1.4.1</t>
  </si>
  <si>
    <t>4.1.4.2</t>
  </si>
  <si>
    <t>4.1.4.3</t>
  </si>
  <si>
    <t xml:space="preserve">há mais de 15 anos </t>
  </si>
  <si>
    <t>4.1.4.4</t>
  </si>
  <si>
    <t>4.1.5</t>
  </si>
  <si>
    <t>O dispositivo serve uma...</t>
  </si>
  <si>
    <t>4.1.5.1</t>
  </si>
  <si>
    <t>base de duche</t>
  </si>
  <si>
    <t>4.1.5.2</t>
  </si>
  <si>
    <t>banheira</t>
  </si>
  <si>
    <t>4.1.5.3</t>
  </si>
  <si>
    <t>4.1.5.4</t>
  </si>
  <si>
    <t>4.2.1</t>
  </si>
  <si>
    <t>4.2.1.1</t>
  </si>
  <si>
    <t>4.2.1.2</t>
  </si>
  <si>
    <t>duplo abastecimento (água potável e não potável)</t>
  </si>
  <si>
    <t>4.2.1.3</t>
  </si>
  <si>
    <t>4.2.1.4</t>
  </si>
  <si>
    <t>4.2.1.5</t>
  </si>
  <si>
    <t>4.2.1.6</t>
  </si>
  <si>
    <t>4.2.1.7</t>
  </si>
  <si>
    <t>4.2.2</t>
  </si>
  <si>
    <t xml:space="preserve">O volume da descarga completa do dispositivo é...  </t>
  </si>
  <si>
    <t>4.2.2.1</t>
  </si>
  <si>
    <t>igual ou inferior a 6,5 litros</t>
  </si>
  <si>
    <t>4.2.2.2</t>
  </si>
  <si>
    <t>entre ]6,5 e 7,5] litros</t>
  </si>
  <si>
    <t>4.2.2.3</t>
  </si>
  <si>
    <t>entre ]7,5 e 9,0] litros</t>
  </si>
  <si>
    <t>4.2.2.4</t>
  </si>
  <si>
    <t>superior a 9,0 litros</t>
  </si>
  <si>
    <t>4.2.2.5</t>
  </si>
  <si>
    <t>4.2.3</t>
  </si>
  <si>
    <t>4.2.3.1</t>
  </si>
  <si>
    <t>4.2.3.2</t>
  </si>
  <si>
    <t>4.2.3.3</t>
  </si>
  <si>
    <t>4.2.3.4</t>
  </si>
  <si>
    <t>4.2.4</t>
  </si>
  <si>
    <t>4.2.4.1</t>
  </si>
  <si>
    <t>4.2.4.2</t>
  </si>
  <si>
    <t>4.2.4.3</t>
  </si>
  <si>
    <t>4.2.4.4</t>
  </si>
  <si>
    <t>4.3.1</t>
  </si>
  <si>
    <t>4.3.1.1</t>
  </si>
  <si>
    <t>4.3.1.2</t>
  </si>
  <si>
    <t>4.3.1.3</t>
  </si>
  <si>
    <t>4.3.1.4</t>
  </si>
  <si>
    <t>4.3.1.5</t>
  </si>
  <si>
    <t>4.3.1.6</t>
  </si>
  <si>
    <t>4.3.1.7</t>
  </si>
  <si>
    <t>4.3.2</t>
  </si>
  <si>
    <t>4.3.2.1</t>
  </si>
  <si>
    <t>4.3.2.2</t>
  </si>
  <si>
    <t>entre ]4 e 6] litros/min</t>
  </si>
  <si>
    <t>4.3.2.3</t>
  </si>
  <si>
    <t>superior a 6 litros/min</t>
  </si>
  <si>
    <t>4.3.2.4</t>
  </si>
  <si>
    <t>4.3.3</t>
  </si>
  <si>
    <t>4.3.3.1</t>
  </si>
  <si>
    <t>4.3.3.2</t>
  </si>
  <si>
    <t>4.3.3.3</t>
  </si>
  <si>
    <t>4.3.3.4</t>
  </si>
  <si>
    <t>4.3.4</t>
  </si>
  <si>
    <t>4.3.4.1</t>
  </si>
  <si>
    <t>4.3.4.2</t>
  </si>
  <si>
    <t>4.3.4.3</t>
  </si>
  <si>
    <t>4.3.4.4</t>
  </si>
  <si>
    <t>4.3.5</t>
  </si>
  <si>
    <t>A válvula ou tampa do ralo da cuba que serve o dispositivo…</t>
  </si>
  <si>
    <t>4.3.5.1</t>
  </si>
  <si>
    <t>não apresenta indícios de fugas de qualquer tipo</t>
  </si>
  <si>
    <t>4.3.5.2</t>
  </si>
  <si>
    <t>apresenta indícios de fugas ou de mau funcionamento</t>
  </si>
  <si>
    <t>4.3.5.3</t>
  </si>
  <si>
    <t>apresenta evidência de fuga(s), não dispõe de tampa ou a tampa não está em boa condição de funcionamento</t>
  </si>
  <si>
    <t>4.3.5.4</t>
  </si>
  <si>
    <t>4.4.1</t>
  </si>
  <si>
    <t>4.4.1.1</t>
  </si>
  <si>
    <t>4.4.1.2</t>
  </si>
  <si>
    <t>4.4.1.3</t>
  </si>
  <si>
    <t>4.4.1.4</t>
  </si>
  <si>
    <t>4.4.1.5</t>
  </si>
  <si>
    <t>4.4.2</t>
  </si>
  <si>
    <t>4.4.2.1</t>
  </si>
  <si>
    <t>4.4.2.2</t>
  </si>
  <si>
    <t>4.4.2.3</t>
  </si>
  <si>
    <t>4.4.2.4</t>
  </si>
  <si>
    <t>4.4.3</t>
  </si>
  <si>
    <t>4.4.3.1</t>
  </si>
  <si>
    <t>4.4.3.2</t>
  </si>
  <si>
    <t>4.4.3.3</t>
  </si>
  <si>
    <t>4.4.3.4</t>
  </si>
  <si>
    <t>4.4.4</t>
  </si>
  <si>
    <t>4.4.4.1</t>
  </si>
  <si>
    <t>4.4.4.2</t>
  </si>
  <si>
    <t>4.4.4.3</t>
  </si>
  <si>
    <t>4.5.1.1</t>
  </si>
  <si>
    <t>4.5.1.2</t>
  </si>
  <si>
    <t>4.5.1.3</t>
  </si>
  <si>
    <t>4.5.1.4</t>
  </si>
  <si>
    <t>4.5.1.5</t>
  </si>
  <si>
    <t>4.5.1.6</t>
  </si>
  <si>
    <t>4.5.1.7</t>
  </si>
  <si>
    <t>4.5.2.1</t>
  </si>
  <si>
    <t>4.5.2.2</t>
  </si>
  <si>
    <t>entre ]6 e 8] litros/min</t>
  </si>
  <si>
    <t>4.5.2.3</t>
  </si>
  <si>
    <t xml:space="preserve">superior a 8 litros/min </t>
  </si>
  <si>
    <t>4.5.2.4</t>
  </si>
  <si>
    <t>4.5.3.1</t>
  </si>
  <si>
    <t>4.5.3.2</t>
  </si>
  <si>
    <t>4.5.3.3</t>
  </si>
  <si>
    <t>4.5.3.4</t>
  </si>
  <si>
    <t>4.5.4.1</t>
  </si>
  <si>
    <t>4.5.4.2</t>
  </si>
  <si>
    <t>4.5.4.3</t>
  </si>
  <si>
    <t>4.5.4.4</t>
  </si>
  <si>
    <t>4.5.5.1</t>
  </si>
  <si>
    <t>4.5.5.2</t>
  </si>
  <si>
    <t>4.5.5.3</t>
  </si>
  <si>
    <t>4.5.5.4</t>
  </si>
  <si>
    <t>O equipamento instalado dispõe de…</t>
  </si>
  <si>
    <t>4.6.1.1</t>
  </si>
  <si>
    <t>sistema de otimização da distribuição de água (sistema orbital e oscilante)</t>
  </si>
  <si>
    <t>4.6.1.2</t>
  </si>
  <si>
    <t>programa de lavagem "ECO"</t>
  </si>
  <si>
    <t>4.6.1.3</t>
  </si>
  <si>
    <t>sensor de turvação da água</t>
  </si>
  <si>
    <t>4.6.1.4</t>
  </si>
  <si>
    <t>AquaStop ou sistema anti-inundação</t>
  </si>
  <si>
    <t>4.6.1.5</t>
  </si>
  <si>
    <t>4.6.1.6</t>
  </si>
  <si>
    <t>O consumo específico de água do equipamento, determinado de acordo com as regras de respetiva etiqueta europeia ou pelas especificações do equipamento, é…</t>
  </si>
  <si>
    <t>4.6.2.1</t>
  </si>
  <si>
    <t>igual ou inferior a 0,6 litros por ciclo e por talher</t>
  </si>
  <si>
    <t>4.6.2.2</t>
  </si>
  <si>
    <t>entre ]0,6 e 0,9] litros por ciclo e por talher</t>
  </si>
  <si>
    <t>4.6.2.3</t>
  </si>
  <si>
    <t>entre ]0,9 e 1,2] litros por ciclo e por talher</t>
  </si>
  <si>
    <t>4.6.2.4</t>
  </si>
  <si>
    <t>4.6.2.5</t>
  </si>
  <si>
    <t>O equipamento foi adquirido novo e instalado…</t>
  </si>
  <si>
    <t>4.6.3.1</t>
  </si>
  <si>
    <t>há 8 ou menos anos</t>
  </si>
  <si>
    <t>4.6.3.2</t>
  </si>
  <si>
    <t>entre ]8 e 12] anos</t>
  </si>
  <si>
    <t>4.6.3.3</t>
  </si>
  <si>
    <t>há mais de 12 anos</t>
  </si>
  <si>
    <t>4.6.3.4</t>
  </si>
  <si>
    <t>4.7.1.1</t>
  </si>
  <si>
    <t>admissão de água por duas vias (rede de água potável e não potável)</t>
  </si>
  <si>
    <t>4.7.1.2</t>
  </si>
  <si>
    <t>admissão de água aquecida recorrendo a energia de origem renovável</t>
  </si>
  <si>
    <t>4.7.1.3</t>
  </si>
  <si>
    <t>4.7.1.4</t>
  </si>
  <si>
    <t>sistema automático de ajuste de carga</t>
  </si>
  <si>
    <t>4.7.1.5</t>
  </si>
  <si>
    <t>4.7.1.6</t>
  </si>
  <si>
    <t>4.7.1.7</t>
  </si>
  <si>
    <t>O consumo específico de água do equipamento, determinado de acordo com as regras de respetiva etiqueta europeia, é…</t>
  </si>
  <si>
    <t>4.7.2.1</t>
  </si>
  <si>
    <t>igual ou inferior a 4,5 litros por ciclo e por kg de carga</t>
  </si>
  <si>
    <t>4.7.2.2</t>
  </si>
  <si>
    <t>entre ]4,5 e 5,5] litros por ciclo e por kg de carga</t>
  </si>
  <si>
    <t>4.7.2.3</t>
  </si>
  <si>
    <t>entre ]5,5 e 6,5] litros por ciclo e por kg de carga</t>
  </si>
  <si>
    <t>4.7.2.4</t>
  </si>
  <si>
    <t>4.7.2.5</t>
  </si>
  <si>
    <t>4.7.3.1</t>
  </si>
  <si>
    <t>4.7.3.2</t>
  </si>
  <si>
    <t>4.7.3.3</t>
  </si>
  <si>
    <t>4.7.3.4</t>
  </si>
  <si>
    <t>5.1.1.1</t>
  </si>
  <si>
    <t>5.1.1.2</t>
  </si>
  <si>
    <t>5.1.1.3</t>
  </si>
  <si>
    <t>5.1.1.4</t>
  </si>
  <si>
    <t>5.1.1.5</t>
  </si>
  <si>
    <t xml:space="preserve">válvula de enchimento regulável </t>
  </si>
  <si>
    <t>5.1.1.6</t>
  </si>
  <si>
    <t>5.1.1.7</t>
  </si>
  <si>
    <t>5.1.2.1</t>
  </si>
  <si>
    <t>5.1.2.2</t>
  </si>
  <si>
    <t>5.1.2.3</t>
  </si>
  <si>
    <t>5.1.2.4</t>
  </si>
  <si>
    <t>5.1.2.5</t>
  </si>
  <si>
    <t>5.1.3.1</t>
  </si>
  <si>
    <t>5.1.3.2</t>
  </si>
  <si>
    <t>5.1.3.3</t>
  </si>
  <si>
    <t>5.1.3.4</t>
  </si>
  <si>
    <t>5.1.4.1</t>
  </si>
  <si>
    <t>5.1.4.2</t>
  </si>
  <si>
    <t>5.1.4.3</t>
  </si>
  <si>
    <t>5.1.4.4</t>
  </si>
  <si>
    <t>5.2.1.1</t>
  </si>
  <si>
    <t>5.2.1.2</t>
  </si>
  <si>
    <t>torneira temporizada / sensor de presença</t>
  </si>
  <si>
    <t>5.2.1.3</t>
  </si>
  <si>
    <t>5.2.1.4</t>
  </si>
  <si>
    <t>sistema que não necessita de consumo de água</t>
  </si>
  <si>
    <t>5.2.1.5</t>
  </si>
  <si>
    <t>5.2.1.6</t>
  </si>
  <si>
    <t>5.2.2.1</t>
  </si>
  <si>
    <t>igual ou inferior a 2,0 litros</t>
  </si>
  <si>
    <t>5.2.2.2</t>
  </si>
  <si>
    <t>5.2.2.3</t>
  </si>
  <si>
    <t>5.2.2.4</t>
  </si>
  <si>
    <t>superior a 8,0 litros</t>
  </si>
  <si>
    <t>5.2.2.5</t>
  </si>
  <si>
    <t>5.2.3.1</t>
  </si>
  <si>
    <t>5.2.3.2</t>
  </si>
  <si>
    <t>5.2.3.3</t>
  </si>
  <si>
    <t>5.2.3.4</t>
  </si>
  <si>
    <t>5.2.4.1</t>
  </si>
  <si>
    <t>5.2.4.2</t>
  </si>
  <si>
    <t>5.2.4.3</t>
  </si>
  <si>
    <t>5.2.4.4</t>
  </si>
  <si>
    <t>5.3.1.1</t>
  </si>
  <si>
    <t>5.3.1.2</t>
  </si>
  <si>
    <t>5.3.1.3</t>
  </si>
  <si>
    <t>5.3.1.4</t>
  </si>
  <si>
    <t>5.3.1.5</t>
  </si>
  <si>
    <t>5.3.1.6</t>
  </si>
  <si>
    <t>5.3.1.7</t>
  </si>
  <si>
    <t>5.3.2.1</t>
  </si>
  <si>
    <t>5.3.2.2</t>
  </si>
  <si>
    <t>5.3.2.3</t>
  </si>
  <si>
    <t>5.3.2.4</t>
  </si>
  <si>
    <t>5.3.3.1</t>
  </si>
  <si>
    <t>5.3.3.2</t>
  </si>
  <si>
    <t>5.3.3.3</t>
  </si>
  <si>
    <t>5.3.3.4</t>
  </si>
  <si>
    <t>5.3.4.1</t>
  </si>
  <si>
    <t>5.3.4.2</t>
  </si>
  <si>
    <t>5.3.4.3</t>
  </si>
  <si>
    <t>5.3.4.4</t>
  </si>
  <si>
    <t>5.4.1.1</t>
  </si>
  <si>
    <t>5.4.1.2</t>
  </si>
  <si>
    <t>5.4.1.3</t>
  </si>
  <si>
    <t>5.4.1.4</t>
  </si>
  <si>
    <t>5.4.1.5</t>
  </si>
  <si>
    <t>5.4.1.6</t>
  </si>
  <si>
    <t>5.4.1.7</t>
  </si>
  <si>
    <t>5.4.2.1</t>
  </si>
  <si>
    <t>5.4.2.2</t>
  </si>
  <si>
    <t>5.4.2.3</t>
  </si>
  <si>
    <t>5.4.2.4</t>
  </si>
  <si>
    <t>5.4.2.5</t>
  </si>
  <si>
    <t>5.4.3.1</t>
  </si>
  <si>
    <t>5.4.3.2</t>
  </si>
  <si>
    <t>5.4.3.3</t>
  </si>
  <si>
    <t>5.4.3.4</t>
  </si>
  <si>
    <t>5.4.4.1</t>
  </si>
  <si>
    <t>5.4.4.2</t>
  </si>
  <si>
    <t>5.4.4.3</t>
  </si>
  <si>
    <t>5.4.4.4</t>
  </si>
  <si>
    <t>6.1.1.1</t>
  </si>
  <si>
    <t>6.1.1.2</t>
  </si>
  <si>
    <t>6.1.1.3</t>
  </si>
  <si>
    <t>6.1.1.4</t>
  </si>
  <si>
    <t>6.1.1.6</t>
  </si>
  <si>
    <t>6.1.2.1</t>
  </si>
  <si>
    <t>6.1.2.2</t>
  </si>
  <si>
    <t>entre ]8 e 12] litros/min</t>
  </si>
  <si>
    <t>6.1.2.3</t>
  </si>
  <si>
    <t xml:space="preserve">superior a 12 litros/min </t>
  </si>
  <si>
    <t>6.1.2.4</t>
  </si>
  <si>
    <t>6.1.3.1</t>
  </si>
  <si>
    <t>6.1.3.2</t>
  </si>
  <si>
    <t>6.1.3.3</t>
  </si>
  <si>
    <t>6.1.3.4</t>
  </si>
  <si>
    <t>6.1.4.1</t>
  </si>
  <si>
    <t>6.1.4.2</t>
  </si>
  <si>
    <t>6.1.4.3</t>
  </si>
  <si>
    <t>6.1.4.4</t>
  </si>
  <si>
    <t>Máquinas lavar loiça</t>
  </si>
  <si>
    <t>Os tipos de equipamento existentes são…</t>
  </si>
  <si>
    <t>6.2.1.1</t>
  </si>
  <si>
    <t>máquinas de lavar fechadas, especializadas para pratos, copos e outros utensílios</t>
  </si>
  <si>
    <t>6.2.1.2</t>
  </si>
  <si>
    <t>6.2.1.3</t>
  </si>
  <si>
    <t>Os equipamentos foram adquiridos novos e instalados…</t>
  </si>
  <si>
    <t>6.2.2.1</t>
  </si>
  <si>
    <t>6.2.2.2</t>
  </si>
  <si>
    <t>6.2.2.3</t>
  </si>
  <si>
    <t>6.2.2.4</t>
  </si>
  <si>
    <t>O(s) equipamento(s) dispõem das seguintes características…</t>
  </si>
  <si>
    <t>7.1.1.1</t>
  </si>
  <si>
    <t>7.1.1.2</t>
  </si>
  <si>
    <t>7.1.1.3</t>
  </si>
  <si>
    <t>recirculação da água de enxaguar</t>
  </si>
  <si>
    <t>7.1.1.4</t>
  </si>
  <si>
    <t>modo de lavagem "ECO"</t>
  </si>
  <si>
    <t>7.1.1.5</t>
  </si>
  <si>
    <t>AquaStop ou sistema anti inundação</t>
  </si>
  <si>
    <t>7.1.1.6</t>
  </si>
  <si>
    <t>carregamento de roupa frontal</t>
  </si>
  <si>
    <t>7.1.1.7</t>
  </si>
  <si>
    <t>outros (especifique)</t>
  </si>
  <si>
    <t>7.1.1.8</t>
  </si>
  <si>
    <t>7.1.2.1</t>
  </si>
  <si>
    <t>7.1.2.2</t>
  </si>
  <si>
    <t>7.1.2.3</t>
  </si>
  <si>
    <t>7.1.2.4</t>
  </si>
  <si>
    <t>A técnica regularmente aplicada na lavagem de viaturas utiliza um sistema de lavagem…</t>
  </si>
  <si>
    <t>7.2.1.1</t>
  </si>
  <si>
    <t>a seco</t>
  </si>
  <si>
    <t>7.2.1.2</t>
  </si>
  <si>
    <t>com escova de espuma</t>
  </si>
  <si>
    <t>7.2.1.3</t>
  </si>
  <si>
    <t>manual à pressão</t>
  </si>
  <si>
    <t>7.2.1.4</t>
  </si>
  <si>
    <t>automático</t>
  </si>
  <si>
    <t>7.2.1.5</t>
  </si>
  <si>
    <t>7.2.1.6</t>
  </si>
  <si>
    <t>A monitorização do sistema de rega utilizado indica a inexistência de fugas em…</t>
  </si>
  <si>
    <t>8.1.1.1</t>
  </si>
  <si>
    <t>100% da área regada do campo</t>
  </si>
  <si>
    <t>8.1.1.2</t>
  </si>
  <si>
    <t>entre [75% e 100%[ da área regada do campo</t>
  </si>
  <si>
    <t>8.1.1.3</t>
  </si>
  <si>
    <t>entre [50% e 75%[ da área regada do campo</t>
  </si>
  <si>
    <t>8.1.1.4</t>
  </si>
  <si>
    <t>entre [25% e 50%[ da área regada do campo</t>
  </si>
  <si>
    <t>8.1.1.5</t>
  </si>
  <si>
    <t>8.1.1.6</t>
  </si>
  <si>
    <t>O método utilizado para deteção de fugas na rede de rega baseia-se…</t>
  </si>
  <si>
    <t>8.1.2.1</t>
  </si>
  <si>
    <t>num sistema de deteção em tempo real</t>
  </si>
  <si>
    <t>8.1.2.2</t>
  </si>
  <si>
    <r>
      <t xml:space="preserve">na utilização de </t>
    </r>
    <r>
      <rPr>
        <i/>
        <sz val="11"/>
        <color theme="1"/>
        <rFont val="Calibri"/>
        <family val="2"/>
        <scheme val="minor"/>
      </rPr>
      <t>data loggers</t>
    </r>
    <r>
      <rPr>
        <sz val="11"/>
        <color theme="1"/>
        <rFont val="Calibri"/>
        <family val="2"/>
        <scheme val="minor"/>
      </rPr>
      <t xml:space="preserve"> para recolha de dados e posterior análise</t>
    </r>
  </si>
  <si>
    <t>8.1.2.3</t>
  </si>
  <si>
    <t>na leitura manual dos dados dos contadores</t>
  </si>
  <si>
    <t>8.1.2.4</t>
  </si>
  <si>
    <t>na identificação visual de problemas no terreno</t>
  </si>
  <si>
    <t>8.1.2.5</t>
  </si>
  <si>
    <t>8.1.3.1</t>
  </si>
  <si>
    <t>automático com base em sensores de humidade complementado com previsão metereológica</t>
  </si>
  <si>
    <t>8.1.3.2</t>
  </si>
  <si>
    <t>8.1.3.3</t>
  </si>
  <si>
    <t>automático com base em sensores de chuva</t>
  </si>
  <si>
    <t>8.1.3.4</t>
  </si>
  <si>
    <t>8.1.3.5</t>
  </si>
  <si>
    <t>manual ou inexistente</t>
  </si>
  <si>
    <t>8.1.3.6</t>
  </si>
  <si>
    <t>8.1.3.7</t>
  </si>
  <si>
    <t>O atual plano de manutenção é do tipo…</t>
  </si>
  <si>
    <t>8.1.4.1</t>
  </si>
  <si>
    <t>preditiva, através de um sistema inteligente de alarmisticas</t>
  </si>
  <si>
    <t>8.1.4.2</t>
  </si>
  <si>
    <t>preventiva, através de verificações regulares</t>
  </si>
  <si>
    <t>8.1.4.3</t>
  </si>
  <si>
    <t>corretiva, quando é identificado um problema</t>
  </si>
  <si>
    <t>8.1.4.4</t>
  </si>
  <si>
    <t>A análise do consumo de rega durante os últimos 12 meses indica um consumo…</t>
  </si>
  <si>
    <t>8.1.5.1</t>
  </si>
  <si>
    <t>8.1.5.2</t>
  </si>
  <si>
    <t>8.1.5.3</t>
  </si>
  <si>
    <t>8.1.5.4</t>
  </si>
  <si>
    <t>8.1.5.5</t>
  </si>
  <si>
    <t>8.1.5.6</t>
  </si>
  <si>
    <t>8.1.5.7</t>
  </si>
  <si>
    <t>O campo dispõe de sistema(s), em uso e certificado(s), ou passível(eis) de utilização após licenciamento por entidade competente, para o aproveitamento de…</t>
  </si>
  <si>
    <t>8.2.1.1</t>
  </si>
  <si>
    <t>8.2.1.2</t>
  </si>
  <si>
    <t>8.2.1.3</t>
  </si>
  <si>
    <t>8.2.1.4</t>
  </si>
  <si>
    <t>8.2.1.5</t>
  </si>
  <si>
    <t>8.2.1.6</t>
  </si>
  <si>
    <t>8.2.2.1</t>
  </si>
  <si>
    <t>100% da energia necessária</t>
  </si>
  <si>
    <t>8.2.2.2</t>
  </si>
  <si>
    <t>8.2.2.3</t>
  </si>
  <si>
    <t>8.2.2.4</t>
  </si>
  <si>
    <t>8.2.2.5</t>
  </si>
  <si>
    <t>menos de 25% da energia necessária</t>
  </si>
  <si>
    <t>8.2.2.6</t>
  </si>
  <si>
    <t>8.2.3.1</t>
  </si>
  <si>
    <t>100% da água de rega</t>
  </si>
  <si>
    <t>8.2.3.2</t>
  </si>
  <si>
    <t>entre [75% a 100%[ da água de rega</t>
  </si>
  <si>
    <t>8.2.3.3</t>
  </si>
  <si>
    <t>entre [50% a 75%[ da água de rega</t>
  </si>
  <si>
    <t>8.2.3.4</t>
  </si>
  <si>
    <t>entre [25% a 50%[ da água de rega</t>
  </si>
  <si>
    <t>8.2.3.5</t>
  </si>
  <si>
    <t>menos de 25% da água de rega</t>
  </si>
  <si>
    <t>8.2.3.6</t>
  </si>
  <si>
    <t xml:space="preserve">Atualmente, são utilizadas espécies de relva que minimizam o consumo de água no(s)... </t>
  </si>
  <si>
    <t>8.3.1.1</t>
  </si>
  <si>
    <t>Roughs</t>
  </si>
  <si>
    <t>8.3.1.2</t>
  </si>
  <si>
    <t>Fairways</t>
  </si>
  <si>
    <t>8.3.1.3</t>
  </si>
  <si>
    <t>Greens</t>
  </si>
  <si>
    <t>8.3.1.4</t>
  </si>
  <si>
    <t>Tees</t>
  </si>
  <si>
    <t>8.3.1.5</t>
  </si>
  <si>
    <t>8.3.2.1</t>
  </si>
  <si>
    <t>8.3.2.2</t>
  </si>
  <si>
    <t>8.3.2.3</t>
  </si>
  <si>
    <t>8.3.2.4</t>
  </si>
  <si>
    <t>90% ou mais da área total do campo</t>
  </si>
  <si>
    <t>8.3.2.5</t>
  </si>
  <si>
    <t>9.1.1.1</t>
  </si>
  <si>
    <t>regulação da temperatura de água quente</t>
  </si>
  <si>
    <t>9.1.1.2</t>
  </si>
  <si>
    <t>modulação termostática da temperatura da água</t>
  </si>
  <si>
    <t>9.1.1.3</t>
  </si>
  <si>
    <t>9.1.1.4</t>
  </si>
  <si>
    <t>9.1.1.5</t>
  </si>
  <si>
    <t>9.1.1.6</t>
  </si>
  <si>
    <t>9.1.2.1</t>
  </si>
  <si>
    <t>9.1.2.2</t>
  </si>
  <si>
    <t>9.1.2.3</t>
  </si>
  <si>
    <t>9.1.2.4</t>
  </si>
  <si>
    <t>9.1.3.1</t>
  </si>
  <si>
    <t>no último ano</t>
  </si>
  <si>
    <t>9.1.3.2</t>
  </si>
  <si>
    <t>nos últimos dois anos</t>
  </si>
  <si>
    <t>9.1.3.3</t>
  </si>
  <si>
    <t>há mais de dois anos</t>
  </si>
  <si>
    <t>9.1.3.4</t>
  </si>
  <si>
    <t>9.1.4.1</t>
  </si>
  <si>
    <t>9.1.4.2</t>
  </si>
  <si>
    <t>9.1.4.3</t>
  </si>
  <si>
    <t>9.1.4.4</t>
  </si>
  <si>
    <t>A manutenção efetuada ao(s) sistema(s) de produção de água quente é realizada de forma…</t>
  </si>
  <si>
    <t>9.1.5.1</t>
  </si>
  <si>
    <t>9.1.5.2</t>
  </si>
  <si>
    <t>9.1.5.3</t>
  </si>
  <si>
    <t>9.1.5.4</t>
  </si>
  <si>
    <t>A rede de distribuição de água quente (desde o sistema de produção e/ou acumulação até aos dispositivos), dispõe de isolamento térmico…</t>
  </si>
  <si>
    <t>9.2.1.1</t>
  </si>
  <si>
    <t>em toda a sua extensão</t>
  </si>
  <si>
    <t>9.2.1.2</t>
  </si>
  <si>
    <t>nos troços visíveis da instalação</t>
  </si>
  <si>
    <t>9.2.1.3</t>
  </si>
  <si>
    <t>Não existe isolamento térmico ou não foi possível determinar (justifique)</t>
  </si>
  <si>
    <t>A rede de distribuição (ou o equipamento de produção) de água quente dispõe de rede de circulação e retorno de água quente com…</t>
  </si>
  <si>
    <t>9.2.2.1</t>
  </si>
  <si>
    <t>funcionamento continuo</t>
  </si>
  <si>
    <t>9.2.2.2</t>
  </si>
  <si>
    <t>acionamento programável</t>
  </si>
  <si>
    <t>9.2.2.3</t>
  </si>
  <si>
    <t>9.2.2.4</t>
  </si>
  <si>
    <t>A unidade hoteleira implementa estratégias de sensibilização e divulga boas práticas para redução do consumo de água dirigidas a…</t>
  </si>
  <si>
    <t>10.1.1.1</t>
  </si>
  <si>
    <t>clientes</t>
  </si>
  <si>
    <t>10.1.1.2</t>
  </si>
  <si>
    <t>funcionários</t>
  </si>
  <si>
    <t>10.1.1.3</t>
  </si>
  <si>
    <t>comunidade local</t>
  </si>
  <si>
    <t>10.1.1.4</t>
  </si>
  <si>
    <t>10.1.1.5</t>
  </si>
  <si>
    <t>10.1.1.6</t>
  </si>
  <si>
    <t>10.1.2.1</t>
  </si>
  <si>
    <t>redução da frequência de troca de roupa de cama e atoalhados</t>
  </si>
  <si>
    <t>10.1.2.2</t>
  </si>
  <si>
    <t>10.1.2.3</t>
  </si>
  <si>
    <t>redução do uso de água em banhos</t>
  </si>
  <si>
    <t>10.1.2.4</t>
  </si>
  <si>
    <t>tomada de duche antes de usufruir da piscina</t>
  </si>
  <si>
    <t>10.1.2.5</t>
  </si>
  <si>
    <t>10.1.2.6</t>
  </si>
  <si>
    <t>10.1.2.7</t>
  </si>
  <si>
    <t>10.1.3</t>
  </si>
  <si>
    <t>10.1.3.1</t>
  </si>
  <si>
    <t>elaboração de manual de boas práticas</t>
  </si>
  <si>
    <t>10.1.3.2</t>
  </si>
  <si>
    <t>formação anual sobre temáticas de eficiência hídrica</t>
  </si>
  <si>
    <t>10.1.3.3</t>
  </si>
  <si>
    <t>10.1.3.4</t>
  </si>
  <si>
    <t>10.1.3.5</t>
  </si>
  <si>
    <t>Participação em projetos e outras medidas de impacte no uso eficiente da água</t>
  </si>
  <si>
    <t>Nos últimos 12 meses, a entidade participou ativamente…</t>
  </si>
  <si>
    <t>10.2.1.1</t>
  </si>
  <si>
    <t>num, ou mais, projetos de inovação com relação à área de eficiência hídrica</t>
  </si>
  <si>
    <t>10.2.1.2</t>
  </si>
  <si>
    <t>num, ou mais, prémios ou certificações que reconhecem as boas práticas da unidade relacionada com a eficiência hídrica</t>
  </si>
  <si>
    <t>10.2.1.3</t>
  </si>
  <si>
    <t>num, ou mais, eventos com, pelo menos, um tópico relacionado com a eficiência hídrica no programa</t>
  </si>
  <si>
    <t>10.2.1.4</t>
  </si>
  <si>
    <t>10.2.1.5</t>
  </si>
  <si>
    <t>Nos últimos 12 meses, a entidade realizou…</t>
  </si>
  <si>
    <t>10.2.2.1</t>
  </si>
  <si>
    <t>a elaboração/acompanhamento de um plano de gestão do uso de água</t>
  </si>
  <si>
    <t>10.2.2.2</t>
  </si>
  <si>
    <t>a elaboração/atualização de relatório de sustentabilidade com indicadores de eficiência hídrica</t>
  </si>
  <si>
    <t>10.2.2.3</t>
  </si>
  <si>
    <t>medição de resultados de impactos das campanhas de sensibilização</t>
  </si>
  <si>
    <t>10.2.2.4</t>
  </si>
  <si>
    <t>capacitação/formação de colaboradores no uso eficiente de água</t>
  </si>
  <si>
    <t>10.2.2.5</t>
  </si>
  <si>
    <t>outras que induzam a eficiência no consumo da água (especifique)</t>
  </si>
  <si>
    <t>10.2.2.6</t>
  </si>
  <si>
    <t>10.2.2.7</t>
  </si>
  <si>
    <t>2.1.2.6</t>
  </si>
  <si>
    <t>Casas de banho comuns e balneários</t>
  </si>
  <si>
    <t>Piscinas e SPA's</t>
  </si>
  <si>
    <t>Chuveiro casa de banho comum ou balneário</t>
  </si>
  <si>
    <t>Ocupação máxima [hóspedes/noite]</t>
  </si>
  <si>
    <t>Taxa de ocupação do hotel</t>
  </si>
  <si>
    <t>Sistemas de rega</t>
  </si>
  <si>
    <t>Gota a gota</t>
  </si>
  <si>
    <t>Microaspersão</t>
  </si>
  <si>
    <t>Pulverização ou difusão</t>
  </si>
  <si>
    <t>Aspersão</t>
  </si>
  <si>
    <t>Piscinas e jacuzzis</t>
  </si>
  <si>
    <t>Quantidade de jacuzzis</t>
  </si>
  <si>
    <t>Área relvada</t>
  </si>
  <si>
    <t>Lavatório de casa de banho ou lava-mãos</t>
  </si>
  <si>
    <t>O proprietário/responsável dispõe e tem acesso direto (p.e. no manual técnico do edíficio) a exemplar de projeto onde conste a descrição detalhada de…</t>
  </si>
  <si>
    <t>Tipologia</t>
  </si>
  <si>
    <t>Aldeamento turístico</t>
  </si>
  <si>
    <t>Empreendimento de turismo de habitação</t>
  </si>
  <si>
    <t>Parque de campismo e de caravanismo</t>
  </si>
  <si>
    <t>Hotel</t>
  </si>
  <si>
    <t>Hotel-apartamento</t>
  </si>
  <si>
    <t>Pousada</t>
  </si>
  <si>
    <t>Conjunto turístico (resort)</t>
  </si>
  <si>
    <t>Apartamento turístico</t>
  </si>
  <si>
    <t>Casa de campo</t>
  </si>
  <si>
    <t>Agro-turismo</t>
  </si>
  <si>
    <t>Hotel rural</t>
  </si>
  <si>
    <t>Usos de água pluvial</t>
  </si>
  <si>
    <t>Autoclismos</t>
  </si>
  <si>
    <t>Rega de jardim</t>
  </si>
  <si>
    <t>Rega de campo de golfe</t>
  </si>
  <si>
    <t>Sim/Não</t>
  </si>
  <si>
    <t>Lagos ou fontes decorativas</t>
  </si>
  <si>
    <t>Volume do dispositivo</t>
  </si>
  <si>
    <t>entre ]2,0 e 4,0] litros</t>
  </si>
  <si>
    <t>entre ]4,0 e 8,0] litros</t>
  </si>
  <si>
    <t>igual ou inferior a 7 litros/min</t>
  </si>
  <si>
    <t>igual ou inferior a 4 litros/min</t>
  </si>
  <si>
    <t>igual ou inferior a 6 litros/min</t>
  </si>
  <si>
    <t>igual ou inferior 8 litros/min</t>
  </si>
  <si>
    <t>superior a 6,5 litros por ciclo e por kg de carga</t>
  </si>
  <si>
    <t>superior a 1,2 litros por ciclo e por talher</t>
  </si>
  <si>
    <t>Sistemas de produção de água quente</t>
  </si>
  <si>
    <t>Sistemas de produção e acumulação de água quente</t>
  </si>
  <si>
    <t>O(s) sistema(s) de produção e acumulação de água quente permite(m)…</t>
  </si>
  <si>
    <t>O(s) sistema(s) de produção e acumulação de água quente…</t>
  </si>
  <si>
    <t>Metodologia AQUA+® para Gestores e Auditores AQUA+ Hotéis qualificados pela ADENE</t>
  </si>
  <si>
    <r>
      <rPr>
        <sz val="18"/>
        <color theme="0"/>
        <rFont val="Calibri"/>
        <family val="2"/>
        <scheme val="minor"/>
      </rPr>
      <t xml:space="preserve">Ferramenta de trabalho e cálculo </t>
    </r>
    <r>
      <rPr>
        <i/>
        <sz val="16"/>
        <color theme="0"/>
        <rFont val="Calibri"/>
        <family val="2"/>
        <scheme val="minor"/>
      </rPr>
      <t xml:space="preserve">
</t>
    </r>
    <r>
      <rPr>
        <i/>
        <sz val="14"/>
        <color theme="0"/>
        <rFont val="Calibri"/>
        <family val="2"/>
        <scheme val="minor"/>
      </rPr>
      <t>(utilizar um ficheiro novo em cada auditoria)</t>
    </r>
  </si>
  <si>
    <r>
      <t>Folhas apresentadas e objetivos:
- Registo de Informação: Folha de registo de informação encontrada noempreendimento/alojamento local. Importante como apoio ao preenchimento da Checklist e que deve acompanhar o Relatório de auditoria, em ficheiro excel, para permitir a emissão da classificação. Na falta de informação não preencher a célula. 
- Checklist: Ferramenta de trabalho, editável, que permite configurar modos de visualização, áreas de impressão e introdução dos resultados da auditoria, da situação prevista e da identificação de medidas de melhoria (</t>
    </r>
    <r>
      <rPr>
        <i/>
        <sz val="14"/>
        <color theme="0"/>
        <rFont val="Calibri"/>
        <family val="2"/>
        <scheme val="minor"/>
      </rPr>
      <t>quick win</t>
    </r>
    <r>
      <rPr>
        <sz val="14"/>
        <color theme="0"/>
        <rFont val="Calibri"/>
        <family val="2"/>
        <scheme val="minor"/>
      </rPr>
      <t xml:space="preserve"> e todas). O preenchimento da situação atual reflete-se de modo automático na situação prevista e nas situações pós-medidas de melhoria, devendo esse ajuste ser efetuado no preenchimento de acordo com as medidas de melhoria identificadas.
- Ponderações: Folha exclusivamente para visualização das ponderações nas versões base, específica e normalizado.
- Folha de Cálculo: Folha que efetua o cálculo da Classificação Hídrica a emitir, de forma automática, com base no preenchimento da Checklist. Esta folha não deve ser editada diretamente, devendo ser sempre utilizada a Checklist.</t>
    </r>
  </si>
  <si>
    <t>Versão V1.3 AQUA+ Hotéis 22 de dezembro de 2021</t>
  </si>
  <si>
    <t>Informação a constar no documento a emitir para efeitos da classificação AQUA+ Hotéis</t>
  </si>
  <si>
    <t>Dispositivos (preencher para todas as unidades de alojamento)</t>
  </si>
  <si>
    <t>Lagoa</t>
  </si>
  <si>
    <t>Vila Nova de Foz Côa</t>
  </si>
  <si>
    <t>Calheta</t>
  </si>
  <si>
    <t>Câmara de Lobos</t>
  </si>
  <si>
    <t>Machico</t>
  </si>
  <si>
    <t>Ponta do Sol</t>
  </si>
  <si>
    <t>Porto Moniz</t>
  </si>
  <si>
    <t>Ribeira Brava</t>
  </si>
  <si>
    <t>Santana</t>
  </si>
  <si>
    <t>São Vicente</t>
  </si>
  <si>
    <t>Santa Cruz</t>
  </si>
  <si>
    <t>Funchal</t>
  </si>
  <si>
    <t>Horta</t>
  </si>
  <si>
    <t>Lajes das Flores</t>
  </si>
  <si>
    <t>Santa Cruz das Flores</t>
  </si>
  <si>
    <t>Santa Cruz da Graciosa</t>
  </si>
  <si>
    <t>Lajes do Pico</t>
  </si>
  <si>
    <t>Madalena</t>
  </si>
  <si>
    <t>São Roque do Pico</t>
  </si>
  <si>
    <t>Vila do Porto</t>
  </si>
  <si>
    <t>Velas</t>
  </si>
  <si>
    <t>Nordeste</t>
  </si>
  <si>
    <t>Ponta Delgada</t>
  </si>
  <si>
    <t>Povoação</t>
  </si>
  <si>
    <t>Ribeira Grande</t>
  </si>
  <si>
    <t>Vila Franca do Campo</t>
  </si>
  <si>
    <t>Angra do Heroísmo</t>
  </si>
  <si>
    <t>Praia da Vitória</t>
  </si>
  <si>
    <t>Concelhos (p/ B4)</t>
  </si>
  <si>
    <t>Distrito (p/ B3)</t>
  </si>
  <si>
    <t>entre [25 e 50%[</t>
  </si>
  <si>
    <t>igual ou superior a 50%</t>
  </si>
  <si>
    <t xml:space="preserve">entre [25 e 50%] do consumo total de água </t>
  </si>
  <si>
    <t>utiliza energia de origem renovável (diretamente ou por um sistema instalado no edifício)</t>
  </si>
  <si>
    <t>A rede de drenagem do edifício está preparada/infraestruturada para permitir a separação de…</t>
  </si>
  <si>
    <t>A análise do consumo especifico de água (litro/ocupante/noite) do empreendimento turístico/alojamento local, no últimos 12 meses, indica um consumo…</t>
  </si>
  <si>
    <t>menos de 25% da área regada do campo</t>
  </si>
  <si>
    <t>(única)</t>
  </si>
  <si>
    <t>entre [75% e 100%[ da energia necessária</t>
  </si>
  <si>
    <t>entre [50% e 75%[ da energia necessária</t>
  </si>
  <si>
    <t>entre [25% e 50%[ da energia necessária</t>
  </si>
  <si>
    <t>8.3.1.6</t>
  </si>
  <si>
    <t>Fase de vida do edifício</t>
  </si>
  <si>
    <t>Projeto</t>
  </si>
  <si>
    <t>Reabilitação</t>
  </si>
  <si>
    <t>Uso</t>
  </si>
  <si>
    <t>7.1.1.9</t>
  </si>
  <si>
    <t>2.2.4.7</t>
  </si>
  <si>
    <t>10 ou menos</t>
  </si>
  <si>
    <t>11 a 25</t>
  </si>
  <si>
    <t>26 a 50</t>
  </si>
  <si>
    <t>51 a 100</t>
  </si>
  <si>
    <t>101 a 200</t>
  </si>
  <si>
    <t>Consumo de água 
[L/100 ciclos]</t>
  </si>
  <si>
    <t>3.1.5.5</t>
  </si>
  <si>
    <t>3.1.6.5</t>
  </si>
  <si>
    <t>inferior a 80 litros/ocupante/noite</t>
  </si>
  <si>
    <t>redução da frequência de limpeza das unidades de alojamento</t>
  </si>
  <si>
    <t>público geral</t>
  </si>
  <si>
    <t>4.4.4.4</t>
  </si>
  <si>
    <t>6.1.1.5</t>
  </si>
  <si>
    <t>6.2.1.4</t>
  </si>
  <si>
    <r>
      <t>O edifício dispõe de sistema(s), em uso e certificado(s)/licenciado(s), ou passível(eis) de utili</t>
    </r>
    <r>
      <rPr>
        <sz val="11"/>
        <rFont val="Calibri"/>
        <family val="2"/>
        <scheme val="minor"/>
      </rPr>
      <t>zação após licenciamento/aprovação por entidade competente</t>
    </r>
    <r>
      <rPr>
        <sz val="11"/>
        <color theme="1"/>
        <rFont val="Calibri"/>
        <family val="2"/>
        <scheme val="minor"/>
      </rPr>
      <t>, para o aproveitamento de…</t>
    </r>
  </si>
  <si>
    <t>Origens e redes de água</t>
  </si>
  <si>
    <t>Origens alternativas de água (exceto campos de golfe)</t>
  </si>
  <si>
    <r>
      <t>A configuração do(s) sistema(s) de aproveitamento de origens alternativ</t>
    </r>
    <r>
      <rPr>
        <sz val="11"/>
        <rFont val="Calibri"/>
        <family val="2"/>
        <scheme val="minor"/>
      </rPr>
      <t>as de água permitem a sua utilização (atual ou após licenciamento) para usos não potáveis</t>
    </r>
    <r>
      <rPr>
        <sz val="11"/>
        <color theme="1"/>
        <rFont val="Calibri"/>
        <family val="2"/>
        <scheme val="minor"/>
      </rPr>
      <t xml:space="preserve"> como…</t>
    </r>
  </si>
  <si>
    <r>
      <t>A utilização da água proveniente de origem alternativa (cujo sist</t>
    </r>
    <r>
      <rPr>
        <sz val="11"/>
        <rFont val="Calibri"/>
        <family val="2"/>
        <scheme val="minor"/>
      </rPr>
      <t>ema está devidamente licenciado/aprovado pela entidade competente</t>
    </r>
    <r>
      <rPr>
        <sz val="11"/>
        <color theme="1"/>
        <rFont val="Calibri"/>
        <family val="2"/>
        <scheme val="minor"/>
      </rPr>
      <t xml:space="preserve">) </t>
    </r>
    <r>
      <rPr>
        <sz val="11"/>
        <rFont val="Calibri"/>
        <family val="2"/>
        <scheme val="minor"/>
      </rPr>
      <t>representa uma razão…</t>
    </r>
  </si>
  <si>
    <t>A utilização das origens alternativas de água…</t>
  </si>
  <si>
    <t xml:space="preserve">rede de origens alternativas </t>
  </si>
  <si>
    <t>Origens de água</t>
  </si>
  <si>
    <t>Nos últimos 12 meses, a percentagem de água de origens alternativas no consumo de água para rega corresponde a…</t>
  </si>
  <si>
    <t>Caudal do dispositivo</t>
  </si>
  <si>
    <t>Aproveitamento de origens de água alternativas para rega</t>
  </si>
  <si>
    <t>Utilização de energia para fornecimento de água de origem alternativa</t>
  </si>
  <si>
    <t>Taxa de utilização de água de origens alternativas</t>
  </si>
  <si>
    <t>Estratégias de sensibilização aplicadas (para hóspedes)</t>
  </si>
  <si>
    <t>Estratégias de sensibilização aplicadas (para colaboradores)</t>
  </si>
  <si>
    <t>A rede de água do edifício está preparada/infraestruturada para que este possa ser (no presente ou no futuro) abastecido por uma ou mais origens alternativas de água, para além do abastecimento público (p.e. chuva, cinzenta, etc.)...</t>
  </si>
  <si>
    <t>gamificação para incentivo ao uso eficiente da água</t>
  </si>
  <si>
    <t>outra solução que promove o uso eficiente da água (especifique)</t>
  </si>
  <si>
    <t>O gestor/proprietário dispõe e tem acesso direto a…</t>
  </si>
  <si>
    <t>integração de fonte de energia renovável (e.g. sistema solar térmico ou sistema geotérmico) produzida localmente e com acumulação</t>
  </si>
  <si>
    <t>não apresenta(m) indícios de fuga</t>
  </si>
  <si>
    <t>apresenta(m) indícios de fuga</t>
  </si>
  <si>
    <t>apresenta(m) evidências de fuga</t>
  </si>
  <si>
    <t>O(s) sistema(s) de produção e acumulação de água quente foi(foram) objeto de inspeção/revisão/manutenção preventiva…</t>
  </si>
  <si>
    <t>O(s) sistema(s) de produção e acumulação de água quente foi(foram) adquirido(s) (novo(s)) e instalado(s)…</t>
  </si>
  <si>
    <t>As campanhas de eficiência hídrica dirigidas aos clientes envolvem a comunicação para...</t>
  </si>
  <si>
    <t>As campanhas de eficiência hídrica dirigidas aos funcionários envolvem a comunicação para…</t>
  </si>
  <si>
    <t>outras ações de comunicação relevantes (especifique)</t>
  </si>
  <si>
    <t xml:space="preserve">Esta Matriz é para uso exclusivo por Gestores e Auditores AQUA+ Hotéis. Pode ser utilizada como ferramenta de trabalho, durante a preparação ou realização das auditorias AQUA+ Hotéis, e para o cálculo da classificação hídrica a emitir. 
Recomendações na utilização:
- Antes da auditoria, verifique a Checklist de elementos a solicitar antes da visita.
- Deve ser sempre utilizado um novo ficheiro para cada empreendimento turístico/alojamento local.
- As folhas para preenchimento são: Registo de informação (primeira folha a preencher) e Checklist.
- Não edite ou elimine diretamente resultados na Folha de Cálculo, pois perderá as ligações com a checklist de trabalho.
- Justifique as suas opções no campo próprio para o efeito na Checklist.
- Anexe esta Matriz, na versão completa, ao seu Relatório de Auditoria.
Utilize o Manual do sistema e as Apresentações como apoio à utilização da metodologia e em caso de dúvidas contacte-nos para aquamais@adene.pt
</t>
  </si>
  <si>
    <t>Aproveitamento de origens de água alternativas</t>
  </si>
  <si>
    <t>Taxa de utilização de origens alternativas</t>
  </si>
  <si>
    <t>Infraestrutura para uso de origens alternativas de água</t>
  </si>
  <si>
    <t>Nº unidades de alojamento</t>
  </si>
  <si>
    <t>Amostragem 
(Dividir amostra por piso e por tipo de unidade de alojamento)</t>
  </si>
  <si>
    <t>Volume nominal [L]</t>
  </si>
  <si>
    <t>água para reutilização proveniente de ETAR (urbana ou própria do empreendimento)</t>
  </si>
  <si>
    <t>caudal adaptado à utilização (descarga interrompida)</t>
  </si>
  <si>
    <t>Alojamento local</t>
  </si>
  <si>
    <t>1.2.3.2</t>
  </si>
  <si>
    <t>1.2.3.3</t>
  </si>
  <si>
    <t>1.2.3.4</t>
  </si>
  <si>
    <r>
      <t xml:space="preserve">A </t>
    </r>
    <r>
      <rPr>
        <sz val="11"/>
        <rFont val="Calibri"/>
        <family val="2"/>
        <scheme val="minor"/>
      </rPr>
      <t>idade da rede de condutas do edifício (ou período decorrido desde a reabilitação da mesma) é…</t>
    </r>
  </si>
  <si>
    <t>desagregados por tipo de uso (desagregação mínima: quartos e áreas comuns, jardins, piscina) integrados no SGTC</t>
  </si>
  <si>
    <t>desagregados por tipo de uso (desagregação mínima: quartos e áreas comuns, jardins, piscina) não integrados no SGTC</t>
  </si>
  <si>
    <t>parcialmente desagregados por tipo de uso integrados no SGTC</t>
  </si>
  <si>
    <t>parcialmente desagregados por tipo de uso não integrados no SGTC</t>
  </si>
  <si>
    <t>agregados integrados no SGTC</t>
  </si>
  <si>
    <t>agregados não integrados no SGTC</t>
  </si>
  <si>
    <t>integração num sistema de gestão técnica centralizada (SGTC)</t>
  </si>
  <si>
    <t>Setubal</t>
  </si>
  <si>
    <t>A energia necessária para o aproveitamento de água de origens alternativas para rega do campo de golfe é suprida por produção renovável produzida nas instalações em…</t>
  </si>
  <si>
    <t>A área de relvado com espécies que minimizam o consumo de água corresponde a…</t>
  </si>
  <si>
    <t>Área relvada com espécies que minimizam o consumo de água</t>
  </si>
  <si>
    <t>entre [70% e 90%[ da área total do campo</t>
  </si>
  <si>
    <t>entre [50% e 70%[ da área total do campo</t>
  </si>
  <si>
    <t>menos de 50% da área total do campo</t>
  </si>
  <si>
    <t>1ª PÁGINA</t>
  </si>
  <si>
    <t>EMISSÃO DA CLASSIFICAÇÃO</t>
  </si>
  <si>
    <t>Valores</t>
  </si>
  <si>
    <t>A preencher pela ADENE</t>
  </si>
  <si>
    <t>Válido até</t>
  </si>
  <si>
    <t>Emitido por:</t>
  </si>
  <si>
    <t>DADOS DA CLASSIFICAÇÃO (a preencher)</t>
  </si>
  <si>
    <t>Pré-Classificação?</t>
  </si>
  <si>
    <t>Empreendimento turístico ou AL?</t>
  </si>
  <si>
    <t>Classificação nº</t>
  </si>
  <si>
    <t>CARACTERIZAÇÃO</t>
  </si>
  <si>
    <t>MORADA</t>
  </si>
  <si>
    <t>FREGUESIA</t>
  </si>
  <si>
    <t>CONCELHO</t>
  </si>
  <si>
    <t>ARTIGO MATRICIAL</t>
  </si>
  <si>
    <t>Nº DE INSCRIÇÃO NA CONSERVATÓRIA</t>
  </si>
  <si>
    <t>IMAGEM</t>
  </si>
  <si>
    <t>ASPECTOS INOVADORES NO USO DA ÁGUA</t>
  </si>
  <si>
    <t>Limite 100</t>
  </si>
  <si>
    <t>IDENTIFICAÇÃO</t>
  </si>
  <si>
    <t>UNIDADES DE ALOJAMENTO</t>
  </si>
  <si>
    <t>NOME</t>
  </si>
  <si>
    <t>INDICAÇÕES PARCIAIS DE DESEMPENHO</t>
  </si>
  <si>
    <t>Pior-Melhor</t>
  </si>
  <si>
    <t>USOS EXTERIORES</t>
  </si>
  <si>
    <t>ÁGUA QUENTE SANITÁRIA</t>
  </si>
  <si>
    <t>CLASSE DE EFICIÊNCIA HÍDRICA</t>
  </si>
  <si>
    <t>Classe atual</t>
  </si>
  <si>
    <t>Website da entidade auditora</t>
  </si>
  <si>
    <t>A enviar por e-mail pelo técnico à ADENE (formato .jpeg)</t>
  </si>
  <si>
    <t>Preencher se aplicável e enviar logotipo à ADENE (formato .jpeg)</t>
  </si>
  <si>
    <t>2ª PÁGINA</t>
  </si>
  <si>
    <t>AVALIAÇÃO DETALHADA</t>
  </si>
  <si>
    <t>Redes de água</t>
  </si>
  <si>
    <t>3ª PÁGINA</t>
  </si>
  <si>
    <t>MEDIDAS DE MELHORIA DA EFICIÊNCIA HÍDRICA</t>
  </si>
  <si>
    <t>Quick Win?</t>
  </si>
  <si>
    <t>Limite 200</t>
  </si>
  <si>
    <t xml:space="preserve">1 - Descrição </t>
  </si>
  <si>
    <t>Reduz consumo de…</t>
  </si>
  <si>
    <t>-</t>
  </si>
  <si>
    <t>Água</t>
  </si>
  <si>
    <t>Energia</t>
  </si>
  <si>
    <t xml:space="preserve">2 - Descrição </t>
  </si>
  <si>
    <t xml:space="preserve">3 - Descrição </t>
  </si>
  <si>
    <t xml:space="preserve">4 - Descrição </t>
  </si>
  <si>
    <t xml:space="preserve">5 - Descrição </t>
  </si>
  <si>
    <t xml:space="preserve">6 - Descrição </t>
  </si>
  <si>
    <t xml:space="preserve">7 - Descrição </t>
  </si>
  <si>
    <t xml:space="preserve">8 - Descrição </t>
  </si>
  <si>
    <t>Com a concretização das medidas de melhoria indicadas, o imóvel poderá atingir a seguinte classe de eficiência hídrica:</t>
  </si>
  <si>
    <t>MEDIDAS QUICK WIN</t>
  </si>
  <si>
    <t>TODAS AS MEDIDAS</t>
  </si>
  <si>
    <t>INDICADORES DE CONSUMO E POUPANÇA</t>
  </si>
  <si>
    <t>Consumo específico (L/ocupante/noite)</t>
  </si>
  <si>
    <t>Consumo rega (L/m2/dia)</t>
  </si>
  <si>
    <t>Consumo rega golfe (L/m2/dia)</t>
  </si>
  <si>
    <t>Potencial poupança água (L/hóspede/noite)</t>
  </si>
  <si>
    <t>Potencial poupança água (€/ano)</t>
  </si>
  <si>
    <t>ORIGENS E REDES DE ÁGUA</t>
  </si>
  <si>
    <t>PISCINAS E SPA'S</t>
  </si>
  <si>
    <t>CASAS DE BANHO COMUNS</t>
  </si>
  <si>
    <t>COZINHA</t>
  </si>
  <si>
    <t>LAVANDARIA</t>
  </si>
  <si>
    <t>GOLFE</t>
  </si>
  <si>
    <t>AÇÕES PARA A EH</t>
  </si>
  <si>
    <t>Origens alternativas de água</t>
  </si>
  <si>
    <t>Piscinas</t>
  </si>
  <si>
    <t>Jacuzzis</t>
  </si>
  <si>
    <t>Lava-loiça</t>
  </si>
  <si>
    <t>Sistema de duche</t>
  </si>
  <si>
    <t>Participação em projetos e outras medidas</t>
  </si>
  <si>
    <t>Idade da rede</t>
  </si>
  <si>
    <t>≤ 20 anos</t>
  </si>
  <si>
    <t>]20 a 40]</t>
  </si>
  <si>
    <t>&gt; 40 anos</t>
  </si>
  <si>
    <t>máquinas de lavar fechadas para uso geral / de capota</t>
  </si>
  <si>
    <t>máquinas de lavar por tapete rolante / de túnel</t>
  </si>
  <si>
    <t>Nº do certificado energético</t>
  </si>
  <si>
    <t>Nº DE REGISTO NACIONAL DE TURISMO</t>
  </si>
  <si>
    <t>201 a 400</t>
  </si>
  <si>
    <t>401 ou mais</t>
  </si>
  <si>
    <r>
      <t>Consumo específico de rega (L/m</t>
    </r>
    <r>
      <rPr>
        <vertAlign val="superscript"/>
        <sz val="11"/>
        <rFont val="Calibri"/>
        <family val="2"/>
        <scheme val="minor"/>
      </rPr>
      <t>2</t>
    </r>
    <r>
      <rPr>
        <sz val="11"/>
        <rFont val="Calibri"/>
        <family val="2"/>
        <scheme val="minor"/>
      </rPr>
      <t>/dia)</t>
    </r>
  </si>
  <si>
    <r>
      <t>Consumo específico de rega (L/m</t>
    </r>
    <r>
      <rPr>
        <vertAlign val="superscript"/>
        <sz val="11"/>
        <rFont val="Calibri"/>
        <family val="2"/>
        <scheme val="minor"/>
      </rPr>
      <t>2</t>
    </r>
    <r>
      <rPr>
        <sz val="11"/>
        <rFont val="Calibri"/>
        <family val="2"/>
        <scheme val="minor"/>
      </rPr>
      <t>/ano)</t>
    </r>
  </si>
  <si>
    <r>
      <t>inferior a 550 litros/m</t>
    </r>
    <r>
      <rPr>
        <vertAlign val="superscript"/>
        <sz val="11"/>
        <rFont val="Calibri"/>
        <family val="2"/>
        <scheme val="minor"/>
      </rPr>
      <t>2</t>
    </r>
    <r>
      <rPr>
        <sz val="11"/>
        <rFont val="Calibri"/>
        <family val="2"/>
        <scheme val="minor"/>
      </rPr>
      <t xml:space="preserve">/ano </t>
    </r>
  </si>
  <si>
    <r>
      <t>entre [550 a 700[ litros/m</t>
    </r>
    <r>
      <rPr>
        <vertAlign val="superscript"/>
        <sz val="11"/>
        <rFont val="Calibri"/>
        <family val="2"/>
        <scheme val="minor"/>
      </rPr>
      <t>2</t>
    </r>
    <r>
      <rPr>
        <sz val="11"/>
        <rFont val="Calibri"/>
        <family val="2"/>
        <scheme val="minor"/>
      </rPr>
      <t xml:space="preserve">/ano </t>
    </r>
  </si>
  <si>
    <r>
      <t>entre [700 a 850[ litros/m</t>
    </r>
    <r>
      <rPr>
        <vertAlign val="superscript"/>
        <sz val="11"/>
        <rFont val="Calibri"/>
        <family val="2"/>
        <scheme val="minor"/>
      </rPr>
      <t>2</t>
    </r>
    <r>
      <rPr>
        <sz val="11"/>
        <rFont val="Calibri"/>
        <family val="2"/>
        <scheme val="minor"/>
      </rPr>
      <t xml:space="preserve">/ano </t>
    </r>
  </si>
  <si>
    <r>
      <t>entre [850 a 1000[ litros/m</t>
    </r>
    <r>
      <rPr>
        <vertAlign val="superscript"/>
        <sz val="11"/>
        <rFont val="Calibri"/>
        <family val="2"/>
        <scheme val="minor"/>
      </rPr>
      <t>2</t>
    </r>
    <r>
      <rPr>
        <sz val="11"/>
        <rFont val="Calibri"/>
        <family val="2"/>
        <scheme val="minor"/>
      </rPr>
      <t xml:space="preserve">/ano </t>
    </r>
  </si>
  <si>
    <r>
      <t>entre [1000 a 1150[ litros/m</t>
    </r>
    <r>
      <rPr>
        <vertAlign val="superscript"/>
        <sz val="11"/>
        <rFont val="Calibri"/>
        <family val="2"/>
        <scheme val="minor"/>
      </rPr>
      <t>2</t>
    </r>
    <r>
      <rPr>
        <sz val="11"/>
        <rFont val="Calibri"/>
        <family val="2"/>
        <scheme val="minor"/>
      </rPr>
      <t xml:space="preserve">/ano </t>
    </r>
  </si>
  <si>
    <r>
      <t>igual ou superior a 1150 litros/m</t>
    </r>
    <r>
      <rPr>
        <vertAlign val="superscript"/>
        <sz val="11"/>
        <rFont val="Calibri"/>
        <family val="2"/>
        <scheme val="minor"/>
      </rPr>
      <t>2</t>
    </r>
    <r>
      <rPr>
        <sz val="11"/>
        <rFont val="Calibri"/>
        <family val="2"/>
        <scheme val="minor"/>
      </rPr>
      <t xml:space="preserve">/ano </t>
    </r>
  </si>
  <si>
    <t>Sistema de rega 1</t>
  </si>
  <si>
    <t>Sistema de rega 2</t>
  </si>
  <si>
    <t>Sistema de rega 3</t>
  </si>
  <si>
    <t>Sistema de rega 4</t>
  </si>
  <si>
    <t>Sistema de rega 5</t>
  </si>
  <si>
    <t>Sistema de rega 6</t>
  </si>
  <si>
    <t>Sistema de rega 7</t>
  </si>
  <si>
    <t>Sistema de rega 8</t>
  </si>
  <si>
    <t>Sistema de rega 9</t>
  </si>
  <si>
    <t>Sistema de rega 10</t>
  </si>
  <si>
    <t>Sistema de rega 11</t>
  </si>
  <si>
    <t>Sistema de rega 12</t>
  </si>
  <si>
    <t>Sistema de rega 13</t>
  </si>
  <si>
    <t>Sistema de rega 14</t>
  </si>
  <si>
    <t>Sistema de rega 15</t>
  </si>
  <si>
    <t>Sistema de rega 16</t>
  </si>
  <si>
    <t>Sistema de rega 17</t>
  </si>
  <si>
    <t>Sistema de rega 18</t>
  </si>
  <si>
    <t>Sistema de rega 19</t>
  </si>
  <si>
    <t>Sistema de rega 20</t>
  </si>
  <si>
    <t>Sistema de rega 21</t>
  </si>
  <si>
    <t>Sistema de rega 22</t>
  </si>
  <si>
    <t>Sistema de rega 23</t>
  </si>
  <si>
    <t>Sistema de rega 24</t>
  </si>
  <si>
    <t>Sistema de rega 25</t>
  </si>
  <si>
    <t>Idade da rede de água 1</t>
  </si>
  <si>
    <t>Idade da rede de água 2</t>
  </si>
  <si>
    <t>Idade da rede de água 3</t>
  </si>
  <si>
    <t>Idade da rede de água 4</t>
  </si>
  <si>
    <t>Idade da rede de água 5</t>
  </si>
  <si>
    <t>Idade da rede de água 6</t>
  </si>
  <si>
    <t>Idade da rede de água 7</t>
  </si>
  <si>
    <t>Idade da rede de água 8</t>
  </si>
  <si>
    <t>Idade da rede de água 9</t>
  </si>
  <si>
    <t>Idade da rede de água 10</t>
  </si>
  <si>
    <t>Idade da rede de água 11</t>
  </si>
  <si>
    <t>Idade da rede de água 12</t>
  </si>
  <si>
    <t>Idade da rede de água 13</t>
  </si>
  <si>
    <t>Idade da rede de água 14</t>
  </si>
  <si>
    <t>Idade da rede de água 15</t>
  </si>
  <si>
    <t>Idade da rede de água 16</t>
  </si>
  <si>
    <t>Idade da rede de água 17</t>
  </si>
  <si>
    <t>Idade da rede de água 18</t>
  </si>
  <si>
    <t>Idade da rede de água 19</t>
  </si>
  <si>
    <t>Idade da rede de água 20</t>
  </si>
  <si>
    <t>Idade da rede de água 21</t>
  </si>
  <si>
    <t>Idade da rede de água 22</t>
  </si>
  <si>
    <t>Idade da rede de água 23</t>
  </si>
  <si>
    <t>Idade da rede de água 24</t>
  </si>
  <si>
    <t>Idade da rede de água 25</t>
  </si>
  <si>
    <t>área regada com sistema de rega 1</t>
  </si>
  <si>
    <t>área regada com sistema de rega 2</t>
  </si>
  <si>
    <t>área regada com sistema de rega 3</t>
  </si>
  <si>
    <t>área regada com sistema de rega 4</t>
  </si>
  <si>
    <t>área regada com sistema de rega 5</t>
  </si>
  <si>
    <t>área regada com sistema de rega 6</t>
  </si>
  <si>
    <t>área regada com sistema de rega 7</t>
  </si>
  <si>
    <t>área regada com sistema de rega 8</t>
  </si>
  <si>
    <t>área regada com sistema de rega 9</t>
  </si>
  <si>
    <t>área regada com sistema de rega 10</t>
  </si>
  <si>
    <t>área regada com sistema de rega 11</t>
  </si>
  <si>
    <t>área regada com sistema de rega 12</t>
  </si>
  <si>
    <t>área regada com sistema de rega 13</t>
  </si>
  <si>
    <t>área regada com sistema de rega 14</t>
  </si>
  <si>
    <t>área regada com sistema de rega 15</t>
  </si>
  <si>
    <t>área regada com sistema de rega 16</t>
  </si>
  <si>
    <t>área regada com sistema de rega 17</t>
  </si>
  <si>
    <t>área regada com sistema de rega 18</t>
  </si>
  <si>
    <t>área regada com sistema de rega 19</t>
  </si>
  <si>
    <t>área regada com sistema de rega 20</t>
  </si>
  <si>
    <t>área regada com sistema de rega 21</t>
  </si>
  <si>
    <t>área regada com sistema de rega 22</t>
  </si>
  <si>
    <t>área regada com sistema de rega 23</t>
  </si>
  <si>
    <t>área regada com sistema de rega 24</t>
  </si>
  <si>
    <t>área regada com sistema de rega 25</t>
  </si>
  <si>
    <t>Volume da piscina [L] 1</t>
  </si>
  <si>
    <t>Volume da piscina [L] 2</t>
  </si>
  <si>
    <t>Volume da piscina [L] 3</t>
  </si>
  <si>
    <t>Volume da piscina [L] 4</t>
  </si>
  <si>
    <t>Volume da piscina [L] 5</t>
  </si>
  <si>
    <t>Volume da piscina [L] 6</t>
  </si>
  <si>
    <t>Volume da piscina [L] 7</t>
  </si>
  <si>
    <t>Volume da piscina [L] 8</t>
  </si>
  <si>
    <t>Volume da piscina [L] 9</t>
  </si>
  <si>
    <t>Volume da piscina [L] 10</t>
  </si>
  <si>
    <t>Volume da piscina [L] 11</t>
  </si>
  <si>
    <t>Volume da piscina [L] 12</t>
  </si>
  <si>
    <t>Volume da piscina [L] 13</t>
  </si>
  <si>
    <t>Volume da piscina [L] 14</t>
  </si>
  <si>
    <t>Volume da piscina [L] 15</t>
  </si>
  <si>
    <t>Volume da piscina [L] 16</t>
  </si>
  <si>
    <t>Volume da piscina [L] 17</t>
  </si>
  <si>
    <t>Volume da piscina [L] 18</t>
  </si>
  <si>
    <t>Volume da piscina [L] 19</t>
  </si>
  <si>
    <t>Volume da piscina [L] 20</t>
  </si>
  <si>
    <t>Volume da piscina [L] 21</t>
  </si>
  <si>
    <t>Volume da piscina [L] 22</t>
  </si>
  <si>
    <t>Volume da piscina [L] 23</t>
  </si>
  <si>
    <t>Volume da piscina [L] 24</t>
  </si>
  <si>
    <t>Volume da piscina [L] 25</t>
  </si>
  <si>
    <t>Tipo de sistema de produção 1</t>
  </si>
  <si>
    <t>Tipo de sistema de produção 2</t>
  </si>
  <si>
    <t>Tipo de sistema de produção 3</t>
  </si>
  <si>
    <t>Tipo de sistema de produção 4</t>
  </si>
  <si>
    <t>Tipo de sistema de produção 5</t>
  </si>
  <si>
    <t>Tipo de sistema de produção 6</t>
  </si>
  <si>
    <t>Tipo de sistema de produção 7</t>
  </si>
  <si>
    <t>Tipo de sistema de produção 8</t>
  </si>
  <si>
    <t>Tipo de sistema de produção 9</t>
  </si>
  <si>
    <t>Tipo de sistema de produção 10</t>
  </si>
  <si>
    <t>Tipo de sistema de produção 11</t>
  </si>
  <si>
    <t>Tipo de sistema de produção 12</t>
  </si>
  <si>
    <t>Tipo de sistema de produção 13</t>
  </si>
  <si>
    <t>Tipo de sistema de produção 14</t>
  </si>
  <si>
    <t>Tipo de sistema de produção 15</t>
  </si>
  <si>
    <t>Tipo de sistema de produção 16</t>
  </si>
  <si>
    <t>Tipo de sistema de produção 17</t>
  </si>
  <si>
    <t>Tipo de sistema de produção 18</t>
  </si>
  <si>
    <t>Tipo de sistema de produção 19</t>
  </si>
  <si>
    <t>Tipo de sistema de produção 20</t>
  </si>
  <si>
    <t>Tipo de sistema de produção 21</t>
  </si>
  <si>
    <t>Tipo de sistema de produção 22</t>
  </si>
  <si>
    <t>Tipo de sistema de produção 23</t>
  </si>
  <si>
    <t>Tipo de sistema de produção 24</t>
  </si>
  <si>
    <t>Tipo de sistema de produção 25</t>
  </si>
  <si>
    <t>Idade do sistema de produção 1</t>
  </si>
  <si>
    <t>Idade do sistema de produção 2</t>
  </si>
  <si>
    <t>Idade do sistema de produção 3</t>
  </si>
  <si>
    <t>Idade do sistema de produção 4</t>
  </si>
  <si>
    <t>Idade do sistema de produção 5</t>
  </si>
  <si>
    <t>Idade do sistema de produção 6</t>
  </si>
  <si>
    <t>Idade do sistema de produção 7</t>
  </si>
  <si>
    <t>Idade do sistema de produção 8</t>
  </si>
  <si>
    <t>Idade do sistema de produção 9</t>
  </si>
  <si>
    <t>Idade do sistema de produção 10</t>
  </si>
  <si>
    <t>Idade do sistema de produção 11</t>
  </si>
  <si>
    <t>Idade do sistema de produção 12</t>
  </si>
  <si>
    <t>Idade do sistema de produção 13</t>
  </si>
  <si>
    <t>Idade do sistema de produção 14</t>
  </si>
  <si>
    <t>Idade do sistema de produção 15</t>
  </si>
  <si>
    <t>Idade do sistema de produção 16</t>
  </si>
  <si>
    <t>Idade do sistema de produção 17</t>
  </si>
  <si>
    <t>Idade do sistema de produção 18</t>
  </si>
  <si>
    <t>Idade do sistema de produção 19</t>
  </si>
  <si>
    <t>Idade do sistema de produção 20</t>
  </si>
  <si>
    <t>Idade do sistema de produção 21</t>
  </si>
  <si>
    <t>Idade do sistema de produção 22</t>
  </si>
  <si>
    <t>Idade do sistema de produção 23</t>
  </si>
  <si>
    <t>Idade do sistema de produção 24</t>
  </si>
  <si>
    <t>Idade do sistema de produção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</si>
</sst>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1"/>
      <color theme="0"/>
      <name val="Calibri"/>
      <family val="2"/>
      <scheme val="minor"/>
    </font>
    <font>
      <sz val="11"/>
      <color rgb="FFFF0000"/>
      <name val="Calibri"/>
      <family val="2"/>
      <scheme val="minor"/>
    </font>
    <font>
      <sz val="8"/>
      <name val="Calibri"/>
      <family val="2"/>
      <scheme val="minor"/>
    </font>
    <font>
      <sz val="11"/>
      <name val="Calibri"/>
      <family val="2"/>
      <scheme val="minor"/>
    </font>
    <font>
      <u/>
      <sz val="11"/>
      <color theme="10"/>
      <name val="Calibri"/>
      <family val="2"/>
      <scheme val="minor"/>
    </font>
    <font>
      <vertAlign val="superscript"/>
      <sz val="11"/>
      <name val="Calibri"/>
      <family val="2"/>
      <scheme val="minor"/>
    </font>
    <font>
      <sz val="11"/>
      <color theme="0"/>
      <name val="Calibri"/>
      <family val="2"/>
      <scheme val="minor"/>
    </font>
    <font>
      <b/>
      <sz val="11"/>
      <name val="Calibri"/>
      <family val="2"/>
      <scheme val="minor"/>
    </font>
    <font>
      <sz val="11"/>
      <color rgb="FF0B744D"/>
      <name val="Calibri"/>
      <family val="2"/>
      <scheme val="minor"/>
    </font>
    <font>
      <sz val="72"/>
      <color theme="0"/>
      <name val="Calibri Light"/>
      <family val="2"/>
      <scheme val="major"/>
    </font>
    <font>
      <sz val="48"/>
      <color theme="0"/>
      <name val="Calibri Light"/>
      <family val="2"/>
      <scheme val="major"/>
    </font>
    <font>
      <sz val="17"/>
      <color theme="0"/>
      <name val="Calibri"/>
      <family val="2"/>
      <scheme val="minor"/>
    </font>
    <font>
      <b/>
      <sz val="18"/>
      <color theme="0"/>
      <name val="Calibri"/>
      <family val="2"/>
      <scheme val="minor"/>
    </font>
    <font>
      <i/>
      <sz val="16"/>
      <color theme="0"/>
      <name val="Calibri"/>
      <family val="2"/>
      <scheme val="minor"/>
    </font>
    <font>
      <sz val="18"/>
      <color theme="0"/>
      <name val="Calibri"/>
      <family val="2"/>
      <scheme val="minor"/>
    </font>
    <font>
      <i/>
      <sz val="14"/>
      <color theme="0"/>
      <name val="Calibri"/>
      <family val="2"/>
      <scheme val="minor"/>
    </font>
    <font>
      <sz val="14"/>
      <color theme="0"/>
      <name val="Calibri"/>
      <family val="2"/>
      <scheme val="minor"/>
    </font>
    <font>
      <b/>
      <sz val="16"/>
      <color theme="0"/>
      <name val="Calibri"/>
      <family val="2"/>
      <scheme val="minor"/>
    </font>
    <font>
      <i/>
      <sz val="11"/>
      <color theme="0"/>
      <name val="Calibri"/>
      <family val="2"/>
      <scheme val="minor"/>
    </font>
    <font>
      <i/>
      <sz val="11"/>
      <color theme="1"/>
      <name val="Calibri"/>
      <family val="2"/>
      <scheme val="minor"/>
    </font>
    <font>
      <b/>
      <sz val="12"/>
      <color theme="1"/>
      <name val="Calibri"/>
      <family val="2"/>
      <scheme val="minor"/>
    </font>
    <font>
      <b/>
      <sz val="11"/>
      <name val="Calibri"/>
      <family val="2"/>
    </font>
    <font>
      <b/>
      <sz val="12"/>
      <name val="Calibri"/>
      <family val="2"/>
      <scheme val="minor"/>
    </font>
    <font>
      <sz val="11"/>
      <color rgb="FF000000"/>
      <name val="Calibri"/>
      <family val="2"/>
      <scheme val="minor"/>
    </font>
    <font>
      <sz val="11"/>
      <color theme="1"/>
      <name val="Calibri"/>
      <family val="2"/>
    </font>
    <font>
      <i/>
      <sz val="9"/>
      <color indexed="81"/>
      <name val="Tahoma"/>
      <family val="2"/>
    </font>
    <font>
      <b/>
      <sz val="11"/>
      <color rgb="FF000000"/>
      <name val="Calibri"/>
      <family val="2"/>
      <scheme val="minor"/>
    </font>
    <font>
      <sz val="11"/>
      <color theme="0"/>
      <name val="Symbol"/>
      <family val="1"/>
      <charset val="2"/>
    </font>
  </fonts>
  <fills count="19">
    <fill>
      <patternFill patternType="none"/>
    </fill>
    <fill>
      <patternFill patternType="gray125"/>
    </fill>
    <fill>
      <patternFill patternType="solid">
        <fgColor theme="8"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007BAC"/>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0F5FA"/>
        <bgColor indexed="64"/>
      </patternFill>
    </fill>
    <fill>
      <patternFill patternType="solid">
        <fgColor theme="8" tint="-0.499984740745262"/>
        <bgColor indexed="64"/>
      </patternFill>
    </fill>
    <fill>
      <patternFill patternType="solid">
        <fgColor theme="0"/>
        <bgColor indexed="64"/>
      </patternFill>
    </fill>
    <fill>
      <patternFill patternType="solid">
        <fgColor rgb="FF217346"/>
        <bgColor indexed="64"/>
      </patternFill>
    </fill>
    <fill>
      <patternFill patternType="solid">
        <fgColor theme="2"/>
        <bgColor indexed="64"/>
      </patternFill>
    </fill>
    <fill>
      <patternFill patternType="solid">
        <fgColor rgb="FFFFC000"/>
        <bgColor indexed="64"/>
      </patternFill>
    </fill>
    <fill>
      <patternFill patternType="solid">
        <fgColor theme="4" tint="-0.249977111117893"/>
        <bgColor indexed="64"/>
      </patternFill>
    </fill>
  </fills>
  <borders count="92">
    <border>
      <left/>
      <right/>
      <top/>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style="thin">
        <color rgb="FF000000"/>
      </left>
      <right/>
      <top/>
      <bottom/>
      <diagonal/>
    </border>
    <border>
      <left style="thin">
        <color rgb="FF000000"/>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dashed">
        <color indexed="64"/>
      </bottom>
      <diagonal/>
    </border>
    <border>
      <left style="medium">
        <color indexed="64"/>
      </left>
      <right style="medium">
        <color indexed="64"/>
      </right>
      <top style="medium">
        <color indexed="64"/>
      </top>
      <bottom style="dotted">
        <color auto="1"/>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otted">
        <color auto="1"/>
      </top>
      <bottom style="dotted">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dotted">
        <color auto="1"/>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dotted">
        <color auto="1"/>
      </right>
      <top style="medium">
        <color indexed="64"/>
      </top>
      <bottom style="dotted">
        <color auto="1"/>
      </bottom>
      <diagonal/>
    </border>
    <border>
      <left style="dotted">
        <color auto="1"/>
      </left>
      <right style="dotted">
        <color auto="1"/>
      </right>
      <top style="medium">
        <color indexed="64"/>
      </top>
      <bottom style="dotted">
        <color auto="1"/>
      </bottom>
      <diagonal/>
    </border>
    <border>
      <left style="medium">
        <color indexed="64"/>
      </left>
      <right style="dotted">
        <color auto="1"/>
      </right>
      <top style="dotted">
        <color auto="1"/>
      </top>
      <bottom style="dotted">
        <color auto="1"/>
      </bottom>
      <diagonal/>
    </border>
    <border>
      <left style="dotted">
        <color auto="1"/>
      </left>
      <right style="medium">
        <color indexed="64"/>
      </right>
      <top style="dotted">
        <color auto="1"/>
      </top>
      <bottom style="dotted">
        <color auto="1"/>
      </bottom>
      <diagonal/>
    </border>
    <border>
      <left style="dotted">
        <color auto="1"/>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style="dotted">
        <color auto="1"/>
      </left>
      <right style="medium">
        <color indexed="64"/>
      </right>
      <top style="dotted">
        <color auto="1"/>
      </top>
      <bottom style="medium">
        <color indexed="64"/>
      </bottom>
      <diagonal/>
    </border>
    <border>
      <left style="medium">
        <color indexed="64"/>
      </left>
      <right style="dotted">
        <color auto="1"/>
      </right>
      <top style="dotted">
        <color auto="1"/>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dotted">
        <color indexed="64"/>
      </right>
      <top/>
      <bottom/>
      <diagonal/>
    </border>
    <border>
      <left style="thin">
        <color indexed="64"/>
      </left>
      <right style="medium">
        <color indexed="64"/>
      </right>
      <top style="medium">
        <color indexed="64"/>
      </top>
      <bottom style="dotted">
        <color auto="1"/>
      </bottom>
      <diagonal/>
    </border>
    <border>
      <left style="thin">
        <color indexed="64"/>
      </left>
      <right style="medium">
        <color indexed="64"/>
      </right>
      <top style="dotted">
        <color auto="1"/>
      </top>
      <bottom style="dotted">
        <color auto="1"/>
      </bottom>
      <diagonal/>
    </border>
    <border>
      <left style="thin">
        <color indexed="64"/>
      </left>
      <right style="medium">
        <color indexed="64"/>
      </right>
      <top style="dotted">
        <color auto="1"/>
      </top>
      <bottom style="medium">
        <color indexed="64"/>
      </bottom>
      <diagonal/>
    </border>
    <border>
      <left style="thin">
        <color rgb="FF000000"/>
      </left>
      <right/>
      <top/>
      <bottom style="thin">
        <color rgb="FF000000"/>
      </bottom>
      <diagonal/>
    </border>
    <border>
      <left/>
      <right/>
      <top/>
      <bottom style="thin">
        <color rgb="FF000000"/>
      </bottom>
      <diagonal/>
    </border>
    <border>
      <left/>
      <right style="thin">
        <color indexed="64"/>
      </right>
      <top style="medium">
        <color indexed="64"/>
      </top>
      <bottom style="thin">
        <color indexed="64"/>
      </bottom>
      <diagonal/>
    </border>
    <border>
      <left style="dotted">
        <color auto="1"/>
      </left>
      <right/>
      <top style="medium">
        <color indexed="64"/>
      </top>
      <bottom style="dotted">
        <color auto="1"/>
      </bottom>
      <diagonal/>
    </border>
    <border>
      <left style="dotted">
        <color auto="1"/>
      </left>
      <right style="medium">
        <color indexed="64"/>
      </right>
      <top style="medium">
        <color indexed="64"/>
      </top>
      <bottom style="dotted">
        <color auto="1"/>
      </bottom>
      <diagonal/>
    </border>
    <border>
      <left style="medium">
        <color indexed="64"/>
      </left>
      <right style="dotted">
        <color auto="1"/>
      </right>
      <top/>
      <bottom style="dotted">
        <color auto="1"/>
      </bottom>
      <diagonal/>
    </border>
    <border>
      <left style="dotted">
        <color auto="1"/>
      </left>
      <right style="medium">
        <color indexed="64"/>
      </right>
      <top/>
      <bottom style="dotted">
        <color auto="1"/>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dotted">
        <color auto="1"/>
      </left>
      <right/>
      <top/>
      <bottom style="dotted">
        <color auto="1"/>
      </bottom>
      <diagonal/>
    </border>
    <border>
      <left style="medium">
        <color indexed="64"/>
      </left>
      <right style="medium">
        <color indexed="64"/>
      </right>
      <top/>
      <bottom style="dotted">
        <color auto="1"/>
      </bottom>
      <diagonal/>
    </border>
    <border>
      <left style="thin">
        <color indexed="64"/>
      </left>
      <right style="medium">
        <color indexed="64"/>
      </right>
      <top/>
      <bottom style="dotted">
        <color auto="1"/>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right/>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bottom/>
      <diagonal/>
    </border>
    <border>
      <left/>
      <right/>
      <top style="thin">
        <color theme="0"/>
      </top>
      <bottom/>
      <diagonal/>
    </border>
    <border>
      <left style="dotted">
        <color indexed="64"/>
      </left>
      <right/>
      <top/>
      <bottom/>
      <diagonal/>
    </border>
    <border>
      <left/>
      <right/>
      <top style="medium">
        <color indexed="64"/>
      </top>
      <bottom/>
      <diagonal/>
    </border>
    <border>
      <left/>
      <right/>
      <top/>
      <bottom style="dotted">
        <color indexed="64"/>
      </bottom>
      <diagonal/>
    </border>
    <border>
      <left style="thin">
        <color indexed="64"/>
      </left>
      <right/>
      <top style="thin">
        <color indexed="64"/>
      </top>
      <bottom/>
      <diagonal/>
    </border>
    <border>
      <left style="dotted">
        <color auto="1"/>
      </left>
      <right style="thin">
        <color indexed="64"/>
      </right>
      <top style="thin">
        <color indexed="64"/>
      </top>
      <bottom style="dotted">
        <color auto="1"/>
      </bottom>
      <diagonal/>
    </border>
    <border>
      <left style="dotted">
        <color auto="1"/>
      </left>
      <right style="thin">
        <color indexed="64"/>
      </right>
      <top style="dotted">
        <color auto="1"/>
      </top>
      <bottom style="dotted">
        <color auto="1"/>
      </bottom>
      <diagonal/>
    </border>
    <border>
      <left style="thin">
        <color indexed="64"/>
      </left>
      <right/>
      <top/>
      <bottom style="thin">
        <color indexed="64"/>
      </bottom>
      <diagonal/>
    </border>
    <border>
      <left style="dotted">
        <color auto="1"/>
      </left>
      <right style="thin">
        <color indexed="64"/>
      </right>
      <top style="dotted">
        <color auto="1"/>
      </top>
      <bottom style="thin">
        <color indexed="64"/>
      </bottom>
      <diagonal/>
    </border>
    <border>
      <left style="dotted">
        <color auto="1"/>
      </left>
      <right style="thin">
        <color indexed="64"/>
      </right>
      <top/>
      <bottom style="dotted">
        <color auto="1"/>
      </bottom>
      <diagonal/>
    </border>
  </borders>
  <cellStyleXfs count="10">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3"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12" fillId="0" borderId="0" applyFill="0" applyBorder="0">
      <alignment wrapText="1"/>
    </xf>
    <xf numFmtId="0" fontId="13" fillId="15" borderId="0" applyNumberFormat="0" applyBorder="0" applyProtection="0">
      <alignment horizontal="left" indent="1"/>
    </xf>
    <xf numFmtId="0" fontId="15" fillId="15" borderId="0" applyNumberFormat="0" applyProtection="0">
      <alignment horizontal="left" wrapText="1" indent="4"/>
    </xf>
  </cellStyleXfs>
  <cellXfs count="507">
    <xf numFmtId="0" fontId="0" fillId="0" borderId="0" xfId="0"/>
    <xf numFmtId="0" fontId="11" fillId="0" borderId="18" xfId="0" applyFont="1" applyBorder="1" applyAlignment="1" applyProtection="1">
      <alignment horizontal="center"/>
      <protection hidden="1"/>
    </xf>
    <xf numFmtId="0" fontId="11" fillId="5" borderId="0" xfId="0" applyFont="1" applyFill="1" applyAlignment="1" applyProtection="1">
      <alignment horizontal="left"/>
      <protection hidden="1"/>
    </xf>
    <xf numFmtId="0" fontId="11" fillId="0" borderId="17" xfId="0" applyFont="1" applyBorder="1" applyAlignment="1" applyProtection="1">
      <alignment horizontal="center"/>
      <protection hidden="1"/>
    </xf>
    <xf numFmtId="0" fontId="11" fillId="0" borderId="16" xfId="0" applyFont="1" applyBorder="1" applyAlignment="1" applyProtection="1">
      <alignment horizontal="center"/>
      <protection hidden="1"/>
    </xf>
    <xf numFmtId="0" fontId="0" fillId="0" borderId="0" xfId="0" applyAlignment="1">
      <alignment horizontal="center"/>
    </xf>
    <xf numFmtId="0" fontId="2" fillId="0" borderId="0" xfId="0" applyFont="1" applyAlignment="1">
      <alignment horizontal="left"/>
    </xf>
    <xf numFmtId="0" fontId="4" fillId="7" borderId="0" xfId="0" applyFont="1" applyFill="1" applyAlignment="1">
      <alignment horizontal="center"/>
    </xf>
    <xf numFmtId="0" fontId="0" fillId="4" borderId="0" xfId="0" applyFill="1"/>
    <xf numFmtId="0" fontId="7" fillId="0" borderId="0" xfId="0" applyFont="1"/>
    <xf numFmtId="9" fontId="7" fillId="6" borderId="1" xfId="0" applyNumberFormat="1" applyFont="1" applyFill="1" applyBorder="1" applyAlignment="1" applyProtection="1">
      <alignment horizontal="center"/>
      <protection locked="0"/>
    </xf>
    <xf numFmtId="0" fontId="2" fillId="0" borderId="0" xfId="0" applyFont="1" applyAlignment="1">
      <alignment horizontal="right"/>
    </xf>
    <xf numFmtId="0" fontId="1" fillId="0" borderId="0" xfId="0" applyFont="1" applyProtection="1">
      <protection locked="0" hidden="1"/>
    </xf>
    <xf numFmtId="0" fontId="10" fillId="14" borderId="0" xfId="7" applyFont="1" applyFill="1" applyProtection="1">
      <alignment wrapText="1"/>
      <protection hidden="1"/>
    </xf>
    <xf numFmtId="0" fontId="1" fillId="0" borderId="0" xfId="0" applyFont="1" applyProtection="1">
      <protection hidden="1"/>
    </xf>
    <xf numFmtId="0" fontId="1" fillId="13" borderId="0" xfId="0" applyFont="1" applyFill="1" applyProtection="1">
      <protection hidden="1"/>
    </xf>
    <xf numFmtId="0" fontId="14" fillId="13" borderId="0" xfId="8" applyFont="1" applyFill="1" applyAlignment="1" applyProtection="1">
      <alignment horizontal="center"/>
      <protection hidden="1"/>
    </xf>
    <xf numFmtId="0" fontId="16" fillId="13" borderId="0" xfId="9" applyFont="1" applyFill="1" applyAlignment="1" applyProtection="1">
      <alignment horizontal="center" vertical="top" wrapText="1"/>
      <protection hidden="1"/>
    </xf>
    <xf numFmtId="0" fontId="17" fillId="13" borderId="0" xfId="9" applyFont="1" applyFill="1" applyAlignment="1" applyProtection="1">
      <alignment horizontal="center" vertical="top" wrapText="1"/>
      <protection hidden="1"/>
    </xf>
    <xf numFmtId="0" fontId="20" fillId="13" borderId="0" xfId="7" applyFont="1" applyFill="1" applyAlignment="1" applyProtection="1">
      <alignment vertical="top" wrapText="1"/>
      <protection hidden="1"/>
    </xf>
    <xf numFmtId="0" fontId="21" fillId="13" borderId="0" xfId="7" applyFont="1" applyFill="1" applyAlignment="1" applyProtection="1">
      <alignment horizontal="center" vertical="center" wrapText="1"/>
      <protection hidden="1"/>
    </xf>
    <xf numFmtId="0" fontId="22" fillId="13" borderId="0" xfId="0" applyFont="1" applyFill="1" applyAlignment="1" applyProtection="1">
      <alignment horizontal="right"/>
      <protection hidden="1"/>
    </xf>
    <xf numFmtId="0" fontId="0" fillId="0" borderId="0" xfId="0" applyProtection="1">
      <protection hidden="1"/>
    </xf>
    <xf numFmtId="0" fontId="7" fillId="0" borderId="8" xfId="0" applyFont="1" applyBorder="1" applyAlignment="1" applyProtection="1">
      <alignment horizontal="left"/>
      <protection hidden="1"/>
    </xf>
    <xf numFmtId="0" fontId="7" fillId="0" borderId="0" xfId="0" applyFont="1" applyAlignment="1" applyProtection="1">
      <alignment horizontal="center"/>
      <protection hidden="1"/>
    </xf>
    <xf numFmtId="0" fontId="11" fillId="0" borderId="9" xfId="0" applyFont="1" applyBorder="1" applyAlignment="1" applyProtection="1">
      <alignment horizontal="center"/>
      <protection hidden="1"/>
    </xf>
    <xf numFmtId="0" fontId="11" fillId="0" borderId="10" xfId="0" applyFont="1" applyBorder="1" applyAlignment="1" applyProtection="1">
      <alignment horizontal="center"/>
      <protection hidden="1"/>
    </xf>
    <xf numFmtId="0" fontId="7" fillId="0" borderId="10" xfId="0" applyFont="1" applyBorder="1" applyAlignment="1" applyProtection="1">
      <alignment horizontal="center"/>
      <protection hidden="1"/>
    </xf>
    <xf numFmtId="0" fontId="7" fillId="0" borderId="0" xfId="0" applyFont="1" applyAlignment="1" applyProtection="1">
      <alignment horizontal="left"/>
      <protection hidden="1"/>
    </xf>
    <xf numFmtId="9" fontId="0" fillId="0" borderId="0" xfId="0" applyNumberFormat="1" applyAlignment="1">
      <alignment horizontal="center"/>
    </xf>
    <xf numFmtId="0" fontId="0" fillId="0" borderId="0" xfId="0" quotePrefix="1" applyAlignment="1">
      <alignment horizontal="center"/>
    </xf>
    <xf numFmtId="0" fontId="0" fillId="4" borderId="0" xfId="0" applyFill="1" applyAlignment="1">
      <alignment horizontal="left"/>
    </xf>
    <xf numFmtId="0" fontId="7" fillId="0" borderId="0" xfId="0" applyFont="1" applyProtection="1">
      <protection hidden="1"/>
    </xf>
    <xf numFmtId="0" fontId="11" fillId="0" borderId="55" xfId="0" applyFont="1" applyBorder="1" applyAlignment="1" applyProtection="1">
      <alignment horizontal="center"/>
      <protection hidden="1"/>
    </xf>
    <xf numFmtId="0" fontId="11" fillId="0" borderId="56" xfId="0" applyFont="1" applyBorder="1" applyAlignment="1" applyProtection="1">
      <alignment horizontal="center"/>
      <protection hidden="1"/>
    </xf>
    <xf numFmtId="0" fontId="0" fillId="5" borderId="0" xfId="0" applyFill="1" applyProtection="1">
      <protection hidden="1"/>
    </xf>
    <xf numFmtId="0" fontId="1" fillId="2" borderId="0" xfId="4" applyFill="1" applyProtection="1">
      <protection hidden="1"/>
    </xf>
    <xf numFmtId="0" fontId="7" fillId="0" borderId="8" xfId="0" applyFont="1" applyBorder="1" applyProtection="1">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7" fillId="0" borderId="50" xfId="0" applyFont="1" applyBorder="1" applyProtection="1">
      <protection hidden="1"/>
    </xf>
    <xf numFmtId="9" fontId="7" fillId="0" borderId="0" xfId="5" applyFont="1" applyProtection="1">
      <protection hidden="1"/>
    </xf>
    <xf numFmtId="0" fontId="11" fillId="0" borderId="11" xfId="0" applyFont="1" applyBorder="1" applyAlignment="1" applyProtection="1">
      <alignment vertical="center"/>
      <protection hidden="1"/>
    </xf>
    <xf numFmtId="0" fontId="11" fillId="0" borderId="0" xfId="0" applyFont="1" applyAlignment="1" applyProtection="1">
      <alignment horizontal="center"/>
      <protection hidden="1"/>
    </xf>
    <xf numFmtId="0" fontId="11" fillId="0" borderId="12" xfId="0" applyFont="1" applyBorder="1" applyProtection="1">
      <protection hidden="1"/>
    </xf>
    <xf numFmtId="0" fontId="11" fillId="0" borderId="14" xfId="0" applyFont="1" applyBorder="1" applyProtection="1">
      <protection hidden="1"/>
    </xf>
    <xf numFmtId="0" fontId="7" fillId="0" borderId="14" xfId="0" applyFont="1" applyBorder="1" applyProtection="1">
      <protection hidden="1"/>
    </xf>
    <xf numFmtId="9" fontId="7" fillId="0" borderId="19" xfId="5" applyFont="1" applyBorder="1" applyProtection="1">
      <protection hidden="1"/>
    </xf>
    <xf numFmtId="9" fontId="7" fillId="0" borderId="20" xfId="5" applyFont="1" applyBorder="1" applyProtection="1">
      <protection hidden="1"/>
    </xf>
    <xf numFmtId="9" fontId="7" fillId="0" borderId="18" xfId="5" applyFont="1" applyBorder="1" applyProtection="1">
      <protection hidden="1"/>
    </xf>
    <xf numFmtId="0" fontId="7" fillId="14" borderId="14" xfId="0" applyFont="1" applyFill="1" applyBorder="1" applyProtection="1">
      <protection hidden="1"/>
    </xf>
    <xf numFmtId="9" fontId="7" fillId="14" borderId="18" xfId="5" applyFont="1" applyFill="1" applyBorder="1" applyProtection="1">
      <protection hidden="1"/>
    </xf>
    <xf numFmtId="0" fontId="7" fillId="0" borderId="21" xfId="0" applyFont="1" applyBorder="1" applyProtection="1">
      <protection hidden="1"/>
    </xf>
    <xf numFmtId="0" fontId="7" fillId="0" borderId="22" xfId="0" applyFont="1" applyBorder="1" applyAlignment="1" applyProtection="1">
      <alignment horizontal="center"/>
      <protection hidden="1"/>
    </xf>
    <xf numFmtId="0" fontId="11" fillId="0" borderId="0" xfId="0" applyFont="1" applyAlignment="1" applyProtection="1">
      <alignment vertical="center"/>
      <protection hidden="1"/>
    </xf>
    <xf numFmtId="0" fontId="11" fillId="0" borderId="0" xfId="0" applyFont="1" applyProtection="1">
      <protection hidden="1"/>
    </xf>
    <xf numFmtId="0" fontId="11" fillId="0" borderId="23" xfId="0" applyFont="1" applyBorder="1" applyAlignment="1" applyProtection="1">
      <alignment horizontal="center"/>
      <protection hidden="1"/>
    </xf>
    <xf numFmtId="0" fontId="7" fillId="6" borderId="25" xfId="0" applyFont="1" applyFill="1" applyBorder="1" applyAlignment="1" applyProtection="1">
      <alignment horizontal="center"/>
      <protection locked="0"/>
    </xf>
    <xf numFmtId="0" fontId="7" fillId="6" borderId="24" xfId="0" applyFont="1" applyFill="1" applyBorder="1" applyAlignment="1" applyProtection="1">
      <alignment horizontal="center"/>
      <protection locked="0"/>
    </xf>
    <xf numFmtId="0" fontId="7" fillId="6" borderId="26" xfId="0" applyFont="1" applyFill="1" applyBorder="1" applyAlignment="1" applyProtection="1">
      <alignment horizontal="center"/>
      <protection locked="0"/>
    </xf>
    <xf numFmtId="0" fontId="7" fillId="6" borderId="27" xfId="0" applyFont="1" applyFill="1" applyBorder="1" applyAlignment="1" applyProtection="1">
      <alignment horizontal="center"/>
      <protection locked="0"/>
    </xf>
    <xf numFmtId="0" fontId="7" fillId="6" borderId="28" xfId="0" applyFont="1" applyFill="1" applyBorder="1" applyAlignment="1" applyProtection="1">
      <alignment horizontal="center"/>
      <protection locked="0"/>
    </xf>
    <xf numFmtId="0" fontId="7" fillId="6" borderId="29" xfId="0" applyFont="1" applyFill="1" applyBorder="1" applyAlignment="1" applyProtection="1">
      <alignment horizontal="center"/>
      <protection locked="0"/>
    </xf>
    <xf numFmtId="0" fontId="7" fillId="6" borderId="30" xfId="0" applyFont="1" applyFill="1" applyBorder="1" applyAlignment="1" applyProtection="1">
      <alignment horizontal="center"/>
      <protection locked="0"/>
    </xf>
    <xf numFmtId="0" fontId="7" fillId="6" borderId="31" xfId="0" applyFont="1" applyFill="1" applyBorder="1" applyAlignment="1" applyProtection="1">
      <alignment horizontal="center"/>
      <protection locked="0"/>
    </xf>
    <xf numFmtId="0" fontId="7" fillId="6" borderId="32" xfId="0" applyFont="1" applyFill="1" applyBorder="1" applyAlignment="1" applyProtection="1">
      <alignment horizontal="center"/>
      <protection locked="0"/>
    </xf>
    <xf numFmtId="0" fontId="7" fillId="6" borderId="33" xfId="0" applyFont="1" applyFill="1" applyBorder="1" applyAlignment="1" applyProtection="1">
      <alignment horizontal="center"/>
      <protection locked="0"/>
    </xf>
    <xf numFmtId="0" fontId="7" fillId="6" borderId="34" xfId="0" applyFont="1" applyFill="1" applyBorder="1" applyAlignment="1" applyProtection="1">
      <alignment horizontal="center"/>
      <protection locked="0"/>
    </xf>
    <xf numFmtId="0" fontId="26" fillId="0" borderId="0" xfId="0" applyFont="1" applyProtection="1">
      <protection hidden="1"/>
    </xf>
    <xf numFmtId="0" fontId="11" fillId="0" borderId="37" xfId="0" applyFont="1" applyBorder="1" applyAlignment="1" applyProtection="1">
      <alignment horizontal="center"/>
      <protection hidden="1"/>
    </xf>
    <xf numFmtId="0" fontId="11" fillId="0" borderId="38" xfId="0" applyFont="1" applyBorder="1" applyAlignment="1" applyProtection="1">
      <alignment horizontal="center"/>
      <protection hidden="1"/>
    </xf>
    <xf numFmtId="0" fontId="11" fillId="0" borderId="39" xfId="0" applyFont="1" applyBorder="1" applyAlignment="1" applyProtection="1">
      <alignment horizontal="center"/>
      <protection hidden="1"/>
    </xf>
    <xf numFmtId="9" fontId="7" fillId="6" borderId="40" xfId="0" applyNumberFormat="1" applyFont="1" applyFill="1" applyBorder="1" applyAlignment="1" applyProtection="1">
      <alignment horizontal="center"/>
      <protection locked="0"/>
    </xf>
    <xf numFmtId="0" fontId="7" fillId="6" borderId="41" xfId="0" applyFont="1" applyFill="1" applyBorder="1" applyAlignment="1" applyProtection="1">
      <alignment horizontal="center"/>
      <protection locked="0"/>
    </xf>
    <xf numFmtId="1" fontId="7" fillId="6" borderId="41" xfId="0" applyNumberFormat="1" applyFont="1" applyFill="1" applyBorder="1" applyAlignment="1" applyProtection="1">
      <alignment horizontal="center"/>
      <protection locked="0"/>
    </xf>
    <xf numFmtId="9" fontId="7" fillId="6" borderId="41" xfId="0" applyNumberFormat="1" applyFont="1" applyFill="1" applyBorder="1" applyAlignment="1" applyProtection="1">
      <alignment horizontal="center"/>
      <protection locked="0"/>
    </xf>
    <xf numFmtId="9" fontId="7" fillId="6" borderId="42" xfId="0" applyNumberFormat="1" applyFont="1" applyFill="1" applyBorder="1" applyAlignment="1" applyProtection="1">
      <alignment horizontal="center"/>
      <protection locked="0"/>
    </xf>
    <xf numFmtId="0" fontId="7" fillId="6" borderId="1" xfId="0" applyFont="1" applyFill="1" applyBorder="1" applyAlignment="1" applyProtection="1">
      <alignment horizontal="center"/>
      <protection locked="0"/>
    </xf>
    <xf numFmtId="1" fontId="7" fillId="6" borderId="1" xfId="0" applyNumberFormat="1" applyFont="1" applyFill="1" applyBorder="1" applyAlignment="1" applyProtection="1">
      <alignment horizontal="center"/>
      <protection locked="0"/>
    </xf>
    <xf numFmtId="9" fontId="7" fillId="6" borderId="47" xfId="0" applyNumberFormat="1" applyFont="1" applyFill="1" applyBorder="1" applyAlignment="1" applyProtection="1">
      <alignment horizontal="center"/>
      <protection locked="0"/>
    </xf>
    <xf numFmtId="0" fontId="7" fillId="6" borderId="44" xfId="0" applyFont="1" applyFill="1" applyBorder="1" applyAlignment="1" applyProtection="1">
      <alignment horizontal="center"/>
      <protection locked="0"/>
    </xf>
    <xf numFmtId="1" fontId="7" fillId="6" borderId="44" xfId="0" applyNumberFormat="1" applyFont="1" applyFill="1" applyBorder="1" applyAlignment="1" applyProtection="1">
      <alignment horizontal="center"/>
      <protection locked="0"/>
    </xf>
    <xf numFmtId="9" fontId="7" fillId="6" borderId="44" xfId="0" applyNumberFormat="1" applyFont="1" applyFill="1" applyBorder="1" applyAlignment="1" applyProtection="1">
      <alignment horizontal="center"/>
      <protection locked="0"/>
    </xf>
    <xf numFmtId="9" fontId="11" fillId="0" borderId="0" xfId="0" applyNumberFormat="1" applyFont="1" applyAlignment="1" applyProtection="1">
      <alignment horizontal="left"/>
      <protection hidden="1"/>
    </xf>
    <xf numFmtId="9" fontId="7" fillId="0" borderId="0" xfId="0" applyNumberFormat="1" applyFont="1" applyAlignment="1" applyProtection="1">
      <alignment horizontal="center"/>
      <protection hidden="1"/>
    </xf>
    <xf numFmtId="49" fontId="7" fillId="6" borderId="42" xfId="0" applyNumberFormat="1" applyFont="1" applyFill="1" applyBorder="1" applyAlignment="1" applyProtection="1">
      <alignment horizontal="center"/>
      <protection locked="0"/>
    </xf>
    <xf numFmtId="9" fontId="7" fillId="6" borderId="2" xfId="0" applyNumberFormat="1" applyFont="1" applyFill="1" applyBorder="1" applyAlignment="1" applyProtection="1">
      <alignment horizontal="center"/>
      <protection locked="0"/>
    </xf>
    <xf numFmtId="49" fontId="7" fillId="6" borderId="47" xfId="0" applyNumberFormat="1" applyFont="1" applyFill="1" applyBorder="1" applyAlignment="1" applyProtection="1">
      <alignment horizontal="center"/>
      <protection locked="0"/>
    </xf>
    <xf numFmtId="9" fontId="7" fillId="6" borderId="45" xfId="0" applyNumberFormat="1" applyFont="1" applyFill="1" applyBorder="1" applyAlignment="1" applyProtection="1">
      <alignment horizontal="center"/>
      <protection locked="0"/>
    </xf>
    <xf numFmtId="49" fontId="7" fillId="0" borderId="0" xfId="0" applyNumberFormat="1" applyFont="1" applyAlignment="1" applyProtection="1">
      <alignment horizontal="center"/>
      <protection locked="0"/>
    </xf>
    <xf numFmtId="0" fontId="7" fillId="0" borderId="0" xfId="0" applyFont="1" applyAlignment="1" applyProtection="1">
      <alignment horizontal="center"/>
      <protection locked="0"/>
    </xf>
    <xf numFmtId="1" fontId="7" fillId="0" borderId="0" xfId="0" applyNumberFormat="1" applyFont="1" applyAlignment="1" applyProtection="1">
      <alignment horizontal="center"/>
      <protection locked="0"/>
    </xf>
    <xf numFmtId="9" fontId="7" fillId="0" borderId="0" xfId="0" applyNumberFormat="1" applyFont="1" applyAlignment="1" applyProtection="1">
      <alignment horizontal="center"/>
      <protection locked="0"/>
    </xf>
    <xf numFmtId="0" fontId="7" fillId="6" borderId="47" xfId="0" applyFont="1" applyFill="1" applyBorder="1" applyAlignment="1" applyProtection="1">
      <alignment horizontal="center"/>
      <protection locked="0"/>
    </xf>
    <xf numFmtId="0" fontId="11" fillId="0" borderId="49" xfId="0" applyFont="1" applyBorder="1" applyAlignment="1" applyProtection="1">
      <alignment horizontal="center"/>
      <protection hidden="1"/>
    </xf>
    <xf numFmtId="0" fontId="7" fillId="6" borderId="13" xfId="0" applyFont="1" applyFill="1" applyBorder="1" applyAlignment="1" applyProtection="1">
      <alignment horizontal="center"/>
      <protection locked="0" hidden="1"/>
    </xf>
    <xf numFmtId="0" fontId="7" fillId="6" borderId="40" xfId="0" applyFont="1" applyFill="1" applyBorder="1" applyAlignment="1" applyProtection="1">
      <alignment horizontal="center"/>
      <protection locked="0"/>
    </xf>
    <xf numFmtId="0" fontId="7" fillId="6" borderId="52" xfId="0" applyFont="1" applyFill="1" applyBorder="1" applyAlignment="1" applyProtection="1">
      <alignment horizontal="center"/>
      <protection locked="0" hidden="1"/>
    </xf>
    <xf numFmtId="0" fontId="7" fillId="6" borderId="15" xfId="0" applyFont="1" applyFill="1" applyBorder="1" applyAlignment="1" applyProtection="1">
      <alignment horizontal="center"/>
      <protection locked="0" hidden="1"/>
    </xf>
    <xf numFmtId="0" fontId="7" fillId="6" borderId="42" xfId="0" applyFont="1" applyFill="1" applyBorder="1" applyAlignment="1" applyProtection="1">
      <alignment horizontal="center"/>
      <protection locked="0"/>
    </xf>
    <xf numFmtId="0" fontId="7" fillId="6" borderId="53" xfId="0" applyFont="1" applyFill="1" applyBorder="1" applyAlignment="1" applyProtection="1">
      <alignment horizontal="center"/>
      <protection locked="0" hidden="1"/>
    </xf>
    <xf numFmtId="0" fontId="7" fillId="6" borderId="22" xfId="0" applyFont="1" applyFill="1" applyBorder="1" applyAlignment="1" applyProtection="1">
      <alignment horizontal="center"/>
      <protection locked="0" hidden="1"/>
    </xf>
    <xf numFmtId="0" fontId="7" fillId="6" borderId="54" xfId="0" applyFont="1" applyFill="1" applyBorder="1" applyAlignment="1" applyProtection="1">
      <alignment horizontal="center"/>
      <protection locked="0" hidden="1"/>
    </xf>
    <xf numFmtId="9" fontId="7" fillId="6" borderId="43" xfId="0" applyNumberFormat="1" applyFont="1" applyFill="1" applyBorder="1" applyAlignment="1" applyProtection="1">
      <alignment horizontal="center"/>
      <protection locked="0"/>
    </xf>
    <xf numFmtId="9" fontId="7" fillId="6" borderId="46" xfId="0" applyNumberFormat="1" applyFont="1" applyFill="1" applyBorder="1" applyAlignment="1" applyProtection="1">
      <alignment horizontal="center"/>
      <protection locked="0"/>
    </xf>
    <xf numFmtId="0" fontId="0" fillId="0" borderId="10" xfId="0" applyBorder="1" applyAlignment="1">
      <alignment horizontal="center"/>
    </xf>
    <xf numFmtId="0" fontId="11" fillId="0" borderId="3" xfId="0" applyFont="1" applyBorder="1" applyAlignment="1">
      <alignment horizontal="center" vertical="center"/>
    </xf>
    <xf numFmtId="0" fontId="27" fillId="0" borderId="0" xfId="0" applyFont="1" applyAlignment="1" applyProtection="1">
      <alignment vertical="center"/>
      <protection hidden="1"/>
    </xf>
    <xf numFmtId="1" fontId="11" fillId="0" borderId="3" xfId="0" applyNumberFormat="1" applyFont="1" applyBorder="1" applyAlignment="1">
      <alignment horizontal="center" vertical="center"/>
    </xf>
    <xf numFmtId="0" fontId="7" fillId="6" borderId="57" xfId="0" applyFont="1" applyFill="1" applyBorder="1" applyAlignment="1" applyProtection="1">
      <alignment horizontal="center"/>
      <protection locked="0"/>
    </xf>
    <xf numFmtId="0" fontId="2" fillId="0" borderId="0" xfId="0" applyFont="1"/>
    <xf numFmtId="0" fontId="24" fillId="0" borderId="0" xfId="0" applyFont="1"/>
    <xf numFmtId="49" fontId="7" fillId="6" borderId="40" xfId="0" applyNumberFormat="1" applyFont="1" applyFill="1" applyBorder="1" applyAlignment="1" applyProtection="1">
      <alignment horizontal="center"/>
      <protection locked="0"/>
    </xf>
    <xf numFmtId="9" fontId="7" fillId="6" borderId="59" xfId="0" applyNumberFormat="1" applyFont="1" applyFill="1" applyBorder="1" applyAlignment="1" applyProtection="1">
      <alignment horizontal="center"/>
      <protection locked="0"/>
    </xf>
    <xf numFmtId="9" fontId="7" fillId="6" borderId="58" xfId="0" applyNumberFormat="1" applyFont="1" applyFill="1" applyBorder="1" applyAlignment="1" applyProtection="1">
      <alignment horizontal="center"/>
      <protection locked="0"/>
    </xf>
    <xf numFmtId="9" fontId="7" fillId="0" borderId="0" xfId="5" applyFont="1" applyBorder="1" applyProtection="1">
      <protection hidden="1"/>
    </xf>
    <xf numFmtId="0" fontId="2" fillId="0" borderId="0" xfId="0" applyFont="1" applyAlignment="1">
      <alignment horizontal="center"/>
    </xf>
    <xf numFmtId="9" fontId="7" fillId="6" borderId="60" xfId="0" applyNumberFormat="1" applyFont="1" applyFill="1" applyBorder="1" applyAlignment="1" applyProtection="1">
      <alignment horizontal="center"/>
      <protection locked="0"/>
    </xf>
    <xf numFmtId="0" fontId="7" fillId="6" borderId="7" xfId="0" applyFont="1" applyFill="1" applyBorder="1" applyAlignment="1" applyProtection="1">
      <alignment horizontal="center"/>
      <protection locked="0"/>
    </xf>
    <xf numFmtId="1" fontId="7" fillId="6" borderId="7" xfId="0" applyNumberFormat="1" applyFont="1" applyFill="1" applyBorder="1" applyAlignment="1" applyProtection="1">
      <alignment horizontal="center"/>
      <protection locked="0"/>
    </xf>
    <xf numFmtId="9" fontId="7" fillId="6" borderId="7" xfId="0" applyNumberFormat="1" applyFont="1" applyFill="1" applyBorder="1" applyAlignment="1" applyProtection="1">
      <alignment horizontal="center"/>
      <protection locked="0"/>
    </xf>
    <xf numFmtId="9" fontId="7" fillId="6" borderId="61" xfId="0" applyNumberFormat="1" applyFont="1" applyFill="1" applyBorder="1" applyAlignment="1" applyProtection="1">
      <alignment horizontal="center"/>
      <protection locked="0"/>
    </xf>
    <xf numFmtId="0" fontId="0" fillId="0" borderId="0" xfId="0" applyAlignment="1">
      <alignment horizontal="right"/>
    </xf>
    <xf numFmtId="0" fontId="28" fillId="0" borderId="0" xfId="0" applyFont="1" applyAlignment="1">
      <alignment horizontal="right"/>
    </xf>
    <xf numFmtId="0" fontId="11" fillId="0" borderId="37" xfId="0" applyFont="1" applyBorder="1" applyAlignment="1" applyProtection="1">
      <alignment horizontal="center" vertical="center"/>
      <protection hidden="1"/>
    </xf>
    <xf numFmtId="0" fontId="11" fillId="0" borderId="62" xfId="0" applyFont="1" applyBorder="1" applyAlignment="1" applyProtection="1">
      <alignment horizontal="center" vertical="center"/>
      <protection hidden="1"/>
    </xf>
    <xf numFmtId="0" fontId="11" fillId="0" borderId="38" xfId="0" applyFont="1" applyBorder="1" applyAlignment="1" applyProtection="1">
      <alignment vertical="center"/>
      <protection hidden="1"/>
    </xf>
    <xf numFmtId="0" fontId="7" fillId="0" borderId="17" xfId="0" applyFont="1" applyBorder="1" applyProtection="1">
      <protection hidden="1"/>
    </xf>
    <xf numFmtId="0" fontId="7" fillId="0" borderId="18" xfId="0" applyFont="1" applyBorder="1" applyProtection="1">
      <protection hidden="1"/>
    </xf>
    <xf numFmtId="0" fontId="7" fillId="6" borderId="63" xfId="0" applyFont="1" applyFill="1" applyBorder="1" applyAlignment="1" applyProtection="1">
      <alignment horizontal="center"/>
      <protection locked="0"/>
    </xf>
    <xf numFmtId="0" fontId="7" fillId="6" borderId="64" xfId="0" applyFont="1" applyFill="1" applyBorder="1" applyAlignment="1" applyProtection="1">
      <alignment horizontal="center"/>
      <protection locked="0"/>
    </xf>
    <xf numFmtId="0" fontId="7" fillId="6" borderId="11" xfId="0" applyFont="1" applyFill="1" applyBorder="1" applyAlignment="1" applyProtection="1">
      <alignment horizontal="center"/>
      <protection locked="0"/>
    </xf>
    <xf numFmtId="9" fontId="7" fillId="6" borderId="65" xfId="0" applyNumberFormat="1" applyFont="1" applyFill="1" applyBorder="1" applyAlignment="1" applyProtection="1">
      <alignment horizontal="center"/>
      <protection locked="0"/>
    </xf>
    <xf numFmtId="0" fontId="7" fillId="6" borderId="66" xfId="0" applyFont="1" applyFill="1" applyBorder="1" applyAlignment="1" applyProtection="1">
      <alignment horizontal="center"/>
      <protection locked="0" hidden="1"/>
    </xf>
    <xf numFmtId="0" fontId="7" fillId="6" borderId="60" xfId="0" applyFont="1" applyFill="1" applyBorder="1" applyAlignment="1" applyProtection="1">
      <alignment horizontal="center"/>
      <protection locked="0"/>
    </xf>
    <xf numFmtId="0" fontId="7" fillId="6" borderId="67" xfId="0" applyFont="1" applyFill="1" applyBorder="1" applyAlignment="1" applyProtection="1">
      <alignment horizontal="center"/>
      <protection locked="0" hidden="1"/>
    </xf>
    <xf numFmtId="9" fontId="7" fillId="14" borderId="0" xfId="5" applyFont="1" applyFill="1" applyBorder="1" applyProtection="1">
      <protection hidden="1"/>
    </xf>
    <xf numFmtId="0" fontId="7" fillId="0" borderId="0" xfId="0" applyFont="1" applyAlignment="1" applyProtection="1">
      <alignment horizontal="center" vertical="center" wrapText="1"/>
      <protection hidden="1"/>
    </xf>
    <xf numFmtId="0" fontId="0" fillId="0" borderId="69" xfId="0" applyBorder="1" applyAlignment="1">
      <alignment horizontal="center"/>
    </xf>
    <xf numFmtId="0" fontId="0" fillId="0" borderId="69" xfId="0" applyBorder="1"/>
    <xf numFmtId="0" fontId="0" fillId="0" borderId="70" xfId="0" applyBorder="1"/>
    <xf numFmtId="0" fontId="0" fillId="0" borderId="69" xfId="0" applyBorder="1" applyAlignment="1">
      <alignment horizontal="left"/>
    </xf>
    <xf numFmtId="9" fontId="0" fillId="0" borderId="69" xfId="0" applyNumberFormat="1" applyBorder="1" applyAlignment="1">
      <alignment horizontal="center"/>
    </xf>
    <xf numFmtId="164" fontId="0" fillId="0" borderId="69" xfId="0" applyNumberFormat="1" applyBorder="1" applyAlignment="1">
      <alignment horizontal="center"/>
    </xf>
    <xf numFmtId="9" fontId="0" fillId="0" borderId="69" xfId="5" applyFont="1" applyFill="1" applyBorder="1"/>
    <xf numFmtId="10" fontId="0" fillId="0" borderId="69" xfId="0" applyNumberFormat="1" applyBorder="1" applyAlignment="1">
      <alignment horizontal="left"/>
    </xf>
    <xf numFmtId="10" fontId="0" fillId="0" borderId="69" xfId="5" applyNumberFormat="1" applyFont="1" applyBorder="1" applyAlignment="1">
      <alignment horizontal="center"/>
    </xf>
    <xf numFmtId="10" fontId="2" fillId="0" borderId="69" xfId="5" applyNumberFormat="1" applyFont="1" applyFill="1" applyBorder="1" applyAlignment="1">
      <alignment horizontal="center"/>
    </xf>
    <xf numFmtId="9" fontId="0" fillId="0" borderId="69" xfId="5" applyFont="1" applyBorder="1" applyAlignment="1">
      <alignment horizontal="center"/>
    </xf>
    <xf numFmtId="10" fontId="0" fillId="0" borderId="69" xfId="5" applyNumberFormat="1" applyFont="1" applyFill="1" applyBorder="1" applyAlignment="1">
      <alignment horizontal="center"/>
    </xf>
    <xf numFmtId="10" fontId="0" fillId="0" borderId="69" xfId="5" quotePrefix="1" applyNumberFormat="1" applyFont="1" applyBorder="1" applyAlignment="1">
      <alignment horizontal="center"/>
    </xf>
    <xf numFmtId="0" fontId="7" fillId="0" borderId="69" xfId="0" applyFont="1" applyBorder="1"/>
    <xf numFmtId="0" fontId="0" fillId="0" borderId="69" xfId="0" applyBorder="1" applyAlignment="1" applyProtection="1">
      <alignment horizontal="left"/>
      <protection hidden="1"/>
    </xf>
    <xf numFmtId="164" fontId="0" fillId="0" borderId="69" xfId="5" applyNumberFormat="1" applyFont="1" applyBorder="1" applyAlignment="1">
      <alignment horizontal="center"/>
    </xf>
    <xf numFmtId="10" fontId="2" fillId="0" borderId="69" xfId="0" applyNumberFormat="1" applyFont="1" applyBorder="1" applyAlignment="1">
      <alignment horizontal="center"/>
    </xf>
    <xf numFmtId="10" fontId="0" fillId="0" borderId="69" xfId="0" applyNumberFormat="1" applyBorder="1"/>
    <xf numFmtId="164" fontId="0" fillId="0" borderId="69" xfId="0" applyNumberFormat="1" applyBorder="1"/>
    <xf numFmtId="9" fontId="0" fillId="0" borderId="69" xfId="5" applyFont="1" applyBorder="1"/>
    <xf numFmtId="0" fontId="0" fillId="0" borderId="71" xfId="0" applyBorder="1"/>
    <xf numFmtId="0" fontId="0" fillId="0" borderId="71" xfId="0" applyBorder="1" applyAlignment="1">
      <alignment horizontal="center"/>
    </xf>
    <xf numFmtId="9" fontId="0" fillId="0" borderId="71" xfId="0" applyNumberFormat="1" applyBorder="1"/>
    <xf numFmtId="0" fontId="0" fillId="0" borderId="71" xfId="0" applyBorder="1" applyAlignment="1">
      <alignment horizontal="left"/>
    </xf>
    <xf numFmtId="10" fontId="0" fillId="4" borderId="70" xfId="5" applyNumberFormat="1" applyFont="1" applyFill="1" applyBorder="1" applyAlignment="1">
      <alignment horizontal="center"/>
    </xf>
    <xf numFmtId="10" fontId="0" fillId="0" borderId="70" xfId="5" applyNumberFormat="1" applyFont="1" applyBorder="1" applyAlignment="1">
      <alignment horizontal="center"/>
    </xf>
    <xf numFmtId="0" fontId="0" fillId="0" borderId="72" xfId="0" applyBorder="1" applyAlignment="1">
      <alignment horizontal="center"/>
    </xf>
    <xf numFmtId="0" fontId="0" fillId="0" borderId="72" xfId="0" applyBorder="1" applyAlignment="1">
      <alignment horizontal="left"/>
    </xf>
    <xf numFmtId="0" fontId="0" fillId="0" borderId="73" xfId="0" applyBorder="1"/>
    <xf numFmtId="10" fontId="0" fillId="0" borderId="72" xfId="5" applyNumberFormat="1" applyFont="1" applyBorder="1" applyAlignment="1">
      <alignment horizontal="center"/>
    </xf>
    <xf numFmtId="10" fontId="0" fillId="4" borderId="0" xfId="5" applyNumberFormat="1" applyFont="1" applyFill="1" applyBorder="1" applyAlignment="1">
      <alignment horizontal="center"/>
    </xf>
    <xf numFmtId="0" fontId="0" fillId="0" borderId="72" xfId="0" applyBorder="1"/>
    <xf numFmtId="0" fontId="0" fillId="0" borderId="75" xfId="0" applyBorder="1"/>
    <xf numFmtId="0" fontId="0" fillId="0" borderId="78" xfId="0" applyBorder="1"/>
    <xf numFmtId="0" fontId="10" fillId="7" borderId="0" xfId="0" applyFont="1" applyFill="1" applyAlignment="1">
      <alignment horizontal="left"/>
    </xf>
    <xf numFmtId="10" fontId="0" fillId="0" borderId="75" xfId="5" applyNumberFormat="1" applyFont="1" applyBorder="1" applyAlignment="1">
      <alignment horizontal="center"/>
    </xf>
    <xf numFmtId="10" fontId="0" fillId="4" borderId="78" xfId="5" applyNumberFormat="1" applyFont="1" applyFill="1" applyBorder="1" applyAlignment="1">
      <alignment horizontal="center"/>
    </xf>
    <xf numFmtId="10" fontId="10" fillId="7" borderId="0" xfId="5" applyNumberFormat="1" applyFont="1" applyFill="1" applyBorder="1" applyAlignment="1">
      <alignment horizontal="center"/>
    </xf>
    <xf numFmtId="10" fontId="0" fillId="0" borderId="72" xfId="5" applyNumberFormat="1" applyFont="1" applyFill="1" applyBorder="1" applyAlignment="1">
      <alignment horizontal="center"/>
    </xf>
    <xf numFmtId="10" fontId="2" fillId="0" borderId="72" xfId="5" applyNumberFormat="1" applyFont="1" applyFill="1" applyBorder="1" applyAlignment="1">
      <alignment horizontal="center"/>
    </xf>
    <xf numFmtId="10" fontId="2" fillId="0" borderId="73" xfId="5" applyNumberFormat="1" applyFont="1" applyFill="1" applyBorder="1" applyAlignment="1">
      <alignment horizontal="center"/>
    </xf>
    <xf numFmtId="0" fontId="4" fillId="7" borderId="0" xfId="0" applyFont="1" applyFill="1" applyAlignment="1">
      <alignment horizontal="left"/>
    </xf>
    <xf numFmtId="10" fontId="0" fillId="0" borderId="71" xfId="5" applyNumberFormat="1" applyFont="1" applyBorder="1" applyAlignment="1">
      <alignment horizontal="center"/>
    </xf>
    <xf numFmtId="10" fontId="0" fillId="0" borderId="79" xfId="5" applyNumberFormat="1" applyFont="1" applyBorder="1" applyAlignment="1">
      <alignment horizontal="center"/>
    </xf>
    <xf numFmtId="10" fontId="0" fillId="0" borderId="71" xfId="5" applyNumberFormat="1" applyFont="1" applyFill="1" applyBorder="1" applyAlignment="1">
      <alignment horizontal="center"/>
    </xf>
    <xf numFmtId="0" fontId="0" fillId="0" borderId="79" xfId="0" applyBorder="1" applyAlignment="1">
      <alignment horizontal="center"/>
    </xf>
    <xf numFmtId="10" fontId="0" fillId="0" borderId="72" xfId="0" applyNumberFormat="1" applyBorder="1"/>
    <xf numFmtId="0" fontId="0" fillId="0" borderId="74" xfId="0" applyBorder="1" applyAlignment="1">
      <alignment horizontal="center"/>
    </xf>
    <xf numFmtId="0" fontId="0" fillId="0" borderId="80" xfId="0" applyBorder="1" applyAlignment="1">
      <alignment horizontal="center"/>
    </xf>
    <xf numFmtId="0" fontId="0" fillId="0" borderId="81" xfId="0" applyBorder="1"/>
    <xf numFmtId="0" fontId="0" fillId="0" borderId="68" xfId="0" applyBorder="1"/>
    <xf numFmtId="10" fontId="0" fillId="0" borderId="70" xfId="0" applyNumberFormat="1" applyBorder="1"/>
    <xf numFmtId="9" fontId="0" fillId="0" borderId="72" xfId="5" applyFont="1" applyBorder="1" applyAlignment="1">
      <alignment horizontal="center"/>
    </xf>
    <xf numFmtId="0" fontId="0" fillId="0" borderId="70" xfId="0" applyBorder="1" applyAlignment="1">
      <alignment horizontal="left"/>
    </xf>
    <xf numFmtId="10" fontId="1" fillId="0" borderId="82" xfId="5" applyNumberFormat="1" applyFont="1" applyBorder="1" applyAlignment="1">
      <alignment horizontal="center"/>
    </xf>
    <xf numFmtId="10" fontId="0" fillId="0" borderId="77" xfId="5" applyNumberFormat="1" applyFont="1" applyBorder="1" applyAlignment="1">
      <alignment horizontal="center"/>
    </xf>
    <xf numFmtId="10" fontId="0" fillId="4" borderId="76" xfId="5" applyNumberFormat="1" applyFont="1" applyFill="1" applyBorder="1" applyAlignment="1">
      <alignment horizontal="center"/>
    </xf>
    <xf numFmtId="10" fontId="0" fillId="4" borderId="77" xfId="5" applyNumberFormat="1" applyFont="1" applyFill="1" applyBorder="1" applyAlignment="1">
      <alignment horizontal="center"/>
    </xf>
    <xf numFmtId="10" fontId="2" fillId="0" borderId="75" xfId="5" applyNumberFormat="1" applyFont="1" applyBorder="1" applyAlignment="1">
      <alignment horizontal="center"/>
    </xf>
    <xf numFmtId="9" fontId="2" fillId="0" borderId="79" xfId="0" applyNumberFormat="1" applyFont="1" applyBorder="1" applyAlignment="1">
      <alignment horizontal="center"/>
    </xf>
    <xf numFmtId="10" fontId="2" fillId="0" borderId="72" xfId="0" applyNumberFormat="1" applyFont="1" applyBorder="1" applyAlignment="1">
      <alignment horizontal="center"/>
    </xf>
    <xf numFmtId="0" fontId="0" fillId="0" borderId="81" xfId="0" applyBorder="1" applyAlignment="1">
      <alignment horizontal="center"/>
    </xf>
    <xf numFmtId="10" fontId="2" fillId="0" borderId="81" xfId="5" applyNumberFormat="1" applyFont="1" applyFill="1" applyBorder="1" applyAlignment="1">
      <alignment horizontal="center"/>
    </xf>
    <xf numFmtId="10" fontId="2" fillId="0" borderId="81" xfId="0" applyNumberFormat="1" applyFont="1" applyBorder="1" applyAlignment="1">
      <alignment horizontal="center"/>
    </xf>
    <xf numFmtId="10" fontId="0" fillId="0" borderId="81" xfId="0" applyNumberFormat="1" applyBorder="1"/>
    <xf numFmtId="164" fontId="2" fillId="0" borderId="80" xfId="0" applyNumberFormat="1" applyFont="1" applyBorder="1" applyAlignment="1">
      <alignment horizontal="center"/>
    </xf>
    <xf numFmtId="9" fontId="0" fillId="0" borderId="79" xfId="5" applyFont="1" applyFill="1" applyBorder="1"/>
    <xf numFmtId="164" fontId="0" fillId="0" borderId="80" xfId="5" applyNumberFormat="1" applyFont="1" applyFill="1" applyBorder="1"/>
    <xf numFmtId="0" fontId="0" fillId="0" borderId="80" xfId="0" applyBorder="1" applyAlignment="1">
      <alignment horizontal="left"/>
    </xf>
    <xf numFmtId="9" fontId="2" fillId="0" borderId="69" xfId="0" applyNumberFormat="1" applyFont="1" applyBorder="1" applyAlignment="1">
      <alignment horizontal="center"/>
    </xf>
    <xf numFmtId="0" fontId="11" fillId="0" borderId="39" xfId="0" applyFont="1" applyBorder="1" applyAlignment="1" applyProtection="1">
      <alignment horizontal="center" vertical="center"/>
      <protection hidden="1"/>
    </xf>
    <xf numFmtId="0" fontId="11" fillId="0" borderId="38" xfId="0" applyFont="1" applyBorder="1" applyAlignment="1" applyProtection="1">
      <alignment horizontal="center" vertical="center"/>
      <protection hidden="1"/>
    </xf>
    <xf numFmtId="0" fontId="11" fillId="0" borderId="38" xfId="0" applyFont="1" applyBorder="1" applyAlignment="1" applyProtection="1">
      <alignment horizontal="center" vertical="center" wrapText="1"/>
      <protection hidden="1"/>
    </xf>
    <xf numFmtId="0" fontId="11" fillId="0" borderId="35" xfId="0" applyFont="1" applyBorder="1" applyAlignment="1" applyProtection="1">
      <alignment horizontal="center" vertical="center"/>
      <protection hidden="1"/>
    </xf>
    <xf numFmtId="0" fontId="7" fillId="0" borderId="0" xfId="0" applyFont="1" applyAlignment="1" applyProtection="1">
      <alignment vertical="center"/>
      <protection hidden="1"/>
    </xf>
    <xf numFmtId="0" fontId="0" fillId="0" borderId="0" xfId="0" applyAlignment="1" applyProtection="1">
      <alignment vertical="center"/>
      <protection hidden="1"/>
    </xf>
    <xf numFmtId="0" fontId="11" fillId="0" borderId="23" xfId="0" applyFont="1" applyBorder="1" applyAlignment="1" applyProtection="1">
      <alignment horizontal="center" vertical="center"/>
      <protection hidden="1"/>
    </xf>
    <xf numFmtId="0" fontId="11" fillId="0" borderId="49" xfId="0" applyFont="1" applyBorder="1" applyAlignment="1" applyProtection="1">
      <alignment horizontal="center" vertical="center"/>
      <protection hidden="1"/>
    </xf>
    <xf numFmtId="0" fontId="11" fillId="0" borderId="36" xfId="0" applyFont="1" applyBorder="1" applyAlignment="1" applyProtection="1">
      <alignment horizontal="center" vertical="center" wrapText="1"/>
      <protection hidden="1"/>
    </xf>
    <xf numFmtId="0" fontId="11" fillId="0" borderId="36" xfId="0" applyFont="1" applyBorder="1" applyAlignment="1" applyProtection="1">
      <alignment horizontal="center" vertical="center"/>
      <protection hidden="1"/>
    </xf>
    <xf numFmtId="0" fontId="11" fillId="0" borderId="35" xfId="0" applyFont="1" applyBorder="1" applyAlignment="1" applyProtection="1">
      <alignment horizontal="center" vertical="center" wrapText="1"/>
      <protection hidden="1"/>
    </xf>
    <xf numFmtId="0" fontId="11" fillId="0" borderId="39" xfId="0" applyFont="1" applyBorder="1" applyAlignment="1" applyProtection="1">
      <alignment horizontal="center" vertical="center" wrapText="1"/>
      <protection hidden="1"/>
    </xf>
    <xf numFmtId="0" fontId="11" fillId="0" borderId="37" xfId="0" applyFont="1" applyBorder="1" applyAlignment="1" applyProtection="1">
      <alignment horizontal="center" vertical="center" wrapText="1"/>
      <protection hidden="1"/>
    </xf>
    <xf numFmtId="0" fontId="7" fillId="0" borderId="0" xfId="0" applyFont="1" applyAlignment="1" applyProtection="1">
      <alignment vertical="center" wrapText="1"/>
      <protection hidden="1"/>
    </xf>
    <xf numFmtId="0" fontId="0" fillId="0" borderId="0" xfId="0" applyAlignment="1" applyProtection="1">
      <alignment vertical="center" wrapText="1"/>
      <protection hidden="1"/>
    </xf>
    <xf numFmtId="0" fontId="27" fillId="0" borderId="10" xfId="0" applyFont="1" applyBorder="1" applyAlignment="1" applyProtection="1">
      <alignment horizontal="center" vertical="center"/>
      <protection hidden="1"/>
    </xf>
    <xf numFmtId="10" fontId="2" fillId="0" borderId="70" xfId="5" applyNumberFormat="1" applyFont="1" applyFill="1" applyBorder="1" applyAlignment="1">
      <alignment horizontal="center" vertical="center"/>
    </xf>
    <xf numFmtId="10" fontId="2" fillId="0" borderId="69" xfId="5" applyNumberFormat="1" applyFont="1" applyFill="1" applyBorder="1" applyAlignment="1">
      <alignment horizontal="center" vertical="center"/>
    </xf>
    <xf numFmtId="10" fontId="1" fillId="0" borderId="71" xfId="5" applyNumberFormat="1" applyFont="1" applyFill="1" applyBorder="1" applyAlignment="1">
      <alignment horizontal="center" vertical="center"/>
    </xf>
    <xf numFmtId="10" fontId="2" fillId="0" borderId="71" xfId="5" applyNumberFormat="1" applyFont="1" applyFill="1" applyBorder="1" applyAlignment="1">
      <alignment horizontal="center" vertical="center" wrapText="1"/>
    </xf>
    <xf numFmtId="9" fontId="0" fillId="0" borderId="77" xfId="5" applyFont="1" applyBorder="1" applyAlignment="1">
      <alignment horizontal="center" vertical="center"/>
    </xf>
    <xf numFmtId="0" fontId="7" fillId="0" borderId="84" xfId="0" applyFont="1" applyBorder="1" applyAlignment="1" applyProtection="1">
      <alignment horizontal="center"/>
      <protection locked="0"/>
    </xf>
    <xf numFmtId="0" fontId="7" fillId="0" borderId="48" xfId="0" applyFont="1" applyBorder="1" applyAlignment="1" applyProtection="1">
      <alignment horizontal="center"/>
      <protection locked="0"/>
    </xf>
    <xf numFmtId="0" fontId="11" fillId="0" borderId="49" xfId="0" applyFont="1" applyBorder="1" applyAlignment="1" applyProtection="1">
      <alignment horizontal="center" vertical="center" wrapText="1"/>
      <protection hidden="1"/>
    </xf>
    <xf numFmtId="0" fontId="30" fillId="0" borderId="10" xfId="0" applyFont="1" applyBorder="1" applyAlignment="1" applyProtection="1">
      <alignment horizontal="center" vertical="center"/>
      <protection hidden="1"/>
    </xf>
    <xf numFmtId="0" fontId="2" fillId="0" borderId="10" xfId="0" applyFont="1" applyBorder="1" applyAlignment="1" applyProtection="1">
      <alignment horizontal="center"/>
      <protection hidden="1"/>
    </xf>
    <xf numFmtId="0" fontId="7" fillId="0" borderId="85" xfId="0" applyFont="1" applyBorder="1" applyAlignment="1" applyProtection="1">
      <alignment horizontal="center" vertical="center"/>
      <protection locked="0"/>
    </xf>
    <xf numFmtId="1" fontId="11" fillId="0" borderId="0" xfId="0" applyNumberFormat="1" applyFont="1" applyAlignment="1">
      <alignment horizontal="center" vertical="center"/>
    </xf>
    <xf numFmtId="9" fontId="7" fillId="0" borderId="18" xfId="5" applyFont="1" applyBorder="1" applyAlignment="1" applyProtection="1">
      <alignment horizontal="center" vertical="center"/>
      <protection hidden="1"/>
    </xf>
    <xf numFmtId="1" fontId="0" fillId="6" borderId="1" xfId="0" applyNumberFormat="1" applyFill="1" applyBorder="1" applyAlignment="1" applyProtection="1">
      <alignment horizontal="right"/>
      <protection locked="0"/>
    </xf>
    <xf numFmtId="0" fontId="0" fillId="0" borderId="0" xfId="0" applyAlignment="1" applyProtection="1">
      <alignment horizontal="center"/>
      <protection hidden="1"/>
    </xf>
    <xf numFmtId="0" fontId="10" fillId="0" borderId="0" xfId="0" applyFont="1" applyAlignment="1" applyProtection="1">
      <alignment vertical="center"/>
      <protection hidden="1"/>
    </xf>
    <xf numFmtId="0" fontId="7" fillId="0" borderId="86" xfId="0" applyFont="1" applyBorder="1" applyProtection="1">
      <protection hidden="1"/>
    </xf>
    <xf numFmtId="1" fontId="0" fillId="6" borderId="87" xfId="0" applyNumberFormat="1" applyFill="1" applyBorder="1" applyAlignment="1" applyProtection="1">
      <alignment horizontal="right"/>
      <protection locked="0"/>
    </xf>
    <xf numFmtId="1" fontId="0" fillId="6" borderId="88" xfId="0" applyNumberFormat="1" applyFill="1" applyBorder="1" applyAlignment="1" applyProtection="1">
      <alignment horizontal="right"/>
      <protection locked="0"/>
    </xf>
    <xf numFmtId="0" fontId="7" fillId="0" borderId="89" xfId="0" applyFont="1" applyBorder="1" applyProtection="1">
      <protection hidden="1"/>
    </xf>
    <xf numFmtId="1" fontId="0" fillId="6" borderId="90" xfId="0" applyNumberFormat="1" applyFill="1" applyBorder="1" applyAlignment="1" applyProtection="1">
      <alignment horizontal="right"/>
      <protection locked="0"/>
    </xf>
    <xf numFmtId="1" fontId="0" fillId="6" borderId="13" xfId="0" applyNumberFormat="1" applyFill="1" applyBorder="1" applyAlignment="1" applyProtection="1">
      <alignment horizontal="right"/>
      <protection locked="0"/>
    </xf>
    <xf numFmtId="1" fontId="0" fillId="6" borderId="15" xfId="0" applyNumberFormat="1" applyFill="1" applyBorder="1" applyAlignment="1" applyProtection="1">
      <alignment horizontal="right"/>
      <protection locked="0"/>
    </xf>
    <xf numFmtId="0" fontId="7" fillId="0" borderId="50" xfId="0" applyFont="1" applyBorder="1" applyAlignment="1" applyProtection="1">
      <alignment wrapText="1"/>
      <protection hidden="1"/>
    </xf>
    <xf numFmtId="49" fontId="7" fillId="6" borderId="60" xfId="0" applyNumberFormat="1" applyFont="1" applyFill="1" applyBorder="1" applyAlignment="1" applyProtection="1">
      <alignment horizontal="center"/>
      <protection locked="0"/>
    </xf>
    <xf numFmtId="0" fontId="2" fillId="0" borderId="0" xfId="0" applyFont="1" applyProtection="1">
      <protection hidden="1"/>
    </xf>
    <xf numFmtId="0" fontId="0" fillId="17" borderId="0" xfId="0" applyFill="1" applyAlignment="1" applyProtection="1">
      <alignment horizontal="center" vertical="center"/>
      <protection hidden="1"/>
    </xf>
    <xf numFmtId="0" fontId="0" fillId="0" borderId="0" xfId="0" applyAlignment="1" applyProtection="1">
      <alignment horizontal="right"/>
      <protection hidden="1"/>
    </xf>
    <xf numFmtId="9" fontId="0" fillId="0" borderId="0" xfId="5" applyFont="1" applyFill="1" applyAlignment="1" applyProtection="1">
      <alignment horizontal="right"/>
      <protection hidden="1"/>
    </xf>
    <xf numFmtId="0" fontId="2" fillId="0" borderId="0" xfId="0" applyFont="1" applyAlignment="1" applyProtection="1">
      <alignment wrapText="1"/>
      <protection hidden="1"/>
    </xf>
    <xf numFmtId="9" fontId="0" fillId="0" borderId="0" xfId="0" applyNumberFormat="1" applyAlignment="1" applyProtection="1">
      <alignment horizontal="center"/>
      <protection hidden="1"/>
    </xf>
    <xf numFmtId="0" fontId="2" fillId="0" borderId="0" xfId="0" applyFont="1" applyAlignment="1" applyProtection="1">
      <alignment horizontal="right"/>
      <protection hidden="1"/>
    </xf>
    <xf numFmtId="0" fontId="2" fillId="0" borderId="0" xfId="0" applyFont="1" applyAlignment="1" applyProtection="1">
      <alignment vertical="center"/>
      <protection hidden="1"/>
    </xf>
    <xf numFmtId="0" fontId="0" fillId="0" borderId="83" xfId="0" applyBorder="1" applyAlignment="1" applyProtection="1">
      <alignment horizontal="right"/>
      <protection hidden="1"/>
    </xf>
    <xf numFmtId="0" fontId="31" fillId="0" borderId="0" xfId="0" applyFont="1" applyProtection="1">
      <protection hidden="1"/>
    </xf>
    <xf numFmtId="10"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2" fontId="0" fillId="0" borderId="0" xfId="0" applyNumberFormat="1" applyProtection="1">
      <protection hidden="1"/>
    </xf>
    <xf numFmtId="1" fontId="0" fillId="6" borderId="1" xfId="0" applyNumberFormat="1" applyFill="1" applyBorder="1" applyAlignment="1" applyProtection="1">
      <alignment horizontal="right"/>
      <protection locked="0" hidden="1"/>
    </xf>
    <xf numFmtId="1" fontId="0" fillId="6" borderId="1" xfId="0" applyNumberFormat="1" applyFill="1" applyBorder="1" applyAlignment="1" applyProtection="1">
      <alignment horizontal="left"/>
      <protection locked="0" hidden="1"/>
    </xf>
    <xf numFmtId="0" fontId="0" fillId="0" borderId="0" xfId="0" applyAlignment="1" applyProtection="1">
      <alignment horizontal="center" vertical="center"/>
      <protection hidden="1"/>
    </xf>
    <xf numFmtId="0" fontId="2" fillId="0" borderId="0" xfId="0" applyFont="1" applyAlignment="1" applyProtection="1">
      <alignment horizontal="center"/>
      <protection hidden="1"/>
    </xf>
    <xf numFmtId="0" fontId="2" fillId="0" borderId="0" xfId="0" applyFont="1" applyAlignment="1" applyProtection="1">
      <alignment horizontal="left"/>
      <protection hidden="1"/>
    </xf>
    <xf numFmtId="9" fontId="2" fillId="0" borderId="36" xfId="5" applyFont="1" applyBorder="1" applyAlignment="1" applyProtection="1">
      <alignment horizontal="center"/>
      <protection hidden="1"/>
    </xf>
    <xf numFmtId="0" fontId="2" fillId="0" borderId="6" xfId="0" applyFont="1" applyBorder="1" applyAlignment="1" applyProtection="1">
      <alignment horizontal="center" wrapText="1"/>
      <protection hidden="1"/>
    </xf>
    <xf numFmtId="0" fontId="4" fillId="7" borderId="0" xfId="0" applyFont="1" applyFill="1" applyAlignment="1" applyProtection="1">
      <alignment horizontal="center"/>
      <protection hidden="1"/>
    </xf>
    <xf numFmtId="0" fontId="4" fillId="7" borderId="0" xfId="0" applyFont="1" applyFill="1" applyProtection="1">
      <protection hidden="1"/>
    </xf>
    <xf numFmtId="0" fontId="4" fillId="7" borderId="5" xfId="0" applyFont="1" applyFill="1" applyBorder="1" applyAlignment="1" applyProtection="1">
      <alignment horizontal="center"/>
      <protection hidden="1"/>
    </xf>
    <xf numFmtId="0" fontId="0" fillId="0" borderId="5" xfId="0" applyBorder="1" applyAlignment="1" applyProtection="1">
      <alignment horizontal="center"/>
      <protection hidden="1"/>
    </xf>
    <xf numFmtId="164" fontId="0" fillId="0" borderId="0" xfId="0" applyNumberFormat="1" applyProtection="1">
      <protection hidden="1"/>
    </xf>
    <xf numFmtId="0" fontId="0" fillId="4" borderId="0" xfId="0" applyFill="1" applyProtection="1">
      <protection hidden="1"/>
    </xf>
    <xf numFmtId="0" fontId="0" fillId="4" borderId="5" xfId="0" applyFill="1" applyBorder="1" applyAlignment="1" applyProtection="1">
      <alignment horizontal="center"/>
      <protection hidden="1"/>
    </xf>
    <xf numFmtId="0" fontId="0" fillId="8" borderId="5" xfId="0" applyFill="1" applyBorder="1" applyAlignment="1" applyProtection="1">
      <alignment horizontal="center"/>
      <protection hidden="1"/>
    </xf>
    <xf numFmtId="0" fontId="0" fillId="2" borderId="0" xfId="0" applyFill="1" applyAlignment="1" applyProtection="1">
      <alignment vertical="center"/>
      <protection hidden="1"/>
    </xf>
    <xf numFmtId="0" fontId="0" fillId="2" borderId="5" xfId="0" applyFill="1" applyBorder="1" applyAlignment="1" applyProtection="1">
      <alignment horizontal="center" vertical="center"/>
      <protection hidden="1"/>
    </xf>
    <xf numFmtId="0" fontId="0" fillId="3" borderId="5" xfId="0" applyFill="1" applyBorder="1" applyAlignment="1" applyProtection="1">
      <alignment horizontal="center" vertical="center"/>
      <protection hidden="1"/>
    </xf>
    <xf numFmtId="0" fontId="0" fillId="5" borderId="0" xfId="0" applyFill="1" applyAlignment="1" applyProtection="1">
      <alignment vertical="center"/>
      <protection hidden="1"/>
    </xf>
    <xf numFmtId="1" fontId="0" fillId="6" borderId="1" xfId="0" applyNumberForma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0" fillId="2" borderId="0" xfId="0" applyFill="1" applyProtection="1">
      <protection hidden="1"/>
    </xf>
    <xf numFmtId="9" fontId="0" fillId="6" borderId="1" xfId="5" applyFont="1" applyFill="1" applyBorder="1" applyAlignment="1" applyProtection="1">
      <alignment horizontal="center" vertical="center"/>
      <protection hidden="1"/>
    </xf>
    <xf numFmtId="0" fontId="0" fillId="6" borderId="1" xfId="5" applyNumberFormat="1" applyFont="1" applyFill="1" applyBorder="1" applyAlignment="1" applyProtection="1">
      <alignment horizontal="center" vertical="center"/>
      <protection hidden="1"/>
    </xf>
    <xf numFmtId="0" fontId="7" fillId="5" borderId="0" xfId="0" applyFont="1" applyFill="1" applyProtection="1">
      <protection hidden="1"/>
    </xf>
    <xf numFmtId="0" fontId="0" fillId="3" borderId="5" xfId="0" applyFill="1" applyBorder="1" applyAlignment="1" applyProtection="1">
      <alignment horizontal="center"/>
      <protection hidden="1"/>
    </xf>
    <xf numFmtId="0" fontId="0" fillId="2" borderId="5" xfId="0" applyFill="1" applyBorder="1" applyAlignment="1" applyProtection="1">
      <alignment horizontal="center"/>
      <protection hidden="1"/>
    </xf>
    <xf numFmtId="0" fontId="7" fillId="2" borderId="0" xfId="0" applyFont="1" applyFill="1" applyAlignment="1" applyProtection="1">
      <alignment vertical="center"/>
      <protection hidden="1"/>
    </xf>
    <xf numFmtId="0" fontId="0" fillId="0" borderId="5" xfId="0" applyBorder="1" applyProtection="1">
      <protection hidden="1"/>
    </xf>
    <xf numFmtId="0" fontId="0" fillId="0" borderId="0" xfId="0" applyAlignment="1" applyProtection="1">
      <alignment horizontal="left"/>
      <protection hidden="1"/>
    </xf>
    <xf numFmtId="9" fontId="0" fillId="6" borderId="1" xfId="0" applyNumberFormat="1" applyFill="1" applyBorder="1" applyAlignment="1" applyProtection="1">
      <alignment horizontal="center" vertical="center"/>
      <protection hidden="1"/>
    </xf>
    <xf numFmtId="9" fontId="0" fillId="0" borderId="0" xfId="5" applyFont="1" applyProtection="1">
      <protection hidden="1"/>
    </xf>
    <xf numFmtId="9" fontId="0" fillId="0" borderId="0" xfId="5" applyFont="1" applyFill="1" applyProtection="1">
      <protection hidden="1"/>
    </xf>
    <xf numFmtId="165" fontId="0" fillId="0" borderId="0" xfId="0" applyNumberFormat="1" applyProtection="1">
      <protection hidden="1"/>
    </xf>
    <xf numFmtId="0" fontId="1" fillId="3" borderId="5" xfId="4" applyFill="1" applyBorder="1" applyAlignment="1" applyProtection="1">
      <alignment horizontal="center"/>
      <protection hidden="1"/>
    </xf>
    <xf numFmtId="0" fontId="1" fillId="2" borderId="5" xfId="4" applyFill="1" applyBorder="1" applyAlignment="1" applyProtection="1">
      <alignment horizontal="center"/>
      <protection hidden="1"/>
    </xf>
    <xf numFmtId="0" fontId="2" fillId="7" borderId="0" xfId="0" applyFont="1" applyFill="1" applyProtection="1">
      <protection hidden="1"/>
    </xf>
    <xf numFmtId="0" fontId="5" fillId="4" borderId="5" xfId="0" applyFont="1" applyFill="1" applyBorder="1" applyAlignment="1" applyProtection="1">
      <alignment horizontal="center"/>
      <protection hidden="1"/>
    </xf>
    <xf numFmtId="0" fontId="5" fillId="8" borderId="5" xfId="0" applyFont="1" applyFill="1" applyBorder="1" applyAlignment="1" applyProtection="1">
      <alignment horizontal="center"/>
      <protection hidden="1"/>
    </xf>
    <xf numFmtId="9" fontId="0" fillId="3" borderId="1" xfId="0" applyNumberFormat="1" applyFill="1" applyBorder="1" applyAlignment="1" applyProtection="1">
      <alignment horizontal="center"/>
      <protection hidden="1"/>
    </xf>
    <xf numFmtId="0" fontId="5" fillId="5" borderId="0" xfId="0" applyFont="1" applyFill="1" applyProtection="1">
      <protection hidden="1"/>
    </xf>
    <xf numFmtId="0" fontId="8" fillId="0" borderId="0" xfId="6" applyFill="1" applyProtection="1">
      <protection hidden="1"/>
    </xf>
    <xf numFmtId="9" fontId="0" fillId="5" borderId="0" xfId="0" applyNumberFormat="1" applyFill="1" applyProtection="1">
      <protection hidden="1"/>
    </xf>
    <xf numFmtId="0" fontId="0" fillId="2" borderId="0" xfId="0" applyFill="1" applyAlignment="1" applyProtection="1">
      <alignment horizontal="left" vertical="center"/>
      <protection hidden="1"/>
    </xf>
    <xf numFmtId="1" fontId="0" fillId="0" borderId="0" xfId="0" applyNumberFormat="1" applyProtection="1">
      <protection hidden="1"/>
    </xf>
    <xf numFmtId="0" fontId="5" fillId="0" borderId="0" xfId="0" applyFont="1" applyAlignment="1" applyProtection="1">
      <alignment horizontal="center" vertical="center"/>
      <protection hidden="1"/>
    </xf>
    <xf numFmtId="9" fontId="0" fillId="0" borderId="0" xfId="0" applyNumberFormat="1" applyAlignment="1" applyProtection="1">
      <alignment horizontal="center" vertical="center"/>
      <protection hidden="1"/>
    </xf>
    <xf numFmtId="0" fontId="2" fillId="0" borderId="6" xfId="0" applyFont="1" applyBorder="1" applyAlignment="1" applyProtection="1">
      <alignment horizontal="center" vertical="center" wrapText="1"/>
      <protection hidden="1"/>
    </xf>
    <xf numFmtId="9" fontId="2" fillId="0" borderId="0" xfId="5" applyFont="1" applyAlignment="1" applyProtection="1">
      <alignment horizontal="center" wrapText="1"/>
      <protection hidden="1"/>
    </xf>
    <xf numFmtId="166" fontId="4" fillId="7" borderId="5" xfId="0" applyNumberFormat="1" applyFont="1" applyFill="1" applyBorder="1" applyAlignment="1" applyProtection="1">
      <alignment horizontal="center" vertical="center"/>
      <protection hidden="1"/>
    </xf>
    <xf numFmtId="9" fontId="2" fillId="7" borderId="5" xfId="1" applyNumberFormat="1" applyFill="1" applyBorder="1" applyAlignment="1" applyProtection="1">
      <alignment horizontal="center" vertical="center"/>
      <protection hidden="1"/>
    </xf>
    <xf numFmtId="9" fontId="4" fillId="7" borderId="5" xfId="5" applyFont="1" applyFill="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7" fillId="0" borderId="5" xfId="0" applyFont="1" applyBorder="1" applyAlignment="1" applyProtection="1">
      <alignment horizontal="center" vertical="center"/>
      <protection hidden="1"/>
    </xf>
    <xf numFmtId="166" fontId="0" fillId="0" borderId="5" xfId="0" applyNumberFormat="1" applyBorder="1" applyAlignment="1" applyProtection="1">
      <alignment horizontal="center" vertical="center"/>
      <protection hidden="1"/>
    </xf>
    <xf numFmtId="9" fontId="0" fillId="0" borderId="5" xfId="5" applyFont="1" applyFill="1" applyBorder="1" applyAlignment="1" applyProtection="1">
      <alignment horizontal="center" vertical="center"/>
      <protection hidden="1"/>
    </xf>
    <xf numFmtId="166" fontId="0" fillId="4" borderId="5" xfId="0" applyNumberFormat="1" applyFill="1" applyBorder="1" applyAlignment="1" applyProtection="1">
      <alignment horizontal="center" vertical="center"/>
      <protection hidden="1"/>
    </xf>
    <xf numFmtId="166" fontId="0" fillId="8" borderId="5" xfId="0" applyNumberFormat="1" applyFill="1" applyBorder="1" applyAlignment="1" applyProtection="1">
      <alignment horizontal="center" vertical="center"/>
      <protection hidden="1"/>
    </xf>
    <xf numFmtId="166" fontId="0" fillId="9" borderId="5" xfId="0" applyNumberFormat="1" applyFill="1" applyBorder="1" applyAlignment="1" applyProtection="1">
      <alignment horizontal="center" vertical="center"/>
      <protection hidden="1"/>
    </xf>
    <xf numFmtId="9" fontId="23" fillId="4" borderId="5" xfId="3" applyNumberFormat="1" applyFill="1" applyBorder="1" applyAlignment="1" applyProtection="1">
      <alignment horizontal="center" vertical="center"/>
      <protection hidden="1"/>
    </xf>
    <xf numFmtId="0" fontId="23" fillId="0" borderId="0" xfId="3" applyProtection="1">
      <protection hidden="1"/>
    </xf>
    <xf numFmtId="166" fontId="0" fillId="2" borderId="5" xfId="0" applyNumberFormat="1" applyFill="1" applyBorder="1" applyAlignment="1" applyProtection="1">
      <alignment horizontal="center" vertical="center"/>
      <protection hidden="1"/>
    </xf>
    <xf numFmtId="166" fontId="0" fillId="3" borderId="5" xfId="0" applyNumberFormat="1" applyFill="1" applyBorder="1" applyAlignment="1" applyProtection="1">
      <alignment horizontal="center" vertical="center"/>
      <protection hidden="1"/>
    </xf>
    <xf numFmtId="166" fontId="0" fillId="10" borderId="5" xfId="0" applyNumberFormat="1" applyFill="1" applyBorder="1" applyAlignment="1" applyProtection="1">
      <alignment horizontal="center" vertical="center"/>
      <protection hidden="1"/>
    </xf>
    <xf numFmtId="9" fontId="1" fillId="2" borderId="5" xfId="4" applyNumberFormat="1" applyFill="1" applyBorder="1" applyAlignment="1" applyProtection="1">
      <alignment horizontal="center" vertical="center"/>
      <protection hidden="1"/>
    </xf>
    <xf numFmtId="9" fontId="0" fillId="2" borderId="5" xfId="5" applyFont="1" applyFill="1" applyBorder="1" applyAlignment="1" applyProtection="1">
      <alignment horizontal="center" vertical="center"/>
      <protection hidden="1"/>
    </xf>
    <xf numFmtId="165" fontId="0" fillId="12" borderId="5" xfId="0" applyNumberFormat="1" applyFill="1" applyBorder="1" applyAlignment="1" applyProtection="1">
      <alignment horizontal="center" vertical="center"/>
      <protection hidden="1"/>
    </xf>
    <xf numFmtId="166" fontId="0" fillId="12" borderId="5" xfId="0" applyNumberFormat="1" applyFill="1" applyBorder="1" applyAlignment="1" applyProtection="1">
      <alignment horizontal="center" vertical="center"/>
      <protection hidden="1"/>
    </xf>
    <xf numFmtId="2" fontId="7" fillId="11" borderId="5" xfId="0" applyNumberFormat="1" applyFont="1" applyFill="1" applyBorder="1" applyAlignment="1" applyProtection="1">
      <alignment horizontal="center" vertical="center"/>
      <protection hidden="1"/>
    </xf>
    <xf numFmtId="166" fontId="0" fillId="11" borderId="5" xfId="0" applyNumberFormat="1" applyFill="1" applyBorder="1" applyAlignment="1" applyProtection="1">
      <alignment horizontal="center" vertical="center"/>
      <protection hidden="1"/>
    </xf>
    <xf numFmtId="166" fontId="0" fillId="5" borderId="5" xfId="0" applyNumberFormat="1" applyFill="1" applyBorder="1" applyAlignment="1" applyProtection="1">
      <alignment horizontal="center" vertical="center"/>
      <protection hidden="1"/>
    </xf>
    <xf numFmtId="0" fontId="0" fillId="5" borderId="5" xfId="0" applyFill="1" applyBorder="1" applyAlignment="1" applyProtection="1">
      <alignment horizontal="center" vertical="center"/>
      <protection hidden="1"/>
    </xf>
    <xf numFmtId="9" fontId="0" fillId="12" borderId="5" xfId="5" applyFont="1" applyFill="1" applyBorder="1" applyAlignment="1" applyProtection="1">
      <alignment horizontal="center" vertical="center"/>
      <protection hidden="1"/>
    </xf>
    <xf numFmtId="0" fontId="0" fillId="12" borderId="5" xfId="5" applyNumberFormat="1" applyFont="1" applyFill="1" applyBorder="1" applyAlignment="1" applyProtection="1">
      <alignment horizontal="center" vertical="center"/>
      <protection hidden="1"/>
    </xf>
    <xf numFmtId="0" fontId="0" fillId="12" borderId="5" xfId="0" applyFill="1" applyBorder="1" applyAlignment="1" applyProtection="1">
      <alignment horizontal="center" vertical="center"/>
      <protection hidden="1"/>
    </xf>
    <xf numFmtId="0" fontId="7" fillId="11" borderId="5" xfId="0" applyFont="1" applyFill="1" applyBorder="1" applyAlignment="1" applyProtection="1">
      <alignment horizontal="center" vertical="center"/>
      <protection hidden="1"/>
    </xf>
    <xf numFmtId="0" fontId="0" fillId="11" borderId="5" xfId="0" applyFill="1" applyBorder="1" applyAlignment="1" applyProtection="1">
      <alignment horizontal="center" vertical="center"/>
      <protection hidden="1"/>
    </xf>
    <xf numFmtId="165" fontId="7" fillId="11" borderId="5" xfId="0" applyNumberFormat="1" applyFont="1" applyFill="1" applyBorder="1" applyAlignment="1" applyProtection="1">
      <alignment horizontal="center" vertical="center"/>
      <protection hidden="1"/>
    </xf>
    <xf numFmtId="1" fontId="0" fillId="12" borderId="5" xfId="5" applyNumberFormat="1" applyFont="1" applyFill="1" applyBorder="1" applyAlignment="1" applyProtection="1">
      <alignment horizontal="center" vertical="center"/>
      <protection hidden="1"/>
    </xf>
    <xf numFmtId="0" fontId="1" fillId="0" borderId="0" xfId="4" applyFill="1" applyProtection="1">
      <protection hidden="1"/>
    </xf>
    <xf numFmtId="9" fontId="0" fillId="0" borderId="0" xfId="0" applyNumberFormat="1" applyProtection="1">
      <protection hidden="1"/>
    </xf>
    <xf numFmtId="0" fontId="23" fillId="0" borderId="0" xfId="3" applyFill="1" applyProtection="1">
      <protection hidden="1"/>
    </xf>
    <xf numFmtId="165" fontId="0" fillId="11" borderId="5" xfId="0" applyNumberFormat="1" applyFill="1" applyBorder="1" applyAlignment="1" applyProtection="1">
      <alignment horizontal="center" vertical="center"/>
      <protection hidden="1"/>
    </xf>
    <xf numFmtId="0" fontId="2" fillId="0" borderId="0" xfId="1" applyFill="1" applyProtection="1">
      <protection hidden="1"/>
    </xf>
    <xf numFmtId="9" fontId="0" fillId="0" borderId="5" xfId="5" applyFont="1" applyBorder="1" applyAlignment="1" applyProtection="1">
      <alignment horizontal="center" vertical="center"/>
      <protection hidden="1"/>
    </xf>
    <xf numFmtId="0" fontId="0" fillId="4" borderId="0" xfId="0" applyFill="1" applyAlignment="1" applyProtection="1">
      <alignment horizontal="left"/>
      <protection hidden="1"/>
    </xf>
    <xf numFmtId="0" fontId="7" fillId="0" borderId="0" xfId="0" applyFont="1" applyAlignment="1" applyProtection="1">
      <alignment horizontal="center" vertical="center"/>
      <protection hidden="1"/>
    </xf>
    <xf numFmtId="166" fontId="0" fillId="0" borderId="0" xfId="0" applyNumberFormat="1" applyAlignment="1" applyProtection="1">
      <alignment horizontal="center" vertical="center"/>
      <protection hidden="1"/>
    </xf>
    <xf numFmtId="0" fontId="2" fillId="0" borderId="0" xfId="2" applyFill="1" applyBorder="1" applyProtection="1">
      <protection hidden="1"/>
    </xf>
    <xf numFmtId="9" fontId="0" fillId="0" borderId="0" xfId="5" applyFont="1" applyFill="1" applyBorder="1" applyAlignment="1" applyProtection="1">
      <alignment horizontal="center" vertical="center"/>
      <protection hidden="1"/>
    </xf>
    <xf numFmtId="0" fontId="2" fillId="0" borderId="0" xfId="2" applyFill="1" applyProtection="1">
      <protection hidden="1"/>
    </xf>
    <xf numFmtId="0" fontId="2" fillId="7" borderId="0" xfId="1" applyFill="1" applyProtection="1">
      <protection hidden="1"/>
    </xf>
    <xf numFmtId="0" fontId="2" fillId="7" borderId="5" xfId="1" applyFill="1" applyBorder="1" applyAlignment="1" applyProtection="1">
      <alignment horizontal="center"/>
      <protection hidden="1"/>
    </xf>
    <xf numFmtId="0" fontId="2" fillId="0" borderId="0" xfId="1" applyProtection="1">
      <protection hidden="1"/>
    </xf>
    <xf numFmtId="0" fontId="23" fillId="0" borderId="0" xfId="3" applyFill="1" applyAlignment="1" applyProtection="1">
      <alignment horizontal="left"/>
      <protection hidden="1"/>
    </xf>
    <xf numFmtId="0" fontId="23" fillId="0" borderId="0" xfId="3" applyFill="1" applyAlignment="1" applyProtection="1">
      <alignment horizontal="center"/>
      <protection hidden="1"/>
    </xf>
    <xf numFmtId="0" fontId="23" fillId="4" borderId="0" xfId="3" applyFill="1" applyProtection="1">
      <protection hidden="1"/>
    </xf>
    <xf numFmtId="0" fontId="23" fillId="4" borderId="5" xfId="3" applyFill="1" applyBorder="1" applyAlignment="1" applyProtection="1">
      <alignment horizontal="center"/>
      <protection hidden="1"/>
    </xf>
    <xf numFmtId="0" fontId="23" fillId="8" borderId="5" xfId="3" applyFill="1" applyBorder="1" applyAlignment="1" applyProtection="1">
      <alignment horizontal="center"/>
      <protection hidden="1"/>
    </xf>
    <xf numFmtId="166" fontId="1" fillId="8" borderId="5" xfId="3" applyNumberFormat="1" applyFont="1" applyFill="1" applyBorder="1" applyAlignment="1" applyProtection="1">
      <alignment horizontal="center" vertical="center"/>
      <protection hidden="1"/>
    </xf>
    <xf numFmtId="166" fontId="1" fillId="9" borderId="5" xfId="3" applyNumberFormat="1" applyFont="1" applyFill="1" applyBorder="1" applyAlignment="1" applyProtection="1">
      <alignment horizontal="center" vertical="center"/>
      <protection hidden="1"/>
    </xf>
    <xf numFmtId="0" fontId="1" fillId="4" borderId="5" xfId="3" applyFont="1" applyFill="1" applyBorder="1" applyAlignment="1" applyProtection="1">
      <alignment horizontal="center"/>
      <protection hidden="1"/>
    </xf>
    <xf numFmtId="0" fontId="1" fillId="0" borderId="0" xfId="3" applyFont="1" applyProtection="1">
      <protection hidden="1"/>
    </xf>
    <xf numFmtId="0" fontId="1" fillId="0" borderId="0" xfId="4" applyProtection="1">
      <protection hidden="1"/>
    </xf>
    <xf numFmtId="0" fontId="1" fillId="2" borderId="0" xfId="4" applyFill="1" applyAlignment="1" applyProtection="1">
      <alignment vertical="center"/>
      <protection hidden="1"/>
    </xf>
    <xf numFmtId="166" fontId="1" fillId="2" borderId="5" xfId="4" applyNumberFormat="1" applyFill="1" applyBorder="1" applyAlignment="1" applyProtection="1">
      <alignment horizontal="center" vertical="center"/>
      <protection hidden="1"/>
    </xf>
    <xf numFmtId="166" fontId="1" fillId="3" borderId="5" xfId="4" applyNumberFormat="1" applyFill="1" applyBorder="1" applyAlignment="1" applyProtection="1">
      <alignment horizontal="center" vertical="center"/>
      <protection hidden="1"/>
    </xf>
    <xf numFmtId="166" fontId="1" fillId="10" borderId="5" xfId="4" applyNumberFormat="1" applyFill="1" applyBorder="1" applyAlignment="1" applyProtection="1">
      <alignment horizontal="center" vertical="center"/>
      <protection hidden="1"/>
    </xf>
    <xf numFmtId="2" fontId="0" fillId="12" borderId="5" xfId="0" applyNumberFormat="1" applyFill="1" applyBorder="1" applyAlignment="1" applyProtection="1">
      <alignment horizontal="center" vertical="center"/>
      <protection hidden="1"/>
    </xf>
    <xf numFmtId="2" fontId="0" fillId="11" borderId="5" xfId="0" applyNumberFormat="1" applyFill="1" applyBorder="1" applyAlignment="1" applyProtection="1">
      <alignment horizontal="center" vertical="center"/>
      <protection hidden="1"/>
    </xf>
    <xf numFmtId="9" fontId="1" fillId="6" borderId="1" xfId="5" applyFont="1" applyFill="1" applyBorder="1" applyAlignment="1" applyProtection="1">
      <alignment horizontal="center" vertical="center"/>
      <protection hidden="1"/>
    </xf>
    <xf numFmtId="0" fontId="1" fillId="0" borderId="0" xfId="4" applyFill="1" applyAlignment="1" applyProtection="1">
      <alignment horizontal="center"/>
      <protection hidden="1"/>
    </xf>
    <xf numFmtId="9" fontId="0" fillId="0" borderId="5" xfId="0" applyNumberFormat="1" applyBorder="1" applyAlignment="1" applyProtection="1">
      <alignment horizontal="center" vertical="center"/>
      <protection hidden="1"/>
    </xf>
    <xf numFmtId="166" fontId="1" fillId="4" borderId="5" xfId="3" applyNumberFormat="1" applyFont="1" applyFill="1" applyBorder="1" applyAlignment="1" applyProtection="1">
      <alignment horizontal="center" vertical="center"/>
      <protection hidden="1"/>
    </xf>
    <xf numFmtId="2" fontId="0" fillId="5" borderId="5" xfId="0" applyNumberFormat="1" applyFill="1" applyBorder="1" applyAlignment="1" applyProtection="1">
      <alignment horizontal="center" vertical="center"/>
      <protection hidden="1"/>
    </xf>
    <xf numFmtId="2" fontId="0" fillId="0" borderId="5" xfId="0" applyNumberFormat="1" applyBorder="1" applyAlignment="1" applyProtection="1">
      <alignment horizontal="center" vertical="center"/>
      <protection hidden="1"/>
    </xf>
    <xf numFmtId="166" fontId="0" fillId="0" borderId="0" xfId="0" applyNumberFormat="1" applyProtection="1">
      <protection hidden="1"/>
    </xf>
    <xf numFmtId="0" fontId="2" fillId="0" borderId="0" xfId="2" applyProtection="1">
      <protection hidden="1"/>
    </xf>
    <xf numFmtId="9" fontId="2" fillId="0" borderId="5" xfId="1" applyNumberFormat="1" applyFill="1" applyBorder="1" applyAlignment="1" applyProtection="1">
      <alignment horizontal="center" vertical="center"/>
      <protection hidden="1"/>
    </xf>
    <xf numFmtId="9" fontId="2" fillId="0" borderId="5" xfId="1" applyNumberFormat="1" applyBorder="1" applyAlignment="1" applyProtection="1">
      <alignment horizontal="center" vertical="center"/>
      <protection hidden="1"/>
    </xf>
    <xf numFmtId="0" fontId="1" fillId="0" borderId="0" xfId="4" applyFill="1" applyAlignment="1" applyProtection="1">
      <alignment vertical="center"/>
      <protection hidden="1"/>
    </xf>
    <xf numFmtId="0" fontId="23" fillId="5" borderId="0" xfId="0" applyFont="1" applyFill="1" applyProtection="1">
      <protection hidden="1"/>
    </xf>
    <xf numFmtId="2" fontId="0" fillId="4" borderId="5" xfId="0" applyNumberFormat="1" applyFill="1" applyBorder="1" applyAlignment="1" applyProtection="1">
      <alignment horizontal="center" vertical="center"/>
      <protection hidden="1"/>
    </xf>
    <xf numFmtId="2" fontId="0" fillId="8" borderId="5" xfId="0" applyNumberFormat="1" applyFill="1" applyBorder="1" applyAlignment="1" applyProtection="1">
      <alignment horizontal="center" vertical="center"/>
      <protection hidden="1"/>
    </xf>
    <xf numFmtId="9" fontId="1" fillId="0" borderId="0" xfId="4" applyNumberFormat="1" applyFill="1" applyProtection="1">
      <protection hidden="1"/>
    </xf>
    <xf numFmtId="0" fontId="0" fillId="12" borderId="7" xfId="0" applyFill="1" applyBorder="1" applyAlignment="1" applyProtection="1">
      <alignment horizontal="center" vertical="center"/>
      <protection hidden="1"/>
    </xf>
    <xf numFmtId="0" fontId="7" fillId="11" borderId="7" xfId="0" applyFont="1" applyFill="1" applyBorder="1" applyAlignment="1" applyProtection="1">
      <alignment horizontal="center" vertical="center"/>
      <protection hidden="1"/>
    </xf>
    <xf numFmtId="166" fontId="0" fillId="5" borderId="7" xfId="0" applyNumberFormat="1" applyFill="1" applyBorder="1" applyAlignment="1" applyProtection="1">
      <alignment horizontal="center" vertical="center"/>
      <protection hidden="1"/>
    </xf>
    <xf numFmtId="0" fontId="0" fillId="5" borderId="7" xfId="0" applyFill="1" applyBorder="1" applyAlignment="1" applyProtection="1">
      <alignment horizontal="center" vertical="center"/>
      <protection hidden="1"/>
    </xf>
    <xf numFmtId="0" fontId="0" fillId="0" borderId="0" xfId="0" applyAlignment="1">
      <alignment horizontal="center" vertical="center"/>
    </xf>
    <xf numFmtId="0" fontId="10" fillId="0" borderId="0" xfId="0" applyFont="1"/>
    <xf numFmtId="0" fontId="0" fillId="10" borderId="0" xfId="0" applyFill="1" applyAlignment="1">
      <alignment horizontal="center" vertical="center"/>
    </xf>
    <xf numFmtId="9" fontId="2" fillId="0" borderId="36" xfId="5" applyFont="1" applyBorder="1" applyAlignment="1" applyProtection="1">
      <alignment horizontal="center"/>
    </xf>
    <xf numFmtId="0" fontId="2" fillId="0" borderId="6" xfId="0" applyFont="1" applyBorder="1" applyAlignment="1">
      <alignment horizontal="center" wrapText="1"/>
    </xf>
    <xf numFmtId="0" fontId="2" fillId="0" borderId="0" xfId="0" applyFont="1" applyAlignment="1">
      <alignment vertical="center"/>
    </xf>
    <xf numFmtId="0" fontId="4" fillId="7" borderId="0" xfId="0" applyFont="1" applyFill="1"/>
    <xf numFmtId="0" fontId="4" fillId="7" borderId="5" xfId="0" applyFont="1" applyFill="1" applyBorder="1" applyAlignment="1">
      <alignment horizontal="center"/>
    </xf>
    <xf numFmtId="0" fontId="0" fillId="0" borderId="5" xfId="0" applyBorder="1" applyAlignment="1">
      <alignment horizontal="center"/>
    </xf>
    <xf numFmtId="164" fontId="0" fillId="0" borderId="0" xfId="0" applyNumberFormat="1"/>
    <xf numFmtId="164" fontId="0" fillId="0" borderId="0" xfId="0" applyNumberFormat="1" applyAlignment="1">
      <alignment horizontal="center" vertical="center"/>
    </xf>
    <xf numFmtId="0" fontId="0" fillId="4" borderId="5" xfId="0" applyFill="1" applyBorder="1" applyAlignment="1">
      <alignment horizontal="center"/>
    </xf>
    <xf numFmtId="0" fontId="0" fillId="8" borderId="5" xfId="0" applyFill="1" applyBorder="1" applyAlignment="1">
      <alignment horizontal="center"/>
    </xf>
    <xf numFmtId="0" fontId="0" fillId="5" borderId="36" xfId="0" applyFill="1" applyBorder="1" applyAlignment="1" applyProtection="1">
      <alignment horizontal="center" vertical="center"/>
      <protection locked="0"/>
    </xf>
    <xf numFmtId="0" fontId="0" fillId="0" borderId="0" xfId="0" applyAlignment="1">
      <alignment horizontal="left" vertical="center"/>
    </xf>
    <xf numFmtId="0" fontId="0" fillId="2" borderId="0" xfId="0" applyFill="1" applyAlignment="1">
      <alignment vertical="center"/>
    </xf>
    <xf numFmtId="0" fontId="0" fillId="2" borderId="5" xfId="0" applyFill="1" applyBorder="1" applyAlignment="1">
      <alignment horizontal="center" vertical="center"/>
    </xf>
    <xf numFmtId="0" fontId="0" fillId="3" borderId="5" xfId="0" applyFill="1" applyBorder="1" applyAlignment="1">
      <alignment horizontal="center" vertical="center"/>
    </xf>
    <xf numFmtId="0" fontId="0" fillId="5" borderId="0" xfId="0" applyFill="1" applyAlignment="1">
      <alignment vertical="center"/>
    </xf>
    <xf numFmtId="1" fontId="0" fillId="5" borderId="1" xfId="0" applyNumberFormat="1" applyFill="1" applyBorder="1" applyAlignment="1" applyProtection="1">
      <alignment horizontal="center" vertical="center"/>
      <protection locked="0"/>
    </xf>
    <xf numFmtId="1" fontId="0" fillId="6" borderId="1" xfId="0" applyNumberFormat="1" applyFill="1" applyBorder="1" applyAlignment="1" applyProtection="1">
      <alignment horizontal="center" vertical="center"/>
      <protection locked="0"/>
    </xf>
    <xf numFmtId="0" fontId="0" fillId="0" borderId="0" xfId="0" applyAlignment="1">
      <alignment vertical="center"/>
    </xf>
    <xf numFmtId="0" fontId="7" fillId="5" borderId="0" xfId="0" applyFont="1" applyFill="1" applyAlignment="1">
      <alignment vertical="center"/>
    </xf>
    <xf numFmtId="0" fontId="0" fillId="2" borderId="0" xfId="0" applyFill="1"/>
    <xf numFmtId="0" fontId="0" fillId="5" borderId="0" xfId="0" applyFill="1"/>
    <xf numFmtId="9" fontId="0" fillId="6" borderId="1" xfId="0" applyNumberFormat="1" applyFill="1" applyBorder="1" applyAlignment="1" applyProtection="1">
      <alignment horizontal="center"/>
      <protection locked="0"/>
    </xf>
    <xf numFmtId="9" fontId="0" fillId="6" borderId="1" xfId="5" applyFont="1" applyFill="1" applyBorder="1" applyAlignment="1" applyProtection="1">
      <alignment horizontal="center" vertical="center"/>
      <protection locked="0"/>
    </xf>
    <xf numFmtId="0" fontId="0" fillId="6" borderId="1" xfId="5" applyNumberFormat="1" applyFont="1" applyFill="1" applyBorder="1" applyAlignment="1" applyProtection="1">
      <alignment horizontal="center" vertical="center"/>
      <protection locked="0"/>
    </xf>
    <xf numFmtId="9" fontId="0" fillId="5" borderId="1" xfId="5" applyFont="1" applyFill="1" applyBorder="1" applyAlignment="1" applyProtection="1">
      <alignment horizontal="center" vertical="center"/>
      <protection locked="0"/>
    </xf>
    <xf numFmtId="0" fontId="7" fillId="5" borderId="0" xfId="0" applyFont="1" applyFill="1"/>
    <xf numFmtId="1" fontId="0" fillId="6" borderId="1" xfId="0" applyNumberFormat="1" applyFill="1" applyBorder="1" applyAlignment="1" applyProtection="1">
      <alignment horizontal="center"/>
      <protection locked="0"/>
    </xf>
    <xf numFmtId="2" fontId="0" fillId="6" borderId="1" xfId="0" applyNumberFormat="1" applyFill="1" applyBorder="1" applyAlignment="1" applyProtection="1">
      <alignment horizontal="center"/>
      <protection locked="0"/>
    </xf>
    <xf numFmtId="0" fontId="0" fillId="3" borderId="5" xfId="0" applyFill="1" applyBorder="1" applyAlignment="1">
      <alignment horizontal="center"/>
    </xf>
    <xf numFmtId="0" fontId="0" fillId="2" borderId="5" xfId="0" applyFill="1" applyBorder="1" applyAlignment="1">
      <alignment horizontal="center"/>
    </xf>
    <xf numFmtId="1" fontId="0" fillId="6" borderId="1" xfId="5" applyNumberFormat="1" applyFont="1" applyFill="1" applyBorder="1" applyAlignment="1" applyProtection="1">
      <alignment horizontal="center"/>
      <protection locked="0"/>
    </xf>
    <xf numFmtId="0" fontId="7" fillId="2" borderId="0" xfId="0" applyFont="1" applyFill="1" applyAlignment="1">
      <alignment vertical="center"/>
    </xf>
    <xf numFmtId="0" fontId="0" fillId="5" borderId="1" xfId="0" applyFill="1" applyBorder="1" applyAlignment="1" applyProtection="1">
      <alignment horizontal="center"/>
      <protection locked="0"/>
    </xf>
    <xf numFmtId="0" fontId="7" fillId="0" borderId="0" xfId="0" applyFont="1" applyAlignment="1">
      <alignment vertical="center"/>
    </xf>
    <xf numFmtId="1" fontId="0" fillId="5" borderId="1" xfId="0" applyNumberFormat="1" applyFill="1" applyBorder="1" applyAlignment="1" applyProtection="1">
      <alignment horizontal="center"/>
      <protection locked="0"/>
    </xf>
    <xf numFmtId="9" fontId="0" fillId="6" borderId="1" xfId="5" applyFont="1" applyFill="1" applyBorder="1" applyAlignment="1" applyProtection="1">
      <alignment horizontal="center"/>
      <protection locked="0"/>
    </xf>
    <xf numFmtId="0" fontId="0" fillId="0" borderId="5" xfId="0" applyBorder="1"/>
    <xf numFmtId="0" fontId="0" fillId="0" borderId="0" xfId="0" applyAlignment="1">
      <alignment horizontal="left"/>
    </xf>
    <xf numFmtId="9" fontId="0" fillId="6" borderId="1" xfId="0" applyNumberFormat="1" applyFill="1" applyBorder="1" applyAlignment="1" applyProtection="1">
      <alignment horizontal="center" vertical="center"/>
      <protection locked="0"/>
    </xf>
    <xf numFmtId="9" fontId="10" fillId="0" borderId="0" xfId="5" applyFont="1" applyFill="1" applyProtection="1"/>
    <xf numFmtId="9" fontId="0" fillId="0" borderId="0" xfId="5" applyFont="1" applyProtection="1"/>
    <xf numFmtId="9" fontId="0" fillId="0" borderId="0" xfId="5" applyFont="1" applyFill="1" applyProtection="1"/>
    <xf numFmtId="9" fontId="0" fillId="5" borderId="1" xfId="0" applyNumberFormat="1" applyFill="1" applyBorder="1" applyAlignment="1" applyProtection="1">
      <alignment horizontal="center"/>
      <protection locked="0"/>
    </xf>
    <xf numFmtId="165" fontId="0" fillId="0" borderId="0" xfId="0" applyNumberFormat="1"/>
    <xf numFmtId="0" fontId="0" fillId="3" borderId="5" xfId="0" applyFill="1" applyBorder="1" applyAlignment="1" applyProtection="1">
      <alignment horizontal="center"/>
      <protection locked="0"/>
    </xf>
    <xf numFmtId="0" fontId="0" fillId="5" borderId="36" xfId="0" applyFill="1" applyBorder="1" applyAlignment="1">
      <alignment horizontal="center" vertical="center"/>
    </xf>
    <xf numFmtId="0" fontId="1" fillId="3" borderId="5" xfId="4" applyFill="1" applyBorder="1" applyAlignment="1" applyProtection="1">
      <alignment horizontal="center"/>
    </xf>
    <xf numFmtId="0" fontId="1" fillId="2" borderId="5" xfId="4" applyFill="1" applyBorder="1" applyAlignment="1" applyProtection="1">
      <alignment horizontal="center"/>
    </xf>
    <xf numFmtId="0" fontId="0" fillId="0" borderId="0" xfId="0" applyProtection="1">
      <protection locked="0"/>
    </xf>
    <xf numFmtId="0" fontId="2" fillId="7" borderId="0" xfId="0" applyFont="1" applyFill="1"/>
    <xf numFmtId="9" fontId="0" fillId="5" borderId="1" xfId="5" applyFont="1" applyFill="1" applyBorder="1" applyAlignment="1" applyProtection="1">
      <alignment horizontal="center"/>
      <protection locked="0"/>
    </xf>
    <xf numFmtId="0" fontId="5" fillId="4" borderId="5" xfId="0" applyFont="1" applyFill="1" applyBorder="1" applyAlignment="1">
      <alignment horizontal="center"/>
    </xf>
    <xf numFmtId="0" fontId="5" fillId="8" borderId="5" xfId="0" applyFont="1" applyFill="1" applyBorder="1" applyAlignment="1">
      <alignment horizontal="center"/>
    </xf>
    <xf numFmtId="0" fontId="7" fillId="3" borderId="5" xfId="0" applyFont="1" applyFill="1" applyBorder="1" applyAlignment="1">
      <alignment horizontal="center"/>
    </xf>
    <xf numFmtId="0" fontId="7" fillId="2" borderId="5" xfId="0" applyFont="1" applyFill="1" applyBorder="1" applyAlignment="1">
      <alignment horizontal="center"/>
    </xf>
    <xf numFmtId="9" fontId="7" fillId="5" borderId="1" xfId="0" applyNumberFormat="1" applyFont="1" applyFill="1" applyBorder="1" applyAlignment="1" applyProtection="1">
      <alignment horizontal="center"/>
      <protection locked="0"/>
    </xf>
    <xf numFmtId="0" fontId="0" fillId="0" borderId="5" xfId="0" applyBorder="1" applyProtection="1">
      <protection locked="0"/>
    </xf>
    <xf numFmtId="9" fontId="0" fillId="3" borderId="1" xfId="0" applyNumberFormat="1" applyFill="1" applyBorder="1" applyAlignment="1">
      <alignment horizontal="center"/>
    </xf>
    <xf numFmtId="0" fontId="5" fillId="5" borderId="0" xfId="0" applyFont="1" applyFill="1"/>
    <xf numFmtId="0" fontId="8" fillId="0" borderId="0" xfId="6" applyFill="1" applyProtection="1"/>
    <xf numFmtId="0" fontId="0" fillId="6" borderId="3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9" fontId="0" fillId="5" borderId="0" xfId="0" applyNumberFormat="1" applyFill="1"/>
    <xf numFmtId="0" fontId="0" fillId="2" borderId="0" xfId="0" applyFill="1" applyAlignment="1">
      <alignment horizontal="left" vertical="center"/>
    </xf>
    <xf numFmtId="1" fontId="0" fillId="5" borderId="1" xfId="5" applyNumberFormat="1" applyFont="1" applyFill="1" applyBorder="1" applyAlignment="1" applyProtection="1">
      <alignment horizontal="center"/>
      <protection locked="0"/>
    </xf>
    <xf numFmtId="1" fontId="10" fillId="0" borderId="0" xfId="0" applyNumberFormat="1" applyFont="1"/>
    <xf numFmtId="1" fontId="0" fillId="6" borderId="1" xfId="5" applyNumberFormat="1" applyFont="1" applyFill="1" applyBorder="1" applyAlignment="1" applyProtection="1">
      <alignment horizontal="center" vertical="center"/>
      <protection locked="0"/>
    </xf>
    <xf numFmtId="1" fontId="0" fillId="0" borderId="0" xfId="0" applyNumberFormat="1"/>
    <xf numFmtId="0" fontId="10" fillId="0" borderId="0" xfId="0" applyFont="1" applyAlignment="1">
      <alignment vertical="center"/>
    </xf>
    <xf numFmtId="0" fontId="0" fillId="6" borderId="1" xfId="5" applyNumberFormat="1" applyFont="1" applyFill="1" applyBorder="1" applyAlignment="1" applyProtection="1">
      <alignment horizontal="center"/>
      <protection locked="0"/>
    </xf>
    <xf numFmtId="1" fontId="11" fillId="0" borderId="15" xfId="0" applyNumberFormat="1" applyFont="1" applyBorder="1" applyAlignment="1" applyProtection="1">
      <alignment horizontal="center"/>
      <protection hidden="1"/>
    </xf>
    <xf numFmtId="1" fontId="0" fillId="6" borderId="91" xfId="0" applyNumberFormat="1" applyFill="1" applyBorder="1" applyAlignment="1" applyProtection="1">
      <alignment horizontal="right"/>
      <protection locked="0"/>
    </xf>
    <xf numFmtId="0" fontId="11" fillId="16" borderId="17" xfId="0" applyFont="1" applyFill="1" applyBorder="1" applyAlignment="1" applyProtection="1">
      <alignment horizontal="left"/>
      <protection hidden="1"/>
    </xf>
    <xf numFmtId="0" fontId="11" fillId="16" borderId="18" xfId="0" applyFont="1" applyFill="1" applyBorder="1" applyAlignment="1" applyProtection="1">
      <alignment horizontal="left"/>
      <protection hidden="1"/>
    </xf>
    <xf numFmtId="0" fontId="11" fillId="9" borderId="84" xfId="0" applyFont="1" applyFill="1" applyBorder="1" applyAlignment="1" applyProtection="1">
      <alignment horizontal="center"/>
      <protection hidden="1"/>
    </xf>
    <xf numFmtId="0" fontId="11" fillId="9" borderId="16" xfId="0" applyFont="1" applyFill="1" applyBorder="1" applyAlignment="1" applyProtection="1">
      <alignment horizontal="center"/>
      <protection hidden="1"/>
    </xf>
    <xf numFmtId="0" fontId="11" fillId="9" borderId="17" xfId="0" applyFont="1" applyFill="1" applyBorder="1" applyAlignment="1" applyProtection="1">
      <alignment horizontal="center"/>
      <protection hidden="1"/>
    </xf>
    <xf numFmtId="0" fontId="11" fillId="9" borderId="18" xfId="0" applyFont="1" applyFill="1" applyBorder="1" applyAlignment="1" applyProtection="1">
      <alignment horizontal="center"/>
      <protection hidden="1"/>
    </xf>
    <xf numFmtId="0" fontId="11" fillId="5" borderId="48" xfId="0" applyFont="1" applyFill="1" applyBorder="1" applyAlignment="1" applyProtection="1">
      <alignment horizontal="left"/>
      <protection hidden="1"/>
    </xf>
    <xf numFmtId="0" fontId="0" fillId="6" borderId="0" xfId="0" applyFill="1" applyAlignment="1" applyProtection="1">
      <alignment horizontal="left" vertical="top" wrapText="1"/>
      <protection locked="0"/>
    </xf>
    <xf numFmtId="0" fontId="0" fillId="0" borderId="0" xfId="0" applyAlignment="1">
      <alignment horizontal="center"/>
    </xf>
    <xf numFmtId="0" fontId="0" fillId="2" borderId="0" xfId="0" applyFill="1" applyAlignment="1">
      <alignment horizontal="center"/>
    </xf>
    <xf numFmtId="0" fontId="0" fillId="4" borderId="83" xfId="0" applyFill="1" applyBorder="1" applyAlignment="1">
      <alignment horizontal="center"/>
    </xf>
    <xf numFmtId="0" fontId="0" fillId="4" borderId="0" xfId="0" applyFill="1" applyAlignment="1">
      <alignment horizontal="center"/>
    </xf>
    <xf numFmtId="0" fontId="0" fillId="4" borderId="51" xfId="0" applyFill="1" applyBorder="1" applyAlignment="1">
      <alignment horizontal="center"/>
    </xf>
    <xf numFmtId="0" fontId="2" fillId="0" borderId="0" xfId="0" applyFont="1" applyAlignment="1">
      <alignment horizontal="center"/>
    </xf>
    <xf numFmtId="0" fontId="0" fillId="2" borderId="0" xfId="0" applyFill="1" applyAlignment="1">
      <alignment horizontal="left" vertical="center" wrapText="1"/>
    </xf>
    <xf numFmtId="0" fontId="0" fillId="6" borderId="2" xfId="0" applyFill="1" applyBorder="1" applyAlignment="1" applyProtection="1">
      <alignment horizontal="center"/>
      <protection locked="0"/>
    </xf>
    <xf numFmtId="0" fontId="0" fillId="6" borderId="3" xfId="0" applyFill="1" applyBorder="1" applyAlignment="1" applyProtection="1">
      <alignment horizontal="center"/>
      <protection locked="0"/>
    </xf>
    <xf numFmtId="0" fontId="0" fillId="6" borderId="4" xfId="0" applyFill="1" applyBorder="1" applyAlignment="1" applyProtection="1">
      <alignment horizontal="center"/>
      <protection locked="0"/>
    </xf>
    <xf numFmtId="0" fontId="0" fillId="2" borderId="0" xfId="0" applyFill="1" applyAlignment="1">
      <alignment horizontal="left" wrapText="1"/>
    </xf>
    <xf numFmtId="0" fontId="7" fillId="2" borderId="0" xfId="0" applyFont="1" applyFill="1" applyAlignment="1">
      <alignment horizontal="left" vertical="center" wrapText="1"/>
    </xf>
    <xf numFmtId="0" fontId="0" fillId="2" borderId="51" xfId="0" applyFill="1" applyBorder="1" applyAlignment="1">
      <alignment horizontal="left" vertical="center" wrapText="1"/>
    </xf>
    <xf numFmtId="0" fontId="0" fillId="7" borderId="0" xfId="0" applyFill="1" applyAlignment="1">
      <alignment horizontal="center"/>
    </xf>
    <xf numFmtId="0" fontId="0" fillId="2" borderId="0" xfId="0" applyFill="1" applyAlignment="1">
      <alignment horizontal="center" vertical="center"/>
    </xf>
    <xf numFmtId="0" fontId="4" fillId="18" borderId="0" xfId="0" applyFont="1" applyFill="1" applyAlignment="1" applyProtection="1">
      <alignment horizontal="center"/>
      <protection hidden="1"/>
    </xf>
    <xf numFmtId="0" fontId="4" fillId="18" borderId="0" xfId="0" applyFont="1" applyFill="1" applyAlignment="1" applyProtection="1">
      <alignment horizontal="center" vertical="center"/>
      <protection hidden="1"/>
    </xf>
    <xf numFmtId="0" fontId="0" fillId="0" borderId="69" xfId="0" applyBorder="1" applyAlignment="1">
      <alignment horizontal="center"/>
    </xf>
    <xf numFmtId="0" fontId="7" fillId="2" borderId="0" xfId="0" applyFont="1" applyFill="1" applyAlignment="1" applyProtection="1">
      <alignment horizontal="left" vertical="center" wrapText="1"/>
      <protection hidden="1"/>
    </xf>
    <xf numFmtId="0" fontId="0" fillId="2" borderId="0" xfId="0" applyFill="1" applyAlignment="1" applyProtection="1">
      <alignment horizontal="left" vertical="center" wrapText="1"/>
      <protection hidden="1"/>
    </xf>
    <xf numFmtId="0" fontId="0" fillId="2" borderId="51" xfId="0" applyFill="1" applyBorder="1" applyAlignment="1" applyProtection="1">
      <alignment horizontal="left" vertical="center" wrapText="1"/>
      <protection hidden="1"/>
    </xf>
    <xf numFmtId="0" fontId="0" fillId="5" borderId="0" xfId="0" applyFill="1" applyAlignment="1" applyProtection="1">
      <alignment horizontal="left" vertical="center" wrapText="1"/>
      <protection hidden="1"/>
    </xf>
    <xf numFmtId="0" fontId="0" fillId="5" borderId="51" xfId="0" applyFill="1" applyBorder="1" applyAlignment="1" applyProtection="1">
      <alignment horizontal="left" vertical="center" wrapText="1"/>
      <protection hidden="1"/>
    </xf>
    <xf numFmtId="0" fontId="2" fillId="0" borderId="0" xfId="0" applyFont="1" applyAlignment="1" applyProtection="1">
      <alignment horizontal="center"/>
      <protection hidden="1"/>
    </xf>
    <xf numFmtId="0" fontId="0" fillId="6" borderId="2" xfId="0" applyFill="1" applyBorder="1" applyAlignment="1" applyProtection="1">
      <alignment horizontal="center"/>
      <protection hidden="1"/>
    </xf>
    <xf numFmtId="0" fontId="0" fillId="6" borderId="3" xfId="0" applyFill="1" applyBorder="1" applyAlignment="1" applyProtection="1">
      <alignment horizontal="center"/>
      <protection hidden="1"/>
    </xf>
    <xf numFmtId="0" fontId="0" fillId="6" borderId="4" xfId="0" applyFill="1" applyBorder="1" applyAlignment="1" applyProtection="1">
      <alignment horizontal="center"/>
      <protection hidden="1"/>
    </xf>
    <xf numFmtId="0" fontId="0" fillId="5" borderId="0" xfId="0" applyFill="1" applyAlignment="1" applyProtection="1">
      <alignment horizontal="left" vertical="top" wrapText="1"/>
      <protection hidden="1"/>
    </xf>
    <xf numFmtId="0" fontId="0" fillId="5" borderId="51" xfId="0" applyFill="1" applyBorder="1" applyAlignment="1" applyProtection="1">
      <alignment horizontal="left" vertical="top" wrapText="1"/>
      <protection hidden="1"/>
    </xf>
    <xf numFmtId="0" fontId="0" fillId="2" borderId="0" xfId="0" applyFill="1" applyAlignment="1" applyProtection="1">
      <alignment horizontal="left" wrapText="1"/>
      <protection hidden="1"/>
    </xf>
    <xf numFmtId="0" fontId="2" fillId="0" borderId="0" xfId="0" applyFont="1" applyAlignment="1">
      <alignment horizontal="center" vertical="center" wrapText="1"/>
    </xf>
  </cellXfs>
  <cellStyles count="10">
    <cellStyle name="Cabeçalho 1 2" xfId="9" xr:uid="{D3F8980A-D284-4556-8439-CEAB20E58A30}"/>
    <cellStyle name="Hiperligação" xfId="6" builtinId="8"/>
    <cellStyle name="NívelCol_1" xfId="2" builtinId="2" iLevel="0"/>
    <cellStyle name="NívelLinha_1" xfId="1" builtinId="1" iLevel="0"/>
    <cellStyle name="NívelLinha_2" xfId="3" builtinId="1" iLevel="1"/>
    <cellStyle name="NívelLinha_3" xfId="4" builtinId="1" iLevel="2"/>
    <cellStyle name="Normal" xfId="0" builtinId="0"/>
    <cellStyle name="Percentagem" xfId="5" builtinId="5"/>
    <cellStyle name="Texto de Início" xfId="7" xr:uid="{662C3F0C-B12B-458A-95C6-0A1D8A3224FB}"/>
    <cellStyle name="Título 2" xfId="8" xr:uid="{5F57860A-B875-431E-805A-B5C7A2E0C454}"/>
  </cellStyles>
  <dxfs count="96">
    <dxf>
      <font>
        <b/>
        <i val="0"/>
        <color auto="1"/>
      </font>
      <fill>
        <patternFill>
          <bgColor theme="8" tint="0.59996337778862885"/>
        </patternFill>
      </fill>
    </dxf>
    <dxf>
      <font>
        <b/>
        <i val="0"/>
        <color theme="0"/>
      </font>
      <fill>
        <patternFill>
          <bgColor rgb="FF002060"/>
        </patternFill>
      </fill>
    </dxf>
    <dxf>
      <font>
        <b/>
        <i val="0"/>
      </font>
      <fill>
        <patternFill>
          <bgColor theme="8" tint="0.79998168889431442"/>
        </patternFill>
      </fill>
    </dxf>
    <dxf>
      <font>
        <b/>
        <i val="0"/>
        <color auto="1"/>
      </font>
      <fill>
        <patternFill>
          <bgColor theme="8" tint="0.39994506668294322"/>
        </patternFill>
      </fill>
    </dxf>
    <dxf>
      <font>
        <b/>
        <i val="0"/>
        <color theme="0"/>
      </font>
      <fill>
        <patternFill>
          <bgColor theme="8"/>
        </patternFill>
      </fill>
    </dxf>
    <dxf>
      <font>
        <b/>
        <i val="0"/>
        <color theme="0"/>
      </font>
      <fill>
        <patternFill>
          <bgColor theme="8" tint="-0.24994659260841701"/>
        </patternFill>
      </fill>
    </dxf>
    <dxf>
      <font>
        <b/>
        <i val="0"/>
        <color theme="0"/>
      </font>
      <fill>
        <patternFill>
          <bgColor theme="8" tint="-0.499984740745262"/>
        </patternFill>
      </fill>
    </dxf>
    <dxf>
      <font>
        <b/>
        <i val="0"/>
        <color theme="0"/>
      </font>
      <fill>
        <patternFill>
          <bgColor rgb="FF002060"/>
        </patternFill>
      </fill>
    </dxf>
    <dxf>
      <font>
        <b/>
        <i val="0"/>
        <color theme="0"/>
      </font>
      <fill>
        <patternFill>
          <bgColor theme="8" tint="-0.499984740745262"/>
        </patternFill>
      </fill>
    </dxf>
    <dxf>
      <font>
        <b/>
        <i val="0"/>
        <color theme="0"/>
      </font>
      <fill>
        <patternFill>
          <bgColor theme="8"/>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tint="-0.24994659260841701"/>
        </patternFill>
      </fill>
    </dxf>
    <dxf>
      <font>
        <b/>
        <i val="0"/>
        <color theme="0"/>
      </font>
      <fill>
        <patternFill>
          <bgColor rgb="FF002060"/>
        </patternFill>
      </fill>
    </dxf>
    <dxf>
      <font>
        <b/>
        <i val="0"/>
        <color theme="0"/>
      </font>
      <fill>
        <patternFill>
          <bgColor theme="8" tint="-0.499984740745262"/>
        </patternFill>
      </fill>
    </dxf>
    <dxf>
      <font>
        <b/>
        <i val="0"/>
        <color theme="0"/>
      </font>
      <fill>
        <patternFill>
          <bgColor theme="8" tint="-0.24994659260841701"/>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patternFill>
      </fill>
    </dxf>
    <dxf>
      <font>
        <b/>
        <i val="0"/>
        <color theme="0"/>
      </font>
      <fill>
        <patternFill>
          <bgColor rgb="FF002060"/>
        </patternFill>
      </fill>
    </dxf>
    <dxf>
      <font>
        <b/>
        <i val="0"/>
      </font>
      <fill>
        <patternFill>
          <bgColor theme="8" tint="0.79998168889431442"/>
        </patternFill>
      </fill>
    </dxf>
    <dxf>
      <font>
        <b/>
        <i val="0"/>
        <color auto="1"/>
      </font>
      <fill>
        <patternFill>
          <bgColor theme="8" tint="0.39994506668294322"/>
        </patternFill>
      </fill>
    </dxf>
    <dxf>
      <font>
        <b/>
        <i val="0"/>
        <color theme="0"/>
      </font>
      <fill>
        <patternFill>
          <bgColor theme="8"/>
        </patternFill>
      </fill>
    </dxf>
    <dxf>
      <font>
        <b/>
        <i val="0"/>
        <color theme="0"/>
      </font>
      <fill>
        <patternFill>
          <bgColor theme="8" tint="-0.24994659260841701"/>
        </patternFill>
      </fill>
    </dxf>
    <dxf>
      <font>
        <b/>
        <i val="0"/>
        <color theme="0"/>
      </font>
      <fill>
        <patternFill>
          <bgColor theme="8" tint="-0.49998474074526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patternFill>
      </fill>
    </dxf>
    <dxf>
      <font>
        <b/>
        <i val="0"/>
        <color theme="0"/>
      </font>
      <fill>
        <patternFill>
          <bgColor theme="8" tint="-0.499984740745262"/>
        </patternFill>
      </fill>
    </dxf>
    <dxf>
      <font>
        <b/>
        <i val="0"/>
        <color theme="0"/>
      </font>
      <fill>
        <patternFill>
          <bgColor theme="8" tint="-0.24994659260841701"/>
        </patternFill>
      </fill>
    </dxf>
    <dxf>
      <font>
        <b/>
        <i val="0"/>
        <color theme="0"/>
      </font>
      <fill>
        <patternFill>
          <bgColor rgb="FF002060"/>
        </patternFill>
      </fill>
    </dxf>
    <dxf>
      <font>
        <b/>
        <i val="0"/>
        <color auto="1"/>
      </font>
      <fill>
        <patternFill>
          <bgColor theme="8" tint="0.39994506668294322"/>
        </patternFill>
      </fill>
    </dxf>
    <dxf>
      <font>
        <b/>
        <i val="0"/>
        <color auto="1"/>
      </font>
      <fill>
        <patternFill>
          <bgColor theme="8" tint="0.59996337778862885"/>
        </patternFill>
      </fill>
    </dxf>
    <dxf>
      <font>
        <b/>
        <i val="0"/>
        <color theme="0"/>
      </font>
      <fill>
        <patternFill>
          <bgColor rgb="FF002060"/>
        </patternFill>
      </fill>
    </dxf>
    <dxf>
      <font>
        <b/>
        <i val="0"/>
        <color theme="0"/>
      </font>
      <fill>
        <patternFill>
          <bgColor theme="8" tint="-0.24994659260841701"/>
        </patternFill>
      </fill>
    </dxf>
    <dxf>
      <font>
        <b/>
        <i val="0"/>
        <color theme="0"/>
      </font>
      <fill>
        <patternFill>
          <bgColor theme="8"/>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bgColor theme="8" tint="0.59996337778862885"/>
        </patternFill>
      </fill>
    </dxf>
    <dxf>
      <font>
        <b/>
        <i val="0"/>
        <color theme="0"/>
      </font>
      <fill>
        <patternFill>
          <bgColor rgb="FF002060"/>
        </patternFill>
      </fill>
    </dxf>
    <dxf>
      <font>
        <b/>
        <i val="0"/>
      </font>
      <fill>
        <patternFill>
          <bgColor theme="8" tint="0.79998168889431442"/>
        </patternFill>
      </fill>
    </dxf>
    <dxf>
      <font>
        <b/>
        <i val="0"/>
        <color auto="1"/>
      </font>
      <fill>
        <patternFill>
          <bgColor theme="8" tint="0.39994506668294322"/>
        </patternFill>
      </fill>
    </dxf>
    <dxf>
      <font>
        <b/>
        <i val="0"/>
        <color theme="0"/>
      </font>
      <fill>
        <patternFill>
          <bgColor theme="8"/>
        </patternFill>
      </fill>
    </dxf>
    <dxf>
      <font>
        <b/>
        <i val="0"/>
        <color theme="0"/>
      </font>
      <fill>
        <patternFill>
          <bgColor theme="8" tint="-0.24994659260841701"/>
        </patternFill>
      </fill>
    </dxf>
    <dxf>
      <font>
        <b/>
        <i val="0"/>
        <color theme="0"/>
      </font>
      <fill>
        <patternFill>
          <bgColor theme="8" tint="-0.499984740745262"/>
        </patternFill>
      </fill>
    </dxf>
    <dxf>
      <font>
        <b/>
        <i val="0"/>
        <color theme="0"/>
      </font>
      <fill>
        <patternFill>
          <bgColor rgb="FF002060"/>
        </patternFill>
      </fill>
    </dxf>
    <dxf>
      <font>
        <b/>
        <i val="0"/>
        <color theme="0"/>
      </font>
      <fill>
        <patternFill>
          <bgColor theme="8" tint="-0.499984740745262"/>
        </patternFill>
      </fill>
    </dxf>
    <dxf>
      <font>
        <b/>
        <i val="0"/>
        <color theme="0"/>
      </font>
      <fill>
        <patternFill>
          <bgColor theme="8"/>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tint="-0.24994659260841701"/>
        </patternFill>
      </fill>
    </dxf>
    <dxf>
      <font>
        <b/>
        <i val="0"/>
        <color theme="0"/>
      </font>
      <fill>
        <patternFill>
          <bgColor rgb="FF002060"/>
        </patternFill>
      </fill>
    </dxf>
    <dxf>
      <font>
        <b/>
        <i val="0"/>
        <color theme="0"/>
      </font>
      <fill>
        <patternFill>
          <bgColor theme="8" tint="-0.499984740745262"/>
        </patternFill>
      </fill>
    </dxf>
    <dxf>
      <font>
        <b/>
        <i val="0"/>
        <color theme="0"/>
      </font>
      <fill>
        <patternFill>
          <bgColor theme="8" tint="-0.24994659260841701"/>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patternFill>
      </fill>
    </dxf>
    <dxf>
      <font>
        <b/>
        <i val="0"/>
        <color theme="0"/>
      </font>
      <fill>
        <patternFill>
          <bgColor rgb="FF002060"/>
        </patternFill>
      </fill>
    </dxf>
    <dxf>
      <font>
        <b/>
        <i val="0"/>
      </font>
      <fill>
        <patternFill>
          <bgColor theme="8" tint="0.79998168889431442"/>
        </patternFill>
      </fill>
    </dxf>
    <dxf>
      <font>
        <b/>
        <i val="0"/>
        <color auto="1"/>
      </font>
      <fill>
        <patternFill>
          <bgColor theme="8" tint="0.39994506668294322"/>
        </patternFill>
      </fill>
    </dxf>
    <dxf>
      <font>
        <b/>
        <i val="0"/>
        <color theme="0"/>
      </font>
      <fill>
        <patternFill>
          <bgColor theme="8"/>
        </patternFill>
      </fill>
    </dxf>
    <dxf>
      <font>
        <b/>
        <i val="0"/>
        <color theme="0"/>
      </font>
      <fill>
        <patternFill>
          <bgColor theme="8" tint="-0.24994659260841701"/>
        </patternFill>
      </fill>
    </dxf>
    <dxf>
      <font>
        <b/>
        <i val="0"/>
        <color theme="0"/>
      </font>
      <fill>
        <patternFill>
          <bgColor theme="8" tint="-0.499984740745262"/>
        </patternFill>
      </fill>
    </dxf>
    <dxf>
      <font>
        <b/>
        <i val="0"/>
        <color auto="1"/>
      </font>
      <fill>
        <patternFill>
          <bgColor theme="8" tint="0.59996337778862885"/>
        </patternFill>
      </fill>
    </dxf>
    <dxf>
      <font>
        <b/>
        <i val="0"/>
        <color theme="0"/>
      </font>
      <fill>
        <patternFill>
          <bgColor rgb="FF002060"/>
        </patternFill>
      </fill>
    </dxf>
    <dxf>
      <font>
        <b/>
        <i val="0"/>
        <color theme="0"/>
      </font>
      <fill>
        <patternFill>
          <bgColor theme="8" tint="-0.24994659260841701"/>
        </patternFill>
      </fill>
    </dxf>
    <dxf>
      <font>
        <b/>
        <i val="0"/>
        <color theme="0"/>
      </font>
      <fill>
        <patternFill>
          <bgColor theme="8"/>
        </patternFill>
      </fill>
    </dxf>
    <dxf>
      <font>
        <b/>
        <i val="0"/>
        <color auto="1"/>
      </font>
      <fill>
        <patternFill>
          <bgColor theme="8" tint="0.39994506668294322"/>
        </patternFill>
      </fill>
    </dxf>
    <dxf>
      <font>
        <b/>
        <i val="0"/>
        <color auto="1"/>
      </font>
      <fill>
        <patternFill>
          <bgColor theme="8" tint="0.59996337778862885"/>
        </patternFill>
      </fill>
    </dxf>
    <dxf>
      <font>
        <b/>
        <i val="0"/>
      </font>
      <fill>
        <patternFill>
          <bgColor theme="8" tint="0.79998168889431442"/>
        </patternFill>
      </fill>
    </dxf>
    <dxf>
      <font>
        <b/>
        <i val="0"/>
        <color theme="0"/>
      </font>
      <fill>
        <patternFill>
          <bgColor theme="8" tint="-0.499984740745262"/>
        </patternFill>
      </fill>
    </dxf>
    <dxf>
      <font>
        <b/>
        <i val="0"/>
      </font>
      <fill>
        <patternFill>
          <bgColor theme="8" tint="0.79998168889431442"/>
        </patternFill>
      </fill>
    </dxf>
    <dxf>
      <font>
        <b/>
        <i val="0"/>
        <color theme="0"/>
      </font>
      <fill>
        <patternFill>
          <bgColor theme="8" tint="-0.499984740745262"/>
        </patternFill>
      </fill>
    </dxf>
    <dxf>
      <font>
        <b/>
        <i val="0"/>
        <color theme="0"/>
      </font>
      <fill>
        <patternFill>
          <bgColor theme="8" tint="-0.24994659260841701"/>
        </patternFill>
      </fill>
    </dxf>
    <dxf>
      <font>
        <b/>
        <i val="0"/>
        <color theme="0"/>
      </font>
      <fill>
        <patternFill>
          <bgColor theme="8"/>
        </patternFill>
      </fill>
    </dxf>
    <dxf>
      <font>
        <b/>
        <i val="0"/>
        <color theme="0"/>
      </font>
      <fill>
        <patternFill>
          <bgColor rgb="FF002060"/>
        </patternFill>
      </fill>
    </dxf>
    <dxf>
      <font>
        <b/>
        <i val="0"/>
        <color auto="1"/>
      </font>
      <fill>
        <patternFill>
          <bgColor theme="8" tint="0.39994506668294322"/>
        </patternFill>
      </fill>
    </dxf>
    <dxf>
      <font>
        <b/>
        <i val="0"/>
        <color auto="1"/>
      </font>
      <fill>
        <patternFill>
          <bgColor theme="8"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BAC"/>
      <color rgb="FFF0F5FA"/>
      <color rgb="FFF9FBFD"/>
      <color rgb="FFE5F5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15239</xdr:colOff>
      <xdr:row>0</xdr:row>
      <xdr:rowOff>53340</xdr:rowOff>
    </xdr:from>
    <xdr:to>
      <xdr:col>1</xdr:col>
      <xdr:colOff>2098770</xdr:colOff>
      <xdr:row>0</xdr:row>
      <xdr:rowOff>868680</xdr:rowOff>
    </xdr:to>
    <xdr:pic>
      <xdr:nvPicPr>
        <xdr:cNvPr id="2" name="Imagem 8">
          <a:extLst>
            <a:ext uri="{FF2B5EF4-FFF2-40B4-BE49-F238E27FC236}">
              <a16:creationId xmlns:a16="http://schemas.microsoft.com/office/drawing/2014/main" id="{7CCA709D-71AF-4E52-98A9-085AD67954FE}"/>
            </a:ext>
          </a:extLst>
        </xdr:cNvPr>
        <xdr:cNvPicPr>
          <a:picLocks noChangeAspect="1"/>
        </xdr:cNvPicPr>
      </xdr:nvPicPr>
      <xdr:blipFill rotWithShape="1">
        <a:blip xmlns:r="http://schemas.openxmlformats.org/officeDocument/2006/relationships" cstate="print">
          <a:extLst>
            <a:ext uri="{28A0092B-C50C-407E-A947-70E740481C1C}">
              <a14:useLocalDpi xmlns:a14="http://schemas.microsoft.com/office/drawing/2010/main" val="0"/>
            </a:ext>
          </a:extLst>
        </a:blip>
        <a:srcRect t="12410" b="9489"/>
        <a:stretch/>
      </xdr:blipFill>
      <xdr:spPr>
        <a:xfrm>
          <a:off x="15239" y="53340"/>
          <a:ext cx="2331181" cy="815340"/>
        </a:xfrm>
        <a:prstGeom prst="rect">
          <a:avLst/>
        </a:prstGeom>
      </xdr:spPr>
    </xdr:pic>
    <xdr:clientData/>
  </xdr:twoCellAnchor>
  <xdr:twoCellAnchor editAs="oneCell">
    <xdr:from>
      <xdr:col>1</xdr:col>
      <xdr:colOff>7840980</xdr:colOff>
      <xdr:row>0</xdr:row>
      <xdr:rowOff>106681</xdr:rowOff>
    </xdr:from>
    <xdr:to>
      <xdr:col>2</xdr:col>
      <xdr:colOff>167640</xdr:colOff>
      <xdr:row>0</xdr:row>
      <xdr:rowOff>813001</xdr:rowOff>
    </xdr:to>
    <xdr:pic>
      <xdr:nvPicPr>
        <xdr:cNvPr id="3" name="Picture 5">
          <a:extLst>
            <a:ext uri="{FF2B5EF4-FFF2-40B4-BE49-F238E27FC236}">
              <a16:creationId xmlns:a16="http://schemas.microsoft.com/office/drawing/2014/main" id="{C791D227-AEFA-444D-9C09-01F48E068C97}"/>
            </a:ext>
          </a:extLst>
        </xdr:cNvPr>
        <xdr:cNvPicPr/>
      </xdr:nvPicPr>
      <xdr:blipFill rotWithShape="1">
        <a:blip xmlns:r="http://schemas.openxmlformats.org/officeDocument/2006/relationships" cstate="print">
          <a:extLst>
            <a:ext uri="{28A0092B-C50C-407E-A947-70E740481C1C}">
              <a14:useLocalDpi xmlns:a14="http://schemas.microsoft.com/office/drawing/2010/main" val="0"/>
            </a:ext>
          </a:extLst>
        </a:blip>
        <a:srcRect l="89879" t="86767" b="4767"/>
        <a:stretch/>
      </xdr:blipFill>
      <xdr:spPr bwMode="auto">
        <a:xfrm>
          <a:off x="8088630" y="106681"/>
          <a:ext cx="1654810" cy="706320"/>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ene.sharepoint.com/sites/Teses_eficiencia_hidrica/Documentos%20Partilhados/General/MSc%20-%20Consumos_Edificios_VF/3.Entregaveis/Input_output_mockup/Mock-up_Metodologia_v05_Calculado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dene.sharepoint.com/sites/CA/Documentos%20Partilhados/General/ADENE-CA/Gest&#227;o/Grupo%20Incuba&#231;&#227;o/&#193;rea%20de%20Equipa/4_H&#237;drica/AQUA+%20Hoteis/Indice%20AQUA%20Ervideira/AQUA+_matrizdeavaliacao_CasoPratico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ção adicional"/>
      <sheetName val="Ponderações"/>
      <sheetName val="Checklist atual"/>
      <sheetName val="Cálculos intermédios"/>
      <sheetName val="Dados"/>
      <sheetName val="Preço da água"/>
      <sheetName val="Energia"/>
      <sheetName val="Processo de cálculo"/>
    </sheetNames>
    <sheetDataSet>
      <sheetData sheetId="0"/>
      <sheetData sheetId="1"/>
      <sheetData sheetId="2"/>
      <sheetData sheetId="3"/>
      <sheetData sheetId="4">
        <row r="1">
          <cell r="K1" t="str">
            <v>Norte</v>
          </cell>
        </row>
        <row r="2">
          <cell r="K2" t="str">
            <v>Centro</v>
          </cell>
        </row>
        <row r="3">
          <cell r="K3" t="str">
            <v>Sul</v>
          </cell>
        </row>
        <row r="4">
          <cell r="K4" t="str">
            <v>Algarve</v>
          </cell>
        </row>
      </sheetData>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ções"/>
      <sheetName val="Registo de informação"/>
      <sheetName val="Checklist_Trabalho"/>
      <sheetName val="Folha oculta"/>
      <sheetName val="Ponderações"/>
      <sheetName val="Folha_Calculo"/>
      <sheetName val="Dados"/>
    </sheetNames>
    <sheetDataSet>
      <sheetData sheetId="0"/>
      <sheetData sheetId="1"/>
      <sheetData sheetId="2"/>
      <sheetData sheetId="3">
        <row r="4">
          <cell r="R4" t="str">
            <v>Sistema de duche</v>
          </cell>
        </row>
        <row r="5">
          <cell r="R5" t="str">
            <v>Banheira</v>
          </cell>
        </row>
        <row r="6">
          <cell r="R6" t="str">
            <v>Lavatório casa banho</v>
          </cell>
        </row>
        <row r="7">
          <cell r="R7" t="str">
            <v>Bidé/ducha hig.</v>
          </cell>
        </row>
        <row r="8">
          <cell r="R8" t="str">
            <v>Lavatório cozinha/lavandaria</v>
          </cell>
        </row>
      </sheetData>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F702-1A96-49A9-AB2A-118D3A01EB36}">
  <sheetPr>
    <pageSetUpPr autoPageBreaks="0" fitToPage="1"/>
  </sheetPr>
  <dimension ref="A1:C8"/>
  <sheetViews>
    <sheetView showGridLines="0" zoomScale="60" zoomScaleNormal="60" workbookViewId="0">
      <selection activeCell="E1" sqref="E1"/>
    </sheetView>
  </sheetViews>
  <sheetFormatPr defaultColWidth="11.28515625" defaultRowHeight="20.25" customHeight="1" x14ac:dyDescent="0.25"/>
  <cols>
    <col min="1" max="1" width="3.5703125" style="14" customWidth="1"/>
    <col min="2" max="2" width="133.5703125" style="14" customWidth="1"/>
    <col min="3" max="3" width="3.5703125" style="14" customWidth="1"/>
    <col min="4" max="16384" width="11.28515625" style="14"/>
  </cols>
  <sheetData>
    <row r="1" spans="1:3" ht="82.9" customHeight="1" x14ac:dyDescent="0.25">
      <c r="A1" s="12"/>
      <c r="B1" s="13"/>
    </row>
    <row r="2" spans="1:3" ht="61.5" x14ac:dyDescent="0.9">
      <c r="A2" s="15"/>
      <c r="B2" s="16" t="s">
        <v>0</v>
      </c>
      <c r="C2" s="15"/>
    </row>
    <row r="3" spans="1:3" ht="30.6" customHeight="1" x14ac:dyDescent="0.25">
      <c r="A3" s="15"/>
      <c r="B3" s="17" t="s">
        <v>1775</v>
      </c>
      <c r="C3" s="15"/>
    </row>
    <row r="4" spans="1:3" ht="48" customHeight="1" x14ac:dyDescent="0.25">
      <c r="A4" s="15"/>
      <c r="B4" s="18" t="s">
        <v>1776</v>
      </c>
      <c r="C4" s="15"/>
    </row>
    <row r="5" spans="1:3" ht="251.65" customHeight="1" x14ac:dyDescent="0.25">
      <c r="A5" s="15"/>
      <c r="B5" s="19" t="s">
        <v>1871</v>
      </c>
      <c r="C5" s="15"/>
    </row>
    <row r="6" spans="1:3" ht="238.9" customHeight="1" x14ac:dyDescent="0.25">
      <c r="A6" s="15"/>
      <c r="B6" s="19" t="s">
        <v>1777</v>
      </c>
      <c r="C6" s="15"/>
    </row>
    <row r="7" spans="1:3" ht="33.6" customHeight="1" x14ac:dyDescent="0.25">
      <c r="A7" s="15"/>
      <c r="B7" s="20" t="s">
        <v>1</v>
      </c>
      <c r="C7" s="15"/>
    </row>
    <row r="8" spans="1:3" ht="20.25" customHeight="1" x14ac:dyDescent="0.25">
      <c r="A8" s="15"/>
      <c r="B8" s="21" t="s">
        <v>1778</v>
      </c>
      <c r="C8" s="15"/>
    </row>
  </sheetData>
  <sheetProtection algorithmName="SHA-512" hashValue="x4L/ekAMagByGeeRndI0Q15LVPyzsqLN80AKC/JiwMLqOk0CVViASxCWzlNWEFcXlfG5j1CxCPfNdK2jmc7M3g==" saltValue="etTGdvPQ5WCh7HObC8Rt8w==" spinCount="100000" sheet="1" selectLockedCells="1" selectUnlockedCells="1"/>
  <pageMargins left="0.7" right="0.7" top="0.75" bottom="0.75" header="0.3" footer="0.3"/>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CD1C-4D6C-42F6-8340-32A218CF5DC5}">
  <dimension ref="A1:XEQ1465"/>
  <sheetViews>
    <sheetView tabSelected="1" topLeftCell="A1445" zoomScale="87" zoomScaleNormal="87" workbookViewId="0">
      <selection activeCell="B1456" sqref="B1456"/>
    </sheetView>
  </sheetViews>
  <sheetFormatPr defaultColWidth="8.7109375" defaultRowHeight="15" outlineLevelRow="1" x14ac:dyDescent="0.25"/>
  <cols>
    <col min="1" max="1" width="38.7109375" style="32" customWidth="1"/>
    <col min="2" max="2" width="30.28515625" style="32" customWidth="1"/>
    <col min="3" max="3" width="26.28515625" style="32" customWidth="1"/>
    <col min="4" max="4" width="28.28515625" style="32" customWidth="1"/>
    <col min="5" max="5" width="33" style="32" customWidth="1"/>
    <col min="6" max="6" width="31.42578125" style="32" customWidth="1"/>
    <col min="7" max="7" width="24.5703125" style="32" customWidth="1"/>
    <col min="8" max="8" width="30.28515625" style="32" customWidth="1"/>
    <col min="9" max="9" width="24.5703125" style="32" customWidth="1"/>
    <col min="10" max="10" width="27.28515625" style="32" customWidth="1"/>
    <col min="11" max="11" width="24.140625" style="32" customWidth="1"/>
    <col min="12" max="12" width="25.28515625" style="32" customWidth="1"/>
    <col min="13" max="13" width="31.28515625" style="32" customWidth="1"/>
    <col min="14" max="14" width="27.7109375" style="32" customWidth="1"/>
    <col min="15" max="15" width="8.7109375" style="32"/>
    <col min="16" max="16384" width="8.7109375" style="22"/>
  </cols>
  <sheetData>
    <row r="1" spans="1:4" x14ac:dyDescent="0.25">
      <c r="A1" s="2" t="s">
        <v>2</v>
      </c>
      <c r="B1" s="2"/>
      <c r="C1" s="2"/>
      <c r="D1" s="2"/>
    </row>
    <row r="2" spans="1:4" outlineLevel="1" x14ac:dyDescent="0.25">
      <c r="A2" s="33" t="s">
        <v>3</v>
      </c>
      <c r="B2" s="34" t="s">
        <v>4</v>
      </c>
      <c r="C2" s="34" t="s">
        <v>5</v>
      </c>
      <c r="D2" s="34" t="s">
        <v>6</v>
      </c>
    </row>
    <row r="3" spans="1:4" outlineLevel="1" x14ac:dyDescent="0.25">
      <c r="A3" s="23" t="s">
        <v>7</v>
      </c>
      <c r="B3" s="238"/>
      <c r="C3" s="24" t="s">
        <v>8</v>
      </c>
      <c r="D3" s="32" t="s">
        <v>1779</v>
      </c>
    </row>
    <row r="4" spans="1:4" outlineLevel="1" x14ac:dyDescent="0.25">
      <c r="A4" s="23" t="s">
        <v>7</v>
      </c>
      <c r="B4" s="235">
        <f>IF(B3='Folha Oculta'!J1,"CasteloBranco",IF(B3='Folha Oculta'!V1,"MadeiraIlhasDesertas", IF(B3='Folha Oculta'!W1,"MadeiraIlhasSelvagens",IF(B3='Folha Oculta'!AA1,"PortoSanto",IF(B3='Folha Oculta'!AB1,"SantaMaria",IF(B3='Folha Oculta'!AD1,"SaoJorge",IF(B3='Folha Oculta'!AE1,"SaoMiguel",IF(B3='Folha Oculta'!AH1,"VianadoCastelo",IF(B3='Folha Oculta'!AI1,"VilaReal",IF(B3="Setúbal","Setubal",B3))))))))))</f>
        <v>0</v>
      </c>
      <c r="C4" s="24"/>
    </row>
    <row r="5" spans="1:4" outlineLevel="1" x14ac:dyDescent="0.25">
      <c r="A5" s="23" t="s">
        <v>9</v>
      </c>
      <c r="B5" s="238"/>
      <c r="C5" s="24" t="s">
        <v>8</v>
      </c>
      <c r="D5" s="32" t="s">
        <v>1779</v>
      </c>
    </row>
    <row r="6" spans="1:4" outlineLevel="1" x14ac:dyDescent="0.25">
      <c r="A6" s="37" t="s">
        <v>10</v>
      </c>
      <c r="B6" s="107" t="e">
        <f>VLOOKUP(B5,'Folha Oculta'!C2:D309,2,FALSE)</f>
        <v>#N/A</v>
      </c>
      <c r="C6" s="24" t="s">
        <v>11</v>
      </c>
      <c r="D6" s="38"/>
    </row>
    <row r="7" spans="1:4" outlineLevel="1" x14ac:dyDescent="0.25">
      <c r="A7" s="23" t="s">
        <v>1977</v>
      </c>
      <c r="B7" s="238"/>
      <c r="C7" s="24" t="s">
        <v>13</v>
      </c>
      <c r="D7" s="38"/>
    </row>
    <row r="8" spans="1:4" outlineLevel="1" x14ac:dyDescent="0.25">
      <c r="A8" s="37" t="s">
        <v>1744</v>
      </c>
      <c r="B8" s="238"/>
      <c r="C8" s="138" t="s">
        <v>8</v>
      </c>
      <c r="D8" s="32" t="s">
        <v>1779</v>
      </c>
    </row>
    <row r="9" spans="1:4" outlineLevel="1" x14ac:dyDescent="0.25">
      <c r="A9" s="37" t="s">
        <v>1823</v>
      </c>
      <c r="B9" s="238"/>
      <c r="C9" s="138" t="s">
        <v>8</v>
      </c>
    </row>
    <row r="10" spans="1:4" outlineLevel="1" x14ac:dyDescent="0.25">
      <c r="A10" s="37" t="s">
        <v>12</v>
      </c>
      <c r="B10" s="238"/>
      <c r="C10" s="24" t="s">
        <v>13</v>
      </c>
      <c r="D10" s="32" t="s">
        <v>1779</v>
      </c>
    </row>
    <row r="11" spans="1:4" outlineLevel="1" x14ac:dyDescent="0.25">
      <c r="A11" s="32" t="s">
        <v>14</v>
      </c>
      <c r="B11" s="109">
        <f>ROUND(B10*'Folha Oculta'!AM1,0)</f>
        <v>0</v>
      </c>
      <c r="C11" s="24" t="s">
        <v>11</v>
      </c>
    </row>
    <row r="12" spans="1:4" outlineLevel="1" x14ac:dyDescent="0.25">
      <c r="A12" s="32" t="s">
        <v>1733</v>
      </c>
      <c r="B12" s="238"/>
      <c r="C12" s="24" t="s">
        <v>13</v>
      </c>
      <c r="D12" s="32" t="s">
        <v>15</v>
      </c>
    </row>
    <row r="13" spans="1:4" outlineLevel="1" x14ac:dyDescent="0.25">
      <c r="A13" s="32" t="s">
        <v>1732</v>
      </c>
      <c r="B13" s="238"/>
      <c r="C13" s="24" t="s">
        <v>13</v>
      </c>
    </row>
    <row r="14" spans="1:4" outlineLevel="1" x14ac:dyDescent="0.25">
      <c r="A14" s="32" t="s">
        <v>16</v>
      </c>
      <c r="B14" s="238"/>
      <c r="C14" s="24" t="s">
        <v>13</v>
      </c>
    </row>
    <row r="15" spans="1:4" outlineLevel="1" x14ac:dyDescent="0.25">
      <c r="A15" s="32" t="s">
        <v>17</v>
      </c>
      <c r="B15" s="236" t="str">
        <f>IF(B14="","",B14/(B13*B12*365))</f>
        <v/>
      </c>
      <c r="C15" s="24" t="s">
        <v>11</v>
      </c>
    </row>
    <row r="17" spans="1:4" x14ac:dyDescent="0.25">
      <c r="A17" s="2" t="s">
        <v>1844</v>
      </c>
      <c r="B17" s="2"/>
      <c r="C17" s="2"/>
      <c r="D17" s="2"/>
    </row>
    <row r="18" spans="1:4" outlineLevel="1" x14ac:dyDescent="0.25">
      <c r="A18" s="22" t="s">
        <v>1756</v>
      </c>
      <c r="B18" s="239" t="s">
        <v>1757</v>
      </c>
      <c r="C18" s="238"/>
      <c r="D18" s="32" t="s">
        <v>1760</v>
      </c>
    </row>
    <row r="19" spans="1:4" outlineLevel="1" x14ac:dyDescent="0.25">
      <c r="A19" s="22"/>
      <c r="B19" s="239" t="s">
        <v>47</v>
      </c>
      <c r="C19" s="238"/>
      <c r="D19" s="32" t="s">
        <v>1760</v>
      </c>
    </row>
    <row r="20" spans="1:4" outlineLevel="1" x14ac:dyDescent="0.25">
      <c r="A20" s="22"/>
      <c r="B20" s="239" t="s">
        <v>1758</v>
      </c>
      <c r="C20" s="238"/>
      <c r="D20" s="32" t="s">
        <v>1760</v>
      </c>
    </row>
    <row r="21" spans="1:4" outlineLevel="1" x14ac:dyDescent="0.25">
      <c r="A21" s="22"/>
      <c r="B21" s="24" t="s">
        <v>1759</v>
      </c>
      <c r="C21" s="238"/>
      <c r="D21" s="32" t="s">
        <v>1760</v>
      </c>
    </row>
    <row r="22" spans="1:4" outlineLevel="1" x14ac:dyDescent="0.25">
      <c r="B22" s="239" t="s">
        <v>1761</v>
      </c>
      <c r="C22" s="238"/>
      <c r="D22" s="32" t="s">
        <v>1760</v>
      </c>
    </row>
    <row r="23" spans="1:4" outlineLevel="1" x14ac:dyDescent="0.25">
      <c r="B23" s="24"/>
    </row>
    <row r="24" spans="1:4" outlineLevel="1" x14ac:dyDescent="0.25">
      <c r="A24" s="25" t="s">
        <v>3</v>
      </c>
      <c r="B24" s="26" t="s">
        <v>4</v>
      </c>
      <c r="C24" s="26" t="s">
        <v>5</v>
      </c>
      <c r="D24" s="26" t="s">
        <v>18</v>
      </c>
    </row>
    <row r="25" spans="1:4" outlineLevel="1" x14ac:dyDescent="0.25">
      <c r="A25" s="37" t="s">
        <v>19</v>
      </c>
      <c r="B25" s="238"/>
      <c r="C25" s="32" t="s">
        <v>36</v>
      </c>
      <c r="D25" s="32" t="s">
        <v>21</v>
      </c>
    </row>
    <row r="26" spans="1:4" outlineLevel="1" x14ac:dyDescent="0.25">
      <c r="A26" s="32" t="s">
        <v>2014</v>
      </c>
      <c r="B26" s="238"/>
      <c r="C26" s="32" t="s">
        <v>20</v>
      </c>
    </row>
    <row r="27" spans="1:4" outlineLevel="1" x14ac:dyDescent="0.25">
      <c r="A27" s="32" t="s">
        <v>2015</v>
      </c>
      <c r="B27" s="238"/>
    </row>
    <row r="28" spans="1:4" outlineLevel="1" x14ac:dyDescent="0.25">
      <c r="A28" s="32" t="s">
        <v>2016</v>
      </c>
      <c r="B28" s="238"/>
    </row>
    <row r="29" spans="1:4" outlineLevel="1" x14ac:dyDescent="0.25">
      <c r="A29" s="32" t="s">
        <v>2017</v>
      </c>
      <c r="B29" s="238"/>
    </row>
    <row r="30" spans="1:4" outlineLevel="1" x14ac:dyDescent="0.25">
      <c r="A30" s="32" t="s">
        <v>2018</v>
      </c>
      <c r="B30" s="238"/>
    </row>
    <row r="31" spans="1:4" outlineLevel="1" x14ac:dyDescent="0.25">
      <c r="A31" s="32" t="s">
        <v>2019</v>
      </c>
      <c r="B31" s="238"/>
    </row>
    <row r="32" spans="1:4" outlineLevel="1" x14ac:dyDescent="0.25">
      <c r="A32" s="32" t="s">
        <v>2020</v>
      </c>
      <c r="B32" s="238"/>
    </row>
    <row r="33" spans="1:2" outlineLevel="1" x14ac:dyDescent="0.25">
      <c r="A33" s="32" t="s">
        <v>2021</v>
      </c>
      <c r="B33" s="238"/>
    </row>
    <row r="34" spans="1:2" outlineLevel="1" x14ac:dyDescent="0.25">
      <c r="A34" s="32" t="s">
        <v>2022</v>
      </c>
      <c r="B34" s="238"/>
    </row>
    <row r="35" spans="1:2" outlineLevel="1" x14ac:dyDescent="0.25">
      <c r="A35" s="32" t="s">
        <v>2023</v>
      </c>
      <c r="B35" s="238"/>
    </row>
    <row r="36" spans="1:2" outlineLevel="1" x14ac:dyDescent="0.25">
      <c r="A36" s="32" t="s">
        <v>2024</v>
      </c>
      <c r="B36" s="238"/>
    </row>
    <row r="37" spans="1:2" outlineLevel="1" x14ac:dyDescent="0.25">
      <c r="A37" s="32" t="s">
        <v>2025</v>
      </c>
      <c r="B37" s="238"/>
    </row>
    <row r="38" spans="1:2" outlineLevel="1" x14ac:dyDescent="0.25">
      <c r="A38" s="32" t="s">
        <v>2026</v>
      </c>
      <c r="B38" s="238"/>
    </row>
    <row r="39" spans="1:2" outlineLevel="1" x14ac:dyDescent="0.25">
      <c r="A39" s="32" t="s">
        <v>2027</v>
      </c>
      <c r="B39" s="238"/>
    </row>
    <row r="40" spans="1:2" outlineLevel="1" x14ac:dyDescent="0.25">
      <c r="A40" s="32" t="s">
        <v>2028</v>
      </c>
      <c r="B40" s="238"/>
    </row>
    <row r="41" spans="1:2" outlineLevel="1" x14ac:dyDescent="0.25">
      <c r="A41" s="32" t="s">
        <v>2029</v>
      </c>
      <c r="B41" s="238"/>
    </row>
    <row r="42" spans="1:2" outlineLevel="1" x14ac:dyDescent="0.25">
      <c r="A42" s="32" t="s">
        <v>2030</v>
      </c>
      <c r="B42" s="238"/>
    </row>
    <row r="43" spans="1:2" outlineLevel="1" x14ac:dyDescent="0.25">
      <c r="A43" s="32" t="s">
        <v>2031</v>
      </c>
      <c r="B43" s="238"/>
    </row>
    <row r="44" spans="1:2" outlineLevel="1" x14ac:dyDescent="0.25">
      <c r="A44" s="32" t="s">
        <v>2032</v>
      </c>
      <c r="B44" s="238"/>
    </row>
    <row r="45" spans="1:2" outlineLevel="1" x14ac:dyDescent="0.25">
      <c r="A45" s="32" t="s">
        <v>2033</v>
      </c>
      <c r="B45" s="238"/>
    </row>
    <row r="46" spans="1:2" outlineLevel="1" x14ac:dyDescent="0.25">
      <c r="A46" s="32" t="s">
        <v>2034</v>
      </c>
      <c r="B46" s="238"/>
    </row>
    <row r="47" spans="1:2" outlineLevel="1" x14ac:dyDescent="0.25">
      <c r="A47" s="32" t="s">
        <v>2035</v>
      </c>
      <c r="B47" s="238"/>
    </row>
    <row r="48" spans="1:2" outlineLevel="1" x14ac:dyDescent="0.25">
      <c r="A48" s="32" t="s">
        <v>2036</v>
      </c>
      <c r="B48" s="238"/>
    </row>
    <row r="49" spans="1:6" outlineLevel="1" x14ac:dyDescent="0.25">
      <c r="A49" s="32" t="s">
        <v>2037</v>
      </c>
      <c r="B49" s="238"/>
    </row>
    <row r="50" spans="1:6" outlineLevel="1" x14ac:dyDescent="0.25">
      <c r="A50" s="32" t="s">
        <v>2038</v>
      </c>
      <c r="B50" s="238"/>
    </row>
    <row r="52" spans="1:6" x14ac:dyDescent="0.25">
      <c r="A52" s="2" t="s">
        <v>22</v>
      </c>
      <c r="B52" s="2"/>
      <c r="C52" s="2"/>
      <c r="D52" s="2"/>
      <c r="E52" s="24"/>
      <c r="F52" s="24"/>
    </row>
    <row r="53" spans="1:6" outlineLevel="1" x14ac:dyDescent="0.25">
      <c r="A53" s="39"/>
      <c r="B53" s="40"/>
    </row>
    <row r="54" spans="1:6" outlineLevel="1" x14ac:dyDescent="0.25">
      <c r="A54" s="25" t="s">
        <v>3</v>
      </c>
      <c r="B54" s="26" t="s">
        <v>23</v>
      </c>
    </row>
    <row r="55" spans="1:6" outlineLevel="1" x14ac:dyDescent="0.25">
      <c r="A55" s="241" t="s">
        <v>1989</v>
      </c>
      <c r="B55" s="242"/>
    </row>
    <row r="56" spans="1:6" outlineLevel="1" x14ac:dyDescent="0.25">
      <c r="A56" s="241" t="s">
        <v>1990</v>
      </c>
      <c r="B56" s="467"/>
    </row>
    <row r="57" spans="1:6" outlineLevel="1" x14ac:dyDescent="0.25">
      <c r="A57" s="241" t="s">
        <v>1991</v>
      </c>
      <c r="B57" s="467"/>
    </row>
    <row r="58" spans="1:6" outlineLevel="1" x14ac:dyDescent="0.25">
      <c r="A58" s="241" t="s">
        <v>1992</v>
      </c>
      <c r="B58" s="467"/>
    </row>
    <row r="59" spans="1:6" outlineLevel="1" x14ac:dyDescent="0.25">
      <c r="A59" s="241" t="s">
        <v>1993</v>
      </c>
      <c r="B59" s="467"/>
    </row>
    <row r="60" spans="1:6" outlineLevel="1" x14ac:dyDescent="0.25">
      <c r="A60" s="241" t="s">
        <v>1994</v>
      </c>
      <c r="B60" s="467"/>
    </row>
    <row r="61" spans="1:6" outlineLevel="1" x14ac:dyDescent="0.25">
      <c r="A61" s="241" t="s">
        <v>1995</v>
      </c>
      <c r="B61" s="467"/>
    </row>
    <row r="62" spans="1:6" outlineLevel="1" x14ac:dyDescent="0.25">
      <c r="A62" s="241" t="s">
        <v>1996</v>
      </c>
      <c r="B62" s="467"/>
    </row>
    <row r="63" spans="1:6" outlineLevel="1" x14ac:dyDescent="0.25">
      <c r="A63" s="241" t="s">
        <v>1997</v>
      </c>
      <c r="B63" s="467"/>
    </row>
    <row r="64" spans="1:6" outlineLevel="1" x14ac:dyDescent="0.25">
      <c r="A64" s="241" t="s">
        <v>1998</v>
      </c>
      <c r="B64" s="467"/>
    </row>
    <row r="65" spans="1:2" outlineLevel="1" x14ac:dyDescent="0.25">
      <c r="A65" s="241" t="s">
        <v>1999</v>
      </c>
      <c r="B65" s="467"/>
    </row>
    <row r="66" spans="1:2" outlineLevel="1" x14ac:dyDescent="0.25">
      <c r="A66" s="241" t="s">
        <v>2000</v>
      </c>
      <c r="B66" s="467"/>
    </row>
    <row r="67" spans="1:2" outlineLevel="1" x14ac:dyDescent="0.25">
      <c r="A67" s="241" t="s">
        <v>2001</v>
      </c>
      <c r="B67" s="467"/>
    </row>
    <row r="68" spans="1:2" outlineLevel="1" x14ac:dyDescent="0.25">
      <c r="A68" s="241" t="s">
        <v>2002</v>
      </c>
      <c r="B68" s="467"/>
    </row>
    <row r="69" spans="1:2" outlineLevel="1" x14ac:dyDescent="0.25">
      <c r="A69" s="241" t="s">
        <v>2003</v>
      </c>
      <c r="B69" s="467"/>
    </row>
    <row r="70" spans="1:2" outlineLevel="1" x14ac:dyDescent="0.25">
      <c r="A70" s="241" t="s">
        <v>2004</v>
      </c>
      <c r="B70" s="467"/>
    </row>
    <row r="71" spans="1:2" outlineLevel="1" x14ac:dyDescent="0.25">
      <c r="A71" s="241" t="s">
        <v>2005</v>
      </c>
      <c r="B71" s="467"/>
    </row>
    <row r="72" spans="1:2" outlineLevel="1" x14ac:dyDescent="0.25">
      <c r="A72" s="241" t="s">
        <v>2006</v>
      </c>
      <c r="B72" s="467"/>
    </row>
    <row r="73" spans="1:2" outlineLevel="1" x14ac:dyDescent="0.25">
      <c r="A73" s="241" t="s">
        <v>2007</v>
      </c>
      <c r="B73" s="467"/>
    </row>
    <row r="74" spans="1:2" outlineLevel="1" x14ac:dyDescent="0.25">
      <c r="A74" s="241" t="s">
        <v>2008</v>
      </c>
      <c r="B74" s="467"/>
    </row>
    <row r="75" spans="1:2" outlineLevel="1" x14ac:dyDescent="0.25">
      <c r="A75" s="241" t="s">
        <v>2009</v>
      </c>
      <c r="B75" s="467"/>
    </row>
    <row r="76" spans="1:2" outlineLevel="1" x14ac:dyDescent="0.25">
      <c r="A76" s="241" t="s">
        <v>2010</v>
      </c>
      <c r="B76" s="467"/>
    </row>
    <row r="77" spans="1:2" outlineLevel="1" x14ac:dyDescent="0.25">
      <c r="A77" s="241" t="s">
        <v>2011</v>
      </c>
      <c r="B77" s="467"/>
    </row>
    <row r="78" spans="1:2" outlineLevel="1" x14ac:dyDescent="0.25">
      <c r="A78" s="241" t="s">
        <v>2012</v>
      </c>
      <c r="B78" s="467"/>
    </row>
    <row r="79" spans="1:2" outlineLevel="1" x14ac:dyDescent="0.25">
      <c r="A79" s="241" t="s">
        <v>2013</v>
      </c>
      <c r="B79" s="467"/>
    </row>
    <row r="80" spans="1:2" ht="17.25" outlineLevel="1" x14ac:dyDescent="0.25">
      <c r="A80" s="244" t="s">
        <v>1981</v>
      </c>
      <c r="B80" s="245"/>
    </row>
    <row r="81" spans="1:6" ht="15.75" outlineLevel="1" thickBot="1" x14ac:dyDescent="0.3">
      <c r="A81" s="39"/>
      <c r="B81" s="40"/>
    </row>
    <row r="82" spans="1:6" ht="15.75" outlineLevel="1" thickBot="1" x14ac:dyDescent="0.3">
      <c r="A82" s="43" t="s">
        <v>24</v>
      </c>
      <c r="C82" s="44" t="s">
        <v>25</v>
      </c>
    </row>
    <row r="83" spans="1:6" outlineLevel="1" x14ac:dyDescent="0.25">
      <c r="A83" s="45" t="s">
        <v>26</v>
      </c>
      <c r="B83" s="246"/>
    </row>
    <row r="84" spans="1:6" ht="15.75" outlineLevel="1" thickBot="1" x14ac:dyDescent="0.3">
      <c r="A84" s="46" t="s">
        <v>27</v>
      </c>
      <c r="B84" s="247"/>
    </row>
    <row r="85" spans="1:6" ht="15.75" outlineLevel="1" thickBot="1" x14ac:dyDescent="0.3">
      <c r="A85" s="47" t="s">
        <v>28</v>
      </c>
      <c r="B85" s="247"/>
      <c r="C85" s="468" t="s">
        <v>29</v>
      </c>
      <c r="D85" s="468"/>
      <c r="E85" s="468"/>
      <c r="F85" s="469"/>
    </row>
    <row r="86" spans="1:6" ht="15.75" outlineLevel="1" thickBot="1" x14ac:dyDescent="0.3">
      <c r="A86" s="47" t="s">
        <v>30</v>
      </c>
      <c r="B86" s="247"/>
      <c r="C86" s="48" t="str">
        <f>IF(B85=0,"NA",B86/B85)</f>
        <v>NA</v>
      </c>
    </row>
    <row r="87" spans="1:6" ht="15.75" outlineLevel="1" thickBot="1" x14ac:dyDescent="0.3">
      <c r="A87" s="47" t="s">
        <v>1741</v>
      </c>
      <c r="B87" s="247"/>
      <c r="C87" s="49" t="str">
        <f>IF(B113=0,"NA",B87/B113)</f>
        <v>NA</v>
      </c>
    </row>
    <row r="88" spans="1:6" ht="15.75" outlineLevel="1" thickBot="1" x14ac:dyDescent="0.3">
      <c r="A88" s="47" t="s">
        <v>2039</v>
      </c>
      <c r="B88" s="247"/>
      <c r="C88" s="49" t="str">
        <f t="shared" ref="C88:C112" si="0">IF($B$113=0,"NA",B88/$B$113)</f>
        <v>NA</v>
      </c>
    </row>
    <row r="89" spans="1:6" ht="15.75" outlineLevel="1" thickBot="1" x14ac:dyDescent="0.3">
      <c r="A89" s="47" t="s">
        <v>2040</v>
      </c>
      <c r="B89" s="247"/>
      <c r="C89" s="49" t="str">
        <f t="shared" si="0"/>
        <v>NA</v>
      </c>
    </row>
    <row r="90" spans="1:6" ht="15.75" outlineLevel="1" thickBot="1" x14ac:dyDescent="0.3">
      <c r="A90" s="47" t="s">
        <v>2041</v>
      </c>
      <c r="B90" s="247"/>
      <c r="C90" s="49" t="str">
        <f t="shared" si="0"/>
        <v>NA</v>
      </c>
    </row>
    <row r="91" spans="1:6" ht="15.75" outlineLevel="1" thickBot="1" x14ac:dyDescent="0.3">
      <c r="A91" s="47" t="s">
        <v>2042</v>
      </c>
      <c r="B91" s="247"/>
      <c r="C91" s="49" t="str">
        <f t="shared" si="0"/>
        <v>NA</v>
      </c>
    </row>
    <row r="92" spans="1:6" ht="15.75" outlineLevel="1" thickBot="1" x14ac:dyDescent="0.3">
      <c r="A92" s="47" t="s">
        <v>2043</v>
      </c>
      <c r="B92" s="247"/>
      <c r="C92" s="49" t="str">
        <f t="shared" si="0"/>
        <v>NA</v>
      </c>
    </row>
    <row r="93" spans="1:6" ht="15.75" outlineLevel="1" thickBot="1" x14ac:dyDescent="0.3">
      <c r="A93" s="47" t="s">
        <v>2044</v>
      </c>
      <c r="B93" s="247"/>
      <c r="C93" s="49" t="str">
        <f t="shared" si="0"/>
        <v>NA</v>
      </c>
    </row>
    <row r="94" spans="1:6" ht="15.75" outlineLevel="1" thickBot="1" x14ac:dyDescent="0.3">
      <c r="A94" s="47" t="s">
        <v>2045</v>
      </c>
      <c r="B94" s="247"/>
      <c r="C94" s="49" t="str">
        <f t="shared" si="0"/>
        <v>NA</v>
      </c>
    </row>
    <row r="95" spans="1:6" ht="15.75" outlineLevel="1" thickBot="1" x14ac:dyDescent="0.3">
      <c r="A95" s="47" t="s">
        <v>2046</v>
      </c>
      <c r="B95" s="247"/>
      <c r="C95" s="49" t="str">
        <f t="shared" si="0"/>
        <v>NA</v>
      </c>
    </row>
    <row r="96" spans="1:6" ht="15.75" outlineLevel="1" thickBot="1" x14ac:dyDescent="0.3">
      <c r="A96" s="47" t="s">
        <v>2047</v>
      </c>
      <c r="B96" s="247"/>
      <c r="C96" s="49" t="str">
        <f t="shared" si="0"/>
        <v>NA</v>
      </c>
    </row>
    <row r="97" spans="1:3" ht="15.75" outlineLevel="1" thickBot="1" x14ac:dyDescent="0.3">
      <c r="A97" s="47" t="s">
        <v>2048</v>
      </c>
      <c r="B97" s="247"/>
      <c r="C97" s="49" t="str">
        <f t="shared" si="0"/>
        <v>NA</v>
      </c>
    </row>
    <row r="98" spans="1:3" ht="15.75" outlineLevel="1" thickBot="1" x14ac:dyDescent="0.3">
      <c r="A98" s="47" t="s">
        <v>2049</v>
      </c>
      <c r="B98" s="247"/>
      <c r="C98" s="49" t="str">
        <f t="shared" si="0"/>
        <v>NA</v>
      </c>
    </row>
    <row r="99" spans="1:3" ht="15.75" outlineLevel="1" thickBot="1" x14ac:dyDescent="0.3">
      <c r="A99" s="47" t="s">
        <v>2050</v>
      </c>
      <c r="B99" s="247"/>
      <c r="C99" s="49" t="str">
        <f t="shared" si="0"/>
        <v>NA</v>
      </c>
    </row>
    <row r="100" spans="1:3" ht="15.75" outlineLevel="1" thickBot="1" x14ac:dyDescent="0.3">
      <c r="A100" s="47" t="s">
        <v>2051</v>
      </c>
      <c r="B100" s="247"/>
      <c r="C100" s="49" t="str">
        <f t="shared" si="0"/>
        <v>NA</v>
      </c>
    </row>
    <row r="101" spans="1:3" ht="15.75" outlineLevel="1" thickBot="1" x14ac:dyDescent="0.3">
      <c r="A101" s="47" t="s">
        <v>2052</v>
      </c>
      <c r="B101" s="247"/>
      <c r="C101" s="49" t="str">
        <f t="shared" si="0"/>
        <v>NA</v>
      </c>
    </row>
    <row r="102" spans="1:3" ht="15.75" outlineLevel="1" thickBot="1" x14ac:dyDescent="0.3">
      <c r="A102" s="47" t="s">
        <v>2053</v>
      </c>
      <c r="B102" s="247"/>
      <c r="C102" s="49" t="str">
        <f t="shared" si="0"/>
        <v>NA</v>
      </c>
    </row>
    <row r="103" spans="1:3" ht="15.75" outlineLevel="1" thickBot="1" x14ac:dyDescent="0.3">
      <c r="A103" s="47" t="s">
        <v>2054</v>
      </c>
      <c r="B103" s="247"/>
      <c r="C103" s="49" t="str">
        <f t="shared" si="0"/>
        <v>NA</v>
      </c>
    </row>
    <row r="104" spans="1:3" ht="15.75" outlineLevel="1" thickBot="1" x14ac:dyDescent="0.3">
      <c r="A104" s="47" t="s">
        <v>2055</v>
      </c>
      <c r="B104" s="247"/>
      <c r="C104" s="49" t="str">
        <f t="shared" si="0"/>
        <v>NA</v>
      </c>
    </row>
    <row r="105" spans="1:3" ht="15.75" outlineLevel="1" thickBot="1" x14ac:dyDescent="0.3">
      <c r="A105" s="47" t="s">
        <v>2056</v>
      </c>
      <c r="B105" s="247"/>
      <c r="C105" s="49" t="str">
        <f t="shared" si="0"/>
        <v>NA</v>
      </c>
    </row>
    <row r="106" spans="1:3" ht="15.75" outlineLevel="1" thickBot="1" x14ac:dyDescent="0.3">
      <c r="A106" s="47" t="s">
        <v>2057</v>
      </c>
      <c r="B106" s="247"/>
      <c r="C106" s="49" t="str">
        <f t="shared" si="0"/>
        <v>NA</v>
      </c>
    </row>
    <row r="107" spans="1:3" ht="15.75" outlineLevel="1" thickBot="1" x14ac:dyDescent="0.3">
      <c r="A107" s="47" t="s">
        <v>2058</v>
      </c>
      <c r="B107" s="247"/>
      <c r="C107" s="49" t="str">
        <f t="shared" si="0"/>
        <v>NA</v>
      </c>
    </row>
    <row r="108" spans="1:3" ht="15.75" outlineLevel="1" thickBot="1" x14ac:dyDescent="0.3">
      <c r="A108" s="47" t="s">
        <v>2059</v>
      </c>
      <c r="B108" s="247"/>
      <c r="C108" s="49" t="str">
        <f t="shared" si="0"/>
        <v>NA</v>
      </c>
    </row>
    <row r="109" spans="1:3" ht="15.75" outlineLevel="1" thickBot="1" x14ac:dyDescent="0.3">
      <c r="A109" s="47" t="s">
        <v>2060</v>
      </c>
      <c r="B109" s="247"/>
      <c r="C109" s="49" t="str">
        <f t="shared" si="0"/>
        <v>NA</v>
      </c>
    </row>
    <row r="110" spans="1:3" ht="15.75" outlineLevel="1" thickBot="1" x14ac:dyDescent="0.3">
      <c r="A110" s="47" t="s">
        <v>2061</v>
      </c>
      <c r="B110" s="247"/>
      <c r="C110" s="49" t="str">
        <f t="shared" si="0"/>
        <v>NA</v>
      </c>
    </row>
    <row r="111" spans="1:3" ht="15.75" outlineLevel="1" thickBot="1" x14ac:dyDescent="0.3">
      <c r="A111" s="47" t="s">
        <v>2062</v>
      </c>
      <c r="B111" s="247"/>
      <c r="C111" s="49" t="str">
        <f t="shared" si="0"/>
        <v>NA</v>
      </c>
    </row>
    <row r="112" spans="1:3" ht="15.75" outlineLevel="1" thickBot="1" x14ac:dyDescent="0.3">
      <c r="A112" s="47" t="s">
        <v>2063</v>
      </c>
      <c r="B112" s="247"/>
      <c r="C112" s="50" t="str">
        <f t="shared" si="0"/>
        <v>NA</v>
      </c>
    </row>
    <row r="113" spans="1:16371" ht="15.75" outlineLevel="1" thickBot="1" x14ac:dyDescent="0.3">
      <c r="A113" s="46" t="s">
        <v>31</v>
      </c>
      <c r="B113" s="466">
        <f>SUM(B88:B112)</f>
        <v>0</v>
      </c>
      <c r="C113" s="50" t="str">
        <f>IF(B113=0,"NA",B113/B$83)</f>
        <v>NA</v>
      </c>
    </row>
    <row r="114" spans="1:16371" ht="15.75" outlineLevel="1" thickBot="1" x14ac:dyDescent="0.3">
      <c r="A114" s="46" t="s">
        <v>32</v>
      </c>
      <c r="B114" s="247"/>
      <c r="C114" s="42"/>
    </row>
    <row r="115" spans="1:16371" ht="15.75" outlineLevel="1" thickBot="1" x14ac:dyDescent="0.3">
      <c r="A115" s="51" t="s">
        <v>33</v>
      </c>
      <c r="B115" s="247"/>
      <c r="C115" s="52" t="str">
        <f>IF(B116=0,"NA",B115/B116)</f>
        <v>NA</v>
      </c>
    </row>
    <row r="116" spans="1:16371" ht="15.75" outlineLevel="1" thickBot="1" x14ac:dyDescent="0.3">
      <c r="A116" s="53" t="s">
        <v>34</v>
      </c>
      <c r="B116" s="54">
        <f>B83-B84</f>
        <v>0</v>
      </c>
    </row>
    <row r="117" spans="1:16371" outlineLevel="1" x14ac:dyDescent="0.25"/>
    <row r="118" spans="1:16371" outlineLevel="1" x14ac:dyDescent="0.25">
      <c r="A118" s="27" t="s">
        <v>3</v>
      </c>
      <c r="B118" s="27" t="s">
        <v>4</v>
      </c>
      <c r="C118" s="27" t="s">
        <v>5</v>
      </c>
      <c r="D118" s="27" t="s">
        <v>18</v>
      </c>
      <c r="E118" s="9"/>
      <c r="F118" s="9"/>
      <c r="G118" s="9"/>
      <c r="H118" s="9"/>
      <c r="I118" s="9"/>
      <c r="J118" s="9"/>
      <c r="K118" s="9"/>
      <c r="L118" s="9"/>
      <c r="M118" s="9"/>
      <c r="N118" s="9"/>
      <c r="O118" s="9"/>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c r="AMK118"/>
      <c r="AML118"/>
      <c r="AMM118"/>
      <c r="AMN118"/>
      <c r="AMO118"/>
      <c r="AMP118"/>
      <c r="AMQ118"/>
      <c r="AMR118"/>
      <c r="AMS118"/>
      <c r="AMT118"/>
      <c r="AMU118"/>
      <c r="AMV118"/>
      <c r="AMW118"/>
      <c r="AMX118"/>
      <c r="AMY118"/>
      <c r="AMZ118"/>
      <c r="ANA118"/>
      <c r="ANB118"/>
      <c r="ANC118"/>
      <c r="AND118"/>
      <c r="ANE118"/>
      <c r="ANF118"/>
      <c r="ANG118"/>
      <c r="ANH118"/>
      <c r="ANI118"/>
      <c r="ANJ118"/>
      <c r="ANK118"/>
      <c r="ANL118"/>
      <c r="ANM118"/>
      <c r="ANN118"/>
      <c r="ANO118"/>
      <c r="ANP118"/>
      <c r="ANQ118"/>
      <c r="ANR118"/>
      <c r="ANS118"/>
      <c r="ANT118"/>
      <c r="ANU118"/>
      <c r="ANV118"/>
      <c r="ANW118"/>
      <c r="ANX118"/>
      <c r="ANY118"/>
      <c r="ANZ118"/>
      <c r="AOA118"/>
      <c r="AOB118"/>
      <c r="AOC118"/>
      <c r="AOD118"/>
      <c r="AOE118"/>
      <c r="AOF118"/>
      <c r="AOG118"/>
      <c r="AOH118"/>
      <c r="AOI118"/>
      <c r="AOJ118"/>
      <c r="AOK118"/>
      <c r="AOL118"/>
      <c r="AOM118"/>
      <c r="AON118"/>
      <c r="AOO118"/>
      <c r="AOP118"/>
      <c r="AOQ118"/>
      <c r="AOR118"/>
      <c r="AOS118"/>
      <c r="AOT118"/>
      <c r="AOU118"/>
      <c r="AOV118"/>
      <c r="AOW118"/>
      <c r="AOX118"/>
      <c r="AOY118"/>
      <c r="AOZ118"/>
      <c r="APA118"/>
      <c r="APB118"/>
      <c r="APC118"/>
      <c r="APD118"/>
      <c r="APE118"/>
      <c r="APF118"/>
      <c r="APG118"/>
      <c r="APH118"/>
      <c r="API118"/>
      <c r="APJ118"/>
      <c r="APK118"/>
      <c r="APL118"/>
      <c r="APM118"/>
      <c r="APN118"/>
      <c r="APO118"/>
      <c r="APP118"/>
      <c r="APQ118"/>
      <c r="APR118"/>
      <c r="APS118"/>
      <c r="APT118"/>
      <c r="APU118"/>
      <c r="APV118"/>
      <c r="APW118"/>
      <c r="APX118"/>
      <c r="APY118"/>
      <c r="APZ118"/>
      <c r="AQA118"/>
      <c r="AQB118"/>
      <c r="AQC118"/>
      <c r="AQD118"/>
      <c r="AQE118"/>
      <c r="AQF118"/>
      <c r="AQG118"/>
      <c r="AQH118"/>
      <c r="AQI118"/>
      <c r="AQJ118"/>
      <c r="AQK118"/>
      <c r="AQL118"/>
      <c r="AQM118"/>
      <c r="AQN118"/>
      <c r="AQO118"/>
      <c r="AQP118"/>
      <c r="AQQ118"/>
      <c r="AQR118"/>
      <c r="AQS118"/>
      <c r="AQT118"/>
      <c r="AQU118"/>
      <c r="AQV118"/>
      <c r="AQW118"/>
      <c r="AQX118"/>
      <c r="AQY118"/>
      <c r="AQZ118"/>
      <c r="ARA118"/>
      <c r="ARB118"/>
      <c r="ARC118"/>
      <c r="ARD118"/>
      <c r="ARE118"/>
      <c r="ARF118"/>
      <c r="ARG118"/>
      <c r="ARH118"/>
      <c r="ARI118"/>
      <c r="ARJ118"/>
      <c r="ARK118"/>
      <c r="ARL118"/>
      <c r="ARM118"/>
      <c r="ARN118"/>
      <c r="ARO118"/>
      <c r="ARP118"/>
      <c r="ARQ118"/>
      <c r="ARR118"/>
      <c r="ARS118"/>
      <c r="ART118"/>
      <c r="ARU118"/>
      <c r="ARV118"/>
      <c r="ARW118"/>
      <c r="ARX118"/>
      <c r="ARY118"/>
      <c r="ARZ118"/>
      <c r="ASA118"/>
      <c r="ASB118"/>
      <c r="ASC118"/>
      <c r="ASD118"/>
      <c r="ASE118"/>
      <c r="ASF118"/>
      <c r="ASG118"/>
      <c r="ASH118"/>
      <c r="ASI118"/>
      <c r="ASJ118"/>
      <c r="ASK118"/>
      <c r="ASL118"/>
      <c r="ASM118"/>
      <c r="ASN118"/>
      <c r="ASO118"/>
      <c r="ASP118"/>
      <c r="ASQ118"/>
      <c r="ASR118"/>
      <c r="ASS118"/>
      <c r="AST118"/>
      <c r="ASU118"/>
      <c r="ASV118"/>
      <c r="ASW118"/>
      <c r="ASX118"/>
      <c r="ASY118"/>
      <c r="ASZ118"/>
      <c r="ATA118"/>
      <c r="ATB118"/>
      <c r="ATC118"/>
      <c r="ATD118"/>
      <c r="ATE118"/>
      <c r="ATF118"/>
      <c r="ATG118"/>
      <c r="ATH118"/>
      <c r="ATI118"/>
      <c r="ATJ118"/>
      <c r="ATK118"/>
      <c r="ATL118"/>
      <c r="ATM118"/>
      <c r="ATN118"/>
      <c r="ATO118"/>
      <c r="ATP118"/>
      <c r="ATQ118"/>
      <c r="ATR118"/>
      <c r="ATS118"/>
      <c r="ATT118"/>
      <c r="ATU118"/>
      <c r="ATV118"/>
      <c r="ATW118"/>
      <c r="ATX118"/>
      <c r="ATY118"/>
      <c r="ATZ118"/>
      <c r="AUA118"/>
      <c r="AUB118"/>
      <c r="AUC118"/>
      <c r="AUD118"/>
      <c r="AUE118"/>
      <c r="AUF118"/>
      <c r="AUG118"/>
      <c r="AUH118"/>
      <c r="AUI118"/>
      <c r="AUJ118"/>
      <c r="AUK118"/>
      <c r="AUL118"/>
      <c r="AUM118"/>
      <c r="AUN118"/>
      <c r="AUO118"/>
      <c r="AUP118"/>
      <c r="AUQ118"/>
      <c r="AUR118"/>
      <c r="AUS118"/>
      <c r="AUT118"/>
      <c r="AUU118"/>
      <c r="AUV118"/>
      <c r="AUW118"/>
      <c r="AUX118"/>
      <c r="AUY118"/>
      <c r="AUZ118"/>
      <c r="AVA118"/>
      <c r="AVB118"/>
      <c r="AVC118"/>
      <c r="AVD118"/>
      <c r="AVE118"/>
      <c r="AVF118"/>
      <c r="AVG118"/>
      <c r="AVH118"/>
      <c r="AVI118"/>
      <c r="AVJ118"/>
      <c r="AVK118"/>
      <c r="AVL118"/>
      <c r="AVM118"/>
      <c r="AVN118"/>
      <c r="AVO118"/>
      <c r="AVP118"/>
      <c r="AVQ118"/>
      <c r="AVR118"/>
      <c r="AVS118"/>
      <c r="AVT118"/>
      <c r="AVU118"/>
      <c r="AVV118"/>
      <c r="AVW118"/>
      <c r="AVX118"/>
      <c r="AVY118"/>
      <c r="AVZ118"/>
      <c r="AWA118"/>
      <c r="AWB118"/>
      <c r="AWC118"/>
      <c r="AWD118"/>
      <c r="AWE118"/>
      <c r="AWF118"/>
      <c r="AWG118"/>
      <c r="AWH118"/>
      <c r="AWI118"/>
      <c r="AWJ118"/>
      <c r="AWK118"/>
      <c r="AWL118"/>
      <c r="AWM118"/>
      <c r="AWN118"/>
      <c r="AWO118"/>
      <c r="AWP118"/>
      <c r="AWQ118"/>
      <c r="AWR118"/>
      <c r="AWS118"/>
      <c r="AWT118"/>
      <c r="AWU118"/>
      <c r="AWV118"/>
      <c r="AWW118"/>
      <c r="AWX118"/>
      <c r="AWY118"/>
      <c r="AWZ118"/>
      <c r="AXA118"/>
      <c r="AXB118"/>
      <c r="AXC118"/>
      <c r="AXD118"/>
      <c r="AXE118"/>
      <c r="AXF118"/>
      <c r="AXG118"/>
      <c r="AXH118"/>
      <c r="AXI118"/>
      <c r="AXJ118"/>
      <c r="AXK118"/>
      <c r="AXL118"/>
      <c r="AXM118"/>
      <c r="AXN118"/>
      <c r="AXO118"/>
      <c r="AXP118"/>
      <c r="AXQ118"/>
      <c r="AXR118"/>
      <c r="AXS118"/>
      <c r="AXT118"/>
      <c r="AXU118"/>
      <c r="AXV118"/>
      <c r="AXW118"/>
      <c r="AXX118"/>
      <c r="AXY118"/>
      <c r="AXZ118"/>
      <c r="AYA118"/>
      <c r="AYB118"/>
      <c r="AYC118"/>
      <c r="AYD118"/>
      <c r="AYE118"/>
      <c r="AYF118"/>
      <c r="AYG118"/>
      <c r="AYH118"/>
      <c r="AYI118"/>
      <c r="AYJ118"/>
      <c r="AYK118"/>
      <c r="AYL118"/>
      <c r="AYM118"/>
      <c r="AYN118"/>
      <c r="AYO118"/>
      <c r="AYP118"/>
      <c r="AYQ118"/>
      <c r="AYR118"/>
      <c r="AYS118"/>
      <c r="AYT118"/>
      <c r="AYU118"/>
      <c r="AYV118"/>
      <c r="AYW118"/>
      <c r="AYX118"/>
      <c r="AYY118"/>
      <c r="AYZ118"/>
      <c r="AZA118"/>
      <c r="AZB118"/>
      <c r="AZC118"/>
      <c r="AZD118"/>
      <c r="AZE118"/>
      <c r="AZF118"/>
      <c r="AZG118"/>
      <c r="AZH118"/>
      <c r="AZI118"/>
      <c r="AZJ118"/>
      <c r="AZK118"/>
      <c r="AZL118"/>
      <c r="AZM118"/>
      <c r="AZN118"/>
      <c r="AZO118"/>
      <c r="AZP118"/>
      <c r="AZQ118"/>
      <c r="AZR118"/>
      <c r="AZS118"/>
      <c r="AZT118"/>
      <c r="AZU118"/>
      <c r="AZV118"/>
      <c r="AZW118"/>
      <c r="AZX118"/>
      <c r="AZY118"/>
      <c r="AZZ118"/>
      <c r="BAA118"/>
      <c r="BAB118"/>
      <c r="BAC118"/>
      <c r="BAD118"/>
      <c r="BAE118"/>
      <c r="BAF118"/>
      <c r="BAG118"/>
      <c r="BAH118"/>
      <c r="BAI118"/>
      <c r="BAJ118"/>
      <c r="BAK118"/>
      <c r="BAL118"/>
      <c r="BAM118"/>
      <c r="BAN118"/>
      <c r="BAO118"/>
      <c r="BAP118"/>
      <c r="BAQ118"/>
      <c r="BAR118"/>
      <c r="BAS118"/>
      <c r="BAT118"/>
      <c r="BAU118"/>
      <c r="BAV118"/>
      <c r="BAW118"/>
      <c r="BAX118"/>
      <c r="BAY118"/>
      <c r="BAZ118"/>
      <c r="BBA118"/>
      <c r="BBB118"/>
      <c r="BBC118"/>
      <c r="BBD118"/>
      <c r="BBE118"/>
      <c r="BBF118"/>
      <c r="BBG118"/>
      <c r="BBH118"/>
      <c r="BBI118"/>
      <c r="BBJ118"/>
      <c r="BBK118"/>
      <c r="BBL118"/>
      <c r="BBM118"/>
      <c r="BBN118"/>
      <c r="BBO118"/>
      <c r="BBP118"/>
      <c r="BBQ118"/>
      <c r="BBR118"/>
      <c r="BBS118"/>
      <c r="BBT118"/>
      <c r="BBU118"/>
      <c r="BBV118"/>
      <c r="BBW118"/>
      <c r="BBX118"/>
      <c r="BBY118"/>
      <c r="BBZ118"/>
      <c r="BCA118"/>
      <c r="BCB118"/>
      <c r="BCC118"/>
      <c r="BCD118"/>
      <c r="BCE118"/>
      <c r="BCF118"/>
      <c r="BCG118"/>
      <c r="BCH118"/>
      <c r="BCI118"/>
      <c r="BCJ118"/>
      <c r="BCK118"/>
      <c r="BCL118"/>
      <c r="BCM118"/>
      <c r="BCN118"/>
      <c r="BCO118"/>
      <c r="BCP118"/>
      <c r="BCQ118"/>
      <c r="BCR118"/>
      <c r="BCS118"/>
      <c r="BCT118"/>
      <c r="BCU118"/>
      <c r="BCV118"/>
      <c r="BCW118"/>
      <c r="BCX118"/>
      <c r="BCY118"/>
      <c r="BCZ118"/>
      <c r="BDA118"/>
      <c r="BDB118"/>
      <c r="BDC118"/>
      <c r="BDD118"/>
      <c r="BDE118"/>
      <c r="BDF118"/>
      <c r="BDG118"/>
      <c r="BDH118"/>
      <c r="BDI118"/>
      <c r="BDJ118"/>
      <c r="BDK118"/>
      <c r="BDL118"/>
      <c r="BDM118"/>
      <c r="BDN118"/>
      <c r="BDO118"/>
      <c r="BDP118"/>
      <c r="BDQ118"/>
      <c r="BDR118"/>
      <c r="BDS118"/>
      <c r="BDT118"/>
      <c r="BDU118"/>
      <c r="BDV118"/>
      <c r="BDW118"/>
      <c r="BDX118"/>
      <c r="BDY118"/>
      <c r="BDZ118"/>
      <c r="BEA118"/>
      <c r="BEB118"/>
      <c r="BEC118"/>
      <c r="BED118"/>
      <c r="BEE118"/>
      <c r="BEF118"/>
      <c r="BEG118"/>
      <c r="BEH118"/>
      <c r="BEI118"/>
      <c r="BEJ118"/>
      <c r="BEK118"/>
      <c r="BEL118"/>
      <c r="BEM118"/>
      <c r="BEN118"/>
      <c r="BEO118"/>
      <c r="BEP118"/>
      <c r="BEQ118"/>
      <c r="BER118"/>
      <c r="BES118"/>
      <c r="BET118"/>
      <c r="BEU118"/>
      <c r="BEV118"/>
      <c r="BEW118"/>
      <c r="BEX118"/>
      <c r="BEY118"/>
      <c r="BEZ118"/>
      <c r="BFA118"/>
      <c r="BFB118"/>
      <c r="BFC118"/>
      <c r="BFD118"/>
      <c r="BFE118"/>
      <c r="BFF118"/>
      <c r="BFG118"/>
      <c r="BFH118"/>
      <c r="BFI118"/>
      <c r="BFJ118"/>
      <c r="BFK118"/>
      <c r="BFL118"/>
      <c r="BFM118"/>
      <c r="BFN118"/>
      <c r="BFO118"/>
      <c r="BFP118"/>
      <c r="BFQ118"/>
      <c r="BFR118"/>
      <c r="BFS118"/>
      <c r="BFT118"/>
      <c r="BFU118"/>
      <c r="BFV118"/>
      <c r="BFW118"/>
      <c r="BFX118"/>
      <c r="BFY118"/>
      <c r="BFZ118"/>
      <c r="BGA118"/>
      <c r="BGB118"/>
      <c r="BGC118"/>
      <c r="BGD118"/>
      <c r="BGE118"/>
      <c r="BGF118"/>
      <c r="BGG118"/>
      <c r="BGH118"/>
      <c r="BGI118"/>
      <c r="BGJ118"/>
      <c r="BGK118"/>
      <c r="BGL118"/>
      <c r="BGM118"/>
      <c r="BGN118"/>
      <c r="BGO118"/>
      <c r="BGP118"/>
      <c r="BGQ118"/>
      <c r="BGR118"/>
      <c r="BGS118"/>
      <c r="BGT118"/>
      <c r="BGU118"/>
      <c r="BGV118"/>
      <c r="BGW118"/>
      <c r="BGX118"/>
      <c r="BGY118"/>
      <c r="BGZ118"/>
      <c r="BHA118"/>
      <c r="BHB118"/>
      <c r="BHC118"/>
      <c r="BHD118"/>
      <c r="BHE118"/>
      <c r="BHF118"/>
      <c r="BHG118"/>
      <c r="BHH118"/>
      <c r="BHI118"/>
      <c r="BHJ118"/>
      <c r="BHK118"/>
      <c r="BHL118"/>
      <c r="BHM118"/>
      <c r="BHN118"/>
      <c r="BHO118"/>
      <c r="BHP118"/>
      <c r="BHQ118"/>
      <c r="BHR118"/>
      <c r="BHS118"/>
      <c r="BHT118"/>
      <c r="BHU118"/>
      <c r="BHV118"/>
      <c r="BHW118"/>
      <c r="BHX118"/>
      <c r="BHY118"/>
      <c r="BHZ118"/>
      <c r="BIA118"/>
      <c r="BIB118"/>
      <c r="BIC118"/>
      <c r="BID118"/>
      <c r="BIE118"/>
      <c r="BIF118"/>
      <c r="BIG118"/>
      <c r="BIH118"/>
      <c r="BII118"/>
      <c r="BIJ118"/>
      <c r="BIK118"/>
      <c r="BIL118"/>
      <c r="BIM118"/>
      <c r="BIN118"/>
      <c r="BIO118"/>
      <c r="BIP118"/>
      <c r="BIQ118"/>
      <c r="BIR118"/>
      <c r="BIS118"/>
      <c r="BIT118"/>
      <c r="BIU118"/>
      <c r="BIV118"/>
      <c r="BIW118"/>
      <c r="BIX118"/>
      <c r="BIY118"/>
      <c r="BIZ118"/>
      <c r="BJA118"/>
      <c r="BJB118"/>
      <c r="BJC118"/>
      <c r="BJD118"/>
      <c r="BJE118"/>
      <c r="BJF118"/>
      <c r="BJG118"/>
      <c r="BJH118"/>
      <c r="BJI118"/>
      <c r="BJJ118"/>
      <c r="BJK118"/>
      <c r="BJL118"/>
      <c r="BJM118"/>
      <c r="BJN118"/>
      <c r="BJO118"/>
      <c r="BJP118"/>
      <c r="BJQ118"/>
      <c r="BJR118"/>
      <c r="BJS118"/>
      <c r="BJT118"/>
      <c r="BJU118"/>
      <c r="BJV118"/>
      <c r="BJW118"/>
      <c r="BJX118"/>
      <c r="BJY118"/>
      <c r="BJZ118"/>
      <c r="BKA118"/>
      <c r="BKB118"/>
      <c r="BKC118"/>
      <c r="BKD118"/>
      <c r="BKE118"/>
      <c r="BKF118"/>
      <c r="BKG118"/>
      <c r="BKH118"/>
      <c r="BKI118"/>
      <c r="BKJ118"/>
      <c r="BKK118"/>
      <c r="BKL118"/>
      <c r="BKM118"/>
      <c r="BKN118"/>
      <c r="BKO118"/>
      <c r="BKP118"/>
      <c r="BKQ118"/>
      <c r="BKR118"/>
      <c r="BKS118"/>
      <c r="BKT118"/>
      <c r="BKU118"/>
      <c r="BKV118"/>
      <c r="BKW118"/>
      <c r="BKX118"/>
      <c r="BKY118"/>
      <c r="BKZ118"/>
      <c r="BLA118"/>
      <c r="BLB118"/>
      <c r="BLC118"/>
      <c r="BLD118"/>
      <c r="BLE118"/>
      <c r="BLF118"/>
      <c r="BLG118"/>
      <c r="BLH118"/>
      <c r="BLI118"/>
      <c r="BLJ118"/>
      <c r="BLK118"/>
      <c r="BLL118"/>
      <c r="BLM118"/>
      <c r="BLN118"/>
      <c r="BLO118"/>
      <c r="BLP118"/>
      <c r="BLQ118"/>
      <c r="BLR118"/>
      <c r="BLS118"/>
      <c r="BLT118"/>
      <c r="BLU118"/>
      <c r="BLV118"/>
      <c r="BLW118"/>
      <c r="BLX118"/>
      <c r="BLY118"/>
      <c r="BLZ118"/>
      <c r="BMA118"/>
      <c r="BMB118"/>
      <c r="BMC118"/>
      <c r="BMD118"/>
      <c r="BME118"/>
      <c r="BMF118"/>
      <c r="BMG118"/>
      <c r="BMH118"/>
      <c r="BMI118"/>
      <c r="BMJ118"/>
      <c r="BMK118"/>
      <c r="BML118"/>
      <c r="BMM118"/>
      <c r="BMN118"/>
      <c r="BMO118"/>
      <c r="BMP118"/>
      <c r="BMQ118"/>
      <c r="BMR118"/>
      <c r="BMS118"/>
      <c r="BMT118"/>
      <c r="BMU118"/>
      <c r="BMV118"/>
      <c r="BMW118"/>
      <c r="BMX118"/>
      <c r="BMY118"/>
      <c r="BMZ118"/>
      <c r="BNA118"/>
      <c r="BNB118"/>
      <c r="BNC118"/>
      <c r="BND118"/>
      <c r="BNE118"/>
      <c r="BNF118"/>
      <c r="BNG118"/>
      <c r="BNH118"/>
      <c r="BNI118"/>
      <c r="BNJ118"/>
      <c r="BNK118"/>
      <c r="BNL118"/>
      <c r="BNM118"/>
      <c r="BNN118"/>
      <c r="BNO118"/>
      <c r="BNP118"/>
      <c r="BNQ118"/>
      <c r="BNR118"/>
      <c r="BNS118"/>
      <c r="BNT118"/>
      <c r="BNU118"/>
      <c r="BNV118"/>
      <c r="BNW118"/>
      <c r="BNX118"/>
      <c r="BNY118"/>
      <c r="BNZ118"/>
      <c r="BOA118"/>
      <c r="BOB118"/>
      <c r="BOC118"/>
      <c r="BOD118"/>
      <c r="BOE118"/>
      <c r="BOF118"/>
      <c r="BOG118"/>
      <c r="BOH118"/>
      <c r="BOI118"/>
      <c r="BOJ118"/>
      <c r="BOK118"/>
      <c r="BOL118"/>
      <c r="BOM118"/>
      <c r="BON118"/>
      <c r="BOO118"/>
      <c r="BOP118"/>
      <c r="BOQ118"/>
      <c r="BOR118"/>
      <c r="BOS118"/>
      <c r="BOT118"/>
      <c r="BOU118"/>
      <c r="BOV118"/>
      <c r="BOW118"/>
      <c r="BOX118"/>
      <c r="BOY118"/>
      <c r="BOZ118"/>
      <c r="BPA118"/>
      <c r="BPB118"/>
      <c r="BPC118"/>
      <c r="BPD118"/>
      <c r="BPE118"/>
      <c r="BPF118"/>
      <c r="BPG118"/>
      <c r="BPH118"/>
      <c r="BPI118"/>
      <c r="BPJ118"/>
      <c r="BPK118"/>
      <c r="BPL118"/>
      <c r="BPM118"/>
      <c r="BPN118"/>
      <c r="BPO118"/>
      <c r="BPP118"/>
      <c r="BPQ118"/>
      <c r="BPR118"/>
      <c r="BPS118"/>
      <c r="BPT118"/>
      <c r="BPU118"/>
      <c r="BPV118"/>
      <c r="BPW118"/>
      <c r="BPX118"/>
      <c r="BPY118"/>
      <c r="BPZ118"/>
      <c r="BQA118"/>
      <c r="BQB118"/>
      <c r="BQC118"/>
      <c r="BQD118"/>
      <c r="BQE118"/>
      <c r="BQF118"/>
      <c r="BQG118"/>
      <c r="BQH118"/>
      <c r="BQI118"/>
      <c r="BQJ118"/>
      <c r="BQK118"/>
      <c r="BQL118"/>
      <c r="BQM118"/>
      <c r="BQN118"/>
      <c r="BQO118"/>
      <c r="BQP118"/>
      <c r="BQQ118"/>
      <c r="BQR118"/>
      <c r="BQS118"/>
      <c r="BQT118"/>
      <c r="BQU118"/>
      <c r="BQV118"/>
      <c r="BQW118"/>
      <c r="BQX118"/>
      <c r="BQY118"/>
      <c r="BQZ118"/>
      <c r="BRA118"/>
      <c r="BRB118"/>
      <c r="BRC118"/>
      <c r="BRD118"/>
      <c r="BRE118"/>
      <c r="BRF118"/>
      <c r="BRG118"/>
      <c r="BRH118"/>
      <c r="BRI118"/>
      <c r="BRJ118"/>
      <c r="BRK118"/>
      <c r="BRL118"/>
      <c r="BRM118"/>
      <c r="BRN118"/>
      <c r="BRO118"/>
      <c r="BRP118"/>
      <c r="BRQ118"/>
      <c r="BRR118"/>
      <c r="BRS118"/>
      <c r="BRT118"/>
      <c r="BRU118"/>
      <c r="BRV118"/>
      <c r="BRW118"/>
      <c r="BRX118"/>
      <c r="BRY118"/>
      <c r="BRZ118"/>
      <c r="BSA118"/>
      <c r="BSB118"/>
      <c r="BSC118"/>
      <c r="BSD118"/>
      <c r="BSE118"/>
      <c r="BSF118"/>
      <c r="BSG118"/>
      <c r="BSH118"/>
      <c r="BSI118"/>
      <c r="BSJ118"/>
      <c r="BSK118"/>
      <c r="BSL118"/>
      <c r="BSM118"/>
      <c r="BSN118"/>
      <c r="BSO118"/>
      <c r="BSP118"/>
      <c r="BSQ118"/>
      <c r="BSR118"/>
      <c r="BSS118"/>
      <c r="BST118"/>
      <c r="BSU118"/>
      <c r="BSV118"/>
      <c r="BSW118"/>
      <c r="BSX118"/>
      <c r="BSY118"/>
      <c r="BSZ118"/>
      <c r="BTA118"/>
      <c r="BTB118"/>
      <c r="BTC118"/>
      <c r="BTD118"/>
      <c r="BTE118"/>
      <c r="BTF118"/>
      <c r="BTG118"/>
      <c r="BTH118"/>
      <c r="BTI118"/>
      <c r="BTJ118"/>
      <c r="BTK118"/>
      <c r="BTL118"/>
      <c r="BTM118"/>
      <c r="BTN118"/>
      <c r="BTO118"/>
      <c r="BTP118"/>
      <c r="BTQ118"/>
      <c r="BTR118"/>
      <c r="BTS118"/>
      <c r="BTT118"/>
      <c r="BTU118"/>
      <c r="BTV118"/>
      <c r="BTW118"/>
      <c r="BTX118"/>
      <c r="BTY118"/>
      <c r="BTZ118"/>
      <c r="BUA118"/>
      <c r="BUB118"/>
      <c r="BUC118"/>
      <c r="BUD118"/>
      <c r="BUE118"/>
      <c r="BUF118"/>
      <c r="BUG118"/>
      <c r="BUH118"/>
      <c r="BUI118"/>
      <c r="BUJ118"/>
      <c r="BUK118"/>
      <c r="BUL118"/>
      <c r="BUM118"/>
      <c r="BUN118"/>
      <c r="BUO118"/>
      <c r="BUP118"/>
      <c r="BUQ118"/>
      <c r="BUR118"/>
      <c r="BUS118"/>
      <c r="BUT118"/>
      <c r="BUU118"/>
      <c r="BUV118"/>
      <c r="BUW118"/>
      <c r="BUX118"/>
      <c r="BUY118"/>
      <c r="BUZ118"/>
      <c r="BVA118"/>
      <c r="BVB118"/>
      <c r="BVC118"/>
      <c r="BVD118"/>
      <c r="BVE118"/>
      <c r="BVF118"/>
      <c r="BVG118"/>
      <c r="BVH118"/>
      <c r="BVI118"/>
      <c r="BVJ118"/>
      <c r="BVK118"/>
      <c r="BVL118"/>
      <c r="BVM118"/>
      <c r="BVN118"/>
      <c r="BVO118"/>
      <c r="BVP118"/>
      <c r="BVQ118"/>
      <c r="BVR118"/>
      <c r="BVS118"/>
      <c r="BVT118"/>
      <c r="BVU118"/>
      <c r="BVV118"/>
      <c r="BVW118"/>
      <c r="BVX118"/>
      <c r="BVY118"/>
      <c r="BVZ118"/>
      <c r="BWA118"/>
      <c r="BWB118"/>
      <c r="BWC118"/>
      <c r="BWD118"/>
      <c r="BWE118"/>
      <c r="BWF118"/>
      <c r="BWG118"/>
      <c r="BWH118"/>
      <c r="BWI118"/>
      <c r="BWJ118"/>
      <c r="BWK118"/>
      <c r="BWL118"/>
      <c r="BWM118"/>
      <c r="BWN118"/>
      <c r="BWO118"/>
      <c r="BWP118"/>
      <c r="BWQ118"/>
      <c r="BWR118"/>
      <c r="BWS118"/>
      <c r="BWT118"/>
      <c r="BWU118"/>
      <c r="BWV118"/>
      <c r="BWW118"/>
      <c r="BWX118"/>
      <c r="BWY118"/>
      <c r="BWZ118"/>
      <c r="BXA118"/>
      <c r="BXB118"/>
      <c r="BXC118"/>
      <c r="BXD118"/>
      <c r="BXE118"/>
      <c r="BXF118"/>
      <c r="BXG118"/>
      <c r="BXH118"/>
      <c r="BXI118"/>
      <c r="BXJ118"/>
      <c r="BXK118"/>
      <c r="BXL118"/>
      <c r="BXM118"/>
      <c r="BXN118"/>
      <c r="BXO118"/>
      <c r="BXP118"/>
      <c r="BXQ118"/>
      <c r="BXR118"/>
      <c r="BXS118"/>
      <c r="BXT118"/>
      <c r="BXU118"/>
      <c r="BXV118"/>
      <c r="BXW118"/>
      <c r="BXX118"/>
      <c r="BXY118"/>
      <c r="BXZ118"/>
      <c r="BYA118"/>
      <c r="BYB118"/>
      <c r="BYC118"/>
      <c r="BYD118"/>
      <c r="BYE118"/>
      <c r="BYF118"/>
      <c r="BYG118"/>
      <c r="BYH118"/>
      <c r="BYI118"/>
      <c r="BYJ118"/>
      <c r="BYK118"/>
      <c r="BYL118"/>
      <c r="BYM118"/>
      <c r="BYN118"/>
      <c r="BYO118"/>
      <c r="BYP118"/>
      <c r="BYQ118"/>
      <c r="BYR118"/>
      <c r="BYS118"/>
      <c r="BYT118"/>
      <c r="BYU118"/>
      <c r="BYV118"/>
      <c r="BYW118"/>
      <c r="BYX118"/>
      <c r="BYY118"/>
      <c r="BYZ118"/>
      <c r="BZA118"/>
      <c r="BZB118"/>
      <c r="BZC118"/>
      <c r="BZD118"/>
      <c r="BZE118"/>
      <c r="BZF118"/>
      <c r="BZG118"/>
      <c r="BZH118"/>
      <c r="BZI118"/>
      <c r="BZJ118"/>
      <c r="BZK118"/>
      <c r="BZL118"/>
      <c r="BZM118"/>
      <c r="BZN118"/>
      <c r="BZO118"/>
      <c r="BZP118"/>
      <c r="BZQ118"/>
      <c r="BZR118"/>
      <c r="BZS118"/>
      <c r="BZT118"/>
      <c r="BZU118"/>
      <c r="BZV118"/>
      <c r="BZW118"/>
      <c r="BZX118"/>
      <c r="BZY118"/>
      <c r="BZZ118"/>
      <c r="CAA118"/>
      <c r="CAB118"/>
      <c r="CAC118"/>
      <c r="CAD118"/>
      <c r="CAE118"/>
      <c r="CAF118"/>
      <c r="CAG118"/>
      <c r="CAH118"/>
      <c r="CAI118"/>
      <c r="CAJ118"/>
      <c r="CAK118"/>
      <c r="CAL118"/>
      <c r="CAM118"/>
      <c r="CAN118"/>
      <c r="CAO118"/>
      <c r="CAP118"/>
      <c r="CAQ118"/>
      <c r="CAR118"/>
      <c r="CAS118"/>
      <c r="CAT118"/>
      <c r="CAU118"/>
      <c r="CAV118"/>
      <c r="CAW118"/>
      <c r="CAX118"/>
      <c r="CAY118"/>
      <c r="CAZ118"/>
      <c r="CBA118"/>
      <c r="CBB118"/>
      <c r="CBC118"/>
      <c r="CBD118"/>
      <c r="CBE118"/>
      <c r="CBF118"/>
      <c r="CBG118"/>
      <c r="CBH118"/>
      <c r="CBI118"/>
      <c r="CBJ118"/>
      <c r="CBK118"/>
      <c r="CBL118"/>
      <c r="CBM118"/>
      <c r="CBN118"/>
      <c r="CBO118"/>
      <c r="CBP118"/>
      <c r="CBQ118"/>
      <c r="CBR118"/>
      <c r="CBS118"/>
      <c r="CBT118"/>
      <c r="CBU118"/>
      <c r="CBV118"/>
      <c r="CBW118"/>
      <c r="CBX118"/>
      <c r="CBY118"/>
      <c r="CBZ118"/>
      <c r="CCA118"/>
      <c r="CCB118"/>
      <c r="CCC118"/>
      <c r="CCD118"/>
      <c r="CCE118"/>
      <c r="CCF118"/>
      <c r="CCG118"/>
      <c r="CCH118"/>
      <c r="CCI118"/>
      <c r="CCJ118"/>
      <c r="CCK118"/>
      <c r="CCL118"/>
      <c r="CCM118"/>
      <c r="CCN118"/>
      <c r="CCO118"/>
      <c r="CCP118"/>
      <c r="CCQ118"/>
      <c r="CCR118"/>
      <c r="CCS118"/>
      <c r="CCT118"/>
      <c r="CCU118"/>
      <c r="CCV118"/>
      <c r="CCW118"/>
      <c r="CCX118"/>
      <c r="CCY118"/>
      <c r="CCZ118"/>
      <c r="CDA118"/>
      <c r="CDB118"/>
      <c r="CDC118"/>
      <c r="CDD118"/>
      <c r="CDE118"/>
      <c r="CDF118"/>
      <c r="CDG118"/>
      <c r="CDH118"/>
      <c r="CDI118"/>
      <c r="CDJ118"/>
      <c r="CDK118"/>
      <c r="CDL118"/>
      <c r="CDM118"/>
      <c r="CDN118"/>
      <c r="CDO118"/>
      <c r="CDP118"/>
      <c r="CDQ118"/>
      <c r="CDR118"/>
      <c r="CDS118"/>
      <c r="CDT118"/>
      <c r="CDU118"/>
      <c r="CDV118"/>
      <c r="CDW118"/>
      <c r="CDX118"/>
      <c r="CDY118"/>
      <c r="CDZ118"/>
      <c r="CEA118"/>
      <c r="CEB118"/>
      <c r="CEC118"/>
      <c r="CED118"/>
      <c r="CEE118"/>
      <c r="CEF118"/>
      <c r="CEG118"/>
      <c r="CEH118"/>
      <c r="CEI118"/>
      <c r="CEJ118"/>
      <c r="CEK118"/>
      <c r="CEL118"/>
      <c r="CEM118"/>
      <c r="CEN118"/>
      <c r="CEO118"/>
      <c r="CEP118"/>
      <c r="CEQ118"/>
      <c r="CER118"/>
      <c r="CES118"/>
      <c r="CET118"/>
      <c r="CEU118"/>
      <c r="CEV118"/>
      <c r="CEW118"/>
      <c r="CEX118"/>
      <c r="CEY118"/>
      <c r="CEZ118"/>
      <c r="CFA118"/>
      <c r="CFB118"/>
      <c r="CFC118"/>
      <c r="CFD118"/>
      <c r="CFE118"/>
      <c r="CFF118"/>
      <c r="CFG118"/>
      <c r="CFH118"/>
      <c r="CFI118"/>
      <c r="CFJ118"/>
      <c r="CFK118"/>
      <c r="CFL118"/>
      <c r="CFM118"/>
      <c r="CFN118"/>
      <c r="CFO118"/>
      <c r="CFP118"/>
      <c r="CFQ118"/>
      <c r="CFR118"/>
      <c r="CFS118"/>
      <c r="CFT118"/>
      <c r="CFU118"/>
      <c r="CFV118"/>
      <c r="CFW118"/>
      <c r="CFX118"/>
      <c r="CFY118"/>
      <c r="CFZ118"/>
      <c r="CGA118"/>
      <c r="CGB118"/>
      <c r="CGC118"/>
      <c r="CGD118"/>
      <c r="CGE118"/>
      <c r="CGF118"/>
      <c r="CGG118"/>
      <c r="CGH118"/>
      <c r="CGI118"/>
      <c r="CGJ118"/>
      <c r="CGK118"/>
      <c r="CGL118"/>
      <c r="CGM118"/>
      <c r="CGN118"/>
      <c r="CGO118"/>
      <c r="CGP118"/>
      <c r="CGQ118"/>
      <c r="CGR118"/>
      <c r="CGS118"/>
      <c r="CGT118"/>
      <c r="CGU118"/>
      <c r="CGV118"/>
      <c r="CGW118"/>
      <c r="CGX118"/>
      <c r="CGY118"/>
      <c r="CGZ118"/>
      <c r="CHA118"/>
      <c r="CHB118"/>
      <c r="CHC118"/>
      <c r="CHD118"/>
      <c r="CHE118"/>
      <c r="CHF118"/>
      <c r="CHG118"/>
      <c r="CHH118"/>
      <c r="CHI118"/>
      <c r="CHJ118"/>
      <c r="CHK118"/>
      <c r="CHL118"/>
      <c r="CHM118"/>
      <c r="CHN118"/>
      <c r="CHO118"/>
      <c r="CHP118"/>
      <c r="CHQ118"/>
      <c r="CHR118"/>
      <c r="CHS118"/>
      <c r="CHT118"/>
      <c r="CHU118"/>
      <c r="CHV118"/>
      <c r="CHW118"/>
      <c r="CHX118"/>
      <c r="CHY118"/>
      <c r="CHZ118"/>
      <c r="CIA118"/>
      <c r="CIB118"/>
      <c r="CIC118"/>
      <c r="CID118"/>
      <c r="CIE118"/>
      <c r="CIF118"/>
      <c r="CIG118"/>
      <c r="CIH118"/>
      <c r="CII118"/>
      <c r="CIJ118"/>
      <c r="CIK118"/>
      <c r="CIL118"/>
      <c r="CIM118"/>
      <c r="CIN118"/>
      <c r="CIO118"/>
      <c r="CIP118"/>
      <c r="CIQ118"/>
      <c r="CIR118"/>
      <c r="CIS118"/>
      <c r="CIT118"/>
      <c r="CIU118"/>
      <c r="CIV118"/>
      <c r="CIW118"/>
      <c r="CIX118"/>
      <c r="CIY118"/>
      <c r="CIZ118"/>
      <c r="CJA118"/>
      <c r="CJB118"/>
      <c r="CJC118"/>
      <c r="CJD118"/>
      <c r="CJE118"/>
      <c r="CJF118"/>
      <c r="CJG118"/>
      <c r="CJH118"/>
      <c r="CJI118"/>
      <c r="CJJ118"/>
      <c r="CJK118"/>
      <c r="CJL118"/>
      <c r="CJM118"/>
      <c r="CJN118"/>
      <c r="CJO118"/>
      <c r="CJP118"/>
      <c r="CJQ118"/>
      <c r="CJR118"/>
      <c r="CJS118"/>
      <c r="CJT118"/>
      <c r="CJU118"/>
      <c r="CJV118"/>
      <c r="CJW118"/>
      <c r="CJX118"/>
      <c r="CJY118"/>
      <c r="CJZ118"/>
      <c r="CKA118"/>
      <c r="CKB118"/>
      <c r="CKC118"/>
      <c r="CKD118"/>
      <c r="CKE118"/>
      <c r="CKF118"/>
      <c r="CKG118"/>
      <c r="CKH118"/>
      <c r="CKI118"/>
      <c r="CKJ118"/>
      <c r="CKK118"/>
      <c r="CKL118"/>
      <c r="CKM118"/>
      <c r="CKN118"/>
      <c r="CKO118"/>
      <c r="CKP118"/>
      <c r="CKQ118"/>
      <c r="CKR118"/>
      <c r="CKS118"/>
      <c r="CKT118"/>
      <c r="CKU118"/>
      <c r="CKV118"/>
      <c r="CKW118"/>
      <c r="CKX118"/>
      <c r="CKY118"/>
      <c r="CKZ118"/>
      <c r="CLA118"/>
      <c r="CLB118"/>
      <c r="CLC118"/>
      <c r="CLD118"/>
      <c r="CLE118"/>
      <c r="CLF118"/>
      <c r="CLG118"/>
      <c r="CLH118"/>
      <c r="CLI118"/>
      <c r="CLJ118"/>
      <c r="CLK118"/>
      <c r="CLL118"/>
      <c r="CLM118"/>
      <c r="CLN118"/>
      <c r="CLO118"/>
      <c r="CLP118"/>
      <c r="CLQ118"/>
      <c r="CLR118"/>
      <c r="CLS118"/>
      <c r="CLT118"/>
      <c r="CLU118"/>
      <c r="CLV118"/>
      <c r="CLW118"/>
      <c r="CLX118"/>
      <c r="CLY118"/>
      <c r="CLZ118"/>
      <c r="CMA118"/>
      <c r="CMB118"/>
      <c r="CMC118"/>
      <c r="CMD118"/>
      <c r="CME118"/>
      <c r="CMF118"/>
      <c r="CMG118"/>
      <c r="CMH118"/>
      <c r="CMI118"/>
      <c r="CMJ118"/>
      <c r="CMK118"/>
      <c r="CML118"/>
      <c r="CMM118"/>
      <c r="CMN118"/>
      <c r="CMO118"/>
      <c r="CMP118"/>
      <c r="CMQ118"/>
      <c r="CMR118"/>
      <c r="CMS118"/>
      <c r="CMT118"/>
      <c r="CMU118"/>
      <c r="CMV118"/>
      <c r="CMW118"/>
      <c r="CMX118"/>
      <c r="CMY118"/>
      <c r="CMZ118"/>
      <c r="CNA118"/>
      <c r="CNB118"/>
      <c r="CNC118"/>
      <c r="CND118"/>
      <c r="CNE118"/>
      <c r="CNF118"/>
      <c r="CNG118"/>
      <c r="CNH118"/>
      <c r="CNI118"/>
      <c r="CNJ118"/>
      <c r="CNK118"/>
      <c r="CNL118"/>
      <c r="CNM118"/>
      <c r="CNN118"/>
      <c r="CNO118"/>
      <c r="CNP118"/>
      <c r="CNQ118"/>
      <c r="CNR118"/>
      <c r="CNS118"/>
      <c r="CNT118"/>
      <c r="CNU118"/>
      <c r="CNV118"/>
      <c r="CNW118"/>
      <c r="CNX118"/>
      <c r="CNY118"/>
      <c r="CNZ118"/>
      <c r="COA118"/>
      <c r="COB118"/>
      <c r="COC118"/>
      <c r="COD118"/>
      <c r="COE118"/>
      <c r="COF118"/>
      <c r="COG118"/>
      <c r="COH118"/>
      <c r="COI118"/>
      <c r="COJ118"/>
      <c r="COK118"/>
      <c r="COL118"/>
      <c r="COM118"/>
      <c r="CON118"/>
      <c r="COO118"/>
      <c r="COP118"/>
      <c r="COQ118"/>
      <c r="COR118"/>
      <c r="COS118"/>
      <c r="COT118"/>
      <c r="COU118"/>
      <c r="COV118"/>
      <c r="COW118"/>
      <c r="COX118"/>
      <c r="COY118"/>
      <c r="COZ118"/>
      <c r="CPA118"/>
      <c r="CPB118"/>
      <c r="CPC118"/>
      <c r="CPD118"/>
      <c r="CPE118"/>
      <c r="CPF118"/>
      <c r="CPG118"/>
      <c r="CPH118"/>
      <c r="CPI118"/>
      <c r="CPJ118"/>
      <c r="CPK118"/>
      <c r="CPL118"/>
      <c r="CPM118"/>
      <c r="CPN118"/>
      <c r="CPO118"/>
      <c r="CPP118"/>
      <c r="CPQ118"/>
      <c r="CPR118"/>
      <c r="CPS118"/>
      <c r="CPT118"/>
      <c r="CPU118"/>
      <c r="CPV118"/>
      <c r="CPW118"/>
      <c r="CPX118"/>
      <c r="CPY118"/>
      <c r="CPZ118"/>
      <c r="CQA118"/>
      <c r="CQB118"/>
      <c r="CQC118"/>
      <c r="CQD118"/>
      <c r="CQE118"/>
      <c r="CQF118"/>
      <c r="CQG118"/>
      <c r="CQH118"/>
      <c r="CQI118"/>
      <c r="CQJ118"/>
      <c r="CQK118"/>
      <c r="CQL118"/>
      <c r="CQM118"/>
      <c r="CQN118"/>
      <c r="CQO118"/>
      <c r="CQP118"/>
      <c r="CQQ118"/>
      <c r="CQR118"/>
      <c r="CQS118"/>
      <c r="CQT118"/>
      <c r="CQU118"/>
      <c r="CQV118"/>
      <c r="CQW118"/>
      <c r="CQX118"/>
      <c r="CQY118"/>
      <c r="CQZ118"/>
      <c r="CRA118"/>
      <c r="CRB118"/>
      <c r="CRC118"/>
      <c r="CRD118"/>
      <c r="CRE118"/>
      <c r="CRF118"/>
      <c r="CRG118"/>
      <c r="CRH118"/>
      <c r="CRI118"/>
      <c r="CRJ118"/>
      <c r="CRK118"/>
      <c r="CRL118"/>
      <c r="CRM118"/>
      <c r="CRN118"/>
      <c r="CRO118"/>
      <c r="CRP118"/>
      <c r="CRQ118"/>
      <c r="CRR118"/>
      <c r="CRS118"/>
      <c r="CRT118"/>
      <c r="CRU118"/>
      <c r="CRV118"/>
      <c r="CRW118"/>
      <c r="CRX118"/>
      <c r="CRY118"/>
      <c r="CRZ118"/>
      <c r="CSA118"/>
      <c r="CSB118"/>
      <c r="CSC118"/>
      <c r="CSD118"/>
      <c r="CSE118"/>
      <c r="CSF118"/>
      <c r="CSG118"/>
      <c r="CSH118"/>
      <c r="CSI118"/>
      <c r="CSJ118"/>
      <c r="CSK118"/>
      <c r="CSL118"/>
      <c r="CSM118"/>
      <c r="CSN118"/>
      <c r="CSO118"/>
      <c r="CSP118"/>
      <c r="CSQ118"/>
      <c r="CSR118"/>
      <c r="CSS118"/>
      <c r="CST118"/>
      <c r="CSU118"/>
      <c r="CSV118"/>
      <c r="CSW118"/>
      <c r="CSX118"/>
      <c r="CSY118"/>
      <c r="CSZ118"/>
      <c r="CTA118"/>
      <c r="CTB118"/>
      <c r="CTC118"/>
      <c r="CTD118"/>
      <c r="CTE118"/>
      <c r="CTF118"/>
      <c r="CTG118"/>
      <c r="CTH118"/>
      <c r="CTI118"/>
      <c r="CTJ118"/>
      <c r="CTK118"/>
      <c r="CTL118"/>
      <c r="CTM118"/>
      <c r="CTN118"/>
      <c r="CTO118"/>
      <c r="CTP118"/>
      <c r="CTQ118"/>
      <c r="CTR118"/>
      <c r="CTS118"/>
      <c r="CTT118"/>
      <c r="CTU118"/>
      <c r="CTV118"/>
      <c r="CTW118"/>
      <c r="CTX118"/>
      <c r="CTY118"/>
      <c r="CTZ118"/>
      <c r="CUA118"/>
      <c r="CUB118"/>
      <c r="CUC118"/>
      <c r="CUD118"/>
      <c r="CUE118"/>
      <c r="CUF118"/>
      <c r="CUG118"/>
      <c r="CUH118"/>
      <c r="CUI118"/>
      <c r="CUJ118"/>
      <c r="CUK118"/>
      <c r="CUL118"/>
      <c r="CUM118"/>
      <c r="CUN118"/>
      <c r="CUO118"/>
      <c r="CUP118"/>
      <c r="CUQ118"/>
      <c r="CUR118"/>
      <c r="CUS118"/>
      <c r="CUT118"/>
      <c r="CUU118"/>
      <c r="CUV118"/>
      <c r="CUW118"/>
      <c r="CUX118"/>
      <c r="CUY118"/>
      <c r="CUZ118"/>
      <c r="CVA118"/>
      <c r="CVB118"/>
      <c r="CVC118"/>
      <c r="CVD118"/>
      <c r="CVE118"/>
      <c r="CVF118"/>
      <c r="CVG118"/>
      <c r="CVH118"/>
      <c r="CVI118"/>
      <c r="CVJ118"/>
      <c r="CVK118"/>
      <c r="CVL118"/>
      <c r="CVM118"/>
      <c r="CVN118"/>
      <c r="CVO118"/>
      <c r="CVP118"/>
      <c r="CVQ118"/>
      <c r="CVR118"/>
      <c r="CVS118"/>
      <c r="CVT118"/>
      <c r="CVU118"/>
      <c r="CVV118"/>
      <c r="CVW118"/>
      <c r="CVX118"/>
      <c r="CVY118"/>
      <c r="CVZ118"/>
      <c r="CWA118"/>
      <c r="CWB118"/>
      <c r="CWC118"/>
      <c r="CWD118"/>
      <c r="CWE118"/>
      <c r="CWF118"/>
      <c r="CWG118"/>
      <c r="CWH118"/>
      <c r="CWI118"/>
      <c r="CWJ118"/>
      <c r="CWK118"/>
      <c r="CWL118"/>
      <c r="CWM118"/>
      <c r="CWN118"/>
      <c r="CWO118"/>
      <c r="CWP118"/>
      <c r="CWQ118"/>
      <c r="CWR118"/>
      <c r="CWS118"/>
      <c r="CWT118"/>
      <c r="CWU118"/>
      <c r="CWV118"/>
      <c r="CWW118"/>
      <c r="CWX118"/>
      <c r="CWY118"/>
      <c r="CWZ118"/>
      <c r="CXA118"/>
      <c r="CXB118"/>
      <c r="CXC118"/>
      <c r="CXD118"/>
      <c r="CXE118"/>
      <c r="CXF118"/>
      <c r="CXG118"/>
      <c r="CXH118"/>
      <c r="CXI118"/>
      <c r="CXJ118"/>
      <c r="CXK118"/>
      <c r="CXL118"/>
      <c r="CXM118"/>
      <c r="CXN118"/>
      <c r="CXO118"/>
      <c r="CXP118"/>
      <c r="CXQ118"/>
      <c r="CXR118"/>
      <c r="CXS118"/>
      <c r="CXT118"/>
      <c r="CXU118"/>
      <c r="CXV118"/>
      <c r="CXW118"/>
      <c r="CXX118"/>
      <c r="CXY118"/>
      <c r="CXZ118"/>
      <c r="CYA118"/>
      <c r="CYB118"/>
      <c r="CYC118"/>
      <c r="CYD118"/>
      <c r="CYE118"/>
      <c r="CYF118"/>
      <c r="CYG118"/>
      <c r="CYH118"/>
      <c r="CYI118"/>
      <c r="CYJ118"/>
      <c r="CYK118"/>
      <c r="CYL118"/>
      <c r="CYM118"/>
      <c r="CYN118"/>
      <c r="CYO118"/>
      <c r="CYP118"/>
      <c r="CYQ118"/>
      <c r="CYR118"/>
      <c r="CYS118"/>
      <c r="CYT118"/>
      <c r="CYU118"/>
      <c r="CYV118"/>
      <c r="CYW118"/>
      <c r="CYX118"/>
      <c r="CYY118"/>
      <c r="CYZ118"/>
      <c r="CZA118"/>
      <c r="CZB118"/>
      <c r="CZC118"/>
      <c r="CZD118"/>
      <c r="CZE118"/>
      <c r="CZF118"/>
      <c r="CZG118"/>
      <c r="CZH118"/>
      <c r="CZI118"/>
      <c r="CZJ118"/>
      <c r="CZK118"/>
      <c r="CZL118"/>
      <c r="CZM118"/>
      <c r="CZN118"/>
      <c r="CZO118"/>
      <c r="CZP118"/>
      <c r="CZQ118"/>
      <c r="CZR118"/>
      <c r="CZS118"/>
      <c r="CZT118"/>
      <c r="CZU118"/>
      <c r="CZV118"/>
      <c r="CZW118"/>
      <c r="CZX118"/>
      <c r="CZY118"/>
      <c r="CZZ118"/>
      <c r="DAA118"/>
      <c r="DAB118"/>
      <c r="DAC118"/>
      <c r="DAD118"/>
      <c r="DAE118"/>
      <c r="DAF118"/>
      <c r="DAG118"/>
      <c r="DAH118"/>
      <c r="DAI118"/>
      <c r="DAJ118"/>
      <c r="DAK118"/>
      <c r="DAL118"/>
      <c r="DAM118"/>
      <c r="DAN118"/>
      <c r="DAO118"/>
      <c r="DAP118"/>
      <c r="DAQ118"/>
      <c r="DAR118"/>
      <c r="DAS118"/>
      <c r="DAT118"/>
      <c r="DAU118"/>
      <c r="DAV118"/>
      <c r="DAW118"/>
      <c r="DAX118"/>
      <c r="DAY118"/>
      <c r="DAZ118"/>
      <c r="DBA118"/>
      <c r="DBB118"/>
      <c r="DBC118"/>
      <c r="DBD118"/>
      <c r="DBE118"/>
      <c r="DBF118"/>
      <c r="DBG118"/>
      <c r="DBH118"/>
      <c r="DBI118"/>
      <c r="DBJ118"/>
      <c r="DBK118"/>
      <c r="DBL118"/>
      <c r="DBM118"/>
      <c r="DBN118"/>
      <c r="DBO118"/>
      <c r="DBP118"/>
      <c r="DBQ118"/>
      <c r="DBR118"/>
      <c r="DBS118"/>
      <c r="DBT118"/>
      <c r="DBU118"/>
      <c r="DBV118"/>
      <c r="DBW118"/>
      <c r="DBX118"/>
      <c r="DBY118"/>
      <c r="DBZ118"/>
      <c r="DCA118"/>
      <c r="DCB118"/>
      <c r="DCC118"/>
      <c r="DCD118"/>
      <c r="DCE118"/>
      <c r="DCF118"/>
      <c r="DCG118"/>
      <c r="DCH118"/>
      <c r="DCI118"/>
      <c r="DCJ118"/>
      <c r="DCK118"/>
      <c r="DCL118"/>
      <c r="DCM118"/>
      <c r="DCN118"/>
      <c r="DCO118"/>
      <c r="DCP118"/>
      <c r="DCQ118"/>
      <c r="DCR118"/>
      <c r="DCS118"/>
      <c r="DCT118"/>
      <c r="DCU118"/>
      <c r="DCV118"/>
      <c r="DCW118"/>
      <c r="DCX118"/>
      <c r="DCY118"/>
      <c r="DCZ118"/>
      <c r="DDA118"/>
      <c r="DDB118"/>
      <c r="DDC118"/>
      <c r="DDD118"/>
      <c r="DDE118"/>
      <c r="DDF118"/>
      <c r="DDG118"/>
      <c r="DDH118"/>
      <c r="DDI118"/>
      <c r="DDJ118"/>
      <c r="DDK118"/>
      <c r="DDL118"/>
      <c r="DDM118"/>
      <c r="DDN118"/>
      <c r="DDO118"/>
      <c r="DDP118"/>
      <c r="DDQ118"/>
      <c r="DDR118"/>
      <c r="DDS118"/>
      <c r="DDT118"/>
      <c r="DDU118"/>
      <c r="DDV118"/>
      <c r="DDW118"/>
      <c r="DDX118"/>
      <c r="DDY118"/>
      <c r="DDZ118"/>
      <c r="DEA118"/>
      <c r="DEB118"/>
      <c r="DEC118"/>
      <c r="DED118"/>
      <c r="DEE118"/>
      <c r="DEF118"/>
      <c r="DEG118"/>
      <c r="DEH118"/>
      <c r="DEI118"/>
      <c r="DEJ118"/>
      <c r="DEK118"/>
      <c r="DEL118"/>
      <c r="DEM118"/>
      <c r="DEN118"/>
      <c r="DEO118"/>
      <c r="DEP118"/>
      <c r="DEQ118"/>
      <c r="DER118"/>
      <c r="DES118"/>
      <c r="DET118"/>
      <c r="DEU118"/>
      <c r="DEV118"/>
      <c r="DEW118"/>
      <c r="DEX118"/>
      <c r="DEY118"/>
      <c r="DEZ118"/>
      <c r="DFA118"/>
      <c r="DFB118"/>
      <c r="DFC118"/>
      <c r="DFD118"/>
      <c r="DFE118"/>
      <c r="DFF118"/>
      <c r="DFG118"/>
      <c r="DFH118"/>
      <c r="DFI118"/>
      <c r="DFJ118"/>
      <c r="DFK118"/>
      <c r="DFL118"/>
      <c r="DFM118"/>
      <c r="DFN118"/>
      <c r="DFO118"/>
      <c r="DFP118"/>
      <c r="DFQ118"/>
      <c r="DFR118"/>
      <c r="DFS118"/>
      <c r="DFT118"/>
      <c r="DFU118"/>
      <c r="DFV118"/>
      <c r="DFW118"/>
      <c r="DFX118"/>
      <c r="DFY118"/>
      <c r="DFZ118"/>
      <c r="DGA118"/>
      <c r="DGB118"/>
      <c r="DGC118"/>
      <c r="DGD118"/>
      <c r="DGE118"/>
      <c r="DGF118"/>
      <c r="DGG118"/>
      <c r="DGH118"/>
      <c r="DGI118"/>
      <c r="DGJ118"/>
      <c r="DGK118"/>
      <c r="DGL118"/>
      <c r="DGM118"/>
      <c r="DGN118"/>
      <c r="DGO118"/>
      <c r="DGP118"/>
      <c r="DGQ118"/>
      <c r="DGR118"/>
      <c r="DGS118"/>
      <c r="DGT118"/>
      <c r="DGU118"/>
      <c r="DGV118"/>
      <c r="DGW118"/>
      <c r="DGX118"/>
      <c r="DGY118"/>
      <c r="DGZ118"/>
      <c r="DHA118"/>
      <c r="DHB118"/>
      <c r="DHC118"/>
      <c r="DHD118"/>
      <c r="DHE118"/>
      <c r="DHF118"/>
      <c r="DHG118"/>
      <c r="DHH118"/>
      <c r="DHI118"/>
      <c r="DHJ118"/>
      <c r="DHK118"/>
      <c r="DHL118"/>
      <c r="DHM118"/>
      <c r="DHN118"/>
      <c r="DHO118"/>
      <c r="DHP118"/>
      <c r="DHQ118"/>
      <c r="DHR118"/>
      <c r="DHS118"/>
      <c r="DHT118"/>
      <c r="DHU118"/>
      <c r="DHV118"/>
      <c r="DHW118"/>
      <c r="DHX118"/>
      <c r="DHY118"/>
      <c r="DHZ118"/>
      <c r="DIA118"/>
      <c r="DIB118"/>
      <c r="DIC118"/>
      <c r="DID118"/>
      <c r="DIE118"/>
      <c r="DIF118"/>
      <c r="DIG118"/>
      <c r="DIH118"/>
      <c r="DII118"/>
      <c r="DIJ118"/>
      <c r="DIK118"/>
      <c r="DIL118"/>
      <c r="DIM118"/>
      <c r="DIN118"/>
      <c r="DIO118"/>
      <c r="DIP118"/>
      <c r="DIQ118"/>
      <c r="DIR118"/>
      <c r="DIS118"/>
      <c r="DIT118"/>
      <c r="DIU118"/>
      <c r="DIV118"/>
      <c r="DIW118"/>
      <c r="DIX118"/>
      <c r="DIY118"/>
      <c r="DIZ118"/>
      <c r="DJA118"/>
      <c r="DJB118"/>
      <c r="DJC118"/>
      <c r="DJD118"/>
      <c r="DJE118"/>
      <c r="DJF118"/>
      <c r="DJG118"/>
      <c r="DJH118"/>
      <c r="DJI118"/>
      <c r="DJJ118"/>
      <c r="DJK118"/>
      <c r="DJL118"/>
      <c r="DJM118"/>
      <c r="DJN118"/>
      <c r="DJO118"/>
      <c r="DJP118"/>
      <c r="DJQ118"/>
      <c r="DJR118"/>
      <c r="DJS118"/>
      <c r="DJT118"/>
      <c r="DJU118"/>
      <c r="DJV118"/>
      <c r="DJW118"/>
      <c r="DJX118"/>
      <c r="DJY118"/>
      <c r="DJZ118"/>
      <c r="DKA118"/>
      <c r="DKB118"/>
      <c r="DKC118"/>
      <c r="DKD118"/>
      <c r="DKE118"/>
      <c r="DKF118"/>
      <c r="DKG118"/>
      <c r="DKH118"/>
      <c r="DKI118"/>
      <c r="DKJ118"/>
      <c r="DKK118"/>
      <c r="DKL118"/>
      <c r="DKM118"/>
      <c r="DKN118"/>
      <c r="DKO118"/>
      <c r="DKP118"/>
      <c r="DKQ118"/>
      <c r="DKR118"/>
      <c r="DKS118"/>
      <c r="DKT118"/>
      <c r="DKU118"/>
      <c r="DKV118"/>
      <c r="DKW118"/>
      <c r="DKX118"/>
      <c r="DKY118"/>
      <c r="DKZ118"/>
      <c r="DLA118"/>
      <c r="DLB118"/>
      <c r="DLC118"/>
      <c r="DLD118"/>
      <c r="DLE118"/>
      <c r="DLF118"/>
      <c r="DLG118"/>
      <c r="DLH118"/>
      <c r="DLI118"/>
      <c r="DLJ118"/>
      <c r="DLK118"/>
      <c r="DLL118"/>
      <c r="DLM118"/>
      <c r="DLN118"/>
      <c r="DLO118"/>
      <c r="DLP118"/>
      <c r="DLQ118"/>
      <c r="DLR118"/>
      <c r="DLS118"/>
      <c r="DLT118"/>
      <c r="DLU118"/>
      <c r="DLV118"/>
      <c r="DLW118"/>
      <c r="DLX118"/>
      <c r="DLY118"/>
      <c r="DLZ118"/>
      <c r="DMA118"/>
      <c r="DMB118"/>
      <c r="DMC118"/>
      <c r="DMD118"/>
      <c r="DME118"/>
      <c r="DMF118"/>
      <c r="DMG118"/>
      <c r="DMH118"/>
      <c r="DMI118"/>
      <c r="DMJ118"/>
      <c r="DMK118"/>
      <c r="DML118"/>
      <c r="DMM118"/>
      <c r="DMN118"/>
      <c r="DMO118"/>
      <c r="DMP118"/>
      <c r="DMQ118"/>
      <c r="DMR118"/>
      <c r="DMS118"/>
      <c r="DMT118"/>
      <c r="DMU118"/>
      <c r="DMV118"/>
      <c r="DMW118"/>
      <c r="DMX118"/>
      <c r="DMY118"/>
      <c r="DMZ118"/>
      <c r="DNA118"/>
      <c r="DNB118"/>
      <c r="DNC118"/>
      <c r="DND118"/>
      <c r="DNE118"/>
      <c r="DNF118"/>
      <c r="DNG118"/>
      <c r="DNH118"/>
      <c r="DNI118"/>
      <c r="DNJ118"/>
      <c r="DNK118"/>
      <c r="DNL118"/>
      <c r="DNM118"/>
      <c r="DNN118"/>
      <c r="DNO118"/>
      <c r="DNP118"/>
      <c r="DNQ118"/>
      <c r="DNR118"/>
      <c r="DNS118"/>
      <c r="DNT118"/>
      <c r="DNU118"/>
      <c r="DNV118"/>
      <c r="DNW118"/>
      <c r="DNX118"/>
      <c r="DNY118"/>
      <c r="DNZ118"/>
      <c r="DOA118"/>
      <c r="DOB118"/>
      <c r="DOC118"/>
      <c r="DOD118"/>
      <c r="DOE118"/>
      <c r="DOF118"/>
      <c r="DOG118"/>
      <c r="DOH118"/>
      <c r="DOI118"/>
      <c r="DOJ118"/>
      <c r="DOK118"/>
      <c r="DOL118"/>
      <c r="DOM118"/>
      <c r="DON118"/>
      <c r="DOO118"/>
      <c r="DOP118"/>
      <c r="DOQ118"/>
      <c r="DOR118"/>
      <c r="DOS118"/>
      <c r="DOT118"/>
      <c r="DOU118"/>
      <c r="DOV118"/>
      <c r="DOW118"/>
      <c r="DOX118"/>
      <c r="DOY118"/>
      <c r="DOZ118"/>
      <c r="DPA118"/>
      <c r="DPB118"/>
      <c r="DPC118"/>
      <c r="DPD118"/>
      <c r="DPE118"/>
      <c r="DPF118"/>
      <c r="DPG118"/>
      <c r="DPH118"/>
      <c r="DPI118"/>
      <c r="DPJ118"/>
      <c r="DPK118"/>
      <c r="DPL118"/>
      <c r="DPM118"/>
      <c r="DPN118"/>
      <c r="DPO118"/>
      <c r="DPP118"/>
      <c r="DPQ118"/>
      <c r="DPR118"/>
      <c r="DPS118"/>
      <c r="DPT118"/>
      <c r="DPU118"/>
      <c r="DPV118"/>
      <c r="DPW118"/>
      <c r="DPX118"/>
      <c r="DPY118"/>
      <c r="DPZ118"/>
      <c r="DQA118"/>
      <c r="DQB118"/>
      <c r="DQC118"/>
      <c r="DQD118"/>
      <c r="DQE118"/>
      <c r="DQF118"/>
      <c r="DQG118"/>
      <c r="DQH118"/>
      <c r="DQI118"/>
      <c r="DQJ118"/>
      <c r="DQK118"/>
      <c r="DQL118"/>
      <c r="DQM118"/>
      <c r="DQN118"/>
      <c r="DQO118"/>
      <c r="DQP118"/>
      <c r="DQQ118"/>
      <c r="DQR118"/>
      <c r="DQS118"/>
      <c r="DQT118"/>
      <c r="DQU118"/>
      <c r="DQV118"/>
      <c r="DQW118"/>
      <c r="DQX118"/>
      <c r="DQY118"/>
      <c r="DQZ118"/>
      <c r="DRA118"/>
      <c r="DRB118"/>
      <c r="DRC118"/>
      <c r="DRD118"/>
      <c r="DRE118"/>
      <c r="DRF118"/>
      <c r="DRG118"/>
      <c r="DRH118"/>
      <c r="DRI118"/>
      <c r="DRJ118"/>
      <c r="DRK118"/>
      <c r="DRL118"/>
      <c r="DRM118"/>
      <c r="DRN118"/>
      <c r="DRO118"/>
      <c r="DRP118"/>
      <c r="DRQ118"/>
      <c r="DRR118"/>
      <c r="DRS118"/>
      <c r="DRT118"/>
      <c r="DRU118"/>
      <c r="DRV118"/>
      <c r="DRW118"/>
      <c r="DRX118"/>
      <c r="DRY118"/>
      <c r="DRZ118"/>
      <c r="DSA118"/>
      <c r="DSB118"/>
      <c r="DSC118"/>
      <c r="DSD118"/>
      <c r="DSE118"/>
      <c r="DSF118"/>
      <c r="DSG118"/>
      <c r="DSH118"/>
      <c r="DSI118"/>
      <c r="DSJ118"/>
      <c r="DSK118"/>
      <c r="DSL118"/>
      <c r="DSM118"/>
      <c r="DSN118"/>
      <c r="DSO118"/>
      <c r="DSP118"/>
      <c r="DSQ118"/>
      <c r="DSR118"/>
      <c r="DSS118"/>
      <c r="DST118"/>
      <c r="DSU118"/>
      <c r="DSV118"/>
      <c r="DSW118"/>
      <c r="DSX118"/>
      <c r="DSY118"/>
      <c r="DSZ118"/>
      <c r="DTA118"/>
      <c r="DTB118"/>
      <c r="DTC118"/>
      <c r="DTD118"/>
      <c r="DTE118"/>
      <c r="DTF118"/>
      <c r="DTG118"/>
      <c r="DTH118"/>
      <c r="DTI118"/>
      <c r="DTJ118"/>
      <c r="DTK118"/>
      <c r="DTL118"/>
      <c r="DTM118"/>
      <c r="DTN118"/>
      <c r="DTO118"/>
      <c r="DTP118"/>
      <c r="DTQ118"/>
      <c r="DTR118"/>
      <c r="DTS118"/>
      <c r="DTT118"/>
      <c r="DTU118"/>
      <c r="DTV118"/>
      <c r="DTW118"/>
      <c r="DTX118"/>
      <c r="DTY118"/>
      <c r="DTZ118"/>
      <c r="DUA118"/>
      <c r="DUB118"/>
      <c r="DUC118"/>
      <c r="DUD118"/>
      <c r="DUE118"/>
      <c r="DUF118"/>
      <c r="DUG118"/>
      <c r="DUH118"/>
      <c r="DUI118"/>
      <c r="DUJ118"/>
      <c r="DUK118"/>
      <c r="DUL118"/>
      <c r="DUM118"/>
      <c r="DUN118"/>
      <c r="DUO118"/>
      <c r="DUP118"/>
      <c r="DUQ118"/>
      <c r="DUR118"/>
      <c r="DUS118"/>
      <c r="DUT118"/>
      <c r="DUU118"/>
      <c r="DUV118"/>
      <c r="DUW118"/>
      <c r="DUX118"/>
      <c r="DUY118"/>
      <c r="DUZ118"/>
      <c r="DVA118"/>
      <c r="DVB118"/>
      <c r="DVC118"/>
      <c r="DVD118"/>
      <c r="DVE118"/>
      <c r="DVF118"/>
      <c r="DVG118"/>
      <c r="DVH118"/>
      <c r="DVI118"/>
      <c r="DVJ118"/>
      <c r="DVK118"/>
      <c r="DVL118"/>
      <c r="DVM118"/>
      <c r="DVN118"/>
      <c r="DVO118"/>
      <c r="DVP118"/>
      <c r="DVQ118"/>
      <c r="DVR118"/>
      <c r="DVS118"/>
      <c r="DVT118"/>
      <c r="DVU118"/>
      <c r="DVV118"/>
      <c r="DVW118"/>
      <c r="DVX118"/>
      <c r="DVY118"/>
      <c r="DVZ118"/>
      <c r="DWA118"/>
      <c r="DWB118"/>
      <c r="DWC118"/>
      <c r="DWD118"/>
      <c r="DWE118"/>
      <c r="DWF118"/>
      <c r="DWG118"/>
      <c r="DWH118"/>
      <c r="DWI118"/>
      <c r="DWJ118"/>
      <c r="DWK118"/>
      <c r="DWL118"/>
      <c r="DWM118"/>
      <c r="DWN118"/>
      <c r="DWO118"/>
      <c r="DWP118"/>
      <c r="DWQ118"/>
      <c r="DWR118"/>
      <c r="DWS118"/>
      <c r="DWT118"/>
      <c r="DWU118"/>
      <c r="DWV118"/>
      <c r="DWW118"/>
      <c r="DWX118"/>
      <c r="DWY118"/>
      <c r="DWZ118"/>
      <c r="DXA118"/>
      <c r="DXB118"/>
      <c r="DXC118"/>
      <c r="DXD118"/>
      <c r="DXE118"/>
      <c r="DXF118"/>
      <c r="DXG118"/>
      <c r="DXH118"/>
      <c r="DXI118"/>
      <c r="DXJ118"/>
      <c r="DXK118"/>
      <c r="DXL118"/>
      <c r="DXM118"/>
      <c r="DXN118"/>
      <c r="DXO118"/>
      <c r="DXP118"/>
      <c r="DXQ118"/>
      <c r="DXR118"/>
      <c r="DXS118"/>
      <c r="DXT118"/>
      <c r="DXU118"/>
      <c r="DXV118"/>
      <c r="DXW118"/>
      <c r="DXX118"/>
      <c r="DXY118"/>
      <c r="DXZ118"/>
      <c r="DYA118"/>
      <c r="DYB118"/>
      <c r="DYC118"/>
      <c r="DYD118"/>
      <c r="DYE118"/>
      <c r="DYF118"/>
      <c r="DYG118"/>
      <c r="DYH118"/>
      <c r="DYI118"/>
      <c r="DYJ118"/>
      <c r="DYK118"/>
      <c r="DYL118"/>
      <c r="DYM118"/>
      <c r="DYN118"/>
      <c r="DYO118"/>
      <c r="DYP118"/>
      <c r="DYQ118"/>
      <c r="DYR118"/>
      <c r="DYS118"/>
      <c r="DYT118"/>
      <c r="DYU118"/>
      <c r="DYV118"/>
      <c r="DYW118"/>
      <c r="DYX118"/>
      <c r="DYY118"/>
      <c r="DYZ118"/>
      <c r="DZA118"/>
      <c r="DZB118"/>
      <c r="DZC118"/>
      <c r="DZD118"/>
      <c r="DZE118"/>
      <c r="DZF118"/>
      <c r="DZG118"/>
      <c r="DZH118"/>
      <c r="DZI118"/>
      <c r="DZJ118"/>
      <c r="DZK118"/>
      <c r="DZL118"/>
      <c r="DZM118"/>
      <c r="DZN118"/>
      <c r="DZO118"/>
      <c r="DZP118"/>
      <c r="DZQ118"/>
      <c r="DZR118"/>
      <c r="DZS118"/>
      <c r="DZT118"/>
      <c r="DZU118"/>
      <c r="DZV118"/>
      <c r="DZW118"/>
      <c r="DZX118"/>
      <c r="DZY118"/>
      <c r="DZZ118"/>
      <c r="EAA118"/>
      <c r="EAB118"/>
      <c r="EAC118"/>
      <c r="EAD118"/>
      <c r="EAE118"/>
      <c r="EAF118"/>
      <c r="EAG118"/>
      <c r="EAH118"/>
      <c r="EAI118"/>
      <c r="EAJ118"/>
      <c r="EAK118"/>
      <c r="EAL118"/>
      <c r="EAM118"/>
      <c r="EAN118"/>
      <c r="EAO118"/>
      <c r="EAP118"/>
      <c r="EAQ118"/>
      <c r="EAR118"/>
      <c r="EAS118"/>
      <c r="EAT118"/>
      <c r="EAU118"/>
      <c r="EAV118"/>
      <c r="EAW118"/>
      <c r="EAX118"/>
      <c r="EAY118"/>
      <c r="EAZ118"/>
      <c r="EBA118"/>
      <c r="EBB118"/>
      <c r="EBC118"/>
      <c r="EBD118"/>
      <c r="EBE118"/>
      <c r="EBF118"/>
      <c r="EBG118"/>
      <c r="EBH118"/>
      <c r="EBI118"/>
      <c r="EBJ118"/>
      <c r="EBK118"/>
      <c r="EBL118"/>
      <c r="EBM118"/>
      <c r="EBN118"/>
      <c r="EBO118"/>
      <c r="EBP118"/>
      <c r="EBQ118"/>
      <c r="EBR118"/>
      <c r="EBS118"/>
      <c r="EBT118"/>
      <c r="EBU118"/>
      <c r="EBV118"/>
      <c r="EBW118"/>
      <c r="EBX118"/>
      <c r="EBY118"/>
      <c r="EBZ118"/>
      <c r="ECA118"/>
      <c r="ECB118"/>
      <c r="ECC118"/>
      <c r="ECD118"/>
      <c r="ECE118"/>
      <c r="ECF118"/>
      <c r="ECG118"/>
      <c r="ECH118"/>
      <c r="ECI118"/>
      <c r="ECJ118"/>
      <c r="ECK118"/>
      <c r="ECL118"/>
      <c r="ECM118"/>
      <c r="ECN118"/>
      <c r="ECO118"/>
      <c r="ECP118"/>
      <c r="ECQ118"/>
      <c r="ECR118"/>
      <c r="ECS118"/>
      <c r="ECT118"/>
      <c r="ECU118"/>
      <c r="ECV118"/>
      <c r="ECW118"/>
      <c r="ECX118"/>
      <c r="ECY118"/>
      <c r="ECZ118"/>
      <c r="EDA118"/>
      <c r="EDB118"/>
      <c r="EDC118"/>
      <c r="EDD118"/>
      <c r="EDE118"/>
      <c r="EDF118"/>
      <c r="EDG118"/>
      <c r="EDH118"/>
      <c r="EDI118"/>
      <c r="EDJ118"/>
      <c r="EDK118"/>
      <c r="EDL118"/>
      <c r="EDM118"/>
      <c r="EDN118"/>
      <c r="EDO118"/>
      <c r="EDP118"/>
      <c r="EDQ118"/>
      <c r="EDR118"/>
      <c r="EDS118"/>
      <c r="EDT118"/>
      <c r="EDU118"/>
      <c r="EDV118"/>
      <c r="EDW118"/>
      <c r="EDX118"/>
      <c r="EDY118"/>
      <c r="EDZ118"/>
      <c r="EEA118"/>
      <c r="EEB118"/>
      <c r="EEC118"/>
      <c r="EED118"/>
      <c r="EEE118"/>
      <c r="EEF118"/>
      <c r="EEG118"/>
      <c r="EEH118"/>
      <c r="EEI118"/>
      <c r="EEJ118"/>
      <c r="EEK118"/>
      <c r="EEL118"/>
      <c r="EEM118"/>
      <c r="EEN118"/>
      <c r="EEO118"/>
      <c r="EEP118"/>
      <c r="EEQ118"/>
      <c r="EER118"/>
      <c r="EES118"/>
      <c r="EET118"/>
      <c r="EEU118"/>
      <c r="EEV118"/>
      <c r="EEW118"/>
      <c r="EEX118"/>
      <c r="EEY118"/>
      <c r="EEZ118"/>
      <c r="EFA118"/>
      <c r="EFB118"/>
      <c r="EFC118"/>
      <c r="EFD118"/>
      <c r="EFE118"/>
      <c r="EFF118"/>
      <c r="EFG118"/>
      <c r="EFH118"/>
      <c r="EFI118"/>
      <c r="EFJ118"/>
      <c r="EFK118"/>
      <c r="EFL118"/>
      <c r="EFM118"/>
      <c r="EFN118"/>
      <c r="EFO118"/>
      <c r="EFP118"/>
      <c r="EFQ118"/>
      <c r="EFR118"/>
      <c r="EFS118"/>
      <c r="EFT118"/>
      <c r="EFU118"/>
      <c r="EFV118"/>
      <c r="EFW118"/>
      <c r="EFX118"/>
      <c r="EFY118"/>
      <c r="EFZ118"/>
      <c r="EGA118"/>
      <c r="EGB118"/>
      <c r="EGC118"/>
      <c r="EGD118"/>
      <c r="EGE118"/>
      <c r="EGF118"/>
      <c r="EGG118"/>
      <c r="EGH118"/>
      <c r="EGI118"/>
      <c r="EGJ118"/>
      <c r="EGK118"/>
      <c r="EGL118"/>
      <c r="EGM118"/>
      <c r="EGN118"/>
      <c r="EGO118"/>
      <c r="EGP118"/>
      <c r="EGQ118"/>
      <c r="EGR118"/>
      <c r="EGS118"/>
      <c r="EGT118"/>
      <c r="EGU118"/>
      <c r="EGV118"/>
      <c r="EGW118"/>
      <c r="EGX118"/>
      <c r="EGY118"/>
      <c r="EGZ118"/>
      <c r="EHA118"/>
      <c r="EHB118"/>
      <c r="EHC118"/>
      <c r="EHD118"/>
      <c r="EHE118"/>
      <c r="EHF118"/>
      <c r="EHG118"/>
      <c r="EHH118"/>
      <c r="EHI118"/>
      <c r="EHJ118"/>
      <c r="EHK118"/>
      <c r="EHL118"/>
      <c r="EHM118"/>
      <c r="EHN118"/>
      <c r="EHO118"/>
      <c r="EHP118"/>
      <c r="EHQ118"/>
      <c r="EHR118"/>
      <c r="EHS118"/>
      <c r="EHT118"/>
      <c r="EHU118"/>
      <c r="EHV118"/>
      <c r="EHW118"/>
      <c r="EHX118"/>
      <c r="EHY118"/>
      <c r="EHZ118"/>
      <c r="EIA118"/>
      <c r="EIB118"/>
      <c r="EIC118"/>
      <c r="EID118"/>
      <c r="EIE118"/>
      <c r="EIF118"/>
      <c r="EIG118"/>
      <c r="EIH118"/>
      <c r="EII118"/>
      <c r="EIJ118"/>
      <c r="EIK118"/>
      <c r="EIL118"/>
      <c r="EIM118"/>
      <c r="EIN118"/>
      <c r="EIO118"/>
      <c r="EIP118"/>
      <c r="EIQ118"/>
      <c r="EIR118"/>
      <c r="EIS118"/>
      <c r="EIT118"/>
      <c r="EIU118"/>
      <c r="EIV118"/>
      <c r="EIW118"/>
      <c r="EIX118"/>
      <c r="EIY118"/>
      <c r="EIZ118"/>
      <c r="EJA118"/>
      <c r="EJB118"/>
      <c r="EJC118"/>
      <c r="EJD118"/>
      <c r="EJE118"/>
      <c r="EJF118"/>
      <c r="EJG118"/>
      <c r="EJH118"/>
      <c r="EJI118"/>
      <c r="EJJ118"/>
      <c r="EJK118"/>
      <c r="EJL118"/>
      <c r="EJM118"/>
      <c r="EJN118"/>
      <c r="EJO118"/>
      <c r="EJP118"/>
      <c r="EJQ118"/>
      <c r="EJR118"/>
      <c r="EJS118"/>
      <c r="EJT118"/>
      <c r="EJU118"/>
      <c r="EJV118"/>
      <c r="EJW118"/>
      <c r="EJX118"/>
      <c r="EJY118"/>
      <c r="EJZ118"/>
      <c r="EKA118"/>
      <c r="EKB118"/>
      <c r="EKC118"/>
      <c r="EKD118"/>
      <c r="EKE118"/>
      <c r="EKF118"/>
      <c r="EKG118"/>
      <c r="EKH118"/>
      <c r="EKI118"/>
      <c r="EKJ118"/>
      <c r="EKK118"/>
      <c r="EKL118"/>
      <c r="EKM118"/>
      <c r="EKN118"/>
      <c r="EKO118"/>
      <c r="EKP118"/>
      <c r="EKQ118"/>
      <c r="EKR118"/>
      <c r="EKS118"/>
      <c r="EKT118"/>
      <c r="EKU118"/>
      <c r="EKV118"/>
      <c r="EKW118"/>
      <c r="EKX118"/>
      <c r="EKY118"/>
      <c r="EKZ118"/>
      <c r="ELA118"/>
      <c r="ELB118"/>
      <c r="ELC118"/>
      <c r="ELD118"/>
      <c r="ELE118"/>
      <c r="ELF118"/>
      <c r="ELG118"/>
      <c r="ELH118"/>
      <c r="ELI118"/>
      <c r="ELJ118"/>
      <c r="ELK118"/>
      <c r="ELL118"/>
      <c r="ELM118"/>
      <c r="ELN118"/>
      <c r="ELO118"/>
      <c r="ELP118"/>
      <c r="ELQ118"/>
      <c r="ELR118"/>
      <c r="ELS118"/>
      <c r="ELT118"/>
      <c r="ELU118"/>
      <c r="ELV118"/>
      <c r="ELW118"/>
      <c r="ELX118"/>
      <c r="ELY118"/>
      <c r="ELZ118"/>
      <c r="EMA118"/>
      <c r="EMB118"/>
      <c r="EMC118"/>
      <c r="EMD118"/>
      <c r="EME118"/>
      <c r="EMF118"/>
      <c r="EMG118"/>
      <c r="EMH118"/>
      <c r="EMI118"/>
      <c r="EMJ118"/>
      <c r="EMK118"/>
      <c r="EML118"/>
      <c r="EMM118"/>
      <c r="EMN118"/>
      <c r="EMO118"/>
      <c r="EMP118"/>
      <c r="EMQ118"/>
      <c r="EMR118"/>
      <c r="EMS118"/>
      <c r="EMT118"/>
      <c r="EMU118"/>
      <c r="EMV118"/>
      <c r="EMW118"/>
      <c r="EMX118"/>
      <c r="EMY118"/>
      <c r="EMZ118"/>
      <c r="ENA118"/>
      <c r="ENB118"/>
      <c r="ENC118"/>
      <c r="END118"/>
      <c r="ENE118"/>
      <c r="ENF118"/>
      <c r="ENG118"/>
      <c r="ENH118"/>
      <c r="ENI118"/>
      <c r="ENJ118"/>
      <c r="ENK118"/>
      <c r="ENL118"/>
      <c r="ENM118"/>
      <c r="ENN118"/>
      <c r="ENO118"/>
      <c r="ENP118"/>
      <c r="ENQ118"/>
      <c r="ENR118"/>
      <c r="ENS118"/>
      <c r="ENT118"/>
      <c r="ENU118"/>
      <c r="ENV118"/>
      <c r="ENW118"/>
      <c r="ENX118"/>
      <c r="ENY118"/>
      <c r="ENZ118"/>
      <c r="EOA118"/>
      <c r="EOB118"/>
      <c r="EOC118"/>
      <c r="EOD118"/>
      <c r="EOE118"/>
      <c r="EOF118"/>
      <c r="EOG118"/>
      <c r="EOH118"/>
      <c r="EOI118"/>
      <c r="EOJ118"/>
      <c r="EOK118"/>
      <c r="EOL118"/>
      <c r="EOM118"/>
      <c r="EON118"/>
      <c r="EOO118"/>
      <c r="EOP118"/>
      <c r="EOQ118"/>
      <c r="EOR118"/>
      <c r="EOS118"/>
      <c r="EOT118"/>
      <c r="EOU118"/>
      <c r="EOV118"/>
      <c r="EOW118"/>
      <c r="EOX118"/>
      <c r="EOY118"/>
      <c r="EOZ118"/>
      <c r="EPA118"/>
      <c r="EPB118"/>
      <c r="EPC118"/>
      <c r="EPD118"/>
      <c r="EPE118"/>
      <c r="EPF118"/>
      <c r="EPG118"/>
      <c r="EPH118"/>
      <c r="EPI118"/>
      <c r="EPJ118"/>
      <c r="EPK118"/>
      <c r="EPL118"/>
      <c r="EPM118"/>
      <c r="EPN118"/>
      <c r="EPO118"/>
      <c r="EPP118"/>
      <c r="EPQ118"/>
      <c r="EPR118"/>
      <c r="EPS118"/>
      <c r="EPT118"/>
      <c r="EPU118"/>
      <c r="EPV118"/>
      <c r="EPW118"/>
      <c r="EPX118"/>
      <c r="EPY118"/>
      <c r="EPZ118"/>
      <c r="EQA118"/>
      <c r="EQB118"/>
      <c r="EQC118"/>
      <c r="EQD118"/>
      <c r="EQE118"/>
      <c r="EQF118"/>
      <c r="EQG118"/>
      <c r="EQH118"/>
      <c r="EQI118"/>
      <c r="EQJ118"/>
      <c r="EQK118"/>
      <c r="EQL118"/>
      <c r="EQM118"/>
      <c r="EQN118"/>
      <c r="EQO118"/>
      <c r="EQP118"/>
      <c r="EQQ118"/>
      <c r="EQR118"/>
      <c r="EQS118"/>
      <c r="EQT118"/>
      <c r="EQU118"/>
      <c r="EQV118"/>
      <c r="EQW118"/>
      <c r="EQX118"/>
      <c r="EQY118"/>
      <c r="EQZ118"/>
      <c r="ERA118"/>
      <c r="ERB118"/>
      <c r="ERC118"/>
      <c r="ERD118"/>
      <c r="ERE118"/>
      <c r="ERF118"/>
      <c r="ERG118"/>
      <c r="ERH118"/>
      <c r="ERI118"/>
      <c r="ERJ118"/>
      <c r="ERK118"/>
      <c r="ERL118"/>
      <c r="ERM118"/>
      <c r="ERN118"/>
      <c r="ERO118"/>
      <c r="ERP118"/>
      <c r="ERQ118"/>
      <c r="ERR118"/>
      <c r="ERS118"/>
      <c r="ERT118"/>
      <c r="ERU118"/>
      <c r="ERV118"/>
      <c r="ERW118"/>
      <c r="ERX118"/>
      <c r="ERY118"/>
      <c r="ERZ118"/>
      <c r="ESA118"/>
      <c r="ESB118"/>
      <c r="ESC118"/>
      <c r="ESD118"/>
      <c r="ESE118"/>
      <c r="ESF118"/>
      <c r="ESG118"/>
      <c r="ESH118"/>
      <c r="ESI118"/>
      <c r="ESJ118"/>
      <c r="ESK118"/>
      <c r="ESL118"/>
      <c r="ESM118"/>
      <c r="ESN118"/>
      <c r="ESO118"/>
      <c r="ESP118"/>
      <c r="ESQ118"/>
      <c r="ESR118"/>
      <c r="ESS118"/>
      <c r="EST118"/>
      <c r="ESU118"/>
      <c r="ESV118"/>
      <c r="ESW118"/>
      <c r="ESX118"/>
      <c r="ESY118"/>
      <c r="ESZ118"/>
      <c r="ETA118"/>
      <c r="ETB118"/>
      <c r="ETC118"/>
      <c r="ETD118"/>
      <c r="ETE118"/>
      <c r="ETF118"/>
      <c r="ETG118"/>
      <c r="ETH118"/>
      <c r="ETI118"/>
      <c r="ETJ118"/>
      <c r="ETK118"/>
      <c r="ETL118"/>
      <c r="ETM118"/>
      <c r="ETN118"/>
      <c r="ETO118"/>
      <c r="ETP118"/>
      <c r="ETQ118"/>
      <c r="ETR118"/>
      <c r="ETS118"/>
      <c r="ETT118"/>
      <c r="ETU118"/>
      <c r="ETV118"/>
      <c r="ETW118"/>
      <c r="ETX118"/>
      <c r="ETY118"/>
      <c r="ETZ118"/>
      <c r="EUA118"/>
      <c r="EUB118"/>
      <c r="EUC118"/>
      <c r="EUD118"/>
      <c r="EUE118"/>
      <c r="EUF118"/>
      <c r="EUG118"/>
      <c r="EUH118"/>
      <c r="EUI118"/>
      <c r="EUJ118"/>
      <c r="EUK118"/>
      <c r="EUL118"/>
      <c r="EUM118"/>
      <c r="EUN118"/>
      <c r="EUO118"/>
      <c r="EUP118"/>
      <c r="EUQ118"/>
      <c r="EUR118"/>
      <c r="EUS118"/>
      <c r="EUT118"/>
      <c r="EUU118"/>
      <c r="EUV118"/>
      <c r="EUW118"/>
      <c r="EUX118"/>
      <c r="EUY118"/>
      <c r="EUZ118"/>
      <c r="EVA118"/>
      <c r="EVB118"/>
      <c r="EVC118"/>
      <c r="EVD118"/>
      <c r="EVE118"/>
      <c r="EVF118"/>
      <c r="EVG118"/>
      <c r="EVH118"/>
      <c r="EVI118"/>
      <c r="EVJ118"/>
      <c r="EVK118"/>
      <c r="EVL118"/>
      <c r="EVM118"/>
      <c r="EVN118"/>
      <c r="EVO118"/>
      <c r="EVP118"/>
      <c r="EVQ118"/>
      <c r="EVR118"/>
      <c r="EVS118"/>
      <c r="EVT118"/>
      <c r="EVU118"/>
      <c r="EVV118"/>
      <c r="EVW118"/>
      <c r="EVX118"/>
      <c r="EVY118"/>
      <c r="EVZ118"/>
      <c r="EWA118"/>
      <c r="EWB118"/>
      <c r="EWC118"/>
      <c r="EWD118"/>
      <c r="EWE118"/>
      <c r="EWF118"/>
      <c r="EWG118"/>
      <c r="EWH118"/>
      <c r="EWI118"/>
      <c r="EWJ118"/>
      <c r="EWK118"/>
      <c r="EWL118"/>
      <c r="EWM118"/>
      <c r="EWN118"/>
      <c r="EWO118"/>
      <c r="EWP118"/>
      <c r="EWQ118"/>
      <c r="EWR118"/>
      <c r="EWS118"/>
      <c r="EWT118"/>
      <c r="EWU118"/>
      <c r="EWV118"/>
      <c r="EWW118"/>
      <c r="EWX118"/>
      <c r="EWY118"/>
      <c r="EWZ118"/>
      <c r="EXA118"/>
      <c r="EXB118"/>
      <c r="EXC118"/>
      <c r="EXD118"/>
      <c r="EXE118"/>
      <c r="EXF118"/>
      <c r="EXG118"/>
      <c r="EXH118"/>
      <c r="EXI118"/>
      <c r="EXJ118"/>
      <c r="EXK118"/>
      <c r="EXL118"/>
      <c r="EXM118"/>
      <c r="EXN118"/>
      <c r="EXO118"/>
      <c r="EXP118"/>
      <c r="EXQ118"/>
      <c r="EXR118"/>
      <c r="EXS118"/>
      <c r="EXT118"/>
      <c r="EXU118"/>
      <c r="EXV118"/>
      <c r="EXW118"/>
      <c r="EXX118"/>
      <c r="EXY118"/>
      <c r="EXZ118"/>
      <c r="EYA118"/>
      <c r="EYB118"/>
      <c r="EYC118"/>
      <c r="EYD118"/>
      <c r="EYE118"/>
      <c r="EYF118"/>
      <c r="EYG118"/>
      <c r="EYH118"/>
      <c r="EYI118"/>
      <c r="EYJ118"/>
      <c r="EYK118"/>
      <c r="EYL118"/>
      <c r="EYM118"/>
      <c r="EYN118"/>
      <c r="EYO118"/>
      <c r="EYP118"/>
      <c r="EYQ118"/>
      <c r="EYR118"/>
      <c r="EYS118"/>
      <c r="EYT118"/>
      <c r="EYU118"/>
      <c r="EYV118"/>
      <c r="EYW118"/>
      <c r="EYX118"/>
      <c r="EYY118"/>
      <c r="EYZ118"/>
      <c r="EZA118"/>
      <c r="EZB118"/>
      <c r="EZC118"/>
      <c r="EZD118"/>
      <c r="EZE118"/>
      <c r="EZF118"/>
      <c r="EZG118"/>
      <c r="EZH118"/>
      <c r="EZI118"/>
      <c r="EZJ118"/>
      <c r="EZK118"/>
      <c r="EZL118"/>
      <c r="EZM118"/>
      <c r="EZN118"/>
      <c r="EZO118"/>
      <c r="EZP118"/>
      <c r="EZQ118"/>
      <c r="EZR118"/>
      <c r="EZS118"/>
      <c r="EZT118"/>
      <c r="EZU118"/>
      <c r="EZV118"/>
      <c r="EZW118"/>
      <c r="EZX118"/>
      <c r="EZY118"/>
      <c r="EZZ118"/>
      <c r="FAA118"/>
      <c r="FAB118"/>
      <c r="FAC118"/>
      <c r="FAD118"/>
      <c r="FAE118"/>
      <c r="FAF118"/>
      <c r="FAG118"/>
      <c r="FAH118"/>
      <c r="FAI118"/>
      <c r="FAJ118"/>
      <c r="FAK118"/>
      <c r="FAL118"/>
      <c r="FAM118"/>
      <c r="FAN118"/>
      <c r="FAO118"/>
      <c r="FAP118"/>
      <c r="FAQ118"/>
      <c r="FAR118"/>
      <c r="FAS118"/>
      <c r="FAT118"/>
      <c r="FAU118"/>
      <c r="FAV118"/>
      <c r="FAW118"/>
      <c r="FAX118"/>
      <c r="FAY118"/>
      <c r="FAZ118"/>
      <c r="FBA118"/>
      <c r="FBB118"/>
      <c r="FBC118"/>
      <c r="FBD118"/>
      <c r="FBE118"/>
      <c r="FBF118"/>
      <c r="FBG118"/>
      <c r="FBH118"/>
      <c r="FBI118"/>
      <c r="FBJ118"/>
      <c r="FBK118"/>
      <c r="FBL118"/>
      <c r="FBM118"/>
      <c r="FBN118"/>
      <c r="FBO118"/>
      <c r="FBP118"/>
      <c r="FBQ118"/>
      <c r="FBR118"/>
      <c r="FBS118"/>
      <c r="FBT118"/>
      <c r="FBU118"/>
      <c r="FBV118"/>
      <c r="FBW118"/>
      <c r="FBX118"/>
      <c r="FBY118"/>
      <c r="FBZ118"/>
      <c r="FCA118"/>
      <c r="FCB118"/>
      <c r="FCC118"/>
      <c r="FCD118"/>
      <c r="FCE118"/>
      <c r="FCF118"/>
      <c r="FCG118"/>
      <c r="FCH118"/>
      <c r="FCI118"/>
      <c r="FCJ118"/>
      <c r="FCK118"/>
      <c r="FCL118"/>
      <c r="FCM118"/>
      <c r="FCN118"/>
      <c r="FCO118"/>
      <c r="FCP118"/>
      <c r="FCQ118"/>
      <c r="FCR118"/>
      <c r="FCS118"/>
      <c r="FCT118"/>
      <c r="FCU118"/>
      <c r="FCV118"/>
      <c r="FCW118"/>
      <c r="FCX118"/>
      <c r="FCY118"/>
      <c r="FCZ118"/>
      <c r="FDA118"/>
      <c r="FDB118"/>
      <c r="FDC118"/>
      <c r="FDD118"/>
      <c r="FDE118"/>
      <c r="FDF118"/>
      <c r="FDG118"/>
      <c r="FDH118"/>
      <c r="FDI118"/>
      <c r="FDJ118"/>
      <c r="FDK118"/>
      <c r="FDL118"/>
      <c r="FDM118"/>
      <c r="FDN118"/>
      <c r="FDO118"/>
      <c r="FDP118"/>
      <c r="FDQ118"/>
      <c r="FDR118"/>
      <c r="FDS118"/>
      <c r="FDT118"/>
      <c r="FDU118"/>
      <c r="FDV118"/>
      <c r="FDW118"/>
      <c r="FDX118"/>
      <c r="FDY118"/>
      <c r="FDZ118"/>
      <c r="FEA118"/>
      <c r="FEB118"/>
      <c r="FEC118"/>
      <c r="FED118"/>
      <c r="FEE118"/>
      <c r="FEF118"/>
      <c r="FEG118"/>
      <c r="FEH118"/>
      <c r="FEI118"/>
      <c r="FEJ118"/>
      <c r="FEK118"/>
      <c r="FEL118"/>
      <c r="FEM118"/>
      <c r="FEN118"/>
      <c r="FEO118"/>
      <c r="FEP118"/>
      <c r="FEQ118"/>
      <c r="FER118"/>
      <c r="FES118"/>
      <c r="FET118"/>
      <c r="FEU118"/>
      <c r="FEV118"/>
      <c r="FEW118"/>
      <c r="FEX118"/>
      <c r="FEY118"/>
      <c r="FEZ118"/>
      <c r="FFA118"/>
      <c r="FFB118"/>
      <c r="FFC118"/>
      <c r="FFD118"/>
      <c r="FFE118"/>
      <c r="FFF118"/>
      <c r="FFG118"/>
      <c r="FFH118"/>
      <c r="FFI118"/>
      <c r="FFJ118"/>
      <c r="FFK118"/>
      <c r="FFL118"/>
      <c r="FFM118"/>
      <c r="FFN118"/>
      <c r="FFO118"/>
      <c r="FFP118"/>
      <c r="FFQ118"/>
      <c r="FFR118"/>
      <c r="FFS118"/>
      <c r="FFT118"/>
      <c r="FFU118"/>
      <c r="FFV118"/>
      <c r="FFW118"/>
      <c r="FFX118"/>
      <c r="FFY118"/>
      <c r="FFZ118"/>
      <c r="FGA118"/>
      <c r="FGB118"/>
      <c r="FGC118"/>
      <c r="FGD118"/>
      <c r="FGE118"/>
      <c r="FGF118"/>
      <c r="FGG118"/>
      <c r="FGH118"/>
      <c r="FGI118"/>
      <c r="FGJ118"/>
      <c r="FGK118"/>
      <c r="FGL118"/>
      <c r="FGM118"/>
      <c r="FGN118"/>
      <c r="FGO118"/>
      <c r="FGP118"/>
      <c r="FGQ118"/>
      <c r="FGR118"/>
      <c r="FGS118"/>
      <c r="FGT118"/>
      <c r="FGU118"/>
      <c r="FGV118"/>
      <c r="FGW118"/>
      <c r="FGX118"/>
      <c r="FGY118"/>
      <c r="FGZ118"/>
      <c r="FHA118"/>
      <c r="FHB118"/>
      <c r="FHC118"/>
      <c r="FHD118"/>
      <c r="FHE118"/>
      <c r="FHF118"/>
      <c r="FHG118"/>
      <c r="FHH118"/>
      <c r="FHI118"/>
      <c r="FHJ118"/>
      <c r="FHK118"/>
      <c r="FHL118"/>
      <c r="FHM118"/>
      <c r="FHN118"/>
      <c r="FHO118"/>
      <c r="FHP118"/>
      <c r="FHQ118"/>
      <c r="FHR118"/>
      <c r="FHS118"/>
      <c r="FHT118"/>
      <c r="FHU118"/>
      <c r="FHV118"/>
      <c r="FHW118"/>
      <c r="FHX118"/>
      <c r="FHY118"/>
      <c r="FHZ118"/>
      <c r="FIA118"/>
      <c r="FIB118"/>
      <c r="FIC118"/>
      <c r="FID118"/>
      <c r="FIE118"/>
      <c r="FIF118"/>
      <c r="FIG118"/>
      <c r="FIH118"/>
      <c r="FII118"/>
      <c r="FIJ118"/>
      <c r="FIK118"/>
      <c r="FIL118"/>
      <c r="FIM118"/>
      <c r="FIN118"/>
      <c r="FIO118"/>
      <c r="FIP118"/>
      <c r="FIQ118"/>
      <c r="FIR118"/>
      <c r="FIS118"/>
      <c r="FIT118"/>
      <c r="FIU118"/>
      <c r="FIV118"/>
      <c r="FIW118"/>
      <c r="FIX118"/>
      <c r="FIY118"/>
      <c r="FIZ118"/>
      <c r="FJA118"/>
      <c r="FJB118"/>
      <c r="FJC118"/>
      <c r="FJD118"/>
      <c r="FJE118"/>
      <c r="FJF118"/>
      <c r="FJG118"/>
      <c r="FJH118"/>
      <c r="FJI118"/>
      <c r="FJJ118"/>
      <c r="FJK118"/>
      <c r="FJL118"/>
      <c r="FJM118"/>
      <c r="FJN118"/>
      <c r="FJO118"/>
      <c r="FJP118"/>
      <c r="FJQ118"/>
      <c r="FJR118"/>
      <c r="FJS118"/>
      <c r="FJT118"/>
      <c r="FJU118"/>
      <c r="FJV118"/>
      <c r="FJW118"/>
      <c r="FJX118"/>
      <c r="FJY118"/>
      <c r="FJZ118"/>
      <c r="FKA118"/>
      <c r="FKB118"/>
      <c r="FKC118"/>
      <c r="FKD118"/>
      <c r="FKE118"/>
      <c r="FKF118"/>
      <c r="FKG118"/>
      <c r="FKH118"/>
      <c r="FKI118"/>
      <c r="FKJ118"/>
      <c r="FKK118"/>
      <c r="FKL118"/>
      <c r="FKM118"/>
      <c r="FKN118"/>
      <c r="FKO118"/>
      <c r="FKP118"/>
      <c r="FKQ118"/>
      <c r="FKR118"/>
      <c r="FKS118"/>
      <c r="FKT118"/>
      <c r="FKU118"/>
      <c r="FKV118"/>
      <c r="FKW118"/>
      <c r="FKX118"/>
      <c r="FKY118"/>
      <c r="FKZ118"/>
      <c r="FLA118"/>
      <c r="FLB118"/>
      <c r="FLC118"/>
      <c r="FLD118"/>
      <c r="FLE118"/>
      <c r="FLF118"/>
      <c r="FLG118"/>
      <c r="FLH118"/>
      <c r="FLI118"/>
      <c r="FLJ118"/>
      <c r="FLK118"/>
      <c r="FLL118"/>
      <c r="FLM118"/>
      <c r="FLN118"/>
      <c r="FLO118"/>
      <c r="FLP118"/>
      <c r="FLQ118"/>
      <c r="FLR118"/>
      <c r="FLS118"/>
      <c r="FLT118"/>
      <c r="FLU118"/>
      <c r="FLV118"/>
      <c r="FLW118"/>
      <c r="FLX118"/>
      <c r="FLY118"/>
      <c r="FLZ118"/>
      <c r="FMA118"/>
      <c r="FMB118"/>
      <c r="FMC118"/>
      <c r="FMD118"/>
      <c r="FME118"/>
      <c r="FMF118"/>
      <c r="FMG118"/>
      <c r="FMH118"/>
      <c r="FMI118"/>
      <c r="FMJ118"/>
      <c r="FMK118"/>
      <c r="FML118"/>
      <c r="FMM118"/>
      <c r="FMN118"/>
      <c r="FMO118"/>
      <c r="FMP118"/>
      <c r="FMQ118"/>
      <c r="FMR118"/>
      <c r="FMS118"/>
      <c r="FMT118"/>
      <c r="FMU118"/>
      <c r="FMV118"/>
      <c r="FMW118"/>
      <c r="FMX118"/>
      <c r="FMY118"/>
      <c r="FMZ118"/>
      <c r="FNA118"/>
      <c r="FNB118"/>
      <c r="FNC118"/>
      <c r="FND118"/>
      <c r="FNE118"/>
      <c r="FNF118"/>
      <c r="FNG118"/>
      <c r="FNH118"/>
      <c r="FNI118"/>
      <c r="FNJ118"/>
      <c r="FNK118"/>
      <c r="FNL118"/>
      <c r="FNM118"/>
      <c r="FNN118"/>
      <c r="FNO118"/>
      <c r="FNP118"/>
      <c r="FNQ118"/>
      <c r="FNR118"/>
      <c r="FNS118"/>
      <c r="FNT118"/>
      <c r="FNU118"/>
      <c r="FNV118"/>
      <c r="FNW118"/>
      <c r="FNX118"/>
      <c r="FNY118"/>
      <c r="FNZ118"/>
      <c r="FOA118"/>
      <c r="FOB118"/>
      <c r="FOC118"/>
      <c r="FOD118"/>
      <c r="FOE118"/>
      <c r="FOF118"/>
      <c r="FOG118"/>
      <c r="FOH118"/>
      <c r="FOI118"/>
      <c r="FOJ118"/>
      <c r="FOK118"/>
      <c r="FOL118"/>
      <c r="FOM118"/>
      <c r="FON118"/>
      <c r="FOO118"/>
      <c r="FOP118"/>
      <c r="FOQ118"/>
      <c r="FOR118"/>
      <c r="FOS118"/>
      <c r="FOT118"/>
      <c r="FOU118"/>
      <c r="FOV118"/>
      <c r="FOW118"/>
      <c r="FOX118"/>
      <c r="FOY118"/>
      <c r="FOZ118"/>
      <c r="FPA118"/>
      <c r="FPB118"/>
      <c r="FPC118"/>
      <c r="FPD118"/>
      <c r="FPE118"/>
      <c r="FPF118"/>
      <c r="FPG118"/>
      <c r="FPH118"/>
      <c r="FPI118"/>
      <c r="FPJ118"/>
      <c r="FPK118"/>
      <c r="FPL118"/>
      <c r="FPM118"/>
      <c r="FPN118"/>
      <c r="FPO118"/>
      <c r="FPP118"/>
      <c r="FPQ118"/>
      <c r="FPR118"/>
      <c r="FPS118"/>
      <c r="FPT118"/>
      <c r="FPU118"/>
      <c r="FPV118"/>
      <c r="FPW118"/>
      <c r="FPX118"/>
      <c r="FPY118"/>
      <c r="FPZ118"/>
      <c r="FQA118"/>
      <c r="FQB118"/>
      <c r="FQC118"/>
      <c r="FQD118"/>
      <c r="FQE118"/>
      <c r="FQF118"/>
      <c r="FQG118"/>
      <c r="FQH118"/>
      <c r="FQI118"/>
      <c r="FQJ118"/>
      <c r="FQK118"/>
      <c r="FQL118"/>
      <c r="FQM118"/>
      <c r="FQN118"/>
      <c r="FQO118"/>
      <c r="FQP118"/>
      <c r="FQQ118"/>
      <c r="FQR118"/>
      <c r="FQS118"/>
      <c r="FQT118"/>
      <c r="FQU118"/>
      <c r="FQV118"/>
      <c r="FQW118"/>
      <c r="FQX118"/>
      <c r="FQY118"/>
      <c r="FQZ118"/>
      <c r="FRA118"/>
      <c r="FRB118"/>
      <c r="FRC118"/>
      <c r="FRD118"/>
      <c r="FRE118"/>
      <c r="FRF118"/>
      <c r="FRG118"/>
      <c r="FRH118"/>
      <c r="FRI118"/>
      <c r="FRJ118"/>
      <c r="FRK118"/>
      <c r="FRL118"/>
      <c r="FRM118"/>
      <c r="FRN118"/>
      <c r="FRO118"/>
      <c r="FRP118"/>
      <c r="FRQ118"/>
      <c r="FRR118"/>
      <c r="FRS118"/>
      <c r="FRT118"/>
      <c r="FRU118"/>
      <c r="FRV118"/>
      <c r="FRW118"/>
      <c r="FRX118"/>
      <c r="FRY118"/>
      <c r="FRZ118"/>
      <c r="FSA118"/>
      <c r="FSB118"/>
      <c r="FSC118"/>
      <c r="FSD118"/>
      <c r="FSE118"/>
      <c r="FSF118"/>
      <c r="FSG118"/>
      <c r="FSH118"/>
      <c r="FSI118"/>
      <c r="FSJ118"/>
      <c r="FSK118"/>
      <c r="FSL118"/>
      <c r="FSM118"/>
      <c r="FSN118"/>
      <c r="FSO118"/>
      <c r="FSP118"/>
      <c r="FSQ118"/>
      <c r="FSR118"/>
      <c r="FSS118"/>
      <c r="FST118"/>
      <c r="FSU118"/>
      <c r="FSV118"/>
      <c r="FSW118"/>
      <c r="FSX118"/>
      <c r="FSY118"/>
      <c r="FSZ118"/>
      <c r="FTA118"/>
      <c r="FTB118"/>
      <c r="FTC118"/>
      <c r="FTD118"/>
      <c r="FTE118"/>
      <c r="FTF118"/>
      <c r="FTG118"/>
      <c r="FTH118"/>
      <c r="FTI118"/>
      <c r="FTJ118"/>
      <c r="FTK118"/>
      <c r="FTL118"/>
      <c r="FTM118"/>
      <c r="FTN118"/>
      <c r="FTO118"/>
      <c r="FTP118"/>
      <c r="FTQ118"/>
      <c r="FTR118"/>
      <c r="FTS118"/>
      <c r="FTT118"/>
      <c r="FTU118"/>
      <c r="FTV118"/>
      <c r="FTW118"/>
      <c r="FTX118"/>
      <c r="FTY118"/>
      <c r="FTZ118"/>
      <c r="FUA118"/>
      <c r="FUB118"/>
      <c r="FUC118"/>
      <c r="FUD118"/>
      <c r="FUE118"/>
      <c r="FUF118"/>
      <c r="FUG118"/>
      <c r="FUH118"/>
      <c r="FUI118"/>
      <c r="FUJ118"/>
      <c r="FUK118"/>
      <c r="FUL118"/>
      <c r="FUM118"/>
      <c r="FUN118"/>
      <c r="FUO118"/>
      <c r="FUP118"/>
      <c r="FUQ118"/>
      <c r="FUR118"/>
      <c r="FUS118"/>
      <c r="FUT118"/>
      <c r="FUU118"/>
      <c r="FUV118"/>
      <c r="FUW118"/>
      <c r="FUX118"/>
      <c r="FUY118"/>
      <c r="FUZ118"/>
      <c r="FVA118"/>
      <c r="FVB118"/>
      <c r="FVC118"/>
      <c r="FVD118"/>
      <c r="FVE118"/>
      <c r="FVF118"/>
      <c r="FVG118"/>
      <c r="FVH118"/>
      <c r="FVI118"/>
      <c r="FVJ118"/>
      <c r="FVK118"/>
      <c r="FVL118"/>
      <c r="FVM118"/>
      <c r="FVN118"/>
      <c r="FVO118"/>
      <c r="FVP118"/>
      <c r="FVQ118"/>
      <c r="FVR118"/>
      <c r="FVS118"/>
      <c r="FVT118"/>
      <c r="FVU118"/>
      <c r="FVV118"/>
      <c r="FVW118"/>
      <c r="FVX118"/>
      <c r="FVY118"/>
      <c r="FVZ118"/>
      <c r="FWA118"/>
      <c r="FWB118"/>
      <c r="FWC118"/>
      <c r="FWD118"/>
      <c r="FWE118"/>
      <c r="FWF118"/>
      <c r="FWG118"/>
      <c r="FWH118"/>
      <c r="FWI118"/>
      <c r="FWJ118"/>
      <c r="FWK118"/>
      <c r="FWL118"/>
      <c r="FWM118"/>
      <c r="FWN118"/>
      <c r="FWO118"/>
      <c r="FWP118"/>
      <c r="FWQ118"/>
      <c r="FWR118"/>
      <c r="FWS118"/>
      <c r="FWT118"/>
      <c r="FWU118"/>
      <c r="FWV118"/>
      <c r="FWW118"/>
      <c r="FWX118"/>
      <c r="FWY118"/>
      <c r="FWZ118"/>
      <c r="FXA118"/>
      <c r="FXB118"/>
      <c r="FXC118"/>
      <c r="FXD118"/>
      <c r="FXE118"/>
      <c r="FXF118"/>
      <c r="FXG118"/>
      <c r="FXH118"/>
      <c r="FXI118"/>
      <c r="FXJ118"/>
      <c r="FXK118"/>
      <c r="FXL118"/>
      <c r="FXM118"/>
      <c r="FXN118"/>
      <c r="FXO118"/>
      <c r="FXP118"/>
      <c r="FXQ118"/>
      <c r="FXR118"/>
      <c r="FXS118"/>
      <c r="FXT118"/>
      <c r="FXU118"/>
      <c r="FXV118"/>
      <c r="FXW118"/>
      <c r="FXX118"/>
      <c r="FXY118"/>
      <c r="FXZ118"/>
      <c r="FYA118"/>
      <c r="FYB118"/>
      <c r="FYC118"/>
      <c r="FYD118"/>
      <c r="FYE118"/>
      <c r="FYF118"/>
      <c r="FYG118"/>
      <c r="FYH118"/>
      <c r="FYI118"/>
      <c r="FYJ118"/>
      <c r="FYK118"/>
      <c r="FYL118"/>
      <c r="FYM118"/>
      <c r="FYN118"/>
      <c r="FYO118"/>
      <c r="FYP118"/>
      <c r="FYQ118"/>
      <c r="FYR118"/>
      <c r="FYS118"/>
      <c r="FYT118"/>
      <c r="FYU118"/>
      <c r="FYV118"/>
      <c r="FYW118"/>
      <c r="FYX118"/>
      <c r="FYY118"/>
      <c r="FYZ118"/>
      <c r="FZA118"/>
      <c r="FZB118"/>
      <c r="FZC118"/>
      <c r="FZD118"/>
      <c r="FZE118"/>
      <c r="FZF118"/>
      <c r="FZG118"/>
      <c r="FZH118"/>
      <c r="FZI118"/>
      <c r="FZJ118"/>
      <c r="FZK118"/>
      <c r="FZL118"/>
      <c r="FZM118"/>
      <c r="FZN118"/>
      <c r="FZO118"/>
      <c r="FZP118"/>
      <c r="FZQ118"/>
      <c r="FZR118"/>
      <c r="FZS118"/>
      <c r="FZT118"/>
      <c r="FZU118"/>
      <c r="FZV118"/>
      <c r="FZW118"/>
      <c r="FZX118"/>
      <c r="FZY118"/>
      <c r="FZZ118"/>
      <c r="GAA118"/>
      <c r="GAB118"/>
      <c r="GAC118"/>
      <c r="GAD118"/>
      <c r="GAE118"/>
      <c r="GAF118"/>
      <c r="GAG118"/>
      <c r="GAH118"/>
      <c r="GAI118"/>
      <c r="GAJ118"/>
      <c r="GAK118"/>
      <c r="GAL118"/>
      <c r="GAM118"/>
      <c r="GAN118"/>
      <c r="GAO118"/>
      <c r="GAP118"/>
      <c r="GAQ118"/>
      <c r="GAR118"/>
      <c r="GAS118"/>
      <c r="GAT118"/>
      <c r="GAU118"/>
      <c r="GAV118"/>
      <c r="GAW118"/>
      <c r="GAX118"/>
      <c r="GAY118"/>
      <c r="GAZ118"/>
      <c r="GBA118"/>
      <c r="GBB118"/>
      <c r="GBC118"/>
      <c r="GBD118"/>
      <c r="GBE118"/>
      <c r="GBF118"/>
      <c r="GBG118"/>
      <c r="GBH118"/>
      <c r="GBI118"/>
      <c r="GBJ118"/>
      <c r="GBK118"/>
      <c r="GBL118"/>
      <c r="GBM118"/>
      <c r="GBN118"/>
      <c r="GBO118"/>
      <c r="GBP118"/>
      <c r="GBQ118"/>
      <c r="GBR118"/>
      <c r="GBS118"/>
      <c r="GBT118"/>
      <c r="GBU118"/>
      <c r="GBV118"/>
      <c r="GBW118"/>
      <c r="GBX118"/>
      <c r="GBY118"/>
      <c r="GBZ118"/>
      <c r="GCA118"/>
      <c r="GCB118"/>
      <c r="GCC118"/>
      <c r="GCD118"/>
      <c r="GCE118"/>
      <c r="GCF118"/>
      <c r="GCG118"/>
      <c r="GCH118"/>
      <c r="GCI118"/>
      <c r="GCJ118"/>
      <c r="GCK118"/>
      <c r="GCL118"/>
      <c r="GCM118"/>
      <c r="GCN118"/>
      <c r="GCO118"/>
      <c r="GCP118"/>
      <c r="GCQ118"/>
      <c r="GCR118"/>
      <c r="GCS118"/>
      <c r="GCT118"/>
      <c r="GCU118"/>
      <c r="GCV118"/>
      <c r="GCW118"/>
      <c r="GCX118"/>
      <c r="GCY118"/>
      <c r="GCZ118"/>
      <c r="GDA118"/>
      <c r="GDB118"/>
      <c r="GDC118"/>
      <c r="GDD118"/>
      <c r="GDE118"/>
      <c r="GDF118"/>
      <c r="GDG118"/>
      <c r="GDH118"/>
      <c r="GDI118"/>
      <c r="GDJ118"/>
      <c r="GDK118"/>
      <c r="GDL118"/>
      <c r="GDM118"/>
      <c r="GDN118"/>
      <c r="GDO118"/>
      <c r="GDP118"/>
      <c r="GDQ118"/>
      <c r="GDR118"/>
      <c r="GDS118"/>
      <c r="GDT118"/>
      <c r="GDU118"/>
      <c r="GDV118"/>
      <c r="GDW118"/>
      <c r="GDX118"/>
      <c r="GDY118"/>
      <c r="GDZ118"/>
      <c r="GEA118"/>
      <c r="GEB118"/>
      <c r="GEC118"/>
      <c r="GED118"/>
      <c r="GEE118"/>
      <c r="GEF118"/>
      <c r="GEG118"/>
      <c r="GEH118"/>
      <c r="GEI118"/>
      <c r="GEJ118"/>
      <c r="GEK118"/>
      <c r="GEL118"/>
      <c r="GEM118"/>
      <c r="GEN118"/>
      <c r="GEO118"/>
      <c r="GEP118"/>
      <c r="GEQ118"/>
      <c r="GER118"/>
      <c r="GES118"/>
      <c r="GET118"/>
      <c r="GEU118"/>
      <c r="GEV118"/>
      <c r="GEW118"/>
      <c r="GEX118"/>
      <c r="GEY118"/>
      <c r="GEZ118"/>
      <c r="GFA118"/>
      <c r="GFB118"/>
      <c r="GFC118"/>
      <c r="GFD118"/>
      <c r="GFE118"/>
      <c r="GFF118"/>
      <c r="GFG118"/>
      <c r="GFH118"/>
      <c r="GFI118"/>
      <c r="GFJ118"/>
      <c r="GFK118"/>
      <c r="GFL118"/>
      <c r="GFM118"/>
      <c r="GFN118"/>
      <c r="GFO118"/>
      <c r="GFP118"/>
      <c r="GFQ118"/>
      <c r="GFR118"/>
      <c r="GFS118"/>
      <c r="GFT118"/>
      <c r="GFU118"/>
      <c r="GFV118"/>
      <c r="GFW118"/>
      <c r="GFX118"/>
      <c r="GFY118"/>
      <c r="GFZ118"/>
      <c r="GGA118"/>
      <c r="GGB118"/>
      <c r="GGC118"/>
      <c r="GGD118"/>
      <c r="GGE118"/>
      <c r="GGF118"/>
      <c r="GGG118"/>
      <c r="GGH118"/>
      <c r="GGI118"/>
      <c r="GGJ118"/>
      <c r="GGK118"/>
      <c r="GGL118"/>
      <c r="GGM118"/>
      <c r="GGN118"/>
      <c r="GGO118"/>
      <c r="GGP118"/>
      <c r="GGQ118"/>
      <c r="GGR118"/>
      <c r="GGS118"/>
      <c r="GGT118"/>
      <c r="GGU118"/>
      <c r="GGV118"/>
      <c r="GGW118"/>
      <c r="GGX118"/>
      <c r="GGY118"/>
      <c r="GGZ118"/>
      <c r="GHA118"/>
      <c r="GHB118"/>
      <c r="GHC118"/>
      <c r="GHD118"/>
      <c r="GHE118"/>
      <c r="GHF118"/>
      <c r="GHG118"/>
      <c r="GHH118"/>
      <c r="GHI118"/>
      <c r="GHJ118"/>
      <c r="GHK118"/>
      <c r="GHL118"/>
      <c r="GHM118"/>
      <c r="GHN118"/>
      <c r="GHO118"/>
      <c r="GHP118"/>
      <c r="GHQ118"/>
      <c r="GHR118"/>
      <c r="GHS118"/>
      <c r="GHT118"/>
      <c r="GHU118"/>
      <c r="GHV118"/>
      <c r="GHW118"/>
      <c r="GHX118"/>
      <c r="GHY118"/>
      <c r="GHZ118"/>
      <c r="GIA118"/>
      <c r="GIB118"/>
      <c r="GIC118"/>
      <c r="GID118"/>
      <c r="GIE118"/>
      <c r="GIF118"/>
      <c r="GIG118"/>
      <c r="GIH118"/>
      <c r="GII118"/>
      <c r="GIJ118"/>
      <c r="GIK118"/>
      <c r="GIL118"/>
      <c r="GIM118"/>
      <c r="GIN118"/>
      <c r="GIO118"/>
      <c r="GIP118"/>
      <c r="GIQ118"/>
      <c r="GIR118"/>
      <c r="GIS118"/>
      <c r="GIT118"/>
      <c r="GIU118"/>
      <c r="GIV118"/>
      <c r="GIW118"/>
      <c r="GIX118"/>
      <c r="GIY118"/>
      <c r="GIZ118"/>
      <c r="GJA118"/>
      <c r="GJB118"/>
      <c r="GJC118"/>
      <c r="GJD118"/>
      <c r="GJE118"/>
      <c r="GJF118"/>
      <c r="GJG118"/>
      <c r="GJH118"/>
      <c r="GJI118"/>
      <c r="GJJ118"/>
      <c r="GJK118"/>
      <c r="GJL118"/>
      <c r="GJM118"/>
      <c r="GJN118"/>
      <c r="GJO118"/>
      <c r="GJP118"/>
      <c r="GJQ118"/>
      <c r="GJR118"/>
      <c r="GJS118"/>
      <c r="GJT118"/>
      <c r="GJU118"/>
      <c r="GJV118"/>
      <c r="GJW118"/>
      <c r="GJX118"/>
      <c r="GJY118"/>
      <c r="GJZ118"/>
      <c r="GKA118"/>
      <c r="GKB118"/>
      <c r="GKC118"/>
      <c r="GKD118"/>
      <c r="GKE118"/>
      <c r="GKF118"/>
      <c r="GKG118"/>
      <c r="GKH118"/>
      <c r="GKI118"/>
      <c r="GKJ118"/>
      <c r="GKK118"/>
      <c r="GKL118"/>
      <c r="GKM118"/>
      <c r="GKN118"/>
      <c r="GKO118"/>
      <c r="GKP118"/>
      <c r="GKQ118"/>
      <c r="GKR118"/>
      <c r="GKS118"/>
      <c r="GKT118"/>
      <c r="GKU118"/>
      <c r="GKV118"/>
      <c r="GKW118"/>
      <c r="GKX118"/>
      <c r="GKY118"/>
      <c r="GKZ118"/>
      <c r="GLA118"/>
      <c r="GLB118"/>
      <c r="GLC118"/>
      <c r="GLD118"/>
      <c r="GLE118"/>
      <c r="GLF118"/>
      <c r="GLG118"/>
      <c r="GLH118"/>
      <c r="GLI118"/>
      <c r="GLJ118"/>
      <c r="GLK118"/>
      <c r="GLL118"/>
      <c r="GLM118"/>
      <c r="GLN118"/>
      <c r="GLO118"/>
      <c r="GLP118"/>
      <c r="GLQ118"/>
      <c r="GLR118"/>
      <c r="GLS118"/>
      <c r="GLT118"/>
      <c r="GLU118"/>
      <c r="GLV118"/>
      <c r="GLW118"/>
      <c r="GLX118"/>
      <c r="GLY118"/>
      <c r="GLZ118"/>
      <c r="GMA118"/>
      <c r="GMB118"/>
      <c r="GMC118"/>
      <c r="GMD118"/>
      <c r="GME118"/>
      <c r="GMF118"/>
      <c r="GMG118"/>
      <c r="GMH118"/>
      <c r="GMI118"/>
      <c r="GMJ118"/>
      <c r="GMK118"/>
      <c r="GML118"/>
      <c r="GMM118"/>
      <c r="GMN118"/>
      <c r="GMO118"/>
      <c r="GMP118"/>
      <c r="GMQ118"/>
      <c r="GMR118"/>
      <c r="GMS118"/>
      <c r="GMT118"/>
      <c r="GMU118"/>
      <c r="GMV118"/>
      <c r="GMW118"/>
      <c r="GMX118"/>
      <c r="GMY118"/>
      <c r="GMZ118"/>
      <c r="GNA118"/>
      <c r="GNB118"/>
      <c r="GNC118"/>
      <c r="GND118"/>
      <c r="GNE118"/>
      <c r="GNF118"/>
      <c r="GNG118"/>
      <c r="GNH118"/>
      <c r="GNI118"/>
      <c r="GNJ118"/>
      <c r="GNK118"/>
      <c r="GNL118"/>
      <c r="GNM118"/>
      <c r="GNN118"/>
      <c r="GNO118"/>
      <c r="GNP118"/>
      <c r="GNQ118"/>
      <c r="GNR118"/>
      <c r="GNS118"/>
      <c r="GNT118"/>
      <c r="GNU118"/>
      <c r="GNV118"/>
      <c r="GNW118"/>
      <c r="GNX118"/>
      <c r="GNY118"/>
      <c r="GNZ118"/>
      <c r="GOA118"/>
      <c r="GOB118"/>
      <c r="GOC118"/>
      <c r="GOD118"/>
      <c r="GOE118"/>
      <c r="GOF118"/>
      <c r="GOG118"/>
      <c r="GOH118"/>
      <c r="GOI118"/>
      <c r="GOJ118"/>
      <c r="GOK118"/>
      <c r="GOL118"/>
      <c r="GOM118"/>
      <c r="GON118"/>
      <c r="GOO118"/>
      <c r="GOP118"/>
      <c r="GOQ118"/>
      <c r="GOR118"/>
      <c r="GOS118"/>
      <c r="GOT118"/>
      <c r="GOU118"/>
      <c r="GOV118"/>
      <c r="GOW118"/>
      <c r="GOX118"/>
      <c r="GOY118"/>
      <c r="GOZ118"/>
      <c r="GPA118"/>
      <c r="GPB118"/>
      <c r="GPC118"/>
      <c r="GPD118"/>
      <c r="GPE118"/>
      <c r="GPF118"/>
      <c r="GPG118"/>
      <c r="GPH118"/>
      <c r="GPI118"/>
      <c r="GPJ118"/>
      <c r="GPK118"/>
      <c r="GPL118"/>
      <c r="GPM118"/>
      <c r="GPN118"/>
      <c r="GPO118"/>
      <c r="GPP118"/>
      <c r="GPQ118"/>
      <c r="GPR118"/>
      <c r="GPS118"/>
      <c r="GPT118"/>
      <c r="GPU118"/>
      <c r="GPV118"/>
      <c r="GPW118"/>
      <c r="GPX118"/>
      <c r="GPY118"/>
      <c r="GPZ118"/>
      <c r="GQA118"/>
      <c r="GQB118"/>
      <c r="GQC118"/>
      <c r="GQD118"/>
      <c r="GQE118"/>
      <c r="GQF118"/>
      <c r="GQG118"/>
      <c r="GQH118"/>
      <c r="GQI118"/>
      <c r="GQJ118"/>
      <c r="GQK118"/>
      <c r="GQL118"/>
      <c r="GQM118"/>
      <c r="GQN118"/>
      <c r="GQO118"/>
      <c r="GQP118"/>
      <c r="GQQ118"/>
      <c r="GQR118"/>
      <c r="GQS118"/>
      <c r="GQT118"/>
      <c r="GQU118"/>
      <c r="GQV118"/>
      <c r="GQW118"/>
      <c r="GQX118"/>
      <c r="GQY118"/>
      <c r="GQZ118"/>
      <c r="GRA118"/>
      <c r="GRB118"/>
      <c r="GRC118"/>
      <c r="GRD118"/>
      <c r="GRE118"/>
      <c r="GRF118"/>
      <c r="GRG118"/>
      <c r="GRH118"/>
      <c r="GRI118"/>
      <c r="GRJ118"/>
      <c r="GRK118"/>
      <c r="GRL118"/>
      <c r="GRM118"/>
      <c r="GRN118"/>
      <c r="GRO118"/>
      <c r="GRP118"/>
      <c r="GRQ118"/>
      <c r="GRR118"/>
      <c r="GRS118"/>
      <c r="GRT118"/>
      <c r="GRU118"/>
      <c r="GRV118"/>
      <c r="GRW118"/>
      <c r="GRX118"/>
      <c r="GRY118"/>
      <c r="GRZ118"/>
      <c r="GSA118"/>
      <c r="GSB118"/>
      <c r="GSC118"/>
      <c r="GSD118"/>
      <c r="GSE118"/>
      <c r="GSF118"/>
      <c r="GSG118"/>
      <c r="GSH118"/>
      <c r="GSI118"/>
      <c r="GSJ118"/>
      <c r="GSK118"/>
      <c r="GSL118"/>
      <c r="GSM118"/>
      <c r="GSN118"/>
      <c r="GSO118"/>
      <c r="GSP118"/>
      <c r="GSQ118"/>
      <c r="GSR118"/>
      <c r="GSS118"/>
      <c r="GST118"/>
      <c r="GSU118"/>
      <c r="GSV118"/>
      <c r="GSW118"/>
      <c r="GSX118"/>
      <c r="GSY118"/>
      <c r="GSZ118"/>
      <c r="GTA118"/>
      <c r="GTB118"/>
      <c r="GTC118"/>
      <c r="GTD118"/>
      <c r="GTE118"/>
      <c r="GTF118"/>
      <c r="GTG118"/>
      <c r="GTH118"/>
      <c r="GTI118"/>
      <c r="GTJ118"/>
      <c r="GTK118"/>
      <c r="GTL118"/>
      <c r="GTM118"/>
      <c r="GTN118"/>
      <c r="GTO118"/>
      <c r="GTP118"/>
      <c r="GTQ118"/>
      <c r="GTR118"/>
      <c r="GTS118"/>
      <c r="GTT118"/>
      <c r="GTU118"/>
      <c r="GTV118"/>
      <c r="GTW118"/>
      <c r="GTX118"/>
      <c r="GTY118"/>
      <c r="GTZ118"/>
      <c r="GUA118"/>
      <c r="GUB118"/>
      <c r="GUC118"/>
      <c r="GUD118"/>
      <c r="GUE118"/>
      <c r="GUF118"/>
      <c r="GUG118"/>
      <c r="GUH118"/>
      <c r="GUI118"/>
      <c r="GUJ118"/>
      <c r="GUK118"/>
      <c r="GUL118"/>
      <c r="GUM118"/>
      <c r="GUN118"/>
      <c r="GUO118"/>
      <c r="GUP118"/>
      <c r="GUQ118"/>
      <c r="GUR118"/>
      <c r="GUS118"/>
      <c r="GUT118"/>
      <c r="GUU118"/>
      <c r="GUV118"/>
      <c r="GUW118"/>
      <c r="GUX118"/>
      <c r="GUY118"/>
      <c r="GUZ118"/>
      <c r="GVA118"/>
      <c r="GVB118"/>
      <c r="GVC118"/>
      <c r="GVD118"/>
      <c r="GVE118"/>
      <c r="GVF118"/>
      <c r="GVG118"/>
      <c r="GVH118"/>
      <c r="GVI118"/>
      <c r="GVJ118"/>
      <c r="GVK118"/>
      <c r="GVL118"/>
      <c r="GVM118"/>
      <c r="GVN118"/>
      <c r="GVO118"/>
      <c r="GVP118"/>
      <c r="GVQ118"/>
      <c r="GVR118"/>
      <c r="GVS118"/>
      <c r="GVT118"/>
      <c r="GVU118"/>
      <c r="GVV118"/>
      <c r="GVW118"/>
      <c r="GVX118"/>
      <c r="GVY118"/>
      <c r="GVZ118"/>
      <c r="GWA118"/>
      <c r="GWB118"/>
      <c r="GWC118"/>
      <c r="GWD118"/>
      <c r="GWE118"/>
      <c r="GWF118"/>
      <c r="GWG118"/>
      <c r="GWH118"/>
      <c r="GWI118"/>
      <c r="GWJ118"/>
      <c r="GWK118"/>
      <c r="GWL118"/>
      <c r="GWM118"/>
      <c r="GWN118"/>
      <c r="GWO118"/>
      <c r="GWP118"/>
      <c r="GWQ118"/>
      <c r="GWR118"/>
      <c r="GWS118"/>
      <c r="GWT118"/>
      <c r="GWU118"/>
      <c r="GWV118"/>
      <c r="GWW118"/>
      <c r="GWX118"/>
      <c r="GWY118"/>
      <c r="GWZ118"/>
      <c r="GXA118"/>
      <c r="GXB118"/>
      <c r="GXC118"/>
      <c r="GXD118"/>
      <c r="GXE118"/>
      <c r="GXF118"/>
      <c r="GXG118"/>
      <c r="GXH118"/>
      <c r="GXI118"/>
      <c r="GXJ118"/>
      <c r="GXK118"/>
      <c r="GXL118"/>
      <c r="GXM118"/>
      <c r="GXN118"/>
      <c r="GXO118"/>
      <c r="GXP118"/>
      <c r="GXQ118"/>
      <c r="GXR118"/>
      <c r="GXS118"/>
      <c r="GXT118"/>
      <c r="GXU118"/>
      <c r="GXV118"/>
      <c r="GXW118"/>
      <c r="GXX118"/>
      <c r="GXY118"/>
      <c r="GXZ118"/>
      <c r="GYA118"/>
      <c r="GYB118"/>
      <c r="GYC118"/>
      <c r="GYD118"/>
      <c r="GYE118"/>
      <c r="GYF118"/>
      <c r="GYG118"/>
      <c r="GYH118"/>
      <c r="GYI118"/>
      <c r="GYJ118"/>
      <c r="GYK118"/>
      <c r="GYL118"/>
      <c r="GYM118"/>
      <c r="GYN118"/>
      <c r="GYO118"/>
      <c r="GYP118"/>
      <c r="GYQ118"/>
      <c r="GYR118"/>
      <c r="GYS118"/>
      <c r="GYT118"/>
      <c r="GYU118"/>
      <c r="GYV118"/>
      <c r="GYW118"/>
      <c r="GYX118"/>
      <c r="GYY118"/>
      <c r="GYZ118"/>
      <c r="GZA118"/>
      <c r="GZB118"/>
      <c r="GZC118"/>
      <c r="GZD118"/>
      <c r="GZE118"/>
      <c r="GZF118"/>
      <c r="GZG118"/>
      <c r="GZH118"/>
      <c r="GZI118"/>
      <c r="GZJ118"/>
      <c r="GZK118"/>
      <c r="GZL118"/>
      <c r="GZM118"/>
      <c r="GZN118"/>
      <c r="GZO118"/>
      <c r="GZP118"/>
      <c r="GZQ118"/>
      <c r="GZR118"/>
      <c r="GZS118"/>
      <c r="GZT118"/>
      <c r="GZU118"/>
      <c r="GZV118"/>
      <c r="GZW118"/>
      <c r="GZX118"/>
      <c r="GZY118"/>
      <c r="GZZ118"/>
      <c r="HAA118"/>
      <c r="HAB118"/>
      <c r="HAC118"/>
      <c r="HAD118"/>
      <c r="HAE118"/>
      <c r="HAF118"/>
      <c r="HAG118"/>
      <c r="HAH118"/>
      <c r="HAI118"/>
      <c r="HAJ118"/>
      <c r="HAK118"/>
      <c r="HAL118"/>
      <c r="HAM118"/>
      <c r="HAN118"/>
      <c r="HAO118"/>
      <c r="HAP118"/>
      <c r="HAQ118"/>
      <c r="HAR118"/>
      <c r="HAS118"/>
      <c r="HAT118"/>
      <c r="HAU118"/>
      <c r="HAV118"/>
      <c r="HAW118"/>
      <c r="HAX118"/>
      <c r="HAY118"/>
      <c r="HAZ118"/>
      <c r="HBA118"/>
      <c r="HBB118"/>
      <c r="HBC118"/>
      <c r="HBD118"/>
      <c r="HBE118"/>
      <c r="HBF118"/>
      <c r="HBG118"/>
      <c r="HBH118"/>
      <c r="HBI118"/>
      <c r="HBJ118"/>
      <c r="HBK118"/>
      <c r="HBL118"/>
      <c r="HBM118"/>
      <c r="HBN118"/>
      <c r="HBO118"/>
      <c r="HBP118"/>
      <c r="HBQ118"/>
      <c r="HBR118"/>
      <c r="HBS118"/>
      <c r="HBT118"/>
      <c r="HBU118"/>
      <c r="HBV118"/>
      <c r="HBW118"/>
      <c r="HBX118"/>
      <c r="HBY118"/>
      <c r="HBZ118"/>
      <c r="HCA118"/>
      <c r="HCB118"/>
      <c r="HCC118"/>
      <c r="HCD118"/>
      <c r="HCE118"/>
      <c r="HCF118"/>
      <c r="HCG118"/>
      <c r="HCH118"/>
      <c r="HCI118"/>
      <c r="HCJ118"/>
      <c r="HCK118"/>
      <c r="HCL118"/>
      <c r="HCM118"/>
      <c r="HCN118"/>
      <c r="HCO118"/>
      <c r="HCP118"/>
      <c r="HCQ118"/>
      <c r="HCR118"/>
      <c r="HCS118"/>
      <c r="HCT118"/>
      <c r="HCU118"/>
      <c r="HCV118"/>
      <c r="HCW118"/>
      <c r="HCX118"/>
      <c r="HCY118"/>
      <c r="HCZ118"/>
      <c r="HDA118"/>
      <c r="HDB118"/>
      <c r="HDC118"/>
      <c r="HDD118"/>
      <c r="HDE118"/>
      <c r="HDF118"/>
      <c r="HDG118"/>
      <c r="HDH118"/>
      <c r="HDI118"/>
      <c r="HDJ118"/>
      <c r="HDK118"/>
      <c r="HDL118"/>
      <c r="HDM118"/>
      <c r="HDN118"/>
      <c r="HDO118"/>
      <c r="HDP118"/>
      <c r="HDQ118"/>
      <c r="HDR118"/>
      <c r="HDS118"/>
      <c r="HDT118"/>
      <c r="HDU118"/>
      <c r="HDV118"/>
      <c r="HDW118"/>
      <c r="HDX118"/>
      <c r="HDY118"/>
      <c r="HDZ118"/>
      <c r="HEA118"/>
      <c r="HEB118"/>
      <c r="HEC118"/>
      <c r="HED118"/>
      <c r="HEE118"/>
      <c r="HEF118"/>
      <c r="HEG118"/>
      <c r="HEH118"/>
      <c r="HEI118"/>
      <c r="HEJ118"/>
      <c r="HEK118"/>
      <c r="HEL118"/>
      <c r="HEM118"/>
      <c r="HEN118"/>
      <c r="HEO118"/>
      <c r="HEP118"/>
      <c r="HEQ118"/>
      <c r="HER118"/>
      <c r="HES118"/>
      <c r="HET118"/>
      <c r="HEU118"/>
      <c r="HEV118"/>
      <c r="HEW118"/>
      <c r="HEX118"/>
      <c r="HEY118"/>
      <c r="HEZ118"/>
      <c r="HFA118"/>
      <c r="HFB118"/>
      <c r="HFC118"/>
      <c r="HFD118"/>
      <c r="HFE118"/>
      <c r="HFF118"/>
      <c r="HFG118"/>
      <c r="HFH118"/>
      <c r="HFI118"/>
      <c r="HFJ118"/>
      <c r="HFK118"/>
      <c r="HFL118"/>
      <c r="HFM118"/>
      <c r="HFN118"/>
      <c r="HFO118"/>
      <c r="HFP118"/>
      <c r="HFQ118"/>
      <c r="HFR118"/>
      <c r="HFS118"/>
      <c r="HFT118"/>
      <c r="HFU118"/>
      <c r="HFV118"/>
      <c r="HFW118"/>
      <c r="HFX118"/>
      <c r="HFY118"/>
      <c r="HFZ118"/>
      <c r="HGA118"/>
      <c r="HGB118"/>
      <c r="HGC118"/>
      <c r="HGD118"/>
      <c r="HGE118"/>
      <c r="HGF118"/>
      <c r="HGG118"/>
      <c r="HGH118"/>
      <c r="HGI118"/>
      <c r="HGJ118"/>
      <c r="HGK118"/>
      <c r="HGL118"/>
      <c r="HGM118"/>
      <c r="HGN118"/>
      <c r="HGO118"/>
      <c r="HGP118"/>
      <c r="HGQ118"/>
      <c r="HGR118"/>
      <c r="HGS118"/>
      <c r="HGT118"/>
      <c r="HGU118"/>
      <c r="HGV118"/>
      <c r="HGW118"/>
      <c r="HGX118"/>
      <c r="HGY118"/>
      <c r="HGZ118"/>
      <c r="HHA118"/>
      <c r="HHB118"/>
      <c r="HHC118"/>
      <c r="HHD118"/>
      <c r="HHE118"/>
      <c r="HHF118"/>
      <c r="HHG118"/>
      <c r="HHH118"/>
      <c r="HHI118"/>
      <c r="HHJ118"/>
      <c r="HHK118"/>
      <c r="HHL118"/>
      <c r="HHM118"/>
      <c r="HHN118"/>
      <c r="HHO118"/>
      <c r="HHP118"/>
      <c r="HHQ118"/>
      <c r="HHR118"/>
      <c r="HHS118"/>
      <c r="HHT118"/>
      <c r="HHU118"/>
      <c r="HHV118"/>
      <c r="HHW118"/>
      <c r="HHX118"/>
      <c r="HHY118"/>
      <c r="HHZ118"/>
      <c r="HIA118"/>
      <c r="HIB118"/>
      <c r="HIC118"/>
      <c r="HID118"/>
      <c r="HIE118"/>
      <c r="HIF118"/>
      <c r="HIG118"/>
      <c r="HIH118"/>
      <c r="HII118"/>
      <c r="HIJ118"/>
      <c r="HIK118"/>
      <c r="HIL118"/>
      <c r="HIM118"/>
      <c r="HIN118"/>
      <c r="HIO118"/>
      <c r="HIP118"/>
      <c r="HIQ118"/>
      <c r="HIR118"/>
      <c r="HIS118"/>
      <c r="HIT118"/>
      <c r="HIU118"/>
      <c r="HIV118"/>
      <c r="HIW118"/>
      <c r="HIX118"/>
      <c r="HIY118"/>
      <c r="HIZ118"/>
      <c r="HJA118"/>
      <c r="HJB118"/>
      <c r="HJC118"/>
      <c r="HJD118"/>
      <c r="HJE118"/>
      <c r="HJF118"/>
      <c r="HJG118"/>
      <c r="HJH118"/>
      <c r="HJI118"/>
      <c r="HJJ118"/>
      <c r="HJK118"/>
      <c r="HJL118"/>
      <c r="HJM118"/>
      <c r="HJN118"/>
      <c r="HJO118"/>
      <c r="HJP118"/>
      <c r="HJQ118"/>
      <c r="HJR118"/>
      <c r="HJS118"/>
      <c r="HJT118"/>
      <c r="HJU118"/>
      <c r="HJV118"/>
      <c r="HJW118"/>
      <c r="HJX118"/>
      <c r="HJY118"/>
      <c r="HJZ118"/>
      <c r="HKA118"/>
      <c r="HKB118"/>
      <c r="HKC118"/>
      <c r="HKD118"/>
      <c r="HKE118"/>
      <c r="HKF118"/>
      <c r="HKG118"/>
      <c r="HKH118"/>
      <c r="HKI118"/>
      <c r="HKJ118"/>
      <c r="HKK118"/>
      <c r="HKL118"/>
      <c r="HKM118"/>
      <c r="HKN118"/>
      <c r="HKO118"/>
      <c r="HKP118"/>
      <c r="HKQ118"/>
      <c r="HKR118"/>
      <c r="HKS118"/>
      <c r="HKT118"/>
      <c r="HKU118"/>
      <c r="HKV118"/>
      <c r="HKW118"/>
      <c r="HKX118"/>
      <c r="HKY118"/>
      <c r="HKZ118"/>
      <c r="HLA118"/>
      <c r="HLB118"/>
      <c r="HLC118"/>
      <c r="HLD118"/>
      <c r="HLE118"/>
      <c r="HLF118"/>
      <c r="HLG118"/>
      <c r="HLH118"/>
      <c r="HLI118"/>
      <c r="HLJ118"/>
      <c r="HLK118"/>
      <c r="HLL118"/>
      <c r="HLM118"/>
      <c r="HLN118"/>
      <c r="HLO118"/>
      <c r="HLP118"/>
      <c r="HLQ118"/>
      <c r="HLR118"/>
      <c r="HLS118"/>
      <c r="HLT118"/>
      <c r="HLU118"/>
      <c r="HLV118"/>
      <c r="HLW118"/>
      <c r="HLX118"/>
      <c r="HLY118"/>
      <c r="HLZ118"/>
      <c r="HMA118"/>
      <c r="HMB118"/>
      <c r="HMC118"/>
      <c r="HMD118"/>
      <c r="HME118"/>
      <c r="HMF118"/>
      <c r="HMG118"/>
      <c r="HMH118"/>
      <c r="HMI118"/>
      <c r="HMJ118"/>
      <c r="HMK118"/>
      <c r="HML118"/>
      <c r="HMM118"/>
      <c r="HMN118"/>
      <c r="HMO118"/>
      <c r="HMP118"/>
      <c r="HMQ118"/>
      <c r="HMR118"/>
      <c r="HMS118"/>
      <c r="HMT118"/>
      <c r="HMU118"/>
      <c r="HMV118"/>
      <c r="HMW118"/>
      <c r="HMX118"/>
      <c r="HMY118"/>
      <c r="HMZ118"/>
      <c r="HNA118"/>
      <c r="HNB118"/>
      <c r="HNC118"/>
      <c r="HND118"/>
      <c r="HNE118"/>
      <c r="HNF118"/>
      <c r="HNG118"/>
      <c r="HNH118"/>
      <c r="HNI118"/>
      <c r="HNJ118"/>
      <c r="HNK118"/>
      <c r="HNL118"/>
      <c r="HNM118"/>
      <c r="HNN118"/>
      <c r="HNO118"/>
      <c r="HNP118"/>
      <c r="HNQ118"/>
      <c r="HNR118"/>
      <c r="HNS118"/>
      <c r="HNT118"/>
      <c r="HNU118"/>
      <c r="HNV118"/>
      <c r="HNW118"/>
      <c r="HNX118"/>
      <c r="HNY118"/>
      <c r="HNZ118"/>
      <c r="HOA118"/>
      <c r="HOB118"/>
      <c r="HOC118"/>
      <c r="HOD118"/>
      <c r="HOE118"/>
      <c r="HOF118"/>
      <c r="HOG118"/>
      <c r="HOH118"/>
      <c r="HOI118"/>
      <c r="HOJ118"/>
      <c r="HOK118"/>
      <c r="HOL118"/>
      <c r="HOM118"/>
      <c r="HON118"/>
      <c r="HOO118"/>
      <c r="HOP118"/>
      <c r="HOQ118"/>
      <c r="HOR118"/>
      <c r="HOS118"/>
      <c r="HOT118"/>
      <c r="HOU118"/>
      <c r="HOV118"/>
      <c r="HOW118"/>
      <c r="HOX118"/>
      <c r="HOY118"/>
      <c r="HOZ118"/>
      <c r="HPA118"/>
      <c r="HPB118"/>
      <c r="HPC118"/>
      <c r="HPD118"/>
      <c r="HPE118"/>
      <c r="HPF118"/>
      <c r="HPG118"/>
      <c r="HPH118"/>
      <c r="HPI118"/>
      <c r="HPJ118"/>
      <c r="HPK118"/>
      <c r="HPL118"/>
      <c r="HPM118"/>
      <c r="HPN118"/>
      <c r="HPO118"/>
      <c r="HPP118"/>
      <c r="HPQ118"/>
      <c r="HPR118"/>
      <c r="HPS118"/>
      <c r="HPT118"/>
      <c r="HPU118"/>
      <c r="HPV118"/>
      <c r="HPW118"/>
      <c r="HPX118"/>
      <c r="HPY118"/>
      <c r="HPZ118"/>
      <c r="HQA118"/>
      <c r="HQB118"/>
      <c r="HQC118"/>
      <c r="HQD118"/>
      <c r="HQE118"/>
      <c r="HQF118"/>
      <c r="HQG118"/>
      <c r="HQH118"/>
      <c r="HQI118"/>
      <c r="HQJ118"/>
      <c r="HQK118"/>
      <c r="HQL118"/>
      <c r="HQM118"/>
      <c r="HQN118"/>
      <c r="HQO118"/>
      <c r="HQP118"/>
      <c r="HQQ118"/>
      <c r="HQR118"/>
      <c r="HQS118"/>
      <c r="HQT118"/>
      <c r="HQU118"/>
      <c r="HQV118"/>
      <c r="HQW118"/>
      <c r="HQX118"/>
      <c r="HQY118"/>
      <c r="HQZ118"/>
      <c r="HRA118"/>
      <c r="HRB118"/>
      <c r="HRC118"/>
      <c r="HRD118"/>
      <c r="HRE118"/>
      <c r="HRF118"/>
      <c r="HRG118"/>
      <c r="HRH118"/>
      <c r="HRI118"/>
      <c r="HRJ118"/>
      <c r="HRK118"/>
      <c r="HRL118"/>
      <c r="HRM118"/>
      <c r="HRN118"/>
      <c r="HRO118"/>
      <c r="HRP118"/>
      <c r="HRQ118"/>
      <c r="HRR118"/>
      <c r="HRS118"/>
      <c r="HRT118"/>
      <c r="HRU118"/>
      <c r="HRV118"/>
      <c r="HRW118"/>
      <c r="HRX118"/>
      <c r="HRY118"/>
      <c r="HRZ118"/>
      <c r="HSA118"/>
      <c r="HSB118"/>
      <c r="HSC118"/>
      <c r="HSD118"/>
      <c r="HSE118"/>
      <c r="HSF118"/>
      <c r="HSG118"/>
      <c r="HSH118"/>
      <c r="HSI118"/>
      <c r="HSJ118"/>
      <c r="HSK118"/>
      <c r="HSL118"/>
      <c r="HSM118"/>
      <c r="HSN118"/>
      <c r="HSO118"/>
      <c r="HSP118"/>
      <c r="HSQ118"/>
      <c r="HSR118"/>
      <c r="HSS118"/>
      <c r="HST118"/>
      <c r="HSU118"/>
      <c r="HSV118"/>
      <c r="HSW118"/>
      <c r="HSX118"/>
      <c r="HSY118"/>
      <c r="HSZ118"/>
      <c r="HTA118"/>
      <c r="HTB118"/>
      <c r="HTC118"/>
      <c r="HTD118"/>
      <c r="HTE118"/>
      <c r="HTF118"/>
      <c r="HTG118"/>
      <c r="HTH118"/>
      <c r="HTI118"/>
      <c r="HTJ118"/>
      <c r="HTK118"/>
      <c r="HTL118"/>
      <c r="HTM118"/>
      <c r="HTN118"/>
      <c r="HTO118"/>
      <c r="HTP118"/>
      <c r="HTQ118"/>
      <c r="HTR118"/>
      <c r="HTS118"/>
      <c r="HTT118"/>
      <c r="HTU118"/>
      <c r="HTV118"/>
      <c r="HTW118"/>
      <c r="HTX118"/>
      <c r="HTY118"/>
      <c r="HTZ118"/>
      <c r="HUA118"/>
      <c r="HUB118"/>
      <c r="HUC118"/>
      <c r="HUD118"/>
      <c r="HUE118"/>
      <c r="HUF118"/>
      <c r="HUG118"/>
      <c r="HUH118"/>
      <c r="HUI118"/>
      <c r="HUJ118"/>
      <c r="HUK118"/>
      <c r="HUL118"/>
      <c r="HUM118"/>
      <c r="HUN118"/>
      <c r="HUO118"/>
      <c r="HUP118"/>
      <c r="HUQ118"/>
      <c r="HUR118"/>
      <c r="HUS118"/>
      <c r="HUT118"/>
      <c r="HUU118"/>
      <c r="HUV118"/>
      <c r="HUW118"/>
      <c r="HUX118"/>
      <c r="HUY118"/>
      <c r="HUZ118"/>
      <c r="HVA118"/>
      <c r="HVB118"/>
      <c r="HVC118"/>
      <c r="HVD118"/>
      <c r="HVE118"/>
      <c r="HVF118"/>
      <c r="HVG118"/>
      <c r="HVH118"/>
      <c r="HVI118"/>
      <c r="HVJ118"/>
      <c r="HVK118"/>
      <c r="HVL118"/>
      <c r="HVM118"/>
      <c r="HVN118"/>
      <c r="HVO118"/>
      <c r="HVP118"/>
      <c r="HVQ118"/>
      <c r="HVR118"/>
      <c r="HVS118"/>
      <c r="HVT118"/>
      <c r="HVU118"/>
      <c r="HVV118"/>
      <c r="HVW118"/>
      <c r="HVX118"/>
      <c r="HVY118"/>
      <c r="HVZ118"/>
      <c r="HWA118"/>
      <c r="HWB118"/>
      <c r="HWC118"/>
      <c r="HWD118"/>
      <c r="HWE118"/>
      <c r="HWF118"/>
      <c r="HWG118"/>
      <c r="HWH118"/>
      <c r="HWI118"/>
      <c r="HWJ118"/>
      <c r="HWK118"/>
      <c r="HWL118"/>
      <c r="HWM118"/>
      <c r="HWN118"/>
      <c r="HWO118"/>
      <c r="HWP118"/>
      <c r="HWQ118"/>
      <c r="HWR118"/>
      <c r="HWS118"/>
      <c r="HWT118"/>
      <c r="HWU118"/>
      <c r="HWV118"/>
      <c r="HWW118"/>
      <c r="HWX118"/>
      <c r="HWY118"/>
      <c r="HWZ118"/>
      <c r="HXA118"/>
      <c r="HXB118"/>
      <c r="HXC118"/>
      <c r="HXD118"/>
      <c r="HXE118"/>
      <c r="HXF118"/>
      <c r="HXG118"/>
      <c r="HXH118"/>
      <c r="HXI118"/>
      <c r="HXJ118"/>
      <c r="HXK118"/>
      <c r="HXL118"/>
      <c r="HXM118"/>
      <c r="HXN118"/>
      <c r="HXO118"/>
      <c r="HXP118"/>
      <c r="HXQ118"/>
      <c r="HXR118"/>
      <c r="HXS118"/>
      <c r="HXT118"/>
      <c r="HXU118"/>
      <c r="HXV118"/>
      <c r="HXW118"/>
      <c r="HXX118"/>
      <c r="HXY118"/>
      <c r="HXZ118"/>
      <c r="HYA118"/>
      <c r="HYB118"/>
      <c r="HYC118"/>
      <c r="HYD118"/>
      <c r="HYE118"/>
      <c r="HYF118"/>
      <c r="HYG118"/>
      <c r="HYH118"/>
      <c r="HYI118"/>
      <c r="HYJ118"/>
      <c r="HYK118"/>
      <c r="HYL118"/>
      <c r="HYM118"/>
      <c r="HYN118"/>
      <c r="HYO118"/>
      <c r="HYP118"/>
      <c r="HYQ118"/>
      <c r="HYR118"/>
      <c r="HYS118"/>
      <c r="HYT118"/>
      <c r="HYU118"/>
      <c r="HYV118"/>
      <c r="HYW118"/>
      <c r="HYX118"/>
      <c r="HYY118"/>
      <c r="HYZ118"/>
      <c r="HZA118"/>
      <c r="HZB118"/>
      <c r="HZC118"/>
      <c r="HZD118"/>
      <c r="HZE118"/>
      <c r="HZF118"/>
      <c r="HZG118"/>
      <c r="HZH118"/>
      <c r="HZI118"/>
      <c r="HZJ118"/>
      <c r="HZK118"/>
      <c r="HZL118"/>
      <c r="HZM118"/>
      <c r="HZN118"/>
      <c r="HZO118"/>
      <c r="HZP118"/>
      <c r="HZQ118"/>
      <c r="HZR118"/>
      <c r="HZS118"/>
      <c r="HZT118"/>
      <c r="HZU118"/>
      <c r="HZV118"/>
      <c r="HZW118"/>
      <c r="HZX118"/>
      <c r="HZY118"/>
      <c r="HZZ118"/>
      <c r="IAA118"/>
      <c r="IAB118"/>
      <c r="IAC118"/>
      <c r="IAD118"/>
      <c r="IAE118"/>
      <c r="IAF118"/>
      <c r="IAG118"/>
      <c r="IAH118"/>
      <c r="IAI118"/>
      <c r="IAJ118"/>
      <c r="IAK118"/>
      <c r="IAL118"/>
      <c r="IAM118"/>
      <c r="IAN118"/>
      <c r="IAO118"/>
      <c r="IAP118"/>
      <c r="IAQ118"/>
      <c r="IAR118"/>
      <c r="IAS118"/>
      <c r="IAT118"/>
      <c r="IAU118"/>
      <c r="IAV118"/>
      <c r="IAW118"/>
      <c r="IAX118"/>
      <c r="IAY118"/>
      <c r="IAZ118"/>
      <c r="IBA118"/>
      <c r="IBB118"/>
      <c r="IBC118"/>
      <c r="IBD118"/>
      <c r="IBE118"/>
      <c r="IBF118"/>
      <c r="IBG118"/>
      <c r="IBH118"/>
      <c r="IBI118"/>
      <c r="IBJ118"/>
      <c r="IBK118"/>
      <c r="IBL118"/>
      <c r="IBM118"/>
      <c r="IBN118"/>
      <c r="IBO118"/>
      <c r="IBP118"/>
      <c r="IBQ118"/>
      <c r="IBR118"/>
      <c r="IBS118"/>
      <c r="IBT118"/>
      <c r="IBU118"/>
      <c r="IBV118"/>
      <c r="IBW118"/>
      <c r="IBX118"/>
      <c r="IBY118"/>
      <c r="IBZ118"/>
      <c r="ICA118"/>
      <c r="ICB118"/>
      <c r="ICC118"/>
      <c r="ICD118"/>
      <c r="ICE118"/>
      <c r="ICF118"/>
      <c r="ICG118"/>
      <c r="ICH118"/>
      <c r="ICI118"/>
      <c r="ICJ118"/>
      <c r="ICK118"/>
      <c r="ICL118"/>
      <c r="ICM118"/>
      <c r="ICN118"/>
      <c r="ICO118"/>
      <c r="ICP118"/>
      <c r="ICQ118"/>
      <c r="ICR118"/>
      <c r="ICS118"/>
      <c r="ICT118"/>
      <c r="ICU118"/>
      <c r="ICV118"/>
      <c r="ICW118"/>
      <c r="ICX118"/>
      <c r="ICY118"/>
      <c r="ICZ118"/>
      <c r="IDA118"/>
      <c r="IDB118"/>
      <c r="IDC118"/>
      <c r="IDD118"/>
      <c r="IDE118"/>
      <c r="IDF118"/>
      <c r="IDG118"/>
      <c r="IDH118"/>
      <c r="IDI118"/>
      <c r="IDJ118"/>
      <c r="IDK118"/>
      <c r="IDL118"/>
      <c r="IDM118"/>
      <c r="IDN118"/>
      <c r="IDO118"/>
      <c r="IDP118"/>
      <c r="IDQ118"/>
      <c r="IDR118"/>
      <c r="IDS118"/>
      <c r="IDT118"/>
      <c r="IDU118"/>
      <c r="IDV118"/>
      <c r="IDW118"/>
      <c r="IDX118"/>
      <c r="IDY118"/>
      <c r="IDZ118"/>
      <c r="IEA118"/>
      <c r="IEB118"/>
      <c r="IEC118"/>
      <c r="IED118"/>
      <c r="IEE118"/>
      <c r="IEF118"/>
      <c r="IEG118"/>
      <c r="IEH118"/>
      <c r="IEI118"/>
      <c r="IEJ118"/>
      <c r="IEK118"/>
      <c r="IEL118"/>
      <c r="IEM118"/>
      <c r="IEN118"/>
      <c r="IEO118"/>
      <c r="IEP118"/>
      <c r="IEQ118"/>
      <c r="IER118"/>
      <c r="IES118"/>
      <c r="IET118"/>
      <c r="IEU118"/>
      <c r="IEV118"/>
      <c r="IEW118"/>
      <c r="IEX118"/>
      <c r="IEY118"/>
      <c r="IEZ118"/>
      <c r="IFA118"/>
      <c r="IFB118"/>
      <c r="IFC118"/>
      <c r="IFD118"/>
      <c r="IFE118"/>
      <c r="IFF118"/>
      <c r="IFG118"/>
      <c r="IFH118"/>
      <c r="IFI118"/>
      <c r="IFJ118"/>
      <c r="IFK118"/>
      <c r="IFL118"/>
      <c r="IFM118"/>
      <c r="IFN118"/>
      <c r="IFO118"/>
      <c r="IFP118"/>
      <c r="IFQ118"/>
      <c r="IFR118"/>
      <c r="IFS118"/>
      <c r="IFT118"/>
      <c r="IFU118"/>
      <c r="IFV118"/>
      <c r="IFW118"/>
      <c r="IFX118"/>
      <c r="IFY118"/>
      <c r="IFZ118"/>
      <c r="IGA118"/>
      <c r="IGB118"/>
      <c r="IGC118"/>
      <c r="IGD118"/>
      <c r="IGE118"/>
      <c r="IGF118"/>
      <c r="IGG118"/>
      <c r="IGH118"/>
      <c r="IGI118"/>
      <c r="IGJ118"/>
      <c r="IGK118"/>
      <c r="IGL118"/>
      <c r="IGM118"/>
      <c r="IGN118"/>
      <c r="IGO118"/>
      <c r="IGP118"/>
      <c r="IGQ118"/>
      <c r="IGR118"/>
      <c r="IGS118"/>
      <c r="IGT118"/>
      <c r="IGU118"/>
      <c r="IGV118"/>
      <c r="IGW118"/>
      <c r="IGX118"/>
      <c r="IGY118"/>
      <c r="IGZ118"/>
      <c r="IHA118"/>
      <c r="IHB118"/>
      <c r="IHC118"/>
      <c r="IHD118"/>
      <c r="IHE118"/>
      <c r="IHF118"/>
      <c r="IHG118"/>
      <c r="IHH118"/>
      <c r="IHI118"/>
      <c r="IHJ118"/>
      <c r="IHK118"/>
      <c r="IHL118"/>
      <c r="IHM118"/>
      <c r="IHN118"/>
      <c r="IHO118"/>
      <c r="IHP118"/>
      <c r="IHQ118"/>
      <c r="IHR118"/>
      <c r="IHS118"/>
      <c r="IHT118"/>
      <c r="IHU118"/>
      <c r="IHV118"/>
      <c r="IHW118"/>
      <c r="IHX118"/>
      <c r="IHY118"/>
      <c r="IHZ118"/>
      <c r="IIA118"/>
      <c r="IIB118"/>
      <c r="IIC118"/>
      <c r="IID118"/>
      <c r="IIE118"/>
      <c r="IIF118"/>
      <c r="IIG118"/>
      <c r="IIH118"/>
      <c r="III118"/>
      <c r="IIJ118"/>
      <c r="IIK118"/>
      <c r="IIL118"/>
      <c r="IIM118"/>
      <c r="IIN118"/>
      <c r="IIO118"/>
      <c r="IIP118"/>
      <c r="IIQ118"/>
      <c r="IIR118"/>
      <c r="IIS118"/>
      <c r="IIT118"/>
      <c r="IIU118"/>
      <c r="IIV118"/>
      <c r="IIW118"/>
      <c r="IIX118"/>
      <c r="IIY118"/>
      <c r="IIZ118"/>
      <c r="IJA118"/>
      <c r="IJB118"/>
      <c r="IJC118"/>
      <c r="IJD118"/>
      <c r="IJE118"/>
      <c r="IJF118"/>
      <c r="IJG118"/>
      <c r="IJH118"/>
      <c r="IJI118"/>
      <c r="IJJ118"/>
      <c r="IJK118"/>
      <c r="IJL118"/>
      <c r="IJM118"/>
      <c r="IJN118"/>
      <c r="IJO118"/>
      <c r="IJP118"/>
      <c r="IJQ118"/>
      <c r="IJR118"/>
      <c r="IJS118"/>
      <c r="IJT118"/>
      <c r="IJU118"/>
      <c r="IJV118"/>
      <c r="IJW118"/>
      <c r="IJX118"/>
      <c r="IJY118"/>
      <c r="IJZ118"/>
      <c r="IKA118"/>
      <c r="IKB118"/>
      <c r="IKC118"/>
      <c r="IKD118"/>
      <c r="IKE118"/>
      <c r="IKF118"/>
      <c r="IKG118"/>
      <c r="IKH118"/>
      <c r="IKI118"/>
      <c r="IKJ118"/>
      <c r="IKK118"/>
      <c r="IKL118"/>
      <c r="IKM118"/>
      <c r="IKN118"/>
      <c r="IKO118"/>
      <c r="IKP118"/>
      <c r="IKQ118"/>
      <c r="IKR118"/>
      <c r="IKS118"/>
      <c r="IKT118"/>
      <c r="IKU118"/>
      <c r="IKV118"/>
      <c r="IKW118"/>
      <c r="IKX118"/>
      <c r="IKY118"/>
      <c r="IKZ118"/>
      <c r="ILA118"/>
      <c r="ILB118"/>
      <c r="ILC118"/>
      <c r="ILD118"/>
      <c r="ILE118"/>
      <c r="ILF118"/>
      <c r="ILG118"/>
      <c r="ILH118"/>
      <c r="ILI118"/>
      <c r="ILJ118"/>
      <c r="ILK118"/>
      <c r="ILL118"/>
      <c r="ILM118"/>
      <c r="ILN118"/>
      <c r="ILO118"/>
      <c r="ILP118"/>
      <c r="ILQ118"/>
      <c r="ILR118"/>
      <c r="ILS118"/>
      <c r="ILT118"/>
      <c r="ILU118"/>
      <c r="ILV118"/>
      <c r="ILW118"/>
      <c r="ILX118"/>
      <c r="ILY118"/>
      <c r="ILZ118"/>
      <c r="IMA118"/>
      <c r="IMB118"/>
      <c r="IMC118"/>
      <c r="IMD118"/>
      <c r="IME118"/>
      <c r="IMF118"/>
      <c r="IMG118"/>
      <c r="IMH118"/>
      <c r="IMI118"/>
      <c r="IMJ118"/>
      <c r="IMK118"/>
      <c r="IML118"/>
      <c r="IMM118"/>
      <c r="IMN118"/>
      <c r="IMO118"/>
      <c r="IMP118"/>
      <c r="IMQ118"/>
      <c r="IMR118"/>
      <c r="IMS118"/>
      <c r="IMT118"/>
      <c r="IMU118"/>
      <c r="IMV118"/>
      <c r="IMW118"/>
      <c r="IMX118"/>
      <c r="IMY118"/>
      <c r="IMZ118"/>
      <c r="INA118"/>
      <c r="INB118"/>
      <c r="INC118"/>
      <c r="IND118"/>
      <c r="INE118"/>
      <c r="INF118"/>
      <c r="ING118"/>
      <c r="INH118"/>
      <c r="INI118"/>
      <c r="INJ118"/>
      <c r="INK118"/>
      <c r="INL118"/>
      <c r="INM118"/>
      <c r="INN118"/>
      <c r="INO118"/>
      <c r="INP118"/>
      <c r="INQ118"/>
      <c r="INR118"/>
      <c r="INS118"/>
      <c r="INT118"/>
      <c r="INU118"/>
      <c r="INV118"/>
      <c r="INW118"/>
      <c r="INX118"/>
      <c r="INY118"/>
      <c r="INZ118"/>
      <c r="IOA118"/>
      <c r="IOB118"/>
      <c r="IOC118"/>
      <c r="IOD118"/>
      <c r="IOE118"/>
      <c r="IOF118"/>
      <c r="IOG118"/>
      <c r="IOH118"/>
      <c r="IOI118"/>
      <c r="IOJ118"/>
      <c r="IOK118"/>
      <c r="IOL118"/>
      <c r="IOM118"/>
      <c r="ION118"/>
      <c r="IOO118"/>
      <c r="IOP118"/>
      <c r="IOQ118"/>
      <c r="IOR118"/>
      <c r="IOS118"/>
      <c r="IOT118"/>
      <c r="IOU118"/>
      <c r="IOV118"/>
      <c r="IOW118"/>
      <c r="IOX118"/>
      <c r="IOY118"/>
      <c r="IOZ118"/>
      <c r="IPA118"/>
      <c r="IPB118"/>
      <c r="IPC118"/>
      <c r="IPD118"/>
      <c r="IPE118"/>
      <c r="IPF118"/>
      <c r="IPG118"/>
      <c r="IPH118"/>
      <c r="IPI118"/>
      <c r="IPJ118"/>
      <c r="IPK118"/>
      <c r="IPL118"/>
      <c r="IPM118"/>
      <c r="IPN118"/>
      <c r="IPO118"/>
      <c r="IPP118"/>
      <c r="IPQ118"/>
      <c r="IPR118"/>
      <c r="IPS118"/>
      <c r="IPT118"/>
      <c r="IPU118"/>
      <c r="IPV118"/>
      <c r="IPW118"/>
      <c r="IPX118"/>
      <c r="IPY118"/>
      <c r="IPZ118"/>
      <c r="IQA118"/>
      <c r="IQB118"/>
      <c r="IQC118"/>
      <c r="IQD118"/>
      <c r="IQE118"/>
      <c r="IQF118"/>
      <c r="IQG118"/>
      <c r="IQH118"/>
      <c r="IQI118"/>
      <c r="IQJ118"/>
      <c r="IQK118"/>
      <c r="IQL118"/>
      <c r="IQM118"/>
      <c r="IQN118"/>
      <c r="IQO118"/>
      <c r="IQP118"/>
      <c r="IQQ118"/>
      <c r="IQR118"/>
      <c r="IQS118"/>
      <c r="IQT118"/>
      <c r="IQU118"/>
      <c r="IQV118"/>
      <c r="IQW118"/>
      <c r="IQX118"/>
      <c r="IQY118"/>
      <c r="IQZ118"/>
      <c r="IRA118"/>
      <c r="IRB118"/>
      <c r="IRC118"/>
      <c r="IRD118"/>
      <c r="IRE118"/>
      <c r="IRF118"/>
      <c r="IRG118"/>
      <c r="IRH118"/>
      <c r="IRI118"/>
      <c r="IRJ118"/>
      <c r="IRK118"/>
      <c r="IRL118"/>
      <c r="IRM118"/>
      <c r="IRN118"/>
      <c r="IRO118"/>
      <c r="IRP118"/>
      <c r="IRQ118"/>
      <c r="IRR118"/>
      <c r="IRS118"/>
      <c r="IRT118"/>
      <c r="IRU118"/>
      <c r="IRV118"/>
      <c r="IRW118"/>
      <c r="IRX118"/>
      <c r="IRY118"/>
      <c r="IRZ118"/>
      <c r="ISA118"/>
      <c r="ISB118"/>
      <c r="ISC118"/>
      <c r="ISD118"/>
      <c r="ISE118"/>
      <c r="ISF118"/>
      <c r="ISG118"/>
      <c r="ISH118"/>
      <c r="ISI118"/>
      <c r="ISJ118"/>
      <c r="ISK118"/>
      <c r="ISL118"/>
      <c r="ISM118"/>
      <c r="ISN118"/>
      <c r="ISO118"/>
      <c r="ISP118"/>
      <c r="ISQ118"/>
      <c r="ISR118"/>
      <c r="ISS118"/>
      <c r="IST118"/>
      <c r="ISU118"/>
      <c r="ISV118"/>
      <c r="ISW118"/>
      <c r="ISX118"/>
      <c r="ISY118"/>
      <c r="ISZ118"/>
      <c r="ITA118"/>
      <c r="ITB118"/>
      <c r="ITC118"/>
      <c r="ITD118"/>
      <c r="ITE118"/>
      <c r="ITF118"/>
      <c r="ITG118"/>
      <c r="ITH118"/>
      <c r="ITI118"/>
      <c r="ITJ118"/>
      <c r="ITK118"/>
      <c r="ITL118"/>
      <c r="ITM118"/>
      <c r="ITN118"/>
      <c r="ITO118"/>
      <c r="ITP118"/>
      <c r="ITQ118"/>
      <c r="ITR118"/>
      <c r="ITS118"/>
      <c r="ITT118"/>
      <c r="ITU118"/>
      <c r="ITV118"/>
      <c r="ITW118"/>
      <c r="ITX118"/>
      <c r="ITY118"/>
      <c r="ITZ118"/>
      <c r="IUA118"/>
      <c r="IUB118"/>
      <c r="IUC118"/>
      <c r="IUD118"/>
      <c r="IUE118"/>
      <c r="IUF118"/>
      <c r="IUG118"/>
      <c r="IUH118"/>
      <c r="IUI118"/>
      <c r="IUJ118"/>
      <c r="IUK118"/>
      <c r="IUL118"/>
      <c r="IUM118"/>
      <c r="IUN118"/>
      <c r="IUO118"/>
      <c r="IUP118"/>
      <c r="IUQ118"/>
      <c r="IUR118"/>
      <c r="IUS118"/>
      <c r="IUT118"/>
      <c r="IUU118"/>
      <c r="IUV118"/>
      <c r="IUW118"/>
      <c r="IUX118"/>
      <c r="IUY118"/>
      <c r="IUZ118"/>
      <c r="IVA118"/>
      <c r="IVB118"/>
      <c r="IVC118"/>
      <c r="IVD118"/>
      <c r="IVE118"/>
      <c r="IVF118"/>
      <c r="IVG118"/>
      <c r="IVH118"/>
      <c r="IVI118"/>
      <c r="IVJ118"/>
      <c r="IVK118"/>
      <c r="IVL118"/>
      <c r="IVM118"/>
      <c r="IVN118"/>
      <c r="IVO118"/>
      <c r="IVP118"/>
      <c r="IVQ118"/>
      <c r="IVR118"/>
      <c r="IVS118"/>
      <c r="IVT118"/>
      <c r="IVU118"/>
      <c r="IVV118"/>
      <c r="IVW118"/>
      <c r="IVX118"/>
      <c r="IVY118"/>
      <c r="IVZ118"/>
      <c r="IWA118"/>
      <c r="IWB118"/>
      <c r="IWC118"/>
      <c r="IWD118"/>
      <c r="IWE118"/>
      <c r="IWF118"/>
      <c r="IWG118"/>
      <c r="IWH118"/>
      <c r="IWI118"/>
      <c r="IWJ118"/>
      <c r="IWK118"/>
      <c r="IWL118"/>
      <c r="IWM118"/>
      <c r="IWN118"/>
      <c r="IWO118"/>
      <c r="IWP118"/>
      <c r="IWQ118"/>
      <c r="IWR118"/>
      <c r="IWS118"/>
      <c r="IWT118"/>
      <c r="IWU118"/>
      <c r="IWV118"/>
      <c r="IWW118"/>
      <c r="IWX118"/>
      <c r="IWY118"/>
      <c r="IWZ118"/>
      <c r="IXA118"/>
      <c r="IXB118"/>
      <c r="IXC118"/>
      <c r="IXD118"/>
      <c r="IXE118"/>
      <c r="IXF118"/>
      <c r="IXG118"/>
      <c r="IXH118"/>
      <c r="IXI118"/>
      <c r="IXJ118"/>
      <c r="IXK118"/>
      <c r="IXL118"/>
      <c r="IXM118"/>
      <c r="IXN118"/>
      <c r="IXO118"/>
      <c r="IXP118"/>
      <c r="IXQ118"/>
      <c r="IXR118"/>
      <c r="IXS118"/>
      <c r="IXT118"/>
      <c r="IXU118"/>
      <c r="IXV118"/>
      <c r="IXW118"/>
      <c r="IXX118"/>
      <c r="IXY118"/>
      <c r="IXZ118"/>
      <c r="IYA118"/>
      <c r="IYB118"/>
      <c r="IYC118"/>
      <c r="IYD118"/>
      <c r="IYE118"/>
      <c r="IYF118"/>
      <c r="IYG118"/>
      <c r="IYH118"/>
      <c r="IYI118"/>
      <c r="IYJ118"/>
      <c r="IYK118"/>
      <c r="IYL118"/>
      <c r="IYM118"/>
      <c r="IYN118"/>
      <c r="IYO118"/>
      <c r="IYP118"/>
      <c r="IYQ118"/>
      <c r="IYR118"/>
      <c r="IYS118"/>
      <c r="IYT118"/>
      <c r="IYU118"/>
      <c r="IYV118"/>
      <c r="IYW118"/>
      <c r="IYX118"/>
      <c r="IYY118"/>
      <c r="IYZ118"/>
      <c r="IZA118"/>
      <c r="IZB118"/>
      <c r="IZC118"/>
      <c r="IZD118"/>
      <c r="IZE118"/>
      <c r="IZF118"/>
      <c r="IZG118"/>
      <c r="IZH118"/>
      <c r="IZI118"/>
      <c r="IZJ118"/>
      <c r="IZK118"/>
      <c r="IZL118"/>
      <c r="IZM118"/>
      <c r="IZN118"/>
      <c r="IZO118"/>
      <c r="IZP118"/>
      <c r="IZQ118"/>
      <c r="IZR118"/>
      <c r="IZS118"/>
      <c r="IZT118"/>
      <c r="IZU118"/>
      <c r="IZV118"/>
      <c r="IZW118"/>
      <c r="IZX118"/>
      <c r="IZY118"/>
      <c r="IZZ118"/>
      <c r="JAA118"/>
      <c r="JAB118"/>
      <c r="JAC118"/>
      <c r="JAD118"/>
      <c r="JAE118"/>
      <c r="JAF118"/>
      <c r="JAG118"/>
      <c r="JAH118"/>
      <c r="JAI118"/>
      <c r="JAJ118"/>
      <c r="JAK118"/>
      <c r="JAL118"/>
      <c r="JAM118"/>
      <c r="JAN118"/>
      <c r="JAO118"/>
      <c r="JAP118"/>
      <c r="JAQ118"/>
      <c r="JAR118"/>
      <c r="JAS118"/>
      <c r="JAT118"/>
      <c r="JAU118"/>
      <c r="JAV118"/>
      <c r="JAW118"/>
      <c r="JAX118"/>
      <c r="JAY118"/>
      <c r="JAZ118"/>
      <c r="JBA118"/>
      <c r="JBB118"/>
      <c r="JBC118"/>
      <c r="JBD118"/>
      <c r="JBE118"/>
      <c r="JBF118"/>
      <c r="JBG118"/>
      <c r="JBH118"/>
      <c r="JBI118"/>
      <c r="JBJ118"/>
      <c r="JBK118"/>
      <c r="JBL118"/>
      <c r="JBM118"/>
      <c r="JBN118"/>
      <c r="JBO118"/>
      <c r="JBP118"/>
      <c r="JBQ118"/>
      <c r="JBR118"/>
      <c r="JBS118"/>
      <c r="JBT118"/>
      <c r="JBU118"/>
      <c r="JBV118"/>
      <c r="JBW118"/>
      <c r="JBX118"/>
      <c r="JBY118"/>
      <c r="JBZ118"/>
      <c r="JCA118"/>
      <c r="JCB118"/>
      <c r="JCC118"/>
      <c r="JCD118"/>
      <c r="JCE118"/>
      <c r="JCF118"/>
      <c r="JCG118"/>
      <c r="JCH118"/>
      <c r="JCI118"/>
      <c r="JCJ118"/>
      <c r="JCK118"/>
      <c r="JCL118"/>
      <c r="JCM118"/>
      <c r="JCN118"/>
      <c r="JCO118"/>
      <c r="JCP118"/>
      <c r="JCQ118"/>
      <c r="JCR118"/>
      <c r="JCS118"/>
      <c r="JCT118"/>
      <c r="JCU118"/>
      <c r="JCV118"/>
      <c r="JCW118"/>
      <c r="JCX118"/>
      <c r="JCY118"/>
      <c r="JCZ118"/>
      <c r="JDA118"/>
      <c r="JDB118"/>
      <c r="JDC118"/>
      <c r="JDD118"/>
      <c r="JDE118"/>
      <c r="JDF118"/>
      <c r="JDG118"/>
      <c r="JDH118"/>
      <c r="JDI118"/>
      <c r="JDJ118"/>
      <c r="JDK118"/>
      <c r="JDL118"/>
      <c r="JDM118"/>
      <c r="JDN118"/>
      <c r="JDO118"/>
      <c r="JDP118"/>
      <c r="JDQ118"/>
      <c r="JDR118"/>
      <c r="JDS118"/>
      <c r="JDT118"/>
      <c r="JDU118"/>
      <c r="JDV118"/>
      <c r="JDW118"/>
      <c r="JDX118"/>
      <c r="JDY118"/>
      <c r="JDZ118"/>
      <c r="JEA118"/>
      <c r="JEB118"/>
      <c r="JEC118"/>
      <c r="JED118"/>
      <c r="JEE118"/>
      <c r="JEF118"/>
      <c r="JEG118"/>
      <c r="JEH118"/>
      <c r="JEI118"/>
      <c r="JEJ118"/>
      <c r="JEK118"/>
      <c r="JEL118"/>
      <c r="JEM118"/>
      <c r="JEN118"/>
      <c r="JEO118"/>
      <c r="JEP118"/>
      <c r="JEQ118"/>
      <c r="JER118"/>
      <c r="JES118"/>
      <c r="JET118"/>
      <c r="JEU118"/>
      <c r="JEV118"/>
      <c r="JEW118"/>
      <c r="JEX118"/>
      <c r="JEY118"/>
      <c r="JEZ118"/>
      <c r="JFA118"/>
      <c r="JFB118"/>
      <c r="JFC118"/>
      <c r="JFD118"/>
      <c r="JFE118"/>
      <c r="JFF118"/>
      <c r="JFG118"/>
      <c r="JFH118"/>
      <c r="JFI118"/>
      <c r="JFJ118"/>
      <c r="JFK118"/>
      <c r="JFL118"/>
      <c r="JFM118"/>
      <c r="JFN118"/>
      <c r="JFO118"/>
      <c r="JFP118"/>
      <c r="JFQ118"/>
      <c r="JFR118"/>
      <c r="JFS118"/>
      <c r="JFT118"/>
      <c r="JFU118"/>
      <c r="JFV118"/>
      <c r="JFW118"/>
      <c r="JFX118"/>
      <c r="JFY118"/>
      <c r="JFZ118"/>
      <c r="JGA118"/>
      <c r="JGB118"/>
      <c r="JGC118"/>
      <c r="JGD118"/>
      <c r="JGE118"/>
      <c r="JGF118"/>
      <c r="JGG118"/>
      <c r="JGH118"/>
      <c r="JGI118"/>
      <c r="JGJ118"/>
      <c r="JGK118"/>
      <c r="JGL118"/>
      <c r="JGM118"/>
      <c r="JGN118"/>
      <c r="JGO118"/>
      <c r="JGP118"/>
      <c r="JGQ118"/>
      <c r="JGR118"/>
      <c r="JGS118"/>
      <c r="JGT118"/>
      <c r="JGU118"/>
      <c r="JGV118"/>
      <c r="JGW118"/>
      <c r="JGX118"/>
      <c r="JGY118"/>
      <c r="JGZ118"/>
      <c r="JHA118"/>
      <c r="JHB118"/>
      <c r="JHC118"/>
      <c r="JHD118"/>
      <c r="JHE118"/>
      <c r="JHF118"/>
      <c r="JHG118"/>
      <c r="JHH118"/>
      <c r="JHI118"/>
      <c r="JHJ118"/>
      <c r="JHK118"/>
      <c r="JHL118"/>
      <c r="JHM118"/>
      <c r="JHN118"/>
      <c r="JHO118"/>
      <c r="JHP118"/>
      <c r="JHQ118"/>
      <c r="JHR118"/>
      <c r="JHS118"/>
      <c r="JHT118"/>
      <c r="JHU118"/>
      <c r="JHV118"/>
      <c r="JHW118"/>
      <c r="JHX118"/>
      <c r="JHY118"/>
      <c r="JHZ118"/>
      <c r="JIA118"/>
      <c r="JIB118"/>
      <c r="JIC118"/>
      <c r="JID118"/>
      <c r="JIE118"/>
      <c r="JIF118"/>
      <c r="JIG118"/>
      <c r="JIH118"/>
      <c r="JII118"/>
      <c r="JIJ118"/>
      <c r="JIK118"/>
      <c r="JIL118"/>
      <c r="JIM118"/>
      <c r="JIN118"/>
      <c r="JIO118"/>
      <c r="JIP118"/>
      <c r="JIQ118"/>
      <c r="JIR118"/>
      <c r="JIS118"/>
      <c r="JIT118"/>
      <c r="JIU118"/>
      <c r="JIV118"/>
      <c r="JIW118"/>
      <c r="JIX118"/>
      <c r="JIY118"/>
      <c r="JIZ118"/>
      <c r="JJA118"/>
      <c r="JJB118"/>
      <c r="JJC118"/>
      <c r="JJD118"/>
      <c r="JJE118"/>
      <c r="JJF118"/>
      <c r="JJG118"/>
      <c r="JJH118"/>
      <c r="JJI118"/>
      <c r="JJJ118"/>
      <c r="JJK118"/>
      <c r="JJL118"/>
      <c r="JJM118"/>
      <c r="JJN118"/>
      <c r="JJO118"/>
      <c r="JJP118"/>
      <c r="JJQ118"/>
      <c r="JJR118"/>
      <c r="JJS118"/>
      <c r="JJT118"/>
      <c r="JJU118"/>
      <c r="JJV118"/>
      <c r="JJW118"/>
      <c r="JJX118"/>
      <c r="JJY118"/>
      <c r="JJZ118"/>
      <c r="JKA118"/>
      <c r="JKB118"/>
      <c r="JKC118"/>
      <c r="JKD118"/>
      <c r="JKE118"/>
      <c r="JKF118"/>
      <c r="JKG118"/>
      <c r="JKH118"/>
      <c r="JKI118"/>
      <c r="JKJ118"/>
      <c r="JKK118"/>
      <c r="JKL118"/>
      <c r="JKM118"/>
      <c r="JKN118"/>
      <c r="JKO118"/>
      <c r="JKP118"/>
      <c r="JKQ118"/>
      <c r="JKR118"/>
      <c r="JKS118"/>
      <c r="JKT118"/>
      <c r="JKU118"/>
      <c r="JKV118"/>
      <c r="JKW118"/>
      <c r="JKX118"/>
      <c r="JKY118"/>
      <c r="JKZ118"/>
      <c r="JLA118"/>
      <c r="JLB118"/>
      <c r="JLC118"/>
      <c r="JLD118"/>
      <c r="JLE118"/>
      <c r="JLF118"/>
      <c r="JLG118"/>
      <c r="JLH118"/>
      <c r="JLI118"/>
      <c r="JLJ118"/>
      <c r="JLK118"/>
      <c r="JLL118"/>
      <c r="JLM118"/>
      <c r="JLN118"/>
      <c r="JLO118"/>
      <c r="JLP118"/>
      <c r="JLQ118"/>
      <c r="JLR118"/>
      <c r="JLS118"/>
      <c r="JLT118"/>
      <c r="JLU118"/>
      <c r="JLV118"/>
      <c r="JLW118"/>
      <c r="JLX118"/>
      <c r="JLY118"/>
      <c r="JLZ118"/>
      <c r="JMA118"/>
      <c r="JMB118"/>
      <c r="JMC118"/>
      <c r="JMD118"/>
      <c r="JME118"/>
      <c r="JMF118"/>
      <c r="JMG118"/>
      <c r="JMH118"/>
      <c r="JMI118"/>
      <c r="JMJ118"/>
      <c r="JMK118"/>
      <c r="JML118"/>
      <c r="JMM118"/>
      <c r="JMN118"/>
      <c r="JMO118"/>
      <c r="JMP118"/>
      <c r="JMQ118"/>
      <c r="JMR118"/>
      <c r="JMS118"/>
      <c r="JMT118"/>
      <c r="JMU118"/>
      <c r="JMV118"/>
      <c r="JMW118"/>
      <c r="JMX118"/>
      <c r="JMY118"/>
      <c r="JMZ118"/>
      <c r="JNA118"/>
      <c r="JNB118"/>
      <c r="JNC118"/>
      <c r="JND118"/>
      <c r="JNE118"/>
      <c r="JNF118"/>
      <c r="JNG118"/>
      <c r="JNH118"/>
      <c r="JNI118"/>
      <c r="JNJ118"/>
      <c r="JNK118"/>
      <c r="JNL118"/>
      <c r="JNM118"/>
      <c r="JNN118"/>
      <c r="JNO118"/>
      <c r="JNP118"/>
      <c r="JNQ118"/>
      <c r="JNR118"/>
      <c r="JNS118"/>
      <c r="JNT118"/>
      <c r="JNU118"/>
      <c r="JNV118"/>
      <c r="JNW118"/>
      <c r="JNX118"/>
      <c r="JNY118"/>
      <c r="JNZ118"/>
      <c r="JOA118"/>
      <c r="JOB118"/>
      <c r="JOC118"/>
      <c r="JOD118"/>
      <c r="JOE118"/>
      <c r="JOF118"/>
      <c r="JOG118"/>
      <c r="JOH118"/>
      <c r="JOI118"/>
      <c r="JOJ118"/>
      <c r="JOK118"/>
      <c r="JOL118"/>
      <c r="JOM118"/>
      <c r="JON118"/>
      <c r="JOO118"/>
      <c r="JOP118"/>
      <c r="JOQ118"/>
      <c r="JOR118"/>
      <c r="JOS118"/>
      <c r="JOT118"/>
      <c r="JOU118"/>
      <c r="JOV118"/>
      <c r="JOW118"/>
      <c r="JOX118"/>
      <c r="JOY118"/>
      <c r="JOZ118"/>
      <c r="JPA118"/>
      <c r="JPB118"/>
      <c r="JPC118"/>
      <c r="JPD118"/>
      <c r="JPE118"/>
      <c r="JPF118"/>
      <c r="JPG118"/>
      <c r="JPH118"/>
      <c r="JPI118"/>
      <c r="JPJ118"/>
      <c r="JPK118"/>
      <c r="JPL118"/>
      <c r="JPM118"/>
      <c r="JPN118"/>
      <c r="JPO118"/>
      <c r="JPP118"/>
      <c r="JPQ118"/>
      <c r="JPR118"/>
      <c r="JPS118"/>
      <c r="JPT118"/>
      <c r="JPU118"/>
      <c r="JPV118"/>
      <c r="JPW118"/>
      <c r="JPX118"/>
      <c r="JPY118"/>
      <c r="JPZ118"/>
      <c r="JQA118"/>
      <c r="JQB118"/>
      <c r="JQC118"/>
      <c r="JQD118"/>
      <c r="JQE118"/>
      <c r="JQF118"/>
      <c r="JQG118"/>
      <c r="JQH118"/>
      <c r="JQI118"/>
      <c r="JQJ118"/>
      <c r="JQK118"/>
      <c r="JQL118"/>
      <c r="JQM118"/>
      <c r="JQN118"/>
      <c r="JQO118"/>
      <c r="JQP118"/>
      <c r="JQQ118"/>
      <c r="JQR118"/>
      <c r="JQS118"/>
      <c r="JQT118"/>
      <c r="JQU118"/>
      <c r="JQV118"/>
      <c r="JQW118"/>
      <c r="JQX118"/>
      <c r="JQY118"/>
      <c r="JQZ118"/>
      <c r="JRA118"/>
      <c r="JRB118"/>
      <c r="JRC118"/>
      <c r="JRD118"/>
      <c r="JRE118"/>
      <c r="JRF118"/>
      <c r="JRG118"/>
      <c r="JRH118"/>
      <c r="JRI118"/>
      <c r="JRJ118"/>
      <c r="JRK118"/>
      <c r="JRL118"/>
      <c r="JRM118"/>
      <c r="JRN118"/>
      <c r="JRO118"/>
      <c r="JRP118"/>
      <c r="JRQ118"/>
      <c r="JRR118"/>
      <c r="JRS118"/>
      <c r="JRT118"/>
      <c r="JRU118"/>
      <c r="JRV118"/>
      <c r="JRW118"/>
      <c r="JRX118"/>
      <c r="JRY118"/>
      <c r="JRZ118"/>
      <c r="JSA118"/>
      <c r="JSB118"/>
      <c r="JSC118"/>
      <c r="JSD118"/>
      <c r="JSE118"/>
      <c r="JSF118"/>
      <c r="JSG118"/>
      <c r="JSH118"/>
      <c r="JSI118"/>
      <c r="JSJ118"/>
      <c r="JSK118"/>
      <c r="JSL118"/>
      <c r="JSM118"/>
      <c r="JSN118"/>
      <c r="JSO118"/>
      <c r="JSP118"/>
      <c r="JSQ118"/>
      <c r="JSR118"/>
      <c r="JSS118"/>
      <c r="JST118"/>
      <c r="JSU118"/>
      <c r="JSV118"/>
      <c r="JSW118"/>
      <c r="JSX118"/>
      <c r="JSY118"/>
      <c r="JSZ118"/>
      <c r="JTA118"/>
      <c r="JTB118"/>
      <c r="JTC118"/>
      <c r="JTD118"/>
      <c r="JTE118"/>
      <c r="JTF118"/>
      <c r="JTG118"/>
      <c r="JTH118"/>
      <c r="JTI118"/>
      <c r="JTJ118"/>
      <c r="JTK118"/>
      <c r="JTL118"/>
      <c r="JTM118"/>
      <c r="JTN118"/>
      <c r="JTO118"/>
      <c r="JTP118"/>
      <c r="JTQ118"/>
      <c r="JTR118"/>
      <c r="JTS118"/>
      <c r="JTT118"/>
      <c r="JTU118"/>
      <c r="JTV118"/>
      <c r="JTW118"/>
      <c r="JTX118"/>
      <c r="JTY118"/>
      <c r="JTZ118"/>
      <c r="JUA118"/>
      <c r="JUB118"/>
      <c r="JUC118"/>
      <c r="JUD118"/>
      <c r="JUE118"/>
      <c r="JUF118"/>
      <c r="JUG118"/>
      <c r="JUH118"/>
      <c r="JUI118"/>
      <c r="JUJ118"/>
      <c r="JUK118"/>
      <c r="JUL118"/>
      <c r="JUM118"/>
      <c r="JUN118"/>
      <c r="JUO118"/>
      <c r="JUP118"/>
      <c r="JUQ118"/>
      <c r="JUR118"/>
      <c r="JUS118"/>
      <c r="JUT118"/>
      <c r="JUU118"/>
      <c r="JUV118"/>
      <c r="JUW118"/>
      <c r="JUX118"/>
      <c r="JUY118"/>
      <c r="JUZ118"/>
      <c r="JVA118"/>
      <c r="JVB118"/>
      <c r="JVC118"/>
      <c r="JVD118"/>
      <c r="JVE118"/>
      <c r="JVF118"/>
      <c r="JVG118"/>
      <c r="JVH118"/>
      <c r="JVI118"/>
      <c r="JVJ118"/>
      <c r="JVK118"/>
      <c r="JVL118"/>
      <c r="JVM118"/>
      <c r="JVN118"/>
      <c r="JVO118"/>
      <c r="JVP118"/>
      <c r="JVQ118"/>
      <c r="JVR118"/>
      <c r="JVS118"/>
      <c r="JVT118"/>
      <c r="JVU118"/>
      <c r="JVV118"/>
      <c r="JVW118"/>
      <c r="JVX118"/>
      <c r="JVY118"/>
      <c r="JVZ118"/>
      <c r="JWA118"/>
      <c r="JWB118"/>
      <c r="JWC118"/>
      <c r="JWD118"/>
      <c r="JWE118"/>
      <c r="JWF118"/>
      <c r="JWG118"/>
      <c r="JWH118"/>
      <c r="JWI118"/>
      <c r="JWJ118"/>
      <c r="JWK118"/>
      <c r="JWL118"/>
      <c r="JWM118"/>
      <c r="JWN118"/>
      <c r="JWO118"/>
      <c r="JWP118"/>
      <c r="JWQ118"/>
      <c r="JWR118"/>
      <c r="JWS118"/>
      <c r="JWT118"/>
      <c r="JWU118"/>
      <c r="JWV118"/>
      <c r="JWW118"/>
      <c r="JWX118"/>
      <c r="JWY118"/>
      <c r="JWZ118"/>
      <c r="JXA118"/>
      <c r="JXB118"/>
      <c r="JXC118"/>
      <c r="JXD118"/>
      <c r="JXE118"/>
      <c r="JXF118"/>
      <c r="JXG118"/>
      <c r="JXH118"/>
      <c r="JXI118"/>
      <c r="JXJ118"/>
      <c r="JXK118"/>
      <c r="JXL118"/>
      <c r="JXM118"/>
      <c r="JXN118"/>
      <c r="JXO118"/>
      <c r="JXP118"/>
      <c r="JXQ118"/>
      <c r="JXR118"/>
      <c r="JXS118"/>
      <c r="JXT118"/>
      <c r="JXU118"/>
      <c r="JXV118"/>
      <c r="JXW118"/>
      <c r="JXX118"/>
      <c r="JXY118"/>
      <c r="JXZ118"/>
      <c r="JYA118"/>
      <c r="JYB118"/>
      <c r="JYC118"/>
      <c r="JYD118"/>
      <c r="JYE118"/>
      <c r="JYF118"/>
      <c r="JYG118"/>
      <c r="JYH118"/>
      <c r="JYI118"/>
      <c r="JYJ118"/>
      <c r="JYK118"/>
      <c r="JYL118"/>
      <c r="JYM118"/>
      <c r="JYN118"/>
      <c r="JYO118"/>
      <c r="JYP118"/>
      <c r="JYQ118"/>
      <c r="JYR118"/>
      <c r="JYS118"/>
      <c r="JYT118"/>
      <c r="JYU118"/>
      <c r="JYV118"/>
      <c r="JYW118"/>
      <c r="JYX118"/>
      <c r="JYY118"/>
      <c r="JYZ118"/>
      <c r="JZA118"/>
      <c r="JZB118"/>
      <c r="JZC118"/>
      <c r="JZD118"/>
      <c r="JZE118"/>
      <c r="JZF118"/>
      <c r="JZG118"/>
      <c r="JZH118"/>
      <c r="JZI118"/>
      <c r="JZJ118"/>
      <c r="JZK118"/>
      <c r="JZL118"/>
      <c r="JZM118"/>
      <c r="JZN118"/>
      <c r="JZO118"/>
      <c r="JZP118"/>
      <c r="JZQ118"/>
      <c r="JZR118"/>
      <c r="JZS118"/>
      <c r="JZT118"/>
      <c r="JZU118"/>
      <c r="JZV118"/>
      <c r="JZW118"/>
      <c r="JZX118"/>
      <c r="JZY118"/>
      <c r="JZZ118"/>
      <c r="KAA118"/>
      <c r="KAB118"/>
      <c r="KAC118"/>
      <c r="KAD118"/>
      <c r="KAE118"/>
      <c r="KAF118"/>
      <c r="KAG118"/>
      <c r="KAH118"/>
      <c r="KAI118"/>
      <c r="KAJ118"/>
      <c r="KAK118"/>
      <c r="KAL118"/>
      <c r="KAM118"/>
      <c r="KAN118"/>
      <c r="KAO118"/>
      <c r="KAP118"/>
      <c r="KAQ118"/>
      <c r="KAR118"/>
      <c r="KAS118"/>
      <c r="KAT118"/>
      <c r="KAU118"/>
      <c r="KAV118"/>
      <c r="KAW118"/>
      <c r="KAX118"/>
      <c r="KAY118"/>
      <c r="KAZ118"/>
      <c r="KBA118"/>
      <c r="KBB118"/>
      <c r="KBC118"/>
      <c r="KBD118"/>
      <c r="KBE118"/>
      <c r="KBF118"/>
      <c r="KBG118"/>
      <c r="KBH118"/>
      <c r="KBI118"/>
      <c r="KBJ118"/>
      <c r="KBK118"/>
      <c r="KBL118"/>
      <c r="KBM118"/>
      <c r="KBN118"/>
      <c r="KBO118"/>
      <c r="KBP118"/>
      <c r="KBQ118"/>
      <c r="KBR118"/>
      <c r="KBS118"/>
      <c r="KBT118"/>
      <c r="KBU118"/>
      <c r="KBV118"/>
      <c r="KBW118"/>
      <c r="KBX118"/>
      <c r="KBY118"/>
      <c r="KBZ118"/>
      <c r="KCA118"/>
      <c r="KCB118"/>
      <c r="KCC118"/>
      <c r="KCD118"/>
      <c r="KCE118"/>
      <c r="KCF118"/>
      <c r="KCG118"/>
      <c r="KCH118"/>
      <c r="KCI118"/>
      <c r="KCJ118"/>
      <c r="KCK118"/>
      <c r="KCL118"/>
      <c r="KCM118"/>
      <c r="KCN118"/>
      <c r="KCO118"/>
      <c r="KCP118"/>
      <c r="KCQ118"/>
      <c r="KCR118"/>
      <c r="KCS118"/>
      <c r="KCT118"/>
      <c r="KCU118"/>
      <c r="KCV118"/>
      <c r="KCW118"/>
      <c r="KCX118"/>
      <c r="KCY118"/>
      <c r="KCZ118"/>
      <c r="KDA118"/>
      <c r="KDB118"/>
      <c r="KDC118"/>
      <c r="KDD118"/>
      <c r="KDE118"/>
      <c r="KDF118"/>
      <c r="KDG118"/>
      <c r="KDH118"/>
      <c r="KDI118"/>
      <c r="KDJ118"/>
      <c r="KDK118"/>
      <c r="KDL118"/>
      <c r="KDM118"/>
      <c r="KDN118"/>
      <c r="KDO118"/>
      <c r="KDP118"/>
      <c r="KDQ118"/>
      <c r="KDR118"/>
      <c r="KDS118"/>
      <c r="KDT118"/>
      <c r="KDU118"/>
      <c r="KDV118"/>
      <c r="KDW118"/>
      <c r="KDX118"/>
      <c r="KDY118"/>
      <c r="KDZ118"/>
      <c r="KEA118"/>
      <c r="KEB118"/>
      <c r="KEC118"/>
      <c r="KED118"/>
      <c r="KEE118"/>
      <c r="KEF118"/>
      <c r="KEG118"/>
      <c r="KEH118"/>
      <c r="KEI118"/>
      <c r="KEJ118"/>
      <c r="KEK118"/>
      <c r="KEL118"/>
      <c r="KEM118"/>
      <c r="KEN118"/>
      <c r="KEO118"/>
      <c r="KEP118"/>
      <c r="KEQ118"/>
      <c r="KER118"/>
      <c r="KES118"/>
      <c r="KET118"/>
      <c r="KEU118"/>
      <c r="KEV118"/>
      <c r="KEW118"/>
      <c r="KEX118"/>
      <c r="KEY118"/>
      <c r="KEZ118"/>
      <c r="KFA118"/>
      <c r="KFB118"/>
      <c r="KFC118"/>
      <c r="KFD118"/>
      <c r="KFE118"/>
      <c r="KFF118"/>
      <c r="KFG118"/>
      <c r="KFH118"/>
      <c r="KFI118"/>
      <c r="KFJ118"/>
      <c r="KFK118"/>
      <c r="KFL118"/>
      <c r="KFM118"/>
      <c r="KFN118"/>
      <c r="KFO118"/>
      <c r="KFP118"/>
      <c r="KFQ118"/>
      <c r="KFR118"/>
      <c r="KFS118"/>
      <c r="KFT118"/>
      <c r="KFU118"/>
      <c r="KFV118"/>
      <c r="KFW118"/>
      <c r="KFX118"/>
      <c r="KFY118"/>
      <c r="KFZ118"/>
      <c r="KGA118"/>
      <c r="KGB118"/>
      <c r="KGC118"/>
      <c r="KGD118"/>
      <c r="KGE118"/>
      <c r="KGF118"/>
      <c r="KGG118"/>
      <c r="KGH118"/>
      <c r="KGI118"/>
      <c r="KGJ118"/>
      <c r="KGK118"/>
      <c r="KGL118"/>
      <c r="KGM118"/>
      <c r="KGN118"/>
      <c r="KGO118"/>
      <c r="KGP118"/>
      <c r="KGQ118"/>
      <c r="KGR118"/>
      <c r="KGS118"/>
      <c r="KGT118"/>
      <c r="KGU118"/>
      <c r="KGV118"/>
      <c r="KGW118"/>
      <c r="KGX118"/>
      <c r="KGY118"/>
      <c r="KGZ118"/>
      <c r="KHA118"/>
      <c r="KHB118"/>
      <c r="KHC118"/>
      <c r="KHD118"/>
      <c r="KHE118"/>
      <c r="KHF118"/>
      <c r="KHG118"/>
      <c r="KHH118"/>
      <c r="KHI118"/>
      <c r="KHJ118"/>
      <c r="KHK118"/>
      <c r="KHL118"/>
      <c r="KHM118"/>
      <c r="KHN118"/>
      <c r="KHO118"/>
      <c r="KHP118"/>
      <c r="KHQ118"/>
      <c r="KHR118"/>
      <c r="KHS118"/>
      <c r="KHT118"/>
      <c r="KHU118"/>
      <c r="KHV118"/>
      <c r="KHW118"/>
      <c r="KHX118"/>
      <c r="KHY118"/>
      <c r="KHZ118"/>
      <c r="KIA118"/>
      <c r="KIB118"/>
      <c r="KIC118"/>
      <c r="KID118"/>
      <c r="KIE118"/>
      <c r="KIF118"/>
      <c r="KIG118"/>
      <c r="KIH118"/>
      <c r="KII118"/>
      <c r="KIJ118"/>
      <c r="KIK118"/>
      <c r="KIL118"/>
      <c r="KIM118"/>
      <c r="KIN118"/>
      <c r="KIO118"/>
      <c r="KIP118"/>
      <c r="KIQ118"/>
      <c r="KIR118"/>
      <c r="KIS118"/>
      <c r="KIT118"/>
      <c r="KIU118"/>
      <c r="KIV118"/>
      <c r="KIW118"/>
      <c r="KIX118"/>
      <c r="KIY118"/>
      <c r="KIZ118"/>
      <c r="KJA118"/>
      <c r="KJB118"/>
      <c r="KJC118"/>
      <c r="KJD118"/>
      <c r="KJE118"/>
      <c r="KJF118"/>
      <c r="KJG118"/>
      <c r="KJH118"/>
      <c r="KJI118"/>
      <c r="KJJ118"/>
      <c r="KJK118"/>
      <c r="KJL118"/>
      <c r="KJM118"/>
      <c r="KJN118"/>
      <c r="KJO118"/>
      <c r="KJP118"/>
      <c r="KJQ118"/>
      <c r="KJR118"/>
      <c r="KJS118"/>
      <c r="KJT118"/>
      <c r="KJU118"/>
      <c r="KJV118"/>
      <c r="KJW118"/>
      <c r="KJX118"/>
      <c r="KJY118"/>
      <c r="KJZ118"/>
      <c r="KKA118"/>
      <c r="KKB118"/>
      <c r="KKC118"/>
      <c r="KKD118"/>
      <c r="KKE118"/>
      <c r="KKF118"/>
      <c r="KKG118"/>
      <c r="KKH118"/>
      <c r="KKI118"/>
      <c r="KKJ118"/>
      <c r="KKK118"/>
      <c r="KKL118"/>
      <c r="KKM118"/>
      <c r="KKN118"/>
      <c r="KKO118"/>
      <c r="KKP118"/>
      <c r="KKQ118"/>
      <c r="KKR118"/>
      <c r="KKS118"/>
      <c r="KKT118"/>
      <c r="KKU118"/>
      <c r="KKV118"/>
      <c r="KKW118"/>
      <c r="KKX118"/>
      <c r="KKY118"/>
      <c r="KKZ118"/>
      <c r="KLA118"/>
      <c r="KLB118"/>
      <c r="KLC118"/>
      <c r="KLD118"/>
      <c r="KLE118"/>
      <c r="KLF118"/>
      <c r="KLG118"/>
      <c r="KLH118"/>
      <c r="KLI118"/>
      <c r="KLJ118"/>
      <c r="KLK118"/>
      <c r="KLL118"/>
      <c r="KLM118"/>
      <c r="KLN118"/>
      <c r="KLO118"/>
      <c r="KLP118"/>
      <c r="KLQ118"/>
      <c r="KLR118"/>
      <c r="KLS118"/>
      <c r="KLT118"/>
      <c r="KLU118"/>
      <c r="KLV118"/>
      <c r="KLW118"/>
      <c r="KLX118"/>
      <c r="KLY118"/>
      <c r="KLZ118"/>
      <c r="KMA118"/>
      <c r="KMB118"/>
      <c r="KMC118"/>
      <c r="KMD118"/>
      <c r="KME118"/>
      <c r="KMF118"/>
      <c r="KMG118"/>
      <c r="KMH118"/>
      <c r="KMI118"/>
      <c r="KMJ118"/>
      <c r="KMK118"/>
      <c r="KML118"/>
      <c r="KMM118"/>
      <c r="KMN118"/>
      <c r="KMO118"/>
      <c r="KMP118"/>
      <c r="KMQ118"/>
      <c r="KMR118"/>
      <c r="KMS118"/>
      <c r="KMT118"/>
      <c r="KMU118"/>
      <c r="KMV118"/>
      <c r="KMW118"/>
      <c r="KMX118"/>
      <c r="KMY118"/>
      <c r="KMZ118"/>
      <c r="KNA118"/>
      <c r="KNB118"/>
      <c r="KNC118"/>
      <c r="KND118"/>
      <c r="KNE118"/>
      <c r="KNF118"/>
      <c r="KNG118"/>
      <c r="KNH118"/>
      <c r="KNI118"/>
      <c r="KNJ118"/>
      <c r="KNK118"/>
      <c r="KNL118"/>
      <c r="KNM118"/>
      <c r="KNN118"/>
      <c r="KNO118"/>
      <c r="KNP118"/>
      <c r="KNQ118"/>
      <c r="KNR118"/>
      <c r="KNS118"/>
      <c r="KNT118"/>
      <c r="KNU118"/>
      <c r="KNV118"/>
      <c r="KNW118"/>
      <c r="KNX118"/>
      <c r="KNY118"/>
      <c r="KNZ118"/>
      <c r="KOA118"/>
      <c r="KOB118"/>
      <c r="KOC118"/>
      <c r="KOD118"/>
      <c r="KOE118"/>
      <c r="KOF118"/>
      <c r="KOG118"/>
      <c r="KOH118"/>
      <c r="KOI118"/>
      <c r="KOJ118"/>
      <c r="KOK118"/>
      <c r="KOL118"/>
      <c r="KOM118"/>
      <c r="KON118"/>
      <c r="KOO118"/>
      <c r="KOP118"/>
      <c r="KOQ118"/>
      <c r="KOR118"/>
      <c r="KOS118"/>
      <c r="KOT118"/>
      <c r="KOU118"/>
      <c r="KOV118"/>
      <c r="KOW118"/>
      <c r="KOX118"/>
      <c r="KOY118"/>
      <c r="KOZ118"/>
      <c r="KPA118"/>
      <c r="KPB118"/>
      <c r="KPC118"/>
      <c r="KPD118"/>
      <c r="KPE118"/>
      <c r="KPF118"/>
      <c r="KPG118"/>
      <c r="KPH118"/>
      <c r="KPI118"/>
      <c r="KPJ118"/>
      <c r="KPK118"/>
      <c r="KPL118"/>
      <c r="KPM118"/>
      <c r="KPN118"/>
      <c r="KPO118"/>
      <c r="KPP118"/>
      <c r="KPQ118"/>
      <c r="KPR118"/>
      <c r="KPS118"/>
      <c r="KPT118"/>
      <c r="KPU118"/>
      <c r="KPV118"/>
      <c r="KPW118"/>
      <c r="KPX118"/>
      <c r="KPY118"/>
      <c r="KPZ118"/>
      <c r="KQA118"/>
      <c r="KQB118"/>
      <c r="KQC118"/>
      <c r="KQD118"/>
      <c r="KQE118"/>
      <c r="KQF118"/>
      <c r="KQG118"/>
      <c r="KQH118"/>
      <c r="KQI118"/>
      <c r="KQJ118"/>
      <c r="KQK118"/>
      <c r="KQL118"/>
      <c r="KQM118"/>
      <c r="KQN118"/>
      <c r="KQO118"/>
      <c r="KQP118"/>
      <c r="KQQ118"/>
      <c r="KQR118"/>
      <c r="KQS118"/>
      <c r="KQT118"/>
      <c r="KQU118"/>
      <c r="KQV118"/>
      <c r="KQW118"/>
      <c r="KQX118"/>
      <c r="KQY118"/>
      <c r="KQZ118"/>
      <c r="KRA118"/>
      <c r="KRB118"/>
      <c r="KRC118"/>
      <c r="KRD118"/>
      <c r="KRE118"/>
      <c r="KRF118"/>
      <c r="KRG118"/>
      <c r="KRH118"/>
      <c r="KRI118"/>
      <c r="KRJ118"/>
      <c r="KRK118"/>
      <c r="KRL118"/>
      <c r="KRM118"/>
      <c r="KRN118"/>
      <c r="KRO118"/>
      <c r="KRP118"/>
      <c r="KRQ118"/>
      <c r="KRR118"/>
      <c r="KRS118"/>
      <c r="KRT118"/>
      <c r="KRU118"/>
      <c r="KRV118"/>
      <c r="KRW118"/>
      <c r="KRX118"/>
      <c r="KRY118"/>
      <c r="KRZ118"/>
      <c r="KSA118"/>
      <c r="KSB118"/>
      <c r="KSC118"/>
      <c r="KSD118"/>
      <c r="KSE118"/>
      <c r="KSF118"/>
      <c r="KSG118"/>
      <c r="KSH118"/>
      <c r="KSI118"/>
      <c r="KSJ118"/>
      <c r="KSK118"/>
      <c r="KSL118"/>
      <c r="KSM118"/>
      <c r="KSN118"/>
      <c r="KSO118"/>
      <c r="KSP118"/>
      <c r="KSQ118"/>
      <c r="KSR118"/>
      <c r="KSS118"/>
      <c r="KST118"/>
      <c r="KSU118"/>
      <c r="KSV118"/>
      <c r="KSW118"/>
      <c r="KSX118"/>
      <c r="KSY118"/>
      <c r="KSZ118"/>
      <c r="KTA118"/>
      <c r="KTB118"/>
      <c r="KTC118"/>
      <c r="KTD118"/>
      <c r="KTE118"/>
      <c r="KTF118"/>
      <c r="KTG118"/>
      <c r="KTH118"/>
      <c r="KTI118"/>
      <c r="KTJ118"/>
      <c r="KTK118"/>
      <c r="KTL118"/>
      <c r="KTM118"/>
      <c r="KTN118"/>
      <c r="KTO118"/>
      <c r="KTP118"/>
      <c r="KTQ118"/>
      <c r="KTR118"/>
      <c r="KTS118"/>
      <c r="KTT118"/>
      <c r="KTU118"/>
      <c r="KTV118"/>
      <c r="KTW118"/>
      <c r="KTX118"/>
      <c r="KTY118"/>
      <c r="KTZ118"/>
      <c r="KUA118"/>
      <c r="KUB118"/>
      <c r="KUC118"/>
      <c r="KUD118"/>
      <c r="KUE118"/>
      <c r="KUF118"/>
      <c r="KUG118"/>
      <c r="KUH118"/>
      <c r="KUI118"/>
      <c r="KUJ118"/>
      <c r="KUK118"/>
      <c r="KUL118"/>
      <c r="KUM118"/>
      <c r="KUN118"/>
      <c r="KUO118"/>
      <c r="KUP118"/>
      <c r="KUQ118"/>
      <c r="KUR118"/>
      <c r="KUS118"/>
      <c r="KUT118"/>
      <c r="KUU118"/>
      <c r="KUV118"/>
      <c r="KUW118"/>
      <c r="KUX118"/>
      <c r="KUY118"/>
      <c r="KUZ118"/>
      <c r="KVA118"/>
      <c r="KVB118"/>
      <c r="KVC118"/>
      <c r="KVD118"/>
      <c r="KVE118"/>
      <c r="KVF118"/>
      <c r="KVG118"/>
      <c r="KVH118"/>
      <c r="KVI118"/>
      <c r="KVJ118"/>
      <c r="KVK118"/>
      <c r="KVL118"/>
      <c r="KVM118"/>
      <c r="KVN118"/>
      <c r="KVO118"/>
      <c r="KVP118"/>
      <c r="KVQ118"/>
      <c r="KVR118"/>
      <c r="KVS118"/>
      <c r="KVT118"/>
      <c r="KVU118"/>
      <c r="KVV118"/>
      <c r="KVW118"/>
      <c r="KVX118"/>
      <c r="KVY118"/>
      <c r="KVZ118"/>
      <c r="KWA118"/>
      <c r="KWB118"/>
      <c r="KWC118"/>
      <c r="KWD118"/>
      <c r="KWE118"/>
      <c r="KWF118"/>
      <c r="KWG118"/>
      <c r="KWH118"/>
      <c r="KWI118"/>
      <c r="KWJ118"/>
      <c r="KWK118"/>
      <c r="KWL118"/>
      <c r="KWM118"/>
      <c r="KWN118"/>
      <c r="KWO118"/>
      <c r="KWP118"/>
      <c r="KWQ118"/>
      <c r="KWR118"/>
      <c r="KWS118"/>
      <c r="KWT118"/>
      <c r="KWU118"/>
      <c r="KWV118"/>
      <c r="KWW118"/>
      <c r="KWX118"/>
      <c r="KWY118"/>
      <c r="KWZ118"/>
      <c r="KXA118"/>
      <c r="KXB118"/>
      <c r="KXC118"/>
      <c r="KXD118"/>
      <c r="KXE118"/>
      <c r="KXF118"/>
      <c r="KXG118"/>
      <c r="KXH118"/>
      <c r="KXI118"/>
      <c r="KXJ118"/>
      <c r="KXK118"/>
      <c r="KXL118"/>
      <c r="KXM118"/>
      <c r="KXN118"/>
      <c r="KXO118"/>
      <c r="KXP118"/>
      <c r="KXQ118"/>
      <c r="KXR118"/>
      <c r="KXS118"/>
      <c r="KXT118"/>
      <c r="KXU118"/>
      <c r="KXV118"/>
      <c r="KXW118"/>
      <c r="KXX118"/>
      <c r="KXY118"/>
      <c r="KXZ118"/>
      <c r="KYA118"/>
      <c r="KYB118"/>
      <c r="KYC118"/>
      <c r="KYD118"/>
      <c r="KYE118"/>
      <c r="KYF118"/>
      <c r="KYG118"/>
      <c r="KYH118"/>
      <c r="KYI118"/>
      <c r="KYJ118"/>
      <c r="KYK118"/>
      <c r="KYL118"/>
      <c r="KYM118"/>
      <c r="KYN118"/>
      <c r="KYO118"/>
      <c r="KYP118"/>
      <c r="KYQ118"/>
      <c r="KYR118"/>
      <c r="KYS118"/>
      <c r="KYT118"/>
      <c r="KYU118"/>
      <c r="KYV118"/>
      <c r="KYW118"/>
      <c r="KYX118"/>
      <c r="KYY118"/>
      <c r="KYZ118"/>
      <c r="KZA118"/>
      <c r="KZB118"/>
      <c r="KZC118"/>
      <c r="KZD118"/>
      <c r="KZE118"/>
      <c r="KZF118"/>
      <c r="KZG118"/>
      <c r="KZH118"/>
      <c r="KZI118"/>
      <c r="KZJ118"/>
      <c r="KZK118"/>
      <c r="KZL118"/>
      <c r="KZM118"/>
      <c r="KZN118"/>
      <c r="KZO118"/>
      <c r="KZP118"/>
      <c r="KZQ118"/>
      <c r="KZR118"/>
      <c r="KZS118"/>
      <c r="KZT118"/>
      <c r="KZU118"/>
      <c r="KZV118"/>
      <c r="KZW118"/>
      <c r="KZX118"/>
      <c r="KZY118"/>
      <c r="KZZ118"/>
      <c r="LAA118"/>
      <c r="LAB118"/>
      <c r="LAC118"/>
      <c r="LAD118"/>
      <c r="LAE118"/>
      <c r="LAF118"/>
      <c r="LAG118"/>
      <c r="LAH118"/>
      <c r="LAI118"/>
      <c r="LAJ118"/>
      <c r="LAK118"/>
      <c r="LAL118"/>
      <c r="LAM118"/>
      <c r="LAN118"/>
      <c r="LAO118"/>
      <c r="LAP118"/>
      <c r="LAQ118"/>
      <c r="LAR118"/>
      <c r="LAS118"/>
      <c r="LAT118"/>
      <c r="LAU118"/>
      <c r="LAV118"/>
      <c r="LAW118"/>
      <c r="LAX118"/>
      <c r="LAY118"/>
      <c r="LAZ118"/>
      <c r="LBA118"/>
      <c r="LBB118"/>
      <c r="LBC118"/>
      <c r="LBD118"/>
      <c r="LBE118"/>
      <c r="LBF118"/>
      <c r="LBG118"/>
      <c r="LBH118"/>
      <c r="LBI118"/>
      <c r="LBJ118"/>
      <c r="LBK118"/>
      <c r="LBL118"/>
      <c r="LBM118"/>
      <c r="LBN118"/>
      <c r="LBO118"/>
      <c r="LBP118"/>
      <c r="LBQ118"/>
      <c r="LBR118"/>
      <c r="LBS118"/>
      <c r="LBT118"/>
      <c r="LBU118"/>
      <c r="LBV118"/>
      <c r="LBW118"/>
      <c r="LBX118"/>
      <c r="LBY118"/>
      <c r="LBZ118"/>
      <c r="LCA118"/>
      <c r="LCB118"/>
      <c r="LCC118"/>
      <c r="LCD118"/>
      <c r="LCE118"/>
      <c r="LCF118"/>
      <c r="LCG118"/>
      <c r="LCH118"/>
      <c r="LCI118"/>
      <c r="LCJ118"/>
      <c r="LCK118"/>
      <c r="LCL118"/>
      <c r="LCM118"/>
      <c r="LCN118"/>
      <c r="LCO118"/>
      <c r="LCP118"/>
      <c r="LCQ118"/>
      <c r="LCR118"/>
      <c r="LCS118"/>
      <c r="LCT118"/>
      <c r="LCU118"/>
      <c r="LCV118"/>
      <c r="LCW118"/>
      <c r="LCX118"/>
      <c r="LCY118"/>
      <c r="LCZ118"/>
      <c r="LDA118"/>
      <c r="LDB118"/>
      <c r="LDC118"/>
      <c r="LDD118"/>
      <c r="LDE118"/>
      <c r="LDF118"/>
      <c r="LDG118"/>
      <c r="LDH118"/>
      <c r="LDI118"/>
      <c r="LDJ118"/>
      <c r="LDK118"/>
      <c r="LDL118"/>
      <c r="LDM118"/>
      <c r="LDN118"/>
      <c r="LDO118"/>
      <c r="LDP118"/>
      <c r="LDQ118"/>
      <c r="LDR118"/>
      <c r="LDS118"/>
      <c r="LDT118"/>
      <c r="LDU118"/>
      <c r="LDV118"/>
      <c r="LDW118"/>
      <c r="LDX118"/>
      <c r="LDY118"/>
      <c r="LDZ118"/>
      <c r="LEA118"/>
      <c r="LEB118"/>
      <c r="LEC118"/>
      <c r="LED118"/>
      <c r="LEE118"/>
      <c r="LEF118"/>
      <c r="LEG118"/>
      <c r="LEH118"/>
      <c r="LEI118"/>
      <c r="LEJ118"/>
      <c r="LEK118"/>
      <c r="LEL118"/>
      <c r="LEM118"/>
      <c r="LEN118"/>
      <c r="LEO118"/>
      <c r="LEP118"/>
      <c r="LEQ118"/>
      <c r="LER118"/>
      <c r="LES118"/>
      <c r="LET118"/>
      <c r="LEU118"/>
      <c r="LEV118"/>
      <c r="LEW118"/>
      <c r="LEX118"/>
      <c r="LEY118"/>
      <c r="LEZ118"/>
      <c r="LFA118"/>
      <c r="LFB118"/>
      <c r="LFC118"/>
      <c r="LFD118"/>
      <c r="LFE118"/>
      <c r="LFF118"/>
      <c r="LFG118"/>
      <c r="LFH118"/>
      <c r="LFI118"/>
      <c r="LFJ118"/>
      <c r="LFK118"/>
      <c r="LFL118"/>
      <c r="LFM118"/>
      <c r="LFN118"/>
      <c r="LFO118"/>
      <c r="LFP118"/>
      <c r="LFQ118"/>
      <c r="LFR118"/>
      <c r="LFS118"/>
      <c r="LFT118"/>
      <c r="LFU118"/>
      <c r="LFV118"/>
      <c r="LFW118"/>
      <c r="LFX118"/>
      <c r="LFY118"/>
      <c r="LFZ118"/>
      <c r="LGA118"/>
      <c r="LGB118"/>
      <c r="LGC118"/>
      <c r="LGD118"/>
      <c r="LGE118"/>
      <c r="LGF118"/>
      <c r="LGG118"/>
      <c r="LGH118"/>
      <c r="LGI118"/>
      <c r="LGJ118"/>
      <c r="LGK118"/>
      <c r="LGL118"/>
      <c r="LGM118"/>
      <c r="LGN118"/>
      <c r="LGO118"/>
      <c r="LGP118"/>
      <c r="LGQ118"/>
      <c r="LGR118"/>
      <c r="LGS118"/>
      <c r="LGT118"/>
      <c r="LGU118"/>
      <c r="LGV118"/>
      <c r="LGW118"/>
      <c r="LGX118"/>
      <c r="LGY118"/>
      <c r="LGZ118"/>
      <c r="LHA118"/>
      <c r="LHB118"/>
      <c r="LHC118"/>
      <c r="LHD118"/>
      <c r="LHE118"/>
      <c r="LHF118"/>
      <c r="LHG118"/>
      <c r="LHH118"/>
      <c r="LHI118"/>
      <c r="LHJ118"/>
      <c r="LHK118"/>
      <c r="LHL118"/>
      <c r="LHM118"/>
      <c r="LHN118"/>
      <c r="LHO118"/>
      <c r="LHP118"/>
      <c r="LHQ118"/>
      <c r="LHR118"/>
      <c r="LHS118"/>
      <c r="LHT118"/>
      <c r="LHU118"/>
      <c r="LHV118"/>
      <c r="LHW118"/>
      <c r="LHX118"/>
      <c r="LHY118"/>
      <c r="LHZ118"/>
      <c r="LIA118"/>
      <c r="LIB118"/>
      <c r="LIC118"/>
      <c r="LID118"/>
      <c r="LIE118"/>
      <c r="LIF118"/>
      <c r="LIG118"/>
      <c r="LIH118"/>
      <c r="LII118"/>
      <c r="LIJ118"/>
      <c r="LIK118"/>
      <c r="LIL118"/>
      <c r="LIM118"/>
      <c r="LIN118"/>
      <c r="LIO118"/>
      <c r="LIP118"/>
      <c r="LIQ118"/>
      <c r="LIR118"/>
      <c r="LIS118"/>
      <c r="LIT118"/>
      <c r="LIU118"/>
      <c r="LIV118"/>
      <c r="LIW118"/>
      <c r="LIX118"/>
      <c r="LIY118"/>
      <c r="LIZ118"/>
      <c r="LJA118"/>
      <c r="LJB118"/>
      <c r="LJC118"/>
      <c r="LJD118"/>
      <c r="LJE118"/>
      <c r="LJF118"/>
      <c r="LJG118"/>
      <c r="LJH118"/>
      <c r="LJI118"/>
      <c r="LJJ118"/>
      <c r="LJK118"/>
      <c r="LJL118"/>
      <c r="LJM118"/>
      <c r="LJN118"/>
      <c r="LJO118"/>
      <c r="LJP118"/>
      <c r="LJQ118"/>
      <c r="LJR118"/>
      <c r="LJS118"/>
      <c r="LJT118"/>
      <c r="LJU118"/>
      <c r="LJV118"/>
      <c r="LJW118"/>
      <c r="LJX118"/>
      <c r="LJY118"/>
      <c r="LJZ118"/>
      <c r="LKA118"/>
      <c r="LKB118"/>
      <c r="LKC118"/>
      <c r="LKD118"/>
      <c r="LKE118"/>
      <c r="LKF118"/>
      <c r="LKG118"/>
      <c r="LKH118"/>
      <c r="LKI118"/>
      <c r="LKJ118"/>
      <c r="LKK118"/>
      <c r="LKL118"/>
      <c r="LKM118"/>
      <c r="LKN118"/>
      <c r="LKO118"/>
      <c r="LKP118"/>
      <c r="LKQ118"/>
      <c r="LKR118"/>
      <c r="LKS118"/>
      <c r="LKT118"/>
      <c r="LKU118"/>
      <c r="LKV118"/>
      <c r="LKW118"/>
      <c r="LKX118"/>
      <c r="LKY118"/>
      <c r="LKZ118"/>
      <c r="LLA118"/>
      <c r="LLB118"/>
      <c r="LLC118"/>
      <c r="LLD118"/>
      <c r="LLE118"/>
      <c r="LLF118"/>
      <c r="LLG118"/>
      <c r="LLH118"/>
      <c r="LLI118"/>
      <c r="LLJ118"/>
      <c r="LLK118"/>
      <c r="LLL118"/>
      <c r="LLM118"/>
      <c r="LLN118"/>
      <c r="LLO118"/>
      <c r="LLP118"/>
      <c r="LLQ118"/>
      <c r="LLR118"/>
      <c r="LLS118"/>
      <c r="LLT118"/>
      <c r="LLU118"/>
      <c r="LLV118"/>
      <c r="LLW118"/>
      <c r="LLX118"/>
      <c r="LLY118"/>
      <c r="LLZ118"/>
      <c r="LMA118"/>
      <c r="LMB118"/>
      <c r="LMC118"/>
      <c r="LMD118"/>
      <c r="LME118"/>
      <c r="LMF118"/>
      <c r="LMG118"/>
      <c r="LMH118"/>
      <c r="LMI118"/>
      <c r="LMJ118"/>
      <c r="LMK118"/>
      <c r="LML118"/>
      <c r="LMM118"/>
      <c r="LMN118"/>
      <c r="LMO118"/>
      <c r="LMP118"/>
      <c r="LMQ118"/>
      <c r="LMR118"/>
      <c r="LMS118"/>
      <c r="LMT118"/>
      <c r="LMU118"/>
      <c r="LMV118"/>
      <c r="LMW118"/>
      <c r="LMX118"/>
      <c r="LMY118"/>
      <c r="LMZ118"/>
      <c r="LNA118"/>
      <c r="LNB118"/>
      <c r="LNC118"/>
      <c r="LND118"/>
      <c r="LNE118"/>
      <c r="LNF118"/>
      <c r="LNG118"/>
      <c r="LNH118"/>
      <c r="LNI118"/>
      <c r="LNJ118"/>
      <c r="LNK118"/>
      <c r="LNL118"/>
      <c r="LNM118"/>
      <c r="LNN118"/>
      <c r="LNO118"/>
      <c r="LNP118"/>
      <c r="LNQ118"/>
      <c r="LNR118"/>
      <c r="LNS118"/>
      <c r="LNT118"/>
      <c r="LNU118"/>
      <c r="LNV118"/>
      <c r="LNW118"/>
      <c r="LNX118"/>
      <c r="LNY118"/>
      <c r="LNZ118"/>
      <c r="LOA118"/>
      <c r="LOB118"/>
      <c r="LOC118"/>
      <c r="LOD118"/>
      <c r="LOE118"/>
      <c r="LOF118"/>
      <c r="LOG118"/>
      <c r="LOH118"/>
      <c r="LOI118"/>
      <c r="LOJ118"/>
      <c r="LOK118"/>
      <c r="LOL118"/>
      <c r="LOM118"/>
      <c r="LON118"/>
      <c r="LOO118"/>
      <c r="LOP118"/>
      <c r="LOQ118"/>
      <c r="LOR118"/>
      <c r="LOS118"/>
      <c r="LOT118"/>
      <c r="LOU118"/>
      <c r="LOV118"/>
      <c r="LOW118"/>
      <c r="LOX118"/>
      <c r="LOY118"/>
      <c r="LOZ118"/>
      <c r="LPA118"/>
      <c r="LPB118"/>
      <c r="LPC118"/>
      <c r="LPD118"/>
      <c r="LPE118"/>
      <c r="LPF118"/>
      <c r="LPG118"/>
      <c r="LPH118"/>
      <c r="LPI118"/>
      <c r="LPJ118"/>
      <c r="LPK118"/>
      <c r="LPL118"/>
      <c r="LPM118"/>
      <c r="LPN118"/>
      <c r="LPO118"/>
      <c r="LPP118"/>
      <c r="LPQ118"/>
      <c r="LPR118"/>
      <c r="LPS118"/>
      <c r="LPT118"/>
      <c r="LPU118"/>
      <c r="LPV118"/>
      <c r="LPW118"/>
      <c r="LPX118"/>
      <c r="LPY118"/>
      <c r="LPZ118"/>
      <c r="LQA118"/>
      <c r="LQB118"/>
      <c r="LQC118"/>
      <c r="LQD118"/>
      <c r="LQE118"/>
      <c r="LQF118"/>
      <c r="LQG118"/>
      <c r="LQH118"/>
      <c r="LQI118"/>
      <c r="LQJ118"/>
      <c r="LQK118"/>
      <c r="LQL118"/>
      <c r="LQM118"/>
      <c r="LQN118"/>
      <c r="LQO118"/>
      <c r="LQP118"/>
      <c r="LQQ118"/>
      <c r="LQR118"/>
      <c r="LQS118"/>
      <c r="LQT118"/>
      <c r="LQU118"/>
      <c r="LQV118"/>
      <c r="LQW118"/>
      <c r="LQX118"/>
      <c r="LQY118"/>
      <c r="LQZ118"/>
      <c r="LRA118"/>
      <c r="LRB118"/>
      <c r="LRC118"/>
      <c r="LRD118"/>
      <c r="LRE118"/>
      <c r="LRF118"/>
      <c r="LRG118"/>
      <c r="LRH118"/>
      <c r="LRI118"/>
      <c r="LRJ118"/>
      <c r="LRK118"/>
      <c r="LRL118"/>
      <c r="LRM118"/>
      <c r="LRN118"/>
      <c r="LRO118"/>
      <c r="LRP118"/>
      <c r="LRQ118"/>
      <c r="LRR118"/>
      <c r="LRS118"/>
      <c r="LRT118"/>
      <c r="LRU118"/>
      <c r="LRV118"/>
      <c r="LRW118"/>
      <c r="LRX118"/>
      <c r="LRY118"/>
      <c r="LRZ118"/>
      <c r="LSA118"/>
      <c r="LSB118"/>
      <c r="LSC118"/>
      <c r="LSD118"/>
      <c r="LSE118"/>
      <c r="LSF118"/>
      <c r="LSG118"/>
      <c r="LSH118"/>
      <c r="LSI118"/>
      <c r="LSJ118"/>
      <c r="LSK118"/>
      <c r="LSL118"/>
      <c r="LSM118"/>
      <c r="LSN118"/>
      <c r="LSO118"/>
      <c r="LSP118"/>
      <c r="LSQ118"/>
      <c r="LSR118"/>
      <c r="LSS118"/>
      <c r="LST118"/>
      <c r="LSU118"/>
      <c r="LSV118"/>
      <c r="LSW118"/>
      <c r="LSX118"/>
      <c r="LSY118"/>
      <c r="LSZ118"/>
      <c r="LTA118"/>
      <c r="LTB118"/>
      <c r="LTC118"/>
      <c r="LTD118"/>
      <c r="LTE118"/>
      <c r="LTF118"/>
      <c r="LTG118"/>
      <c r="LTH118"/>
      <c r="LTI118"/>
      <c r="LTJ118"/>
      <c r="LTK118"/>
      <c r="LTL118"/>
      <c r="LTM118"/>
      <c r="LTN118"/>
      <c r="LTO118"/>
      <c r="LTP118"/>
      <c r="LTQ118"/>
      <c r="LTR118"/>
      <c r="LTS118"/>
      <c r="LTT118"/>
      <c r="LTU118"/>
      <c r="LTV118"/>
      <c r="LTW118"/>
      <c r="LTX118"/>
      <c r="LTY118"/>
      <c r="LTZ118"/>
      <c r="LUA118"/>
      <c r="LUB118"/>
      <c r="LUC118"/>
      <c r="LUD118"/>
      <c r="LUE118"/>
      <c r="LUF118"/>
      <c r="LUG118"/>
      <c r="LUH118"/>
      <c r="LUI118"/>
      <c r="LUJ118"/>
      <c r="LUK118"/>
      <c r="LUL118"/>
      <c r="LUM118"/>
      <c r="LUN118"/>
      <c r="LUO118"/>
      <c r="LUP118"/>
      <c r="LUQ118"/>
      <c r="LUR118"/>
      <c r="LUS118"/>
      <c r="LUT118"/>
      <c r="LUU118"/>
      <c r="LUV118"/>
      <c r="LUW118"/>
      <c r="LUX118"/>
      <c r="LUY118"/>
      <c r="LUZ118"/>
      <c r="LVA118"/>
      <c r="LVB118"/>
      <c r="LVC118"/>
      <c r="LVD118"/>
      <c r="LVE118"/>
      <c r="LVF118"/>
      <c r="LVG118"/>
      <c r="LVH118"/>
      <c r="LVI118"/>
      <c r="LVJ118"/>
      <c r="LVK118"/>
      <c r="LVL118"/>
      <c r="LVM118"/>
      <c r="LVN118"/>
      <c r="LVO118"/>
      <c r="LVP118"/>
      <c r="LVQ118"/>
      <c r="LVR118"/>
      <c r="LVS118"/>
      <c r="LVT118"/>
      <c r="LVU118"/>
      <c r="LVV118"/>
      <c r="LVW118"/>
      <c r="LVX118"/>
      <c r="LVY118"/>
      <c r="LVZ118"/>
      <c r="LWA118"/>
      <c r="LWB118"/>
      <c r="LWC118"/>
      <c r="LWD118"/>
      <c r="LWE118"/>
      <c r="LWF118"/>
      <c r="LWG118"/>
      <c r="LWH118"/>
      <c r="LWI118"/>
      <c r="LWJ118"/>
      <c r="LWK118"/>
      <c r="LWL118"/>
      <c r="LWM118"/>
      <c r="LWN118"/>
      <c r="LWO118"/>
      <c r="LWP118"/>
      <c r="LWQ118"/>
      <c r="LWR118"/>
      <c r="LWS118"/>
      <c r="LWT118"/>
      <c r="LWU118"/>
      <c r="LWV118"/>
      <c r="LWW118"/>
      <c r="LWX118"/>
      <c r="LWY118"/>
      <c r="LWZ118"/>
      <c r="LXA118"/>
      <c r="LXB118"/>
      <c r="LXC118"/>
      <c r="LXD118"/>
      <c r="LXE118"/>
      <c r="LXF118"/>
      <c r="LXG118"/>
      <c r="LXH118"/>
      <c r="LXI118"/>
      <c r="LXJ118"/>
      <c r="LXK118"/>
      <c r="LXL118"/>
      <c r="LXM118"/>
      <c r="LXN118"/>
      <c r="LXO118"/>
      <c r="LXP118"/>
      <c r="LXQ118"/>
      <c r="LXR118"/>
      <c r="LXS118"/>
      <c r="LXT118"/>
      <c r="LXU118"/>
      <c r="LXV118"/>
      <c r="LXW118"/>
      <c r="LXX118"/>
      <c r="LXY118"/>
      <c r="LXZ118"/>
      <c r="LYA118"/>
      <c r="LYB118"/>
      <c r="LYC118"/>
      <c r="LYD118"/>
      <c r="LYE118"/>
      <c r="LYF118"/>
      <c r="LYG118"/>
      <c r="LYH118"/>
      <c r="LYI118"/>
      <c r="LYJ118"/>
      <c r="LYK118"/>
      <c r="LYL118"/>
      <c r="LYM118"/>
      <c r="LYN118"/>
      <c r="LYO118"/>
      <c r="LYP118"/>
      <c r="LYQ118"/>
      <c r="LYR118"/>
      <c r="LYS118"/>
      <c r="LYT118"/>
      <c r="LYU118"/>
      <c r="LYV118"/>
      <c r="LYW118"/>
      <c r="LYX118"/>
      <c r="LYY118"/>
      <c r="LYZ118"/>
      <c r="LZA118"/>
      <c r="LZB118"/>
      <c r="LZC118"/>
      <c r="LZD118"/>
      <c r="LZE118"/>
      <c r="LZF118"/>
      <c r="LZG118"/>
      <c r="LZH118"/>
      <c r="LZI118"/>
      <c r="LZJ118"/>
      <c r="LZK118"/>
      <c r="LZL118"/>
      <c r="LZM118"/>
      <c r="LZN118"/>
      <c r="LZO118"/>
      <c r="LZP118"/>
      <c r="LZQ118"/>
      <c r="LZR118"/>
      <c r="LZS118"/>
      <c r="LZT118"/>
      <c r="LZU118"/>
      <c r="LZV118"/>
      <c r="LZW118"/>
      <c r="LZX118"/>
      <c r="LZY118"/>
      <c r="LZZ118"/>
      <c r="MAA118"/>
      <c r="MAB118"/>
      <c r="MAC118"/>
      <c r="MAD118"/>
      <c r="MAE118"/>
      <c r="MAF118"/>
      <c r="MAG118"/>
      <c r="MAH118"/>
      <c r="MAI118"/>
      <c r="MAJ118"/>
      <c r="MAK118"/>
      <c r="MAL118"/>
      <c r="MAM118"/>
      <c r="MAN118"/>
      <c r="MAO118"/>
      <c r="MAP118"/>
      <c r="MAQ118"/>
      <c r="MAR118"/>
      <c r="MAS118"/>
      <c r="MAT118"/>
      <c r="MAU118"/>
      <c r="MAV118"/>
      <c r="MAW118"/>
      <c r="MAX118"/>
      <c r="MAY118"/>
      <c r="MAZ118"/>
      <c r="MBA118"/>
      <c r="MBB118"/>
      <c r="MBC118"/>
      <c r="MBD118"/>
      <c r="MBE118"/>
      <c r="MBF118"/>
      <c r="MBG118"/>
      <c r="MBH118"/>
      <c r="MBI118"/>
      <c r="MBJ118"/>
      <c r="MBK118"/>
      <c r="MBL118"/>
      <c r="MBM118"/>
      <c r="MBN118"/>
      <c r="MBO118"/>
      <c r="MBP118"/>
      <c r="MBQ118"/>
      <c r="MBR118"/>
      <c r="MBS118"/>
      <c r="MBT118"/>
      <c r="MBU118"/>
      <c r="MBV118"/>
      <c r="MBW118"/>
      <c r="MBX118"/>
      <c r="MBY118"/>
      <c r="MBZ118"/>
      <c r="MCA118"/>
      <c r="MCB118"/>
      <c r="MCC118"/>
      <c r="MCD118"/>
      <c r="MCE118"/>
      <c r="MCF118"/>
      <c r="MCG118"/>
      <c r="MCH118"/>
      <c r="MCI118"/>
      <c r="MCJ118"/>
      <c r="MCK118"/>
      <c r="MCL118"/>
      <c r="MCM118"/>
      <c r="MCN118"/>
      <c r="MCO118"/>
      <c r="MCP118"/>
      <c r="MCQ118"/>
      <c r="MCR118"/>
      <c r="MCS118"/>
      <c r="MCT118"/>
      <c r="MCU118"/>
      <c r="MCV118"/>
      <c r="MCW118"/>
      <c r="MCX118"/>
      <c r="MCY118"/>
      <c r="MCZ118"/>
      <c r="MDA118"/>
      <c r="MDB118"/>
      <c r="MDC118"/>
      <c r="MDD118"/>
      <c r="MDE118"/>
      <c r="MDF118"/>
      <c r="MDG118"/>
      <c r="MDH118"/>
      <c r="MDI118"/>
      <c r="MDJ118"/>
      <c r="MDK118"/>
      <c r="MDL118"/>
      <c r="MDM118"/>
      <c r="MDN118"/>
      <c r="MDO118"/>
      <c r="MDP118"/>
      <c r="MDQ118"/>
      <c r="MDR118"/>
      <c r="MDS118"/>
      <c r="MDT118"/>
      <c r="MDU118"/>
      <c r="MDV118"/>
      <c r="MDW118"/>
      <c r="MDX118"/>
      <c r="MDY118"/>
      <c r="MDZ118"/>
      <c r="MEA118"/>
      <c r="MEB118"/>
      <c r="MEC118"/>
      <c r="MED118"/>
      <c r="MEE118"/>
      <c r="MEF118"/>
      <c r="MEG118"/>
      <c r="MEH118"/>
      <c r="MEI118"/>
      <c r="MEJ118"/>
      <c r="MEK118"/>
      <c r="MEL118"/>
      <c r="MEM118"/>
      <c r="MEN118"/>
      <c r="MEO118"/>
      <c r="MEP118"/>
      <c r="MEQ118"/>
      <c r="MER118"/>
      <c r="MES118"/>
      <c r="MET118"/>
      <c r="MEU118"/>
      <c r="MEV118"/>
      <c r="MEW118"/>
      <c r="MEX118"/>
      <c r="MEY118"/>
      <c r="MEZ118"/>
      <c r="MFA118"/>
      <c r="MFB118"/>
      <c r="MFC118"/>
      <c r="MFD118"/>
      <c r="MFE118"/>
      <c r="MFF118"/>
      <c r="MFG118"/>
      <c r="MFH118"/>
      <c r="MFI118"/>
      <c r="MFJ118"/>
      <c r="MFK118"/>
      <c r="MFL118"/>
      <c r="MFM118"/>
      <c r="MFN118"/>
      <c r="MFO118"/>
      <c r="MFP118"/>
      <c r="MFQ118"/>
      <c r="MFR118"/>
      <c r="MFS118"/>
      <c r="MFT118"/>
      <c r="MFU118"/>
      <c r="MFV118"/>
      <c r="MFW118"/>
      <c r="MFX118"/>
      <c r="MFY118"/>
      <c r="MFZ118"/>
      <c r="MGA118"/>
      <c r="MGB118"/>
      <c r="MGC118"/>
      <c r="MGD118"/>
      <c r="MGE118"/>
      <c r="MGF118"/>
      <c r="MGG118"/>
      <c r="MGH118"/>
      <c r="MGI118"/>
      <c r="MGJ118"/>
      <c r="MGK118"/>
      <c r="MGL118"/>
      <c r="MGM118"/>
      <c r="MGN118"/>
      <c r="MGO118"/>
      <c r="MGP118"/>
      <c r="MGQ118"/>
      <c r="MGR118"/>
      <c r="MGS118"/>
      <c r="MGT118"/>
      <c r="MGU118"/>
      <c r="MGV118"/>
      <c r="MGW118"/>
      <c r="MGX118"/>
      <c r="MGY118"/>
      <c r="MGZ118"/>
      <c r="MHA118"/>
      <c r="MHB118"/>
      <c r="MHC118"/>
      <c r="MHD118"/>
      <c r="MHE118"/>
      <c r="MHF118"/>
      <c r="MHG118"/>
      <c r="MHH118"/>
      <c r="MHI118"/>
      <c r="MHJ118"/>
      <c r="MHK118"/>
      <c r="MHL118"/>
      <c r="MHM118"/>
      <c r="MHN118"/>
      <c r="MHO118"/>
      <c r="MHP118"/>
      <c r="MHQ118"/>
      <c r="MHR118"/>
      <c r="MHS118"/>
      <c r="MHT118"/>
      <c r="MHU118"/>
      <c r="MHV118"/>
      <c r="MHW118"/>
      <c r="MHX118"/>
      <c r="MHY118"/>
      <c r="MHZ118"/>
      <c r="MIA118"/>
      <c r="MIB118"/>
      <c r="MIC118"/>
      <c r="MID118"/>
      <c r="MIE118"/>
      <c r="MIF118"/>
      <c r="MIG118"/>
      <c r="MIH118"/>
      <c r="MII118"/>
      <c r="MIJ118"/>
      <c r="MIK118"/>
      <c r="MIL118"/>
      <c r="MIM118"/>
      <c r="MIN118"/>
      <c r="MIO118"/>
      <c r="MIP118"/>
      <c r="MIQ118"/>
      <c r="MIR118"/>
      <c r="MIS118"/>
      <c r="MIT118"/>
      <c r="MIU118"/>
      <c r="MIV118"/>
      <c r="MIW118"/>
      <c r="MIX118"/>
      <c r="MIY118"/>
      <c r="MIZ118"/>
      <c r="MJA118"/>
      <c r="MJB118"/>
      <c r="MJC118"/>
      <c r="MJD118"/>
      <c r="MJE118"/>
      <c r="MJF118"/>
      <c r="MJG118"/>
      <c r="MJH118"/>
      <c r="MJI118"/>
      <c r="MJJ118"/>
      <c r="MJK118"/>
      <c r="MJL118"/>
      <c r="MJM118"/>
      <c r="MJN118"/>
      <c r="MJO118"/>
      <c r="MJP118"/>
      <c r="MJQ118"/>
      <c r="MJR118"/>
      <c r="MJS118"/>
      <c r="MJT118"/>
      <c r="MJU118"/>
      <c r="MJV118"/>
      <c r="MJW118"/>
      <c r="MJX118"/>
      <c r="MJY118"/>
      <c r="MJZ118"/>
      <c r="MKA118"/>
      <c r="MKB118"/>
      <c r="MKC118"/>
      <c r="MKD118"/>
      <c r="MKE118"/>
      <c r="MKF118"/>
      <c r="MKG118"/>
      <c r="MKH118"/>
      <c r="MKI118"/>
      <c r="MKJ118"/>
      <c r="MKK118"/>
      <c r="MKL118"/>
      <c r="MKM118"/>
      <c r="MKN118"/>
      <c r="MKO118"/>
      <c r="MKP118"/>
      <c r="MKQ118"/>
      <c r="MKR118"/>
      <c r="MKS118"/>
      <c r="MKT118"/>
      <c r="MKU118"/>
      <c r="MKV118"/>
      <c r="MKW118"/>
      <c r="MKX118"/>
      <c r="MKY118"/>
      <c r="MKZ118"/>
      <c r="MLA118"/>
      <c r="MLB118"/>
      <c r="MLC118"/>
      <c r="MLD118"/>
      <c r="MLE118"/>
      <c r="MLF118"/>
      <c r="MLG118"/>
      <c r="MLH118"/>
      <c r="MLI118"/>
      <c r="MLJ118"/>
      <c r="MLK118"/>
      <c r="MLL118"/>
      <c r="MLM118"/>
      <c r="MLN118"/>
      <c r="MLO118"/>
      <c r="MLP118"/>
      <c r="MLQ118"/>
      <c r="MLR118"/>
      <c r="MLS118"/>
      <c r="MLT118"/>
      <c r="MLU118"/>
      <c r="MLV118"/>
      <c r="MLW118"/>
      <c r="MLX118"/>
      <c r="MLY118"/>
      <c r="MLZ118"/>
      <c r="MMA118"/>
      <c r="MMB118"/>
      <c r="MMC118"/>
      <c r="MMD118"/>
      <c r="MME118"/>
      <c r="MMF118"/>
      <c r="MMG118"/>
      <c r="MMH118"/>
      <c r="MMI118"/>
      <c r="MMJ118"/>
      <c r="MMK118"/>
      <c r="MML118"/>
      <c r="MMM118"/>
      <c r="MMN118"/>
      <c r="MMO118"/>
      <c r="MMP118"/>
      <c r="MMQ118"/>
      <c r="MMR118"/>
      <c r="MMS118"/>
      <c r="MMT118"/>
      <c r="MMU118"/>
      <c r="MMV118"/>
      <c r="MMW118"/>
      <c r="MMX118"/>
      <c r="MMY118"/>
      <c r="MMZ118"/>
      <c r="MNA118"/>
      <c r="MNB118"/>
      <c r="MNC118"/>
      <c r="MND118"/>
      <c r="MNE118"/>
      <c r="MNF118"/>
      <c r="MNG118"/>
      <c r="MNH118"/>
      <c r="MNI118"/>
      <c r="MNJ118"/>
      <c r="MNK118"/>
      <c r="MNL118"/>
      <c r="MNM118"/>
      <c r="MNN118"/>
      <c r="MNO118"/>
      <c r="MNP118"/>
      <c r="MNQ118"/>
      <c r="MNR118"/>
      <c r="MNS118"/>
      <c r="MNT118"/>
      <c r="MNU118"/>
      <c r="MNV118"/>
      <c r="MNW118"/>
      <c r="MNX118"/>
      <c r="MNY118"/>
      <c r="MNZ118"/>
      <c r="MOA118"/>
      <c r="MOB118"/>
      <c r="MOC118"/>
      <c r="MOD118"/>
      <c r="MOE118"/>
      <c r="MOF118"/>
      <c r="MOG118"/>
      <c r="MOH118"/>
      <c r="MOI118"/>
      <c r="MOJ118"/>
      <c r="MOK118"/>
      <c r="MOL118"/>
      <c r="MOM118"/>
      <c r="MON118"/>
      <c r="MOO118"/>
      <c r="MOP118"/>
      <c r="MOQ118"/>
      <c r="MOR118"/>
      <c r="MOS118"/>
      <c r="MOT118"/>
      <c r="MOU118"/>
      <c r="MOV118"/>
      <c r="MOW118"/>
      <c r="MOX118"/>
      <c r="MOY118"/>
      <c r="MOZ118"/>
      <c r="MPA118"/>
      <c r="MPB118"/>
      <c r="MPC118"/>
      <c r="MPD118"/>
      <c r="MPE118"/>
      <c r="MPF118"/>
      <c r="MPG118"/>
      <c r="MPH118"/>
      <c r="MPI118"/>
      <c r="MPJ118"/>
      <c r="MPK118"/>
      <c r="MPL118"/>
      <c r="MPM118"/>
      <c r="MPN118"/>
      <c r="MPO118"/>
      <c r="MPP118"/>
      <c r="MPQ118"/>
      <c r="MPR118"/>
      <c r="MPS118"/>
      <c r="MPT118"/>
      <c r="MPU118"/>
      <c r="MPV118"/>
      <c r="MPW118"/>
      <c r="MPX118"/>
      <c r="MPY118"/>
      <c r="MPZ118"/>
      <c r="MQA118"/>
      <c r="MQB118"/>
      <c r="MQC118"/>
      <c r="MQD118"/>
      <c r="MQE118"/>
      <c r="MQF118"/>
      <c r="MQG118"/>
      <c r="MQH118"/>
      <c r="MQI118"/>
      <c r="MQJ118"/>
      <c r="MQK118"/>
      <c r="MQL118"/>
      <c r="MQM118"/>
      <c r="MQN118"/>
      <c r="MQO118"/>
      <c r="MQP118"/>
      <c r="MQQ118"/>
      <c r="MQR118"/>
      <c r="MQS118"/>
      <c r="MQT118"/>
      <c r="MQU118"/>
      <c r="MQV118"/>
      <c r="MQW118"/>
      <c r="MQX118"/>
      <c r="MQY118"/>
      <c r="MQZ118"/>
      <c r="MRA118"/>
      <c r="MRB118"/>
      <c r="MRC118"/>
      <c r="MRD118"/>
      <c r="MRE118"/>
      <c r="MRF118"/>
      <c r="MRG118"/>
      <c r="MRH118"/>
      <c r="MRI118"/>
      <c r="MRJ118"/>
      <c r="MRK118"/>
      <c r="MRL118"/>
      <c r="MRM118"/>
      <c r="MRN118"/>
      <c r="MRO118"/>
      <c r="MRP118"/>
      <c r="MRQ118"/>
      <c r="MRR118"/>
      <c r="MRS118"/>
      <c r="MRT118"/>
      <c r="MRU118"/>
      <c r="MRV118"/>
      <c r="MRW118"/>
      <c r="MRX118"/>
      <c r="MRY118"/>
      <c r="MRZ118"/>
      <c r="MSA118"/>
      <c r="MSB118"/>
      <c r="MSC118"/>
      <c r="MSD118"/>
      <c r="MSE118"/>
      <c r="MSF118"/>
      <c r="MSG118"/>
      <c r="MSH118"/>
      <c r="MSI118"/>
      <c r="MSJ118"/>
      <c r="MSK118"/>
      <c r="MSL118"/>
      <c r="MSM118"/>
      <c r="MSN118"/>
      <c r="MSO118"/>
      <c r="MSP118"/>
      <c r="MSQ118"/>
      <c r="MSR118"/>
      <c r="MSS118"/>
      <c r="MST118"/>
      <c r="MSU118"/>
      <c r="MSV118"/>
      <c r="MSW118"/>
      <c r="MSX118"/>
      <c r="MSY118"/>
      <c r="MSZ118"/>
      <c r="MTA118"/>
      <c r="MTB118"/>
      <c r="MTC118"/>
      <c r="MTD118"/>
      <c r="MTE118"/>
      <c r="MTF118"/>
      <c r="MTG118"/>
      <c r="MTH118"/>
      <c r="MTI118"/>
      <c r="MTJ118"/>
      <c r="MTK118"/>
      <c r="MTL118"/>
      <c r="MTM118"/>
      <c r="MTN118"/>
      <c r="MTO118"/>
      <c r="MTP118"/>
      <c r="MTQ118"/>
      <c r="MTR118"/>
      <c r="MTS118"/>
      <c r="MTT118"/>
      <c r="MTU118"/>
      <c r="MTV118"/>
      <c r="MTW118"/>
      <c r="MTX118"/>
      <c r="MTY118"/>
      <c r="MTZ118"/>
      <c r="MUA118"/>
      <c r="MUB118"/>
      <c r="MUC118"/>
      <c r="MUD118"/>
      <c r="MUE118"/>
      <c r="MUF118"/>
      <c r="MUG118"/>
      <c r="MUH118"/>
      <c r="MUI118"/>
      <c r="MUJ118"/>
      <c r="MUK118"/>
      <c r="MUL118"/>
      <c r="MUM118"/>
      <c r="MUN118"/>
      <c r="MUO118"/>
      <c r="MUP118"/>
      <c r="MUQ118"/>
      <c r="MUR118"/>
      <c r="MUS118"/>
      <c r="MUT118"/>
      <c r="MUU118"/>
      <c r="MUV118"/>
      <c r="MUW118"/>
      <c r="MUX118"/>
      <c r="MUY118"/>
      <c r="MUZ118"/>
      <c r="MVA118"/>
      <c r="MVB118"/>
      <c r="MVC118"/>
      <c r="MVD118"/>
      <c r="MVE118"/>
      <c r="MVF118"/>
      <c r="MVG118"/>
      <c r="MVH118"/>
      <c r="MVI118"/>
      <c r="MVJ118"/>
      <c r="MVK118"/>
      <c r="MVL118"/>
      <c r="MVM118"/>
      <c r="MVN118"/>
      <c r="MVO118"/>
      <c r="MVP118"/>
      <c r="MVQ118"/>
      <c r="MVR118"/>
      <c r="MVS118"/>
      <c r="MVT118"/>
      <c r="MVU118"/>
      <c r="MVV118"/>
      <c r="MVW118"/>
      <c r="MVX118"/>
      <c r="MVY118"/>
      <c r="MVZ118"/>
      <c r="MWA118"/>
      <c r="MWB118"/>
      <c r="MWC118"/>
      <c r="MWD118"/>
      <c r="MWE118"/>
      <c r="MWF118"/>
      <c r="MWG118"/>
      <c r="MWH118"/>
      <c r="MWI118"/>
      <c r="MWJ118"/>
      <c r="MWK118"/>
      <c r="MWL118"/>
      <c r="MWM118"/>
      <c r="MWN118"/>
      <c r="MWO118"/>
      <c r="MWP118"/>
      <c r="MWQ118"/>
      <c r="MWR118"/>
      <c r="MWS118"/>
      <c r="MWT118"/>
      <c r="MWU118"/>
      <c r="MWV118"/>
      <c r="MWW118"/>
      <c r="MWX118"/>
      <c r="MWY118"/>
      <c r="MWZ118"/>
      <c r="MXA118"/>
      <c r="MXB118"/>
      <c r="MXC118"/>
      <c r="MXD118"/>
      <c r="MXE118"/>
      <c r="MXF118"/>
      <c r="MXG118"/>
      <c r="MXH118"/>
      <c r="MXI118"/>
      <c r="MXJ118"/>
      <c r="MXK118"/>
      <c r="MXL118"/>
      <c r="MXM118"/>
      <c r="MXN118"/>
      <c r="MXO118"/>
      <c r="MXP118"/>
      <c r="MXQ118"/>
      <c r="MXR118"/>
      <c r="MXS118"/>
      <c r="MXT118"/>
      <c r="MXU118"/>
      <c r="MXV118"/>
      <c r="MXW118"/>
      <c r="MXX118"/>
      <c r="MXY118"/>
      <c r="MXZ118"/>
      <c r="MYA118"/>
      <c r="MYB118"/>
      <c r="MYC118"/>
      <c r="MYD118"/>
      <c r="MYE118"/>
      <c r="MYF118"/>
      <c r="MYG118"/>
      <c r="MYH118"/>
      <c r="MYI118"/>
      <c r="MYJ118"/>
      <c r="MYK118"/>
      <c r="MYL118"/>
      <c r="MYM118"/>
      <c r="MYN118"/>
      <c r="MYO118"/>
      <c r="MYP118"/>
      <c r="MYQ118"/>
      <c r="MYR118"/>
      <c r="MYS118"/>
      <c r="MYT118"/>
      <c r="MYU118"/>
      <c r="MYV118"/>
      <c r="MYW118"/>
      <c r="MYX118"/>
      <c r="MYY118"/>
      <c r="MYZ118"/>
      <c r="MZA118"/>
      <c r="MZB118"/>
      <c r="MZC118"/>
      <c r="MZD118"/>
      <c r="MZE118"/>
      <c r="MZF118"/>
      <c r="MZG118"/>
      <c r="MZH118"/>
      <c r="MZI118"/>
      <c r="MZJ118"/>
      <c r="MZK118"/>
      <c r="MZL118"/>
      <c r="MZM118"/>
      <c r="MZN118"/>
      <c r="MZO118"/>
      <c r="MZP118"/>
      <c r="MZQ118"/>
      <c r="MZR118"/>
      <c r="MZS118"/>
      <c r="MZT118"/>
      <c r="MZU118"/>
      <c r="MZV118"/>
      <c r="MZW118"/>
      <c r="MZX118"/>
      <c r="MZY118"/>
      <c r="MZZ118"/>
      <c r="NAA118"/>
      <c r="NAB118"/>
      <c r="NAC118"/>
      <c r="NAD118"/>
      <c r="NAE118"/>
      <c r="NAF118"/>
      <c r="NAG118"/>
      <c r="NAH118"/>
      <c r="NAI118"/>
      <c r="NAJ118"/>
      <c r="NAK118"/>
      <c r="NAL118"/>
      <c r="NAM118"/>
      <c r="NAN118"/>
      <c r="NAO118"/>
      <c r="NAP118"/>
      <c r="NAQ118"/>
      <c r="NAR118"/>
      <c r="NAS118"/>
      <c r="NAT118"/>
      <c r="NAU118"/>
      <c r="NAV118"/>
      <c r="NAW118"/>
      <c r="NAX118"/>
      <c r="NAY118"/>
      <c r="NAZ118"/>
      <c r="NBA118"/>
      <c r="NBB118"/>
      <c r="NBC118"/>
      <c r="NBD118"/>
      <c r="NBE118"/>
      <c r="NBF118"/>
      <c r="NBG118"/>
      <c r="NBH118"/>
      <c r="NBI118"/>
      <c r="NBJ118"/>
      <c r="NBK118"/>
      <c r="NBL118"/>
      <c r="NBM118"/>
      <c r="NBN118"/>
      <c r="NBO118"/>
      <c r="NBP118"/>
      <c r="NBQ118"/>
      <c r="NBR118"/>
      <c r="NBS118"/>
      <c r="NBT118"/>
      <c r="NBU118"/>
      <c r="NBV118"/>
      <c r="NBW118"/>
      <c r="NBX118"/>
      <c r="NBY118"/>
      <c r="NBZ118"/>
      <c r="NCA118"/>
      <c r="NCB118"/>
      <c r="NCC118"/>
      <c r="NCD118"/>
      <c r="NCE118"/>
      <c r="NCF118"/>
      <c r="NCG118"/>
      <c r="NCH118"/>
      <c r="NCI118"/>
      <c r="NCJ118"/>
      <c r="NCK118"/>
      <c r="NCL118"/>
      <c r="NCM118"/>
      <c r="NCN118"/>
      <c r="NCO118"/>
      <c r="NCP118"/>
      <c r="NCQ118"/>
      <c r="NCR118"/>
      <c r="NCS118"/>
      <c r="NCT118"/>
      <c r="NCU118"/>
      <c r="NCV118"/>
      <c r="NCW118"/>
      <c r="NCX118"/>
      <c r="NCY118"/>
      <c r="NCZ118"/>
      <c r="NDA118"/>
      <c r="NDB118"/>
      <c r="NDC118"/>
      <c r="NDD118"/>
      <c r="NDE118"/>
      <c r="NDF118"/>
      <c r="NDG118"/>
      <c r="NDH118"/>
      <c r="NDI118"/>
      <c r="NDJ118"/>
      <c r="NDK118"/>
      <c r="NDL118"/>
      <c r="NDM118"/>
      <c r="NDN118"/>
      <c r="NDO118"/>
      <c r="NDP118"/>
      <c r="NDQ118"/>
      <c r="NDR118"/>
      <c r="NDS118"/>
      <c r="NDT118"/>
      <c r="NDU118"/>
      <c r="NDV118"/>
      <c r="NDW118"/>
      <c r="NDX118"/>
      <c r="NDY118"/>
      <c r="NDZ118"/>
      <c r="NEA118"/>
      <c r="NEB118"/>
      <c r="NEC118"/>
      <c r="NED118"/>
      <c r="NEE118"/>
      <c r="NEF118"/>
      <c r="NEG118"/>
      <c r="NEH118"/>
      <c r="NEI118"/>
      <c r="NEJ118"/>
      <c r="NEK118"/>
      <c r="NEL118"/>
      <c r="NEM118"/>
      <c r="NEN118"/>
      <c r="NEO118"/>
      <c r="NEP118"/>
      <c r="NEQ118"/>
      <c r="NER118"/>
      <c r="NES118"/>
      <c r="NET118"/>
      <c r="NEU118"/>
      <c r="NEV118"/>
      <c r="NEW118"/>
      <c r="NEX118"/>
      <c r="NEY118"/>
      <c r="NEZ118"/>
      <c r="NFA118"/>
      <c r="NFB118"/>
      <c r="NFC118"/>
      <c r="NFD118"/>
      <c r="NFE118"/>
      <c r="NFF118"/>
      <c r="NFG118"/>
      <c r="NFH118"/>
      <c r="NFI118"/>
      <c r="NFJ118"/>
      <c r="NFK118"/>
      <c r="NFL118"/>
      <c r="NFM118"/>
      <c r="NFN118"/>
      <c r="NFO118"/>
      <c r="NFP118"/>
      <c r="NFQ118"/>
      <c r="NFR118"/>
      <c r="NFS118"/>
      <c r="NFT118"/>
      <c r="NFU118"/>
      <c r="NFV118"/>
      <c r="NFW118"/>
      <c r="NFX118"/>
      <c r="NFY118"/>
      <c r="NFZ118"/>
      <c r="NGA118"/>
      <c r="NGB118"/>
      <c r="NGC118"/>
      <c r="NGD118"/>
      <c r="NGE118"/>
      <c r="NGF118"/>
      <c r="NGG118"/>
      <c r="NGH118"/>
      <c r="NGI118"/>
      <c r="NGJ118"/>
      <c r="NGK118"/>
      <c r="NGL118"/>
      <c r="NGM118"/>
      <c r="NGN118"/>
      <c r="NGO118"/>
      <c r="NGP118"/>
      <c r="NGQ118"/>
      <c r="NGR118"/>
      <c r="NGS118"/>
      <c r="NGT118"/>
      <c r="NGU118"/>
      <c r="NGV118"/>
      <c r="NGW118"/>
      <c r="NGX118"/>
      <c r="NGY118"/>
      <c r="NGZ118"/>
      <c r="NHA118"/>
      <c r="NHB118"/>
      <c r="NHC118"/>
      <c r="NHD118"/>
      <c r="NHE118"/>
      <c r="NHF118"/>
      <c r="NHG118"/>
      <c r="NHH118"/>
      <c r="NHI118"/>
      <c r="NHJ118"/>
      <c r="NHK118"/>
      <c r="NHL118"/>
      <c r="NHM118"/>
      <c r="NHN118"/>
      <c r="NHO118"/>
      <c r="NHP118"/>
      <c r="NHQ118"/>
      <c r="NHR118"/>
      <c r="NHS118"/>
      <c r="NHT118"/>
      <c r="NHU118"/>
      <c r="NHV118"/>
      <c r="NHW118"/>
      <c r="NHX118"/>
      <c r="NHY118"/>
      <c r="NHZ118"/>
      <c r="NIA118"/>
      <c r="NIB118"/>
      <c r="NIC118"/>
      <c r="NID118"/>
      <c r="NIE118"/>
      <c r="NIF118"/>
      <c r="NIG118"/>
      <c r="NIH118"/>
      <c r="NII118"/>
      <c r="NIJ118"/>
      <c r="NIK118"/>
      <c r="NIL118"/>
      <c r="NIM118"/>
      <c r="NIN118"/>
      <c r="NIO118"/>
      <c r="NIP118"/>
      <c r="NIQ118"/>
      <c r="NIR118"/>
      <c r="NIS118"/>
      <c r="NIT118"/>
      <c r="NIU118"/>
      <c r="NIV118"/>
      <c r="NIW118"/>
      <c r="NIX118"/>
      <c r="NIY118"/>
      <c r="NIZ118"/>
      <c r="NJA118"/>
      <c r="NJB118"/>
      <c r="NJC118"/>
      <c r="NJD118"/>
      <c r="NJE118"/>
      <c r="NJF118"/>
      <c r="NJG118"/>
      <c r="NJH118"/>
      <c r="NJI118"/>
      <c r="NJJ118"/>
      <c r="NJK118"/>
      <c r="NJL118"/>
      <c r="NJM118"/>
      <c r="NJN118"/>
      <c r="NJO118"/>
      <c r="NJP118"/>
      <c r="NJQ118"/>
      <c r="NJR118"/>
      <c r="NJS118"/>
      <c r="NJT118"/>
      <c r="NJU118"/>
      <c r="NJV118"/>
      <c r="NJW118"/>
      <c r="NJX118"/>
      <c r="NJY118"/>
      <c r="NJZ118"/>
      <c r="NKA118"/>
      <c r="NKB118"/>
      <c r="NKC118"/>
      <c r="NKD118"/>
      <c r="NKE118"/>
      <c r="NKF118"/>
      <c r="NKG118"/>
      <c r="NKH118"/>
      <c r="NKI118"/>
      <c r="NKJ118"/>
      <c r="NKK118"/>
      <c r="NKL118"/>
      <c r="NKM118"/>
      <c r="NKN118"/>
      <c r="NKO118"/>
      <c r="NKP118"/>
      <c r="NKQ118"/>
      <c r="NKR118"/>
      <c r="NKS118"/>
      <c r="NKT118"/>
      <c r="NKU118"/>
      <c r="NKV118"/>
      <c r="NKW118"/>
      <c r="NKX118"/>
      <c r="NKY118"/>
      <c r="NKZ118"/>
      <c r="NLA118"/>
      <c r="NLB118"/>
      <c r="NLC118"/>
      <c r="NLD118"/>
      <c r="NLE118"/>
      <c r="NLF118"/>
      <c r="NLG118"/>
      <c r="NLH118"/>
      <c r="NLI118"/>
      <c r="NLJ118"/>
      <c r="NLK118"/>
      <c r="NLL118"/>
      <c r="NLM118"/>
      <c r="NLN118"/>
      <c r="NLO118"/>
      <c r="NLP118"/>
      <c r="NLQ118"/>
      <c r="NLR118"/>
      <c r="NLS118"/>
      <c r="NLT118"/>
      <c r="NLU118"/>
      <c r="NLV118"/>
      <c r="NLW118"/>
      <c r="NLX118"/>
      <c r="NLY118"/>
      <c r="NLZ118"/>
      <c r="NMA118"/>
      <c r="NMB118"/>
      <c r="NMC118"/>
      <c r="NMD118"/>
      <c r="NME118"/>
      <c r="NMF118"/>
      <c r="NMG118"/>
      <c r="NMH118"/>
      <c r="NMI118"/>
      <c r="NMJ118"/>
      <c r="NMK118"/>
      <c r="NML118"/>
      <c r="NMM118"/>
      <c r="NMN118"/>
      <c r="NMO118"/>
      <c r="NMP118"/>
      <c r="NMQ118"/>
      <c r="NMR118"/>
      <c r="NMS118"/>
      <c r="NMT118"/>
      <c r="NMU118"/>
      <c r="NMV118"/>
      <c r="NMW118"/>
      <c r="NMX118"/>
      <c r="NMY118"/>
      <c r="NMZ118"/>
      <c r="NNA118"/>
      <c r="NNB118"/>
      <c r="NNC118"/>
      <c r="NND118"/>
      <c r="NNE118"/>
      <c r="NNF118"/>
      <c r="NNG118"/>
      <c r="NNH118"/>
      <c r="NNI118"/>
      <c r="NNJ118"/>
      <c r="NNK118"/>
      <c r="NNL118"/>
      <c r="NNM118"/>
      <c r="NNN118"/>
      <c r="NNO118"/>
      <c r="NNP118"/>
      <c r="NNQ118"/>
      <c r="NNR118"/>
      <c r="NNS118"/>
      <c r="NNT118"/>
      <c r="NNU118"/>
      <c r="NNV118"/>
      <c r="NNW118"/>
      <c r="NNX118"/>
      <c r="NNY118"/>
      <c r="NNZ118"/>
      <c r="NOA118"/>
      <c r="NOB118"/>
      <c r="NOC118"/>
      <c r="NOD118"/>
      <c r="NOE118"/>
      <c r="NOF118"/>
      <c r="NOG118"/>
      <c r="NOH118"/>
      <c r="NOI118"/>
      <c r="NOJ118"/>
      <c r="NOK118"/>
      <c r="NOL118"/>
      <c r="NOM118"/>
      <c r="NON118"/>
      <c r="NOO118"/>
      <c r="NOP118"/>
      <c r="NOQ118"/>
      <c r="NOR118"/>
      <c r="NOS118"/>
      <c r="NOT118"/>
      <c r="NOU118"/>
      <c r="NOV118"/>
      <c r="NOW118"/>
      <c r="NOX118"/>
      <c r="NOY118"/>
      <c r="NOZ118"/>
      <c r="NPA118"/>
      <c r="NPB118"/>
      <c r="NPC118"/>
      <c r="NPD118"/>
      <c r="NPE118"/>
      <c r="NPF118"/>
      <c r="NPG118"/>
      <c r="NPH118"/>
      <c r="NPI118"/>
      <c r="NPJ118"/>
      <c r="NPK118"/>
      <c r="NPL118"/>
      <c r="NPM118"/>
      <c r="NPN118"/>
      <c r="NPO118"/>
      <c r="NPP118"/>
      <c r="NPQ118"/>
      <c r="NPR118"/>
      <c r="NPS118"/>
      <c r="NPT118"/>
      <c r="NPU118"/>
      <c r="NPV118"/>
      <c r="NPW118"/>
      <c r="NPX118"/>
      <c r="NPY118"/>
      <c r="NPZ118"/>
      <c r="NQA118"/>
      <c r="NQB118"/>
      <c r="NQC118"/>
      <c r="NQD118"/>
      <c r="NQE118"/>
      <c r="NQF118"/>
      <c r="NQG118"/>
      <c r="NQH118"/>
      <c r="NQI118"/>
      <c r="NQJ118"/>
      <c r="NQK118"/>
      <c r="NQL118"/>
      <c r="NQM118"/>
      <c r="NQN118"/>
      <c r="NQO118"/>
      <c r="NQP118"/>
      <c r="NQQ118"/>
      <c r="NQR118"/>
      <c r="NQS118"/>
      <c r="NQT118"/>
      <c r="NQU118"/>
      <c r="NQV118"/>
      <c r="NQW118"/>
      <c r="NQX118"/>
      <c r="NQY118"/>
      <c r="NQZ118"/>
      <c r="NRA118"/>
      <c r="NRB118"/>
      <c r="NRC118"/>
      <c r="NRD118"/>
      <c r="NRE118"/>
      <c r="NRF118"/>
      <c r="NRG118"/>
      <c r="NRH118"/>
      <c r="NRI118"/>
      <c r="NRJ118"/>
      <c r="NRK118"/>
      <c r="NRL118"/>
      <c r="NRM118"/>
      <c r="NRN118"/>
      <c r="NRO118"/>
      <c r="NRP118"/>
      <c r="NRQ118"/>
      <c r="NRR118"/>
      <c r="NRS118"/>
      <c r="NRT118"/>
      <c r="NRU118"/>
      <c r="NRV118"/>
      <c r="NRW118"/>
      <c r="NRX118"/>
      <c r="NRY118"/>
      <c r="NRZ118"/>
      <c r="NSA118"/>
      <c r="NSB118"/>
      <c r="NSC118"/>
      <c r="NSD118"/>
      <c r="NSE118"/>
      <c r="NSF118"/>
      <c r="NSG118"/>
      <c r="NSH118"/>
      <c r="NSI118"/>
      <c r="NSJ118"/>
      <c r="NSK118"/>
      <c r="NSL118"/>
      <c r="NSM118"/>
      <c r="NSN118"/>
      <c r="NSO118"/>
      <c r="NSP118"/>
      <c r="NSQ118"/>
      <c r="NSR118"/>
      <c r="NSS118"/>
      <c r="NST118"/>
      <c r="NSU118"/>
      <c r="NSV118"/>
      <c r="NSW118"/>
      <c r="NSX118"/>
      <c r="NSY118"/>
      <c r="NSZ118"/>
      <c r="NTA118"/>
      <c r="NTB118"/>
      <c r="NTC118"/>
      <c r="NTD118"/>
      <c r="NTE118"/>
      <c r="NTF118"/>
      <c r="NTG118"/>
      <c r="NTH118"/>
      <c r="NTI118"/>
      <c r="NTJ118"/>
      <c r="NTK118"/>
      <c r="NTL118"/>
      <c r="NTM118"/>
      <c r="NTN118"/>
      <c r="NTO118"/>
      <c r="NTP118"/>
      <c r="NTQ118"/>
      <c r="NTR118"/>
      <c r="NTS118"/>
      <c r="NTT118"/>
      <c r="NTU118"/>
      <c r="NTV118"/>
      <c r="NTW118"/>
      <c r="NTX118"/>
      <c r="NTY118"/>
      <c r="NTZ118"/>
      <c r="NUA118"/>
      <c r="NUB118"/>
      <c r="NUC118"/>
      <c r="NUD118"/>
      <c r="NUE118"/>
      <c r="NUF118"/>
      <c r="NUG118"/>
      <c r="NUH118"/>
      <c r="NUI118"/>
      <c r="NUJ118"/>
      <c r="NUK118"/>
      <c r="NUL118"/>
      <c r="NUM118"/>
      <c r="NUN118"/>
      <c r="NUO118"/>
      <c r="NUP118"/>
      <c r="NUQ118"/>
      <c r="NUR118"/>
      <c r="NUS118"/>
      <c r="NUT118"/>
      <c r="NUU118"/>
      <c r="NUV118"/>
      <c r="NUW118"/>
      <c r="NUX118"/>
      <c r="NUY118"/>
      <c r="NUZ118"/>
      <c r="NVA118"/>
      <c r="NVB118"/>
      <c r="NVC118"/>
      <c r="NVD118"/>
      <c r="NVE118"/>
      <c r="NVF118"/>
      <c r="NVG118"/>
      <c r="NVH118"/>
      <c r="NVI118"/>
      <c r="NVJ118"/>
      <c r="NVK118"/>
      <c r="NVL118"/>
      <c r="NVM118"/>
      <c r="NVN118"/>
      <c r="NVO118"/>
      <c r="NVP118"/>
      <c r="NVQ118"/>
      <c r="NVR118"/>
      <c r="NVS118"/>
      <c r="NVT118"/>
      <c r="NVU118"/>
      <c r="NVV118"/>
      <c r="NVW118"/>
      <c r="NVX118"/>
      <c r="NVY118"/>
      <c r="NVZ118"/>
      <c r="NWA118"/>
      <c r="NWB118"/>
      <c r="NWC118"/>
      <c r="NWD118"/>
      <c r="NWE118"/>
      <c r="NWF118"/>
      <c r="NWG118"/>
      <c r="NWH118"/>
      <c r="NWI118"/>
      <c r="NWJ118"/>
      <c r="NWK118"/>
      <c r="NWL118"/>
      <c r="NWM118"/>
      <c r="NWN118"/>
      <c r="NWO118"/>
      <c r="NWP118"/>
      <c r="NWQ118"/>
      <c r="NWR118"/>
      <c r="NWS118"/>
      <c r="NWT118"/>
      <c r="NWU118"/>
      <c r="NWV118"/>
      <c r="NWW118"/>
      <c r="NWX118"/>
      <c r="NWY118"/>
      <c r="NWZ118"/>
      <c r="NXA118"/>
      <c r="NXB118"/>
      <c r="NXC118"/>
      <c r="NXD118"/>
      <c r="NXE118"/>
      <c r="NXF118"/>
      <c r="NXG118"/>
      <c r="NXH118"/>
      <c r="NXI118"/>
      <c r="NXJ118"/>
      <c r="NXK118"/>
      <c r="NXL118"/>
      <c r="NXM118"/>
      <c r="NXN118"/>
      <c r="NXO118"/>
      <c r="NXP118"/>
      <c r="NXQ118"/>
      <c r="NXR118"/>
      <c r="NXS118"/>
      <c r="NXT118"/>
      <c r="NXU118"/>
      <c r="NXV118"/>
      <c r="NXW118"/>
      <c r="NXX118"/>
      <c r="NXY118"/>
      <c r="NXZ118"/>
      <c r="NYA118"/>
      <c r="NYB118"/>
      <c r="NYC118"/>
      <c r="NYD118"/>
      <c r="NYE118"/>
      <c r="NYF118"/>
      <c r="NYG118"/>
      <c r="NYH118"/>
      <c r="NYI118"/>
      <c r="NYJ118"/>
      <c r="NYK118"/>
      <c r="NYL118"/>
      <c r="NYM118"/>
      <c r="NYN118"/>
      <c r="NYO118"/>
      <c r="NYP118"/>
      <c r="NYQ118"/>
      <c r="NYR118"/>
      <c r="NYS118"/>
      <c r="NYT118"/>
      <c r="NYU118"/>
      <c r="NYV118"/>
      <c r="NYW118"/>
      <c r="NYX118"/>
      <c r="NYY118"/>
      <c r="NYZ118"/>
      <c r="NZA118"/>
      <c r="NZB118"/>
      <c r="NZC118"/>
      <c r="NZD118"/>
      <c r="NZE118"/>
      <c r="NZF118"/>
      <c r="NZG118"/>
      <c r="NZH118"/>
      <c r="NZI118"/>
      <c r="NZJ118"/>
      <c r="NZK118"/>
      <c r="NZL118"/>
      <c r="NZM118"/>
      <c r="NZN118"/>
      <c r="NZO118"/>
      <c r="NZP118"/>
      <c r="NZQ118"/>
      <c r="NZR118"/>
      <c r="NZS118"/>
      <c r="NZT118"/>
      <c r="NZU118"/>
      <c r="NZV118"/>
      <c r="NZW118"/>
      <c r="NZX118"/>
      <c r="NZY118"/>
      <c r="NZZ118"/>
      <c r="OAA118"/>
      <c r="OAB118"/>
      <c r="OAC118"/>
      <c r="OAD118"/>
      <c r="OAE118"/>
      <c r="OAF118"/>
      <c r="OAG118"/>
      <c r="OAH118"/>
      <c r="OAI118"/>
      <c r="OAJ118"/>
      <c r="OAK118"/>
      <c r="OAL118"/>
      <c r="OAM118"/>
      <c r="OAN118"/>
      <c r="OAO118"/>
      <c r="OAP118"/>
      <c r="OAQ118"/>
      <c r="OAR118"/>
      <c r="OAS118"/>
      <c r="OAT118"/>
      <c r="OAU118"/>
      <c r="OAV118"/>
      <c r="OAW118"/>
      <c r="OAX118"/>
      <c r="OAY118"/>
      <c r="OAZ118"/>
      <c r="OBA118"/>
      <c r="OBB118"/>
      <c r="OBC118"/>
      <c r="OBD118"/>
      <c r="OBE118"/>
      <c r="OBF118"/>
      <c r="OBG118"/>
      <c r="OBH118"/>
      <c r="OBI118"/>
      <c r="OBJ118"/>
      <c r="OBK118"/>
      <c r="OBL118"/>
      <c r="OBM118"/>
      <c r="OBN118"/>
      <c r="OBO118"/>
      <c r="OBP118"/>
      <c r="OBQ118"/>
      <c r="OBR118"/>
      <c r="OBS118"/>
      <c r="OBT118"/>
      <c r="OBU118"/>
      <c r="OBV118"/>
      <c r="OBW118"/>
      <c r="OBX118"/>
      <c r="OBY118"/>
      <c r="OBZ118"/>
      <c r="OCA118"/>
      <c r="OCB118"/>
      <c r="OCC118"/>
      <c r="OCD118"/>
      <c r="OCE118"/>
      <c r="OCF118"/>
      <c r="OCG118"/>
      <c r="OCH118"/>
      <c r="OCI118"/>
      <c r="OCJ118"/>
      <c r="OCK118"/>
      <c r="OCL118"/>
      <c r="OCM118"/>
      <c r="OCN118"/>
      <c r="OCO118"/>
      <c r="OCP118"/>
      <c r="OCQ118"/>
      <c r="OCR118"/>
      <c r="OCS118"/>
      <c r="OCT118"/>
      <c r="OCU118"/>
      <c r="OCV118"/>
      <c r="OCW118"/>
      <c r="OCX118"/>
      <c r="OCY118"/>
      <c r="OCZ118"/>
      <c r="ODA118"/>
      <c r="ODB118"/>
      <c r="ODC118"/>
      <c r="ODD118"/>
      <c r="ODE118"/>
      <c r="ODF118"/>
      <c r="ODG118"/>
      <c r="ODH118"/>
      <c r="ODI118"/>
      <c r="ODJ118"/>
      <c r="ODK118"/>
      <c r="ODL118"/>
      <c r="ODM118"/>
      <c r="ODN118"/>
      <c r="ODO118"/>
      <c r="ODP118"/>
      <c r="ODQ118"/>
      <c r="ODR118"/>
      <c r="ODS118"/>
      <c r="ODT118"/>
      <c r="ODU118"/>
      <c r="ODV118"/>
      <c r="ODW118"/>
      <c r="ODX118"/>
      <c r="ODY118"/>
      <c r="ODZ118"/>
      <c r="OEA118"/>
      <c r="OEB118"/>
      <c r="OEC118"/>
      <c r="OED118"/>
      <c r="OEE118"/>
      <c r="OEF118"/>
      <c r="OEG118"/>
      <c r="OEH118"/>
      <c r="OEI118"/>
      <c r="OEJ118"/>
      <c r="OEK118"/>
      <c r="OEL118"/>
      <c r="OEM118"/>
      <c r="OEN118"/>
      <c r="OEO118"/>
      <c r="OEP118"/>
      <c r="OEQ118"/>
      <c r="OER118"/>
      <c r="OES118"/>
      <c r="OET118"/>
      <c r="OEU118"/>
      <c r="OEV118"/>
      <c r="OEW118"/>
      <c r="OEX118"/>
      <c r="OEY118"/>
      <c r="OEZ118"/>
      <c r="OFA118"/>
      <c r="OFB118"/>
      <c r="OFC118"/>
      <c r="OFD118"/>
      <c r="OFE118"/>
      <c r="OFF118"/>
      <c r="OFG118"/>
      <c r="OFH118"/>
      <c r="OFI118"/>
      <c r="OFJ118"/>
      <c r="OFK118"/>
      <c r="OFL118"/>
      <c r="OFM118"/>
      <c r="OFN118"/>
      <c r="OFO118"/>
      <c r="OFP118"/>
      <c r="OFQ118"/>
      <c r="OFR118"/>
      <c r="OFS118"/>
      <c r="OFT118"/>
      <c r="OFU118"/>
      <c r="OFV118"/>
      <c r="OFW118"/>
      <c r="OFX118"/>
      <c r="OFY118"/>
      <c r="OFZ118"/>
      <c r="OGA118"/>
      <c r="OGB118"/>
      <c r="OGC118"/>
      <c r="OGD118"/>
      <c r="OGE118"/>
      <c r="OGF118"/>
      <c r="OGG118"/>
      <c r="OGH118"/>
      <c r="OGI118"/>
      <c r="OGJ118"/>
      <c r="OGK118"/>
      <c r="OGL118"/>
      <c r="OGM118"/>
      <c r="OGN118"/>
      <c r="OGO118"/>
      <c r="OGP118"/>
      <c r="OGQ118"/>
      <c r="OGR118"/>
      <c r="OGS118"/>
      <c r="OGT118"/>
      <c r="OGU118"/>
      <c r="OGV118"/>
      <c r="OGW118"/>
      <c r="OGX118"/>
      <c r="OGY118"/>
      <c r="OGZ118"/>
      <c r="OHA118"/>
      <c r="OHB118"/>
      <c r="OHC118"/>
      <c r="OHD118"/>
      <c r="OHE118"/>
      <c r="OHF118"/>
      <c r="OHG118"/>
      <c r="OHH118"/>
      <c r="OHI118"/>
      <c r="OHJ118"/>
      <c r="OHK118"/>
      <c r="OHL118"/>
      <c r="OHM118"/>
      <c r="OHN118"/>
      <c r="OHO118"/>
      <c r="OHP118"/>
      <c r="OHQ118"/>
      <c r="OHR118"/>
      <c r="OHS118"/>
      <c r="OHT118"/>
      <c r="OHU118"/>
      <c r="OHV118"/>
      <c r="OHW118"/>
      <c r="OHX118"/>
      <c r="OHY118"/>
      <c r="OHZ118"/>
      <c r="OIA118"/>
      <c r="OIB118"/>
      <c r="OIC118"/>
      <c r="OID118"/>
      <c r="OIE118"/>
      <c r="OIF118"/>
      <c r="OIG118"/>
      <c r="OIH118"/>
      <c r="OII118"/>
      <c r="OIJ118"/>
      <c r="OIK118"/>
      <c r="OIL118"/>
      <c r="OIM118"/>
      <c r="OIN118"/>
      <c r="OIO118"/>
      <c r="OIP118"/>
      <c r="OIQ118"/>
      <c r="OIR118"/>
      <c r="OIS118"/>
      <c r="OIT118"/>
      <c r="OIU118"/>
      <c r="OIV118"/>
      <c r="OIW118"/>
      <c r="OIX118"/>
      <c r="OIY118"/>
      <c r="OIZ118"/>
      <c r="OJA118"/>
      <c r="OJB118"/>
      <c r="OJC118"/>
      <c r="OJD118"/>
      <c r="OJE118"/>
      <c r="OJF118"/>
      <c r="OJG118"/>
      <c r="OJH118"/>
      <c r="OJI118"/>
      <c r="OJJ118"/>
      <c r="OJK118"/>
      <c r="OJL118"/>
      <c r="OJM118"/>
      <c r="OJN118"/>
      <c r="OJO118"/>
      <c r="OJP118"/>
      <c r="OJQ118"/>
      <c r="OJR118"/>
      <c r="OJS118"/>
      <c r="OJT118"/>
      <c r="OJU118"/>
      <c r="OJV118"/>
      <c r="OJW118"/>
      <c r="OJX118"/>
      <c r="OJY118"/>
      <c r="OJZ118"/>
      <c r="OKA118"/>
      <c r="OKB118"/>
      <c r="OKC118"/>
      <c r="OKD118"/>
      <c r="OKE118"/>
      <c r="OKF118"/>
      <c r="OKG118"/>
      <c r="OKH118"/>
      <c r="OKI118"/>
      <c r="OKJ118"/>
      <c r="OKK118"/>
      <c r="OKL118"/>
      <c r="OKM118"/>
      <c r="OKN118"/>
      <c r="OKO118"/>
      <c r="OKP118"/>
      <c r="OKQ118"/>
      <c r="OKR118"/>
      <c r="OKS118"/>
      <c r="OKT118"/>
      <c r="OKU118"/>
      <c r="OKV118"/>
      <c r="OKW118"/>
      <c r="OKX118"/>
      <c r="OKY118"/>
      <c r="OKZ118"/>
      <c r="OLA118"/>
      <c r="OLB118"/>
      <c r="OLC118"/>
      <c r="OLD118"/>
      <c r="OLE118"/>
      <c r="OLF118"/>
      <c r="OLG118"/>
      <c r="OLH118"/>
      <c r="OLI118"/>
      <c r="OLJ118"/>
      <c r="OLK118"/>
      <c r="OLL118"/>
      <c r="OLM118"/>
      <c r="OLN118"/>
      <c r="OLO118"/>
      <c r="OLP118"/>
      <c r="OLQ118"/>
      <c r="OLR118"/>
      <c r="OLS118"/>
      <c r="OLT118"/>
      <c r="OLU118"/>
      <c r="OLV118"/>
      <c r="OLW118"/>
      <c r="OLX118"/>
      <c r="OLY118"/>
      <c r="OLZ118"/>
      <c r="OMA118"/>
      <c r="OMB118"/>
      <c r="OMC118"/>
      <c r="OMD118"/>
      <c r="OME118"/>
      <c r="OMF118"/>
      <c r="OMG118"/>
      <c r="OMH118"/>
      <c r="OMI118"/>
      <c r="OMJ118"/>
      <c r="OMK118"/>
      <c r="OML118"/>
      <c r="OMM118"/>
      <c r="OMN118"/>
      <c r="OMO118"/>
      <c r="OMP118"/>
      <c r="OMQ118"/>
      <c r="OMR118"/>
      <c r="OMS118"/>
      <c r="OMT118"/>
      <c r="OMU118"/>
      <c r="OMV118"/>
      <c r="OMW118"/>
      <c r="OMX118"/>
      <c r="OMY118"/>
      <c r="OMZ118"/>
      <c r="ONA118"/>
      <c r="ONB118"/>
      <c r="ONC118"/>
      <c r="OND118"/>
      <c r="ONE118"/>
      <c r="ONF118"/>
      <c r="ONG118"/>
      <c r="ONH118"/>
      <c r="ONI118"/>
      <c r="ONJ118"/>
      <c r="ONK118"/>
      <c r="ONL118"/>
      <c r="ONM118"/>
      <c r="ONN118"/>
      <c r="ONO118"/>
      <c r="ONP118"/>
      <c r="ONQ118"/>
      <c r="ONR118"/>
      <c r="ONS118"/>
      <c r="ONT118"/>
      <c r="ONU118"/>
      <c r="ONV118"/>
      <c r="ONW118"/>
      <c r="ONX118"/>
      <c r="ONY118"/>
      <c r="ONZ118"/>
      <c r="OOA118"/>
      <c r="OOB118"/>
      <c r="OOC118"/>
      <c r="OOD118"/>
      <c r="OOE118"/>
      <c r="OOF118"/>
      <c r="OOG118"/>
      <c r="OOH118"/>
      <c r="OOI118"/>
      <c r="OOJ118"/>
      <c r="OOK118"/>
      <c r="OOL118"/>
      <c r="OOM118"/>
      <c r="OON118"/>
      <c r="OOO118"/>
      <c r="OOP118"/>
      <c r="OOQ118"/>
      <c r="OOR118"/>
      <c r="OOS118"/>
      <c r="OOT118"/>
      <c r="OOU118"/>
      <c r="OOV118"/>
      <c r="OOW118"/>
      <c r="OOX118"/>
      <c r="OOY118"/>
      <c r="OOZ118"/>
      <c r="OPA118"/>
      <c r="OPB118"/>
      <c r="OPC118"/>
      <c r="OPD118"/>
      <c r="OPE118"/>
      <c r="OPF118"/>
      <c r="OPG118"/>
      <c r="OPH118"/>
      <c r="OPI118"/>
      <c r="OPJ118"/>
      <c r="OPK118"/>
      <c r="OPL118"/>
      <c r="OPM118"/>
      <c r="OPN118"/>
      <c r="OPO118"/>
      <c r="OPP118"/>
      <c r="OPQ118"/>
      <c r="OPR118"/>
      <c r="OPS118"/>
      <c r="OPT118"/>
      <c r="OPU118"/>
      <c r="OPV118"/>
      <c r="OPW118"/>
      <c r="OPX118"/>
      <c r="OPY118"/>
      <c r="OPZ118"/>
      <c r="OQA118"/>
      <c r="OQB118"/>
      <c r="OQC118"/>
      <c r="OQD118"/>
      <c r="OQE118"/>
      <c r="OQF118"/>
      <c r="OQG118"/>
      <c r="OQH118"/>
      <c r="OQI118"/>
      <c r="OQJ118"/>
      <c r="OQK118"/>
      <c r="OQL118"/>
      <c r="OQM118"/>
      <c r="OQN118"/>
      <c r="OQO118"/>
      <c r="OQP118"/>
      <c r="OQQ118"/>
      <c r="OQR118"/>
      <c r="OQS118"/>
      <c r="OQT118"/>
      <c r="OQU118"/>
      <c r="OQV118"/>
      <c r="OQW118"/>
      <c r="OQX118"/>
      <c r="OQY118"/>
      <c r="OQZ118"/>
      <c r="ORA118"/>
      <c r="ORB118"/>
      <c r="ORC118"/>
      <c r="ORD118"/>
      <c r="ORE118"/>
      <c r="ORF118"/>
      <c r="ORG118"/>
      <c r="ORH118"/>
      <c r="ORI118"/>
      <c r="ORJ118"/>
      <c r="ORK118"/>
      <c r="ORL118"/>
      <c r="ORM118"/>
      <c r="ORN118"/>
      <c r="ORO118"/>
      <c r="ORP118"/>
      <c r="ORQ118"/>
      <c r="ORR118"/>
      <c r="ORS118"/>
      <c r="ORT118"/>
      <c r="ORU118"/>
      <c r="ORV118"/>
      <c r="ORW118"/>
      <c r="ORX118"/>
      <c r="ORY118"/>
      <c r="ORZ118"/>
      <c r="OSA118"/>
      <c r="OSB118"/>
      <c r="OSC118"/>
      <c r="OSD118"/>
      <c r="OSE118"/>
      <c r="OSF118"/>
      <c r="OSG118"/>
      <c r="OSH118"/>
      <c r="OSI118"/>
      <c r="OSJ118"/>
      <c r="OSK118"/>
      <c r="OSL118"/>
      <c r="OSM118"/>
      <c r="OSN118"/>
      <c r="OSO118"/>
      <c r="OSP118"/>
      <c r="OSQ118"/>
      <c r="OSR118"/>
      <c r="OSS118"/>
      <c r="OST118"/>
      <c r="OSU118"/>
      <c r="OSV118"/>
      <c r="OSW118"/>
      <c r="OSX118"/>
      <c r="OSY118"/>
      <c r="OSZ118"/>
      <c r="OTA118"/>
      <c r="OTB118"/>
      <c r="OTC118"/>
      <c r="OTD118"/>
      <c r="OTE118"/>
      <c r="OTF118"/>
      <c r="OTG118"/>
      <c r="OTH118"/>
      <c r="OTI118"/>
      <c r="OTJ118"/>
      <c r="OTK118"/>
      <c r="OTL118"/>
      <c r="OTM118"/>
      <c r="OTN118"/>
      <c r="OTO118"/>
      <c r="OTP118"/>
      <c r="OTQ118"/>
      <c r="OTR118"/>
      <c r="OTS118"/>
      <c r="OTT118"/>
      <c r="OTU118"/>
      <c r="OTV118"/>
      <c r="OTW118"/>
      <c r="OTX118"/>
      <c r="OTY118"/>
      <c r="OTZ118"/>
      <c r="OUA118"/>
      <c r="OUB118"/>
      <c r="OUC118"/>
      <c r="OUD118"/>
      <c r="OUE118"/>
      <c r="OUF118"/>
      <c r="OUG118"/>
      <c r="OUH118"/>
      <c r="OUI118"/>
      <c r="OUJ118"/>
      <c r="OUK118"/>
      <c r="OUL118"/>
      <c r="OUM118"/>
      <c r="OUN118"/>
      <c r="OUO118"/>
      <c r="OUP118"/>
      <c r="OUQ118"/>
      <c r="OUR118"/>
      <c r="OUS118"/>
      <c r="OUT118"/>
      <c r="OUU118"/>
      <c r="OUV118"/>
      <c r="OUW118"/>
      <c r="OUX118"/>
      <c r="OUY118"/>
      <c r="OUZ118"/>
      <c r="OVA118"/>
      <c r="OVB118"/>
      <c r="OVC118"/>
      <c r="OVD118"/>
      <c r="OVE118"/>
      <c r="OVF118"/>
      <c r="OVG118"/>
      <c r="OVH118"/>
      <c r="OVI118"/>
      <c r="OVJ118"/>
      <c r="OVK118"/>
      <c r="OVL118"/>
      <c r="OVM118"/>
      <c r="OVN118"/>
      <c r="OVO118"/>
      <c r="OVP118"/>
      <c r="OVQ118"/>
      <c r="OVR118"/>
      <c r="OVS118"/>
      <c r="OVT118"/>
      <c r="OVU118"/>
      <c r="OVV118"/>
      <c r="OVW118"/>
      <c r="OVX118"/>
      <c r="OVY118"/>
      <c r="OVZ118"/>
      <c r="OWA118"/>
      <c r="OWB118"/>
      <c r="OWC118"/>
      <c r="OWD118"/>
      <c r="OWE118"/>
      <c r="OWF118"/>
      <c r="OWG118"/>
      <c r="OWH118"/>
      <c r="OWI118"/>
      <c r="OWJ118"/>
      <c r="OWK118"/>
      <c r="OWL118"/>
      <c r="OWM118"/>
      <c r="OWN118"/>
      <c r="OWO118"/>
      <c r="OWP118"/>
      <c r="OWQ118"/>
      <c r="OWR118"/>
      <c r="OWS118"/>
      <c r="OWT118"/>
      <c r="OWU118"/>
      <c r="OWV118"/>
      <c r="OWW118"/>
      <c r="OWX118"/>
      <c r="OWY118"/>
      <c r="OWZ118"/>
      <c r="OXA118"/>
      <c r="OXB118"/>
      <c r="OXC118"/>
      <c r="OXD118"/>
      <c r="OXE118"/>
      <c r="OXF118"/>
      <c r="OXG118"/>
      <c r="OXH118"/>
      <c r="OXI118"/>
      <c r="OXJ118"/>
      <c r="OXK118"/>
      <c r="OXL118"/>
      <c r="OXM118"/>
      <c r="OXN118"/>
      <c r="OXO118"/>
      <c r="OXP118"/>
      <c r="OXQ118"/>
      <c r="OXR118"/>
      <c r="OXS118"/>
      <c r="OXT118"/>
      <c r="OXU118"/>
      <c r="OXV118"/>
      <c r="OXW118"/>
      <c r="OXX118"/>
      <c r="OXY118"/>
      <c r="OXZ118"/>
      <c r="OYA118"/>
      <c r="OYB118"/>
      <c r="OYC118"/>
      <c r="OYD118"/>
      <c r="OYE118"/>
      <c r="OYF118"/>
      <c r="OYG118"/>
      <c r="OYH118"/>
      <c r="OYI118"/>
      <c r="OYJ118"/>
      <c r="OYK118"/>
      <c r="OYL118"/>
      <c r="OYM118"/>
      <c r="OYN118"/>
      <c r="OYO118"/>
      <c r="OYP118"/>
      <c r="OYQ118"/>
      <c r="OYR118"/>
      <c r="OYS118"/>
      <c r="OYT118"/>
      <c r="OYU118"/>
      <c r="OYV118"/>
      <c r="OYW118"/>
      <c r="OYX118"/>
      <c r="OYY118"/>
      <c r="OYZ118"/>
      <c r="OZA118"/>
      <c r="OZB118"/>
      <c r="OZC118"/>
      <c r="OZD118"/>
      <c r="OZE118"/>
      <c r="OZF118"/>
      <c r="OZG118"/>
      <c r="OZH118"/>
      <c r="OZI118"/>
      <c r="OZJ118"/>
      <c r="OZK118"/>
      <c r="OZL118"/>
      <c r="OZM118"/>
      <c r="OZN118"/>
      <c r="OZO118"/>
      <c r="OZP118"/>
      <c r="OZQ118"/>
      <c r="OZR118"/>
      <c r="OZS118"/>
      <c r="OZT118"/>
      <c r="OZU118"/>
      <c r="OZV118"/>
      <c r="OZW118"/>
      <c r="OZX118"/>
      <c r="OZY118"/>
      <c r="OZZ118"/>
      <c r="PAA118"/>
      <c r="PAB118"/>
      <c r="PAC118"/>
      <c r="PAD118"/>
      <c r="PAE118"/>
      <c r="PAF118"/>
      <c r="PAG118"/>
      <c r="PAH118"/>
      <c r="PAI118"/>
      <c r="PAJ118"/>
      <c r="PAK118"/>
      <c r="PAL118"/>
      <c r="PAM118"/>
      <c r="PAN118"/>
      <c r="PAO118"/>
      <c r="PAP118"/>
      <c r="PAQ118"/>
      <c r="PAR118"/>
      <c r="PAS118"/>
      <c r="PAT118"/>
      <c r="PAU118"/>
      <c r="PAV118"/>
      <c r="PAW118"/>
      <c r="PAX118"/>
      <c r="PAY118"/>
      <c r="PAZ118"/>
      <c r="PBA118"/>
      <c r="PBB118"/>
      <c r="PBC118"/>
      <c r="PBD118"/>
      <c r="PBE118"/>
      <c r="PBF118"/>
      <c r="PBG118"/>
      <c r="PBH118"/>
      <c r="PBI118"/>
      <c r="PBJ118"/>
      <c r="PBK118"/>
      <c r="PBL118"/>
      <c r="PBM118"/>
      <c r="PBN118"/>
      <c r="PBO118"/>
      <c r="PBP118"/>
      <c r="PBQ118"/>
      <c r="PBR118"/>
      <c r="PBS118"/>
      <c r="PBT118"/>
      <c r="PBU118"/>
      <c r="PBV118"/>
      <c r="PBW118"/>
      <c r="PBX118"/>
      <c r="PBY118"/>
      <c r="PBZ118"/>
      <c r="PCA118"/>
      <c r="PCB118"/>
      <c r="PCC118"/>
      <c r="PCD118"/>
      <c r="PCE118"/>
      <c r="PCF118"/>
      <c r="PCG118"/>
      <c r="PCH118"/>
      <c r="PCI118"/>
      <c r="PCJ118"/>
      <c r="PCK118"/>
      <c r="PCL118"/>
      <c r="PCM118"/>
      <c r="PCN118"/>
      <c r="PCO118"/>
      <c r="PCP118"/>
      <c r="PCQ118"/>
      <c r="PCR118"/>
      <c r="PCS118"/>
      <c r="PCT118"/>
      <c r="PCU118"/>
      <c r="PCV118"/>
      <c r="PCW118"/>
      <c r="PCX118"/>
      <c r="PCY118"/>
      <c r="PCZ118"/>
      <c r="PDA118"/>
      <c r="PDB118"/>
      <c r="PDC118"/>
      <c r="PDD118"/>
      <c r="PDE118"/>
      <c r="PDF118"/>
      <c r="PDG118"/>
      <c r="PDH118"/>
      <c r="PDI118"/>
      <c r="PDJ118"/>
      <c r="PDK118"/>
      <c r="PDL118"/>
      <c r="PDM118"/>
      <c r="PDN118"/>
      <c r="PDO118"/>
      <c r="PDP118"/>
      <c r="PDQ118"/>
      <c r="PDR118"/>
      <c r="PDS118"/>
      <c r="PDT118"/>
      <c r="PDU118"/>
      <c r="PDV118"/>
      <c r="PDW118"/>
      <c r="PDX118"/>
      <c r="PDY118"/>
      <c r="PDZ118"/>
      <c r="PEA118"/>
      <c r="PEB118"/>
      <c r="PEC118"/>
      <c r="PED118"/>
      <c r="PEE118"/>
      <c r="PEF118"/>
      <c r="PEG118"/>
      <c r="PEH118"/>
      <c r="PEI118"/>
      <c r="PEJ118"/>
      <c r="PEK118"/>
      <c r="PEL118"/>
      <c r="PEM118"/>
      <c r="PEN118"/>
      <c r="PEO118"/>
      <c r="PEP118"/>
      <c r="PEQ118"/>
      <c r="PER118"/>
      <c r="PES118"/>
      <c r="PET118"/>
      <c r="PEU118"/>
      <c r="PEV118"/>
      <c r="PEW118"/>
      <c r="PEX118"/>
      <c r="PEY118"/>
      <c r="PEZ118"/>
      <c r="PFA118"/>
      <c r="PFB118"/>
      <c r="PFC118"/>
      <c r="PFD118"/>
      <c r="PFE118"/>
      <c r="PFF118"/>
      <c r="PFG118"/>
      <c r="PFH118"/>
      <c r="PFI118"/>
      <c r="PFJ118"/>
      <c r="PFK118"/>
      <c r="PFL118"/>
      <c r="PFM118"/>
      <c r="PFN118"/>
      <c r="PFO118"/>
      <c r="PFP118"/>
      <c r="PFQ118"/>
      <c r="PFR118"/>
      <c r="PFS118"/>
      <c r="PFT118"/>
      <c r="PFU118"/>
      <c r="PFV118"/>
      <c r="PFW118"/>
      <c r="PFX118"/>
      <c r="PFY118"/>
      <c r="PFZ118"/>
      <c r="PGA118"/>
      <c r="PGB118"/>
      <c r="PGC118"/>
      <c r="PGD118"/>
      <c r="PGE118"/>
      <c r="PGF118"/>
      <c r="PGG118"/>
      <c r="PGH118"/>
      <c r="PGI118"/>
      <c r="PGJ118"/>
      <c r="PGK118"/>
      <c r="PGL118"/>
      <c r="PGM118"/>
      <c r="PGN118"/>
      <c r="PGO118"/>
      <c r="PGP118"/>
      <c r="PGQ118"/>
      <c r="PGR118"/>
      <c r="PGS118"/>
      <c r="PGT118"/>
      <c r="PGU118"/>
      <c r="PGV118"/>
      <c r="PGW118"/>
      <c r="PGX118"/>
      <c r="PGY118"/>
      <c r="PGZ118"/>
      <c r="PHA118"/>
      <c r="PHB118"/>
      <c r="PHC118"/>
      <c r="PHD118"/>
      <c r="PHE118"/>
      <c r="PHF118"/>
      <c r="PHG118"/>
      <c r="PHH118"/>
      <c r="PHI118"/>
      <c r="PHJ118"/>
      <c r="PHK118"/>
      <c r="PHL118"/>
      <c r="PHM118"/>
      <c r="PHN118"/>
      <c r="PHO118"/>
      <c r="PHP118"/>
      <c r="PHQ118"/>
      <c r="PHR118"/>
      <c r="PHS118"/>
      <c r="PHT118"/>
      <c r="PHU118"/>
      <c r="PHV118"/>
      <c r="PHW118"/>
      <c r="PHX118"/>
      <c r="PHY118"/>
      <c r="PHZ118"/>
      <c r="PIA118"/>
      <c r="PIB118"/>
      <c r="PIC118"/>
      <c r="PID118"/>
      <c r="PIE118"/>
      <c r="PIF118"/>
      <c r="PIG118"/>
      <c r="PIH118"/>
      <c r="PII118"/>
      <c r="PIJ118"/>
      <c r="PIK118"/>
      <c r="PIL118"/>
      <c r="PIM118"/>
      <c r="PIN118"/>
      <c r="PIO118"/>
      <c r="PIP118"/>
      <c r="PIQ118"/>
      <c r="PIR118"/>
      <c r="PIS118"/>
      <c r="PIT118"/>
      <c r="PIU118"/>
      <c r="PIV118"/>
      <c r="PIW118"/>
      <c r="PIX118"/>
      <c r="PIY118"/>
      <c r="PIZ118"/>
      <c r="PJA118"/>
      <c r="PJB118"/>
      <c r="PJC118"/>
      <c r="PJD118"/>
      <c r="PJE118"/>
      <c r="PJF118"/>
      <c r="PJG118"/>
      <c r="PJH118"/>
      <c r="PJI118"/>
      <c r="PJJ118"/>
      <c r="PJK118"/>
      <c r="PJL118"/>
      <c r="PJM118"/>
      <c r="PJN118"/>
      <c r="PJO118"/>
      <c r="PJP118"/>
      <c r="PJQ118"/>
      <c r="PJR118"/>
      <c r="PJS118"/>
      <c r="PJT118"/>
      <c r="PJU118"/>
      <c r="PJV118"/>
      <c r="PJW118"/>
      <c r="PJX118"/>
      <c r="PJY118"/>
      <c r="PJZ118"/>
      <c r="PKA118"/>
      <c r="PKB118"/>
      <c r="PKC118"/>
      <c r="PKD118"/>
      <c r="PKE118"/>
      <c r="PKF118"/>
      <c r="PKG118"/>
      <c r="PKH118"/>
      <c r="PKI118"/>
      <c r="PKJ118"/>
      <c r="PKK118"/>
      <c r="PKL118"/>
      <c r="PKM118"/>
      <c r="PKN118"/>
      <c r="PKO118"/>
      <c r="PKP118"/>
      <c r="PKQ118"/>
      <c r="PKR118"/>
      <c r="PKS118"/>
      <c r="PKT118"/>
      <c r="PKU118"/>
      <c r="PKV118"/>
      <c r="PKW118"/>
      <c r="PKX118"/>
      <c r="PKY118"/>
      <c r="PKZ118"/>
      <c r="PLA118"/>
      <c r="PLB118"/>
      <c r="PLC118"/>
      <c r="PLD118"/>
      <c r="PLE118"/>
      <c r="PLF118"/>
      <c r="PLG118"/>
      <c r="PLH118"/>
      <c r="PLI118"/>
      <c r="PLJ118"/>
      <c r="PLK118"/>
      <c r="PLL118"/>
      <c r="PLM118"/>
      <c r="PLN118"/>
      <c r="PLO118"/>
      <c r="PLP118"/>
      <c r="PLQ118"/>
      <c r="PLR118"/>
      <c r="PLS118"/>
      <c r="PLT118"/>
      <c r="PLU118"/>
      <c r="PLV118"/>
      <c r="PLW118"/>
      <c r="PLX118"/>
      <c r="PLY118"/>
      <c r="PLZ118"/>
      <c r="PMA118"/>
      <c r="PMB118"/>
      <c r="PMC118"/>
      <c r="PMD118"/>
      <c r="PME118"/>
      <c r="PMF118"/>
      <c r="PMG118"/>
      <c r="PMH118"/>
      <c r="PMI118"/>
      <c r="PMJ118"/>
      <c r="PMK118"/>
      <c r="PML118"/>
      <c r="PMM118"/>
      <c r="PMN118"/>
      <c r="PMO118"/>
      <c r="PMP118"/>
      <c r="PMQ118"/>
      <c r="PMR118"/>
      <c r="PMS118"/>
      <c r="PMT118"/>
      <c r="PMU118"/>
      <c r="PMV118"/>
      <c r="PMW118"/>
      <c r="PMX118"/>
      <c r="PMY118"/>
      <c r="PMZ118"/>
      <c r="PNA118"/>
      <c r="PNB118"/>
      <c r="PNC118"/>
      <c r="PND118"/>
      <c r="PNE118"/>
      <c r="PNF118"/>
      <c r="PNG118"/>
      <c r="PNH118"/>
      <c r="PNI118"/>
      <c r="PNJ118"/>
      <c r="PNK118"/>
      <c r="PNL118"/>
      <c r="PNM118"/>
      <c r="PNN118"/>
      <c r="PNO118"/>
      <c r="PNP118"/>
      <c r="PNQ118"/>
      <c r="PNR118"/>
      <c r="PNS118"/>
      <c r="PNT118"/>
      <c r="PNU118"/>
      <c r="PNV118"/>
      <c r="PNW118"/>
      <c r="PNX118"/>
      <c r="PNY118"/>
      <c r="PNZ118"/>
      <c r="POA118"/>
      <c r="POB118"/>
      <c r="POC118"/>
      <c r="POD118"/>
      <c r="POE118"/>
      <c r="POF118"/>
      <c r="POG118"/>
      <c r="POH118"/>
      <c r="POI118"/>
      <c r="POJ118"/>
      <c r="POK118"/>
      <c r="POL118"/>
      <c r="POM118"/>
      <c r="PON118"/>
      <c r="POO118"/>
      <c r="POP118"/>
      <c r="POQ118"/>
      <c r="POR118"/>
      <c r="POS118"/>
      <c r="POT118"/>
      <c r="POU118"/>
      <c r="POV118"/>
      <c r="POW118"/>
      <c r="POX118"/>
      <c r="POY118"/>
      <c r="POZ118"/>
      <c r="PPA118"/>
      <c r="PPB118"/>
      <c r="PPC118"/>
      <c r="PPD118"/>
      <c r="PPE118"/>
      <c r="PPF118"/>
      <c r="PPG118"/>
      <c r="PPH118"/>
      <c r="PPI118"/>
      <c r="PPJ118"/>
      <c r="PPK118"/>
      <c r="PPL118"/>
      <c r="PPM118"/>
      <c r="PPN118"/>
      <c r="PPO118"/>
      <c r="PPP118"/>
      <c r="PPQ118"/>
      <c r="PPR118"/>
      <c r="PPS118"/>
      <c r="PPT118"/>
      <c r="PPU118"/>
      <c r="PPV118"/>
      <c r="PPW118"/>
      <c r="PPX118"/>
      <c r="PPY118"/>
      <c r="PPZ118"/>
      <c r="PQA118"/>
      <c r="PQB118"/>
      <c r="PQC118"/>
      <c r="PQD118"/>
      <c r="PQE118"/>
      <c r="PQF118"/>
      <c r="PQG118"/>
      <c r="PQH118"/>
      <c r="PQI118"/>
      <c r="PQJ118"/>
      <c r="PQK118"/>
      <c r="PQL118"/>
      <c r="PQM118"/>
      <c r="PQN118"/>
      <c r="PQO118"/>
      <c r="PQP118"/>
      <c r="PQQ118"/>
      <c r="PQR118"/>
      <c r="PQS118"/>
      <c r="PQT118"/>
      <c r="PQU118"/>
      <c r="PQV118"/>
      <c r="PQW118"/>
      <c r="PQX118"/>
      <c r="PQY118"/>
      <c r="PQZ118"/>
      <c r="PRA118"/>
      <c r="PRB118"/>
      <c r="PRC118"/>
      <c r="PRD118"/>
      <c r="PRE118"/>
      <c r="PRF118"/>
      <c r="PRG118"/>
      <c r="PRH118"/>
      <c r="PRI118"/>
      <c r="PRJ118"/>
      <c r="PRK118"/>
      <c r="PRL118"/>
      <c r="PRM118"/>
      <c r="PRN118"/>
      <c r="PRO118"/>
      <c r="PRP118"/>
      <c r="PRQ118"/>
      <c r="PRR118"/>
      <c r="PRS118"/>
      <c r="PRT118"/>
      <c r="PRU118"/>
      <c r="PRV118"/>
      <c r="PRW118"/>
      <c r="PRX118"/>
      <c r="PRY118"/>
      <c r="PRZ118"/>
      <c r="PSA118"/>
      <c r="PSB118"/>
      <c r="PSC118"/>
      <c r="PSD118"/>
      <c r="PSE118"/>
      <c r="PSF118"/>
      <c r="PSG118"/>
      <c r="PSH118"/>
      <c r="PSI118"/>
      <c r="PSJ118"/>
      <c r="PSK118"/>
      <c r="PSL118"/>
      <c r="PSM118"/>
      <c r="PSN118"/>
      <c r="PSO118"/>
      <c r="PSP118"/>
      <c r="PSQ118"/>
      <c r="PSR118"/>
      <c r="PSS118"/>
      <c r="PST118"/>
      <c r="PSU118"/>
      <c r="PSV118"/>
      <c r="PSW118"/>
      <c r="PSX118"/>
      <c r="PSY118"/>
      <c r="PSZ118"/>
      <c r="PTA118"/>
      <c r="PTB118"/>
      <c r="PTC118"/>
      <c r="PTD118"/>
      <c r="PTE118"/>
      <c r="PTF118"/>
      <c r="PTG118"/>
      <c r="PTH118"/>
      <c r="PTI118"/>
      <c r="PTJ118"/>
      <c r="PTK118"/>
      <c r="PTL118"/>
      <c r="PTM118"/>
      <c r="PTN118"/>
      <c r="PTO118"/>
      <c r="PTP118"/>
      <c r="PTQ118"/>
      <c r="PTR118"/>
      <c r="PTS118"/>
      <c r="PTT118"/>
      <c r="PTU118"/>
      <c r="PTV118"/>
      <c r="PTW118"/>
      <c r="PTX118"/>
      <c r="PTY118"/>
      <c r="PTZ118"/>
      <c r="PUA118"/>
      <c r="PUB118"/>
      <c r="PUC118"/>
      <c r="PUD118"/>
      <c r="PUE118"/>
      <c r="PUF118"/>
      <c r="PUG118"/>
      <c r="PUH118"/>
      <c r="PUI118"/>
      <c r="PUJ118"/>
      <c r="PUK118"/>
      <c r="PUL118"/>
      <c r="PUM118"/>
      <c r="PUN118"/>
      <c r="PUO118"/>
      <c r="PUP118"/>
      <c r="PUQ118"/>
      <c r="PUR118"/>
      <c r="PUS118"/>
      <c r="PUT118"/>
      <c r="PUU118"/>
      <c r="PUV118"/>
      <c r="PUW118"/>
      <c r="PUX118"/>
      <c r="PUY118"/>
      <c r="PUZ118"/>
      <c r="PVA118"/>
      <c r="PVB118"/>
      <c r="PVC118"/>
      <c r="PVD118"/>
      <c r="PVE118"/>
      <c r="PVF118"/>
      <c r="PVG118"/>
      <c r="PVH118"/>
      <c r="PVI118"/>
      <c r="PVJ118"/>
      <c r="PVK118"/>
      <c r="PVL118"/>
      <c r="PVM118"/>
      <c r="PVN118"/>
      <c r="PVO118"/>
      <c r="PVP118"/>
      <c r="PVQ118"/>
      <c r="PVR118"/>
      <c r="PVS118"/>
      <c r="PVT118"/>
      <c r="PVU118"/>
      <c r="PVV118"/>
      <c r="PVW118"/>
      <c r="PVX118"/>
      <c r="PVY118"/>
      <c r="PVZ118"/>
      <c r="PWA118"/>
      <c r="PWB118"/>
      <c r="PWC118"/>
      <c r="PWD118"/>
      <c r="PWE118"/>
      <c r="PWF118"/>
      <c r="PWG118"/>
      <c r="PWH118"/>
      <c r="PWI118"/>
      <c r="PWJ118"/>
      <c r="PWK118"/>
      <c r="PWL118"/>
      <c r="PWM118"/>
      <c r="PWN118"/>
      <c r="PWO118"/>
      <c r="PWP118"/>
      <c r="PWQ118"/>
      <c r="PWR118"/>
      <c r="PWS118"/>
      <c r="PWT118"/>
      <c r="PWU118"/>
      <c r="PWV118"/>
      <c r="PWW118"/>
      <c r="PWX118"/>
      <c r="PWY118"/>
      <c r="PWZ118"/>
      <c r="PXA118"/>
      <c r="PXB118"/>
      <c r="PXC118"/>
      <c r="PXD118"/>
      <c r="PXE118"/>
      <c r="PXF118"/>
      <c r="PXG118"/>
      <c r="PXH118"/>
      <c r="PXI118"/>
      <c r="PXJ118"/>
      <c r="PXK118"/>
      <c r="PXL118"/>
      <c r="PXM118"/>
      <c r="PXN118"/>
      <c r="PXO118"/>
      <c r="PXP118"/>
      <c r="PXQ118"/>
      <c r="PXR118"/>
      <c r="PXS118"/>
      <c r="PXT118"/>
      <c r="PXU118"/>
      <c r="PXV118"/>
      <c r="PXW118"/>
      <c r="PXX118"/>
      <c r="PXY118"/>
      <c r="PXZ118"/>
      <c r="PYA118"/>
      <c r="PYB118"/>
      <c r="PYC118"/>
      <c r="PYD118"/>
      <c r="PYE118"/>
      <c r="PYF118"/>
      <c r="PYG118"/>
      <c r="PYH118"/>
      <c r="PYI118"/>
      <c r="PYJ118"/>
      <c r="PYK118"/>
      <c r="PYL118"/>
      <c r="PYM118"/>
      <c r="PYN118"/>
      <c r="PYO118"/>
      <c r="PYP118"/>
      <c r="PYQ118"/>
      <c r="PYR118"/>
      <c r="PYS118"/>
      <c r="PYT118"/>
      <c r="PYU118"/>
      <c r="PYV118"/>
      <c r="PYW118"/>
      <c r="PYX118"/>
      <c r="PYY118"/>
      <c r="PYZ118"/>
      <c r="PZA118"/>
      <c r="PZB118"/>
      <c r="PZC118"/>
      <c r="PZD118"/>
      <c r="PZE118"/>
      <c r="PZF118"/>
      <c r="PZG118"/>
      <c r="PZH118"/>
      <c r="PZI118"/>
      <c r="PZJ118"/>
      <c r="PZK118"/>
      <c r="PZL118"/>
      <c r="PZM118"/>
      <c r="PZN118"/>
      <c r="PZO118"/>
      <c r="PZP118"/>
      <c r="PZQ118"/>
      <c r="PZR118"/>
      <c r="PZS118"/>
      <c r="PZT118"/>
      <c r="PZU118"/>
      <c r="PZV118"/>
      <c r="PZW118"/>
      <c r="PZX118"/>
      <c r="PZY118"/>
      <c r="PZZ118"/>
      <c r="QAA118"/>
      <c r="QAB118"/>
      <c r="QAC118"/>
      <c r="QAD118"/>
      <c r="QAE118"/>
      <c r="QAF118"/>
      <c r="QAG118"/>
      <c r="QAH118"/>
      <c r="QAI118"/>
      <c r="QAJ118"/>
      <c r="QAK118"/>
      <c r="QAL118"/>
      <c r="QAM118"/>
      <c r="QAN118"/>
      <c r="QAO118"/>
      <c r="QAP118"/>
      <c r="QAQ118"/>
      <c r="QAR118"/>
      <c r="QAS118"/>
      <c r="QAT118"/>
      <c r="QAU118"/>
      <c r="QAV118"/>
      <c r="QAW118"/>
      <c r="QAX118"/>
      <c r="QAY118"/>
      <c r="QAZ118"/>
      <c r="QBA118"/>
      <c r="QBB118"/>
      <c r="QBC118"/>
      <c r="QBD118"/>
      <c r="QBE118"/>
      <c r="QBF118"/>
      <c r="QBG118"/>
      <c r="QBH118"/>
      <c r="QBI118"/>
      <c r="QBJ118"/>
      <c r="QBK118"/>
      <c r="QBL118"/>
      <c r="QBM118"/>
      <c r="QBN118"/>
      <c r="QBO118"/>
      <c r="QBP118"/>
      <c r="QBQ118"/>
      <c r="QBR118"/>
      <c r="QBS118"/>
      <c r="QBT118"/>
      <c r="QBU118"/>
      <c r="QBV118"/>
      <c r="QBW118"/>
      <c r="QBX118"/>
      <c r="QBY118"/>
      <c r="QBZ118"/>
      <c r="QCA118"/>
      <c r="QCB118"/>
      <c r="QCC118"/>
      <c r="QCD118"/>
      <c r="QCE118"/>
      <c r="QCF118"/>
      <c r="QCG118"/>
      <c r="QCH118"/>
      <c r="QCI118"/>
      <c r="QCJ118"/>
      <c r="QCK118"/>
      <c r="QCL118"/>
      <c r="QCM118"/>
      <c r="QCN118"/>
      <c r="QCO118"/>
      <c r="QCP118"/>
      <c r="QCQ118"/>
      <c r="QCR118"/>
      <c r="QCS118"/>
      <c r="QCT118"/>
      <c r="QCU118"/>
      <c r="QCV118"/>
      <c r="QCW118"/>
      <c r="QCX118"/>
      <c r="QCY118"/>
      <c r="QCZ118"/>
      <c r="QDA118"/>
      <c r="QDB118"/>
      <c r="QDC118"/>
      <c r="QDD118"/>
      <c r="QDE118"/>
      <c r="QDF118"/>
      <c r="QDG118"/>
      <c r="QDH118"/>
      <c r="QDI118"/>
      <c r="QDJ118"/>
      <c r="QDK118"/>
      <c r="QDL118"/>
      <c r="QDM118"/>
      <c r="QDN118"/>
      <c r="QDO118"/>
      <c r="QDP118"/>
      <c r="QDQ118"/>
      <c r="QDR118"/>
      <c r="QDS118"/>
      <c r="QDT118"/>
      <c r="QDU118"/>
      <c r="QDV118"/>
      <c r="QDW118"/>
      <c r="QDX118"/>
      <c r="QDY118"/>
      <c r="QDZ118"/>
      <c r="QEA118"/>
      <c r="QEB118"/>
      <c r="QEC118"/>
      <c r="QED118"/>
      <c r="QEE118"/>
      <c r="QEF118"/>
      <c r="QEG118"/>
      <c r="QEH118"/>
      <c r="QEI118"/>
      <c r="QEJ118"/>
      <c r="QEK118"/>
      <c r="QEL118"/>
      <c r="QEM118"/>
      <c r="QEN118"/>
      <c r="QEO118"/>
      <c r="QEP118"/>
      <c r="QEQ118"/>
      <c r="QER118"/>
      <c r="QES118"/>
      <c r="QET118"/>
      <c r="QEU118"/>
      <c r="QEV118"/>
      <c r="QEW118"/>
      <c r="QEX118"/>
      <c r="QEY118"/>
      <c r="QEZ118"/>
      <c r="QFA118"/>
      <c r="QFB118"/>
      <c r="QFC118"/>
      <c r="QFD118"/>
      <c r="QFE118"/>
      <c r="QFF118"/>
      <c r="QFG118"/>
      <c r="QFH118"/>
      <c r="QFI118"/>
      <c r="QFJ118"/>
      <c r="QFK118"/>
      <c r="QFL118"/>
      <c r="QFM118"/>
      <c r="QFN118"/>
      <c r="QFO118"/>
      <c r="QFP118"/>
      <c r="QFQ118"/>
      <c r="QFR118"/>
      <c r="QFS118"/>
      <c r="QFT118"/>
      <c r="QFU118"/>
      <c r="QFV118"/>
      <c r="QFW118"/>
      <c r="QFX118"/>
      <c r="QFY118"/>
      <c r="QFZ118"/>
      <c r="QGA118"/>
      <c r="QGB118"/>
      <c r="QGC118"/>
      <c r="QGD118"/>
      <c r="QGE118"/>
      <c r="QGF118"/>
      <c r="QGG118"/>
      <c r="QGH118"/>
      <c r="QGI118"/>
      <c r="QGJ118"/>
      <c r="QGK118"/>
      <c r="QGL118"/>
      <c r="QGM118"/>
      <c r="QGN118"/>
      <c r="QGO118"/>
      <c r="QGP118"/>
      <c r="QGQ118"/>
      <c r="QGR118"/>
      <c r="QGS118"/>
      <c r="QGT118"/>
      <c r="QGU118"/>
      <c r="QGV118"/>
      <c r="QGW118"/>
      <c r="QGX118"/>
      <c r="QGY118"/>
      <c r="QGZ118"/>
      <c r="QHA118"/>
      <c r="QHB118"/>
      <c r="QHC118"/>
      <c r="QHD118"/>
      <c r="QHE118"/>
      <c r="QHF118"/>
      <c r="QHG118"/>
      <c r="QHH118"/>
      <c r="QHI118"/>
      <c r="QHJ118"/>
      <c r="QHK118"/>
      <c r="QHL118"/>
      <c r="QHM118"/>
      <c r="QHN118"/>
      <c r="QHO118"/>
      <c r="QHP118"/>
      <c r="QHQ118"/>
      <c r="QHR118"/>
      <c r="QHS118"/>
      <c r="QHT118"/>
      <c r="QHU118"/>
      <c r="QHV118"/>
      <c r="QHW118"/>
      <c r="QHX118"/>
      <c r="QHY118"/>
      <c r="QHZ118"/>
      <c r="QIA118"/>
      <c r="QIB118"/>
      <c r="QIC118"/>
      <c r="QID118"/>
      <c r="QIE118"/>
      <c r="QIF118"/>
      <c r="QIG118"/>
      <c r="QIH118"/>
      <c r="QII118"/>
      <c r="QIJ118"/>
      <c r="QIK118"/>
      <c r="QIL118"/>
      <c r="QIM118"/>
      <c r="QIN118"/>
      <c r="QIO118"/>
      <c r="QIP118"/>
      <c r="QIQ118"/>
      <c r="QIR118"/>
      <c r="QIS118"/>
      <c r="QIT118"/>
      <c r="QIU118"/>
      <c r="QIV118"/>
      <c r="QIW118"/>
      <c r="QIX118"/>
      <c r="QIY118"/>
      <c r="QIZ118"/>
      <c r="QJA118"/>
      <c r="QJB118"/>
      <c r="QJC118"/>
      <c r="QJD118"/>
      <c r="QJE118"/>
      <c r="QJF118"/>
      <c r="QJG118"/>
      <c r="QJH118"/>
      <c r="QJI118"/>
      <c r="QJJ118"/>
      <c r="QJK118"/>
      <c r="QJL118"/>
      <c r="QJM118"/>
      <c r="QJN118"/>
      <c r="QJO118"/>
      <c r="QJP118"/>
      <c r="QJQ118"/>
      <c r="QJR118"/>
      <c r="QJS118"/>
      <c r="QJT118"/>
      <c r="QJU118"/>
      <c r="QJV118"/>
      <c r="QJW118"/>
      <c r="QJX118"/>
      <c r="QJY118"/>
      <c r="QJZ118"/>
      <c r="QKA118"/>
      <c r="QKB118"/>
      <c r="QKC118"/>
      <c r="QKD118"/>
      <c r="QKE118"/>
      <c r="QKF118"/>
      <c r="QKG118"/>
      <c r="QKH118"/>
      <c r="QKI118"/>
      <c r="QKJ118"/>
      <c r="QKK118"/>
      <c r="QKL118"/>
      <c r="QKM118"/>
      <c r="QKN118"/>
      <c r="QKO118"/>
      <c r="QKP118"/>
      <c r="QKQ118"/>
      <c r="QKR118"/>
      <c r="QKS118"/>
      <c r="QKT118"/>
      <c r="QKU118"/>
      <c r="QKV118"/>
      <c r="QKW118"/>
      <c r="QKX118"/>
      <c r="QKY118"/>
      <c r="QKZ118"/>
      <c r="QLA118"/>
      <c r="QLB118"/>
      <c r="QLC118"/>
      <c r="QLD118"/>
      <c r="QLE118"/>
      <c r="QLF118"/>
      <c r="QLG118"/>
      <c r="QLH118"/>
      <c r="QLI118"/>
      <c r="QLJ118"/>
      <c r="QLK118"/>
      <c r="QLL118"/>
      <c r="QLM118"/>
      <c r="QLN118"/>
      <c r="QLO118"/>
      <c r="QLP118"/>
      <c r="QLQ118"/>
      <c r="QLR118"/>
      <c r="QLS118"/>
      <c r="QLT118"/>
      <c r="QLU118"/>
      <c r="QLV118"/>
      <c r="QLW118"/>
      <c r="QLX118"/>
      <c r="QLY118"/>
      <c r="QLZ118"/>
      <c r="QMA118"/>
      <c r="QMB118"/>
      <c r="QMC118"/>
      <c r="QMD118"/>
      <c r="QME118"/>
      <c r="QMF118"/>
      <c r="QMG118"/>
      <c r="QMH118"/>
      <c r="QMI118"/>
      <c r="QMJ118"/>
      <c r="QMK118"/>
      <c r="QML118"/>
      <c r="QMM118"/>
      <c r="QMN118"/>
      <c r="QMO118"/>
      <c r="QMP118"/>
      <c r="QMQ118"/>
      <c r="QMR118"/>
      <c r="QMS118"/>
      <c r="QMT118"/>
      <c r="QMU118"/>
      <c r="QMV118"/>
      <c r="QMW118"/>
      <c r="QMX118"/>
      <c r="QMY118"/>
      <c r="QMZ118"/>
      <c r="QNA118"/>
      <c r="QNB118"/>
      <c r="QNC118"/>
      <c r="QND118"/>
      <c r="QNE118"/>
      <c r="QNF118"/>
      <c r="QNG118"/>
      <c r="QNH118"/>
      <c r="QNI118"/>
      <c r="QNJ118"/>
      <c r="QNK118"/>
      <c r="QNL118"/>
      <c r="QNM118"/>
      <c r="QNN118"/>
      <c r="QNO118"/>
      <c r="QNP118"/>
      <c r="QNQ118"/>
      <c r="QNR118"/>
      <c r="QNS118"/>
      <c r="QNT118"/>
      <c r="QNU118"/>
      <c r="QNV118"/>
      <c r="QNW118"/>
      <c r="QNX118"/>
      <c r="QNY118"/>
      <c r="QNZ118"/>
      <c r="QOA118"/>
      <c r="QOB118"/>
      <c r="QOC118"/>
      <c r="QOD118"/>
      <c r="QOE118"/>
      <c r="QOF118"/>
      <c r="QOG118"/>
      <c r="QOH118"/>
      <c r="QOI118"/>
      <c r="QOJ118"/>
      <c r="QOK118"/>
      <c r="QOL118"/>
      <c r="QOM118"/>
      <c r="QON118"/>
      <c r="QOO118"/>
      <c r="QOP118"/>
      <c r="QOQ118"/>
      <c r="QOR118"/>
      <c r="QOS118"/>
      <c r="QOT118"/>
      <c r="QOU118"/>
      <c r="QOV118"/>
      <c r="QOW118"/>
      <c r="QOX118"/>
      <c r="QOY118"/>
      <c r="QOZ118"/>
      <c r="QPA118"/>
      <c r="QPB118"/>
      <c r="QPC118"/>
      <c r="QPD118"/>
      <c r="QPE118"/>
      <c r="QPF118"/>
      <c r="QPG118"/>
      <c r="QPH118"/>
      <c r="QPI118"/>
      <c r="QPJ118"/>
      <c r="QPK118"/>
      <c r="QPL118"/>
      <c r="QPM118"/>
      <c r="QPN118"/>
      <c r="QPO118"/>
      <c r="QPP118"/>
      <c r="QPQ118"/>
      <c r="QPR118"/>
      <c r="QPS118"/>
      <c r="QPT118"/>
      <c r="QPU118"/>
      <c r="QPV118"/>
      <c r="QPW118"/>
      <c r="QPX118"/>
      <c r="QPY118"/>
      <c r="QPZ118"/>
      <c r="QQA118"/>
      <c r="QQB118"/>
      <c r="QQC118"/>
      <c r="QQD118"/>
      <c r="QQE118"/>
      <c r="QQF118"/>
      <c r="QQG118"/>
      <c r="QQH118"/>
      <c r="QQI118"/>
      <c r="QQJ118"/>
      <c r="QQK118"/>
      <c r="QQL118"/>
      <c r="QQM118"/>
      <c r="QQN118"/>
      <c r="QQO118"/>
      <c r="QQP118"/>
      <c r="QQQ118"/>
      <c r="QQR118"/>
      <c r="QQS118"/>
      <c r="QQT118"/>
      <c r="QQU118"/>
      <c r="QQV118"/>
      <c r="QQW118"/>
      <c r="QQX118"/>
      <c r="QQY118"/>
      <c r="QQZ118"/>
      <c r="QRA118"/>
      <c r="QRB118"/>
      <c r="QRC118"/>
      <c r="QRD118"/>
      <c r="QRE118"/>
      <c r="QRF118"/>
      <c r="QRG118"/>
      <c r="QRH118"/>
      <c r="QRI118"/>
      <c r="QRJ118"/>
      <c r="QRK118"/>
      <c r="QRL118"/>
      <c r="QRM118"/>
      <c r="QRN118"/>
      <c r="QRO118"/>
      <c r="QRP118"/>
      <c r="QRQ118"/>
      <c r="QRR118"/>
      <c r="QRS118"/>
      <c r="QRT118"/>
      <c r="QRU118"/>
      <c r="QRV118"/>
      <c r="QRW118"/>
      <c r="QRX118"/>
      <c r="QRY118"/>
      <c r="QRZ118"/>
      <c r="QSA118"/>
      <c r="QSB118"/>
      <c r="QSC118"/>
      <c r="QSD118"/>
      <c r="QSE118"/>
      <c r="QSF118"/>
      <c r="QSG118"/>
      <c r="QSH118"/>
      <c r="QSI118"/>
      <c r="QSJ118"/>
      <c r="QSK118"/>
      <c r="QSL118"/>
      <c r="QSM118"/>
      <c r="QSN118"/>
      <c r="QSO118"/>
      <c r="QSP118"/>
      <c r="QSQ118"/>
      <c r="QSR118"/>
      <c r="QSS118"/>
      <c r="QST118"/>
      <c r="QSU118"/>
      <c r="QSV118"/>
      <c r="QSW118"/>
      <c r="QSX118"/>
      <c r="QSY118"/>
      <c r="QSZ118"/>
      <c r="QTA118"/>
      <c r="QTB118"/>
      <c r="QTC118"/>
      <c r="QTD118"/>
      <c r="QTE118"/>
      <c r="QTF118"/>
      <c r="QTG118"/>
      <c r="QTH118"/>
      <c r="QTI118"/>
      <c r="QTJ118"/>
      <c r="QTK118"/>
      <c r="QTL118"/>
      <c r="QTM118"/>
      <c r="QTN118"/>
      <c r="QTO118"/>
      <c r="QTP118"/>
      <c r="QTQ118"/>
      <c r="QTR118"/>
      <c r="QTS118"/>
      <c r="QTT118"/>
      <c r="QTU118"/>
      <c r="QTV118"/>
      <c r="QTW118"/>
      <c r="QTX118"/>
      <c r="QTY118"/>
      <c r="QTZ118"/>
      <c r="QUA118"/>
      <c r="QUB118"/>
      <c r="QUC118"/>
      <c r="QUD118"/>
      <c r="QUE118"/>
      <c r="QUF118"/>
      <c r="QUG118"/>
      <c r="QUH118"/>
      <c r="QUI118"/>
      <c r="QUJ118"/>
      <c r="QUK118"/>
      <c r="QUL118"/>
      <c r="QUM118"/>
      <c r="QUN118"/>
      <c r="QUO118"/>
      <c r="QUP118"/>
      <c r="QUQ118"/>
      <c r="QUR118"/>
      <c r="QUS118"/>
      <c r="QUT118"/>
      <c r="QUU118"/>
      <c r="QUV118"/>
      <c r="QUW118"/>
      <c r="QUX118"/>
      <c r="QUY118"/>
      <c r="QUZ118"/>
      <c r="QVA118"/>
      <c r="QVB118"/>
      <c r="QVC118"/>
      <c r="QVD118"/>
      <c r="QVE118"/>
      <c r="QVF118"/>
      <c r="QVG118"/>
      <c r="QVH118"/>
      <c r="QVI118"/>
      <c r="QVJ118"/>
      <c r="QVK118"/>
      <c r="QVL118"/>
      <c r="QVM118"/>
      <c r="QVN118"/>
      <c r="QVO118"/>
      <c r="QVP118"/>
      <c r="QVQ118"/>
      <c r="QVR118"/>
      <c r="QVS118"/>
      <c r="QVT118"/>
      <c r="QVU118"/>
      <c r="QVV118"/>
      <c r="QVW118"/>
      <c r="QVX118"/>
      <c r="QVY118"/>
      <c r="QVZ118"/>
      <c r="QWA118"/>
      <c r="QWB118"/>
      <c r="QWC118"/>
      <c r="QWD118"/>
      <c r="QWE118"/>
      <c r="QWF118"/>
      <c r="QWG118"/>
      <c r="QWH118"/>
      <c r="QWI118"/>
      <c r="QWJ118"/>
      <c r="QWK118"/>
      <c r="QWL118"/>
      <c r="QWM118"/>
      <c r="QWN118"/>
      <c r="QWO118"/>
      <c r="QWP118"/>
      <c r="QWQ118"/>
      <c r="QWR118"/>
      <c r="QWS118"/>
      <c r="QWT118"/>
      <c r="QWU118"/>
      <c r="QWV118"/>
      <c r="QWW118"/>
      <c r="QWX118"/>
      <c r="QWY118"/>
      <c r="QWZ118"/>
      <c r="QXA118"/>
      <c r="QXB118"/>
      <c r="QXC118"/>
      <c r="QXD118"/>
      <c r="QXE118"/>
      <c r="QXF118"/>
      <c r="QXG118"/>
      <c r="QXH118"/>
      <c r="QXI118"/>
      <c r="QXJ118"/>
      <c r="QXK118"/>
      <c r="QXL118"/>
      <c r="QXM118"/>
      <c r="QXN118"/>
      <c r="QXO118"/>
      <c r="QXP118"/>
      <c r="QXQ118"/>
      <c r="QXR118"/>
      <c r="QXS118"/>
      <c r="QXT118"/>
      <c r="QXU118"/>
      <c r="QXV118"/>
      <c r="QXW118"/>
      <c r="QXX118"/>
      <c r="QXY118"/>
      <c r="QXZ118"/>
      <c r="QYA118"/>
      <c r="QYB118"/>
      <c r="QYC118"/>
      <c r="QYD118"/>
      <c r="QYE118"/>
      <c r="QYF118"/>
      <c r="QYG118"/>
      <c r="QYH118"/>
      <c r="QYI118"/>
      <c r="QYJ118"/>
      <c r="QYK118"/>
      <c r="QYL118"/>
      <c r="QYM118"/>
      <c r="QYN118"/>
      <c r="QYO118"/>
      <c r="QYP118"/>
      <c r="QYQ118"/>
      <c r="QYR118"/>
      <c r="QYS118"/>
      <c r="QYT118"/>
      <c r="QYU118"/>
      <c r="QYV118"/>
      <c r="QYW118"/>
      <c r="QYX118"/>
      <c r="QYY118"/>
      <c r="QYZ118"/>
      <c r="QZA118"/>
      <c r="QZB118"/>
      <c r="QZC118"/>
      <c r="QZD118"/>
      <c r="QZE118"/>
      <c r="QZF118"/>
      <c r="QZG118"/>
      <c r="QZH118"/>
      <c r="QZI118"/>
      <c r="QZJ118"/>
      <c r="QZK118"/>
      <c r="QZL118"/>
      <c r="QZM118"/>
      <c r="QZN118"/>
      <c r="QZO118"/>
      <c r="QZP118"/>
      <c r="QZQ118"/>
      <c r="QZR118"/>
      <c r="QZS118"/>
      <c r="QZT118"/>
      <c r="QZU118"/>
      <c r="QZV118"/>
      <c r="QZW118"/>
      <c r="QZX118"/>
      <c r="QZY118"/>
      <c r="QZZ118"/>
      <c r="RAA118"/>
      <c r="RAB118"/>
      <c r="RAC118"/>
      <c r="RAD118"/>
      <c r="RAE118"/>
      <c r="RAF118"/>
      <c r="RAG118"/>
      <c r="RAH118"/>
      <c r="RAI118"/>
      <c r="RAJ118"/>
      <c r="RAK118"/>
      <c r="RAL118"/>
      <c r="RAM118"/>
      <c r="RAN118"/>
      <c r="RAO118"/>
      <c r="RAP118"/>
      <c r="RAQ118"/>
      <c r="RAR118"/>
      <c r="RAS118"/>
      <c r="RAT118"/>
      <c r="RAU118"/>
      <c r="RAV118"/>
      <c r="RAW118"/>
      <c r="RAX118"/>
      <c r="RAY118"/>
      <c r="RAZ118"/>
      <c r="RBA118"/>
      <c r="RBB118"/>
      <c r="RBC118"/>
      <c r="RBD118"/>
      <c r="RBE118"/>
      <c r="RBF118"/>
      <c r="RBG118"/>
      <c r="RBH118"/>
      <c r="RBI118"/>
      <c r="RBJ118"/>
      <c r="RBK118"/>
      <c r="RBL118"/>
      <c r="RBM118"/>
      <c r="RBN118"/>
      <c r="RBO118"/>
      <c r="RBP118"/>
      <c r="RBQ118"/>
      <c r="RBR118"/>
      <c r="RBS118"/>
      <c r="RBT118"/>
      <c r="RBU118"/>
      <c r="RBV118"/>
      <c r="RBW118"/>
      <c r="RBX118"/>
      <c r="RBY118"/>
      <c r="RBZ118"/>
      <c r="RCA118"/>
      <c r="RCB118"/>
      <c r="RCC118"/>
      <c r="RCD118"/>
      <c r="RCE118"/>
      <c r="RCF118"/>
      <c r="RCG118"/>
      <c r="RCH118"/>
      <c r="RCI118"/>
      <c r="RCJ118"/>
      <c r="RCK118"/>
      <c r="RCL118"/>
      <c r="RCM118"/>
      <c r="RCN118"/>
      <c r="RCO118"/>
      <c r="RCP118"/>
      <c r="RCQ118"/>
      <c r="RCR118"/>
      <c r="RCS118"/>
      <c r="RCT118"/>
      <c r="RCU118"/>
      <c r="RCV118"/>
      <c r="RCW118"/>
      <c r="RCX118"/>
      <c r="RCY118"/>
      <c r="RCZ118"/>
      <c r="RDA118"/>
      <c r="RDB118"/>
      <c r="RDC118"/>
      <c r="RDD118"/>
      <c r="RDE118"/>
      <c r="RDF118"/>
      <c r="RDG118"/>
      <c r="RDH118"/>
      <c r="RDI118"/>
      <c r="RDJ118"/>
      <c r="RDK118"/>
      <c r="RDL118"/>
      <c r="RDM118"/>
      <c r="RDN118"/>
      <c r="RDO118"/>
      <c r="RDP118"/>
      <c r="RDQ118"/>
      <c r="RDR118"/>
      <c r="RDS118"/>
      <c r="RDT118"/>
      <c r="RDU118"/>
      <c r="RDV118"/>
      <c r="RDW118"/>
      <c r="RDX118"/>
      <c r="RDY118"/>
      <c r="RDZ118"/>
      <c r="REA118"/>
      <c r="REB118"/>
      <c r="REC118"/>
      <c r="RED118"/>
      <c r="REE118"/>
      <c r="REF118"/>
      <c r="REG118"/>
      <c r="REH118"/>
      <c r="REI118"/>
      <c r="REJ118"/>
      <c r="REK118"/>
      <c r="REL118"/>
      <c r="REM118"/>
      <c r="REN118"/>
      <c r="REO118"/>
      <c r="REP118"/>
      <c r="REQ118"/>
      <c r="RER118"/>
      <c r="RES118"/>
      <c r="RET118"/>
      <c r="REU118"/>
      <c r="REV118"/>
      <c r="REW118"/>
      <c r="REX118"/>
      <c r="REY118"/>
      <c r="REZ118"/>
      <c r="RFA118"/>
      <c r="RFB118"/>
      <c r="RFC118"/>
      <c r="RFD118"/>
      <c r="RFE118"/>
      <c r="RFF118"/>
      <c r="RFG118"/>
      <c r="RFH118"/>
      <c r="RFI118"/>
      <c r="RFJ118"/>
      <c r="RFK118"/>
      <c r="RFL118"/>
      <c r="RFM118"/>
      <c r="RFN118"/>
      <c r="RFO118"/>
      <c r="RFP118"/>
      <c r="RFQ118"/>
      <c r="RFR118"/>
      <c r="RFS118"/>
      <c r="RFT118"/>
      <c r="RFU118"/>
      <c r="RFV118"/>
      <c r="RFW118"/>
      <c r="RFX118"/>
      <c r="RFY118"/>
      <c r="RFZ118"/>
      <c r="RGA118"/>
      <c r="RGB118"/>
      <c r="RGC118"/>
      <c r="RGD118"/>
      <c r="RGE118"/>
      <c r="RGF118"/>
      <c r="RGG118"/>
      <c r="RGH118"/>
      <c r="RGI118"/>
      <c r="RGJ118"/>
      <c r="RGK118"/>
      <c r="RGL118"/>
      <c r="RGM118"/>
      <c r="RGN118"/>
      <c r="RGO118"/>
      <c r="RGP118"/>
      <c r="RGQ118"/>
      <c r="RGR118"/>
      <c r="RGS118"/>
      <c r="RGT118"/>
      <c r="RGU118"/>
      <c r="RGV118"/>
      <c r="RGW118"/>
      <c r="RGX118"/>
      <c r="RGY118"/>
      <c r="RGZ118"/>
      <c r="RHA118"/>
      <c r="RHB118"/>
      <c r="RHC118"/>
      <c r="RHD118"/>
      <c r="RHE118"/>
      <c r="RHF118"/>
      <c r="RHG118"/>
      <c r="RHH118"/>
      <c r="RHI118"/>
      <c r="RHJ118"/>
      <c r="RHK118"/>
      <c r="RHL118"/>
      <c r="RHM118"/>
      <c r="RHN118"/>
      <c r="RHO118"/>
      <c r="RHP118"/>
      <c r="RHQ118"/>
      <c r="RHR118"/>
      <c r="RHS118"/>
      <c r="RHT118"/>
      <c r="RHU118"/>
      <c r="RHV118"/>
      <c r="RHW118"/>
      <c r="RHX118"/>
      <c r="RHY118"/>
      <c r="RHZ118"/>
      <c r="RIA118"/>
      <c r="RIB118"/>
      <c r="RIC118"/>
      <c r="RID118"/>
      <c r="RIE118"/>
      <c r="RIF118"/>
      <c r="RIG118"/>
      <c r="RIH118"/>
      <c r="RII118"/>
      <c r="RIJ118"/>
      <c r="RIK118"/>
      <c r="RIL118"/>
      <c r="RIM118"/>
      <c r="RIN118"/>
      <c r="RIO118"/>
      <c r="RIP118"/>
      <c r="RIQ118"/>
      <c r="RIR118"/>
      <c r="RIS118"/>
      <c r="RIT118"/>
      <c r="RIU118"/>
      <c r="RIV118"/>
      <c r="RIW118"/>
      <c r="RIX118"/>
      <c r="RIY118"/>
      <c r="RIZ118"/>
      <c r="RJA118"/>
      <c r="RJB118"/>
      <c r="RJC118"/>
      <c r="RJD118"/>
      <c r="RJE118"/>
      <c r="RJF118"/>
      <c r="RJG118"/>
      <c r="RJH118"/>
      <c r="RJI118"/>
      <c r="RJJ118"/>
      <c r="RJK118"/>
      <c r="RJL118"/>
      <c r="RJM118"/>
      <c r="RJN118"/>
      <c r="RJO118"/>
      <c r="RJP118"/>
      <c r="RJQ118"/>
      <c r="RJR118"/>
      <c r="RJS118"/>
      <c r="RJT118"/>
      <c r="RJU118"/>
      <c r="RJV118"/>
      <c r="RJW118"/>
      <c r="RJX118"/>
      <c r="RJY118"/>
      <c r="RJZ118"/>
      <c r="RKA118"/>
      <c r="RKB118"/>
      <c r="RKC118"/>
      <c r="RKD118"/>
      <c r="RKE118"/>
      <c r="RKF118"/>
      <c r="RKG118"/>
      <c r="RKH118"/>
      <c r="RKI118"/>
      <c r="RKJ118"/>
      <c r="RKK118"/>
      <c r="RKL118"/>
      <c r="RKM118"/>
      <c r="RKN118"/>
      <c r="RKO118"/>
      <c r="RKP118"/>
      <c r="RKQ118"/>
      <c r="RKR118"/>
      <c r="RKS118"/>
      <c r="RKT118"/>
      <c r="RKU118"/>
      <c r="RKV118"/>
      <c r="RKW118"/>
      <c r="RKX118"/>
      <c r="RKY118"/>
      <c r="RKZ118"/>
      <c r="RLA118"/>
      <c r="RLB118"/>
      <c r="RLC118"/>
      <c r="RLD118"/>
      <c r="RLE118"/>
      <c r="RLF118"/>
      <c r="RLG118"/>
      <c r="RLH118"/>
      <c r="RLI118"/>
      <c r="RLJ118"/>
      <c r="RLK118"/>
      <c r="RLL118"/>
      <c r="RLM118"/>
      <c r="RLN118"/>
      <c r="RLO118"/>
      <c r="RLP118"/>
      <c r="RLQ118"/>
      <c r="RLR118"/>
      <c r="RLS118"/>
      <c r="RLT118"/>
      <c r="RLU118"/>
      <c r="RLV118"/>
      <c r="RLW118"/>
      <c r="RLX118"/>
      <c r="RLY118"/>
      <c r="RLZ118"/>
      <c r="RMA118"/>
      <c r="RMB118"/>
      <c r="RMC118"/>
      <c r="RMD118"/>
      <c r="RME118"/>
      <c r="RMF118"/>
      <c r="RMG118"/>
      <c r="RMH118"/>
      <c r="RMI118"/>
      <c r="RMJ118"/>
      <c r="RMK118"/>
      <c r="RML118"/>
      <c r="RMM118"/>
      <c r="RMN118"/>
      <c r="RMO118"/>
      <c r="RMP118"/>
      <c r="RMQ118"/>
      <c r="RMR118"/>
      <c r="RMS118"/>
      <c r="RMT118"/>
      <c r="RMU118"/>
      <c r="RMV118"/>
      <c r="RMW118"/>
      <c r="RMX118"/>
      <c r="RMY118"/>
      <c r="RMZ118"/>
      <c r="RNA118"/>
      <c r="RNB118"/>
      <c r="RNC118"/>
      <c r="RND118"/>
      <c r="RNE118"/>
      <c r="RNF118"/>
      <c r="RNG118"/>
      <c r="RNH118"/>
      <c r="RNI118"/>
      <c r="RNJ118"/>
      <c r="RNK118"/>
      <c r="RNL118"/>
      <c r="RNM118"/>
      <c r="RNN118"/>
      <c r="RNO118"/>
      <c r="RNP118"/>
      <c r="RNQ118"/>
      <c r="RNR118"/>
      <c r="RNS118"/>
      <c r="RNT118"/>
      <c r="RNU118"/>
      <c r="RNV118"/>
      <c r="RNW118"/>
      <c r="RNX118"/>
      <c r="RNY118"/>
      <c r="RNZ118"/>
      <c r="ROA118"/>
      <c r="ROB118"/>
      <c r="ROC118"/>
      <c r="ROD118"/>
      <c r="ROE118"/>
      <c r="ROF118"/>
      <c r="ROG118"/>
      <c r="ROH118"/>
      <c r="ROI118"/>
      <c r="ROJ118"/>
      <c r="ROK118"/>
      <c r="ROL118"/>
      <c r="ROM118"/>
      <c r="RON118"/>
      <c r="ROO118"/>
      <c r="ROP118"/>
      <c r="ROQ118"/>
      <c r="ROR118"/>
      <c r="ROS118"/>
      <c r="ROT118"/>
      <c r="ROU118"/>
      <c r="ROV118"/>
      <c r="ROW118"/>
      <c r="ROX118"/>
      <c r="ROY118"/>
      <c r="ROZ118"/>
      <c r="RPA118"/>
      <c r="RPB118"/>
      <c r="RPC118"/>
      <c r="RPD118"/>
      <c r="RPE118"/>
      <c r="RPF118"/>
      <c r="RPG118"/>
      <c r="RPH118"/>
      <c r="RPI118"/>
      <c r="RPJ118"/>
      <c r="RPK118"/>
      <c r="RPL118"/>
      <c r="RPM118"/>
      <c r="RPN118"/>
      <c r="RPO118"/>
      <c r="RPP118"/>
      <c r="RPQ118"/>
      <c r="RPR118"/>
      <c r="RPS118"/>
      <c r="RPT118"/>
      <c r="RPU118"/>
      <c r="RPV118"/>
      <c r="RPW118"/>
      <c r="RPX118"/>
      <c r="RPY118"/>
      <c r="RPZ118"/>
      <c r="RQA118"/>
      <c r="RQB118"/>
      <c r="RQC118"/>
      <c r="RQD118"/>
      <c r="RQE118"/>
      <c r="RQF118"/>
      <c r="RQG118"/>
      <c r="RQH118"/>
      <c r="RQI118"/>
      <c r="RQJ118"/>
      <c r="RQK118"/>
      <c r="RQL118"/>
      <c r="RQM118"/>
      <c r="RQN118"/>
      <c r="RQO118"/>
      <c r="RQP118"/>
      <c r="RQQ118"/>
      <c r="RQR118"/>
      <c r="RQS118"/>
      <c r="RQT118"/>
      <c r="RQU118"/>
      <c r="RQV118"/>
      <c r="RQW118"/>
      <c r="RQX118"/>
      <c r="RQY118"/>
      <c r="RQZ118"/>
      <c r="RRA118"/>
      <c r="RRB118"/>
      <c r="RRC118"/>
      <c r="RRD118"/>
      <c r="RRE118"/>
      <c r="RRF118"/>
      <c r="RRG118"/>
      <c r="RRH118"/>
      <c r="RRI118"/>
      <c r="RRJ118"/>
      <c r="RRK118"/>
      <c r="RRL118"/>
      <c r="RRM118"/>
      <c r="RRN118"/>
      <c r="RRO118"/>
      <c r="RRP118"/>
      <c r="RRQ118"/>
      <c r="RRR118"/>
      <c r="RRS118"/>
      <c r="RRT118"/>
      <c r="RRU118"/>
      <c r="RRV118"/>
      <c r="RRW118"/>
      <c r="RRX118"/>
      <c r="RRY118"/>
      <c r="RRZ118"/>
      <c r="RSA118"/>
      <c r="RSB118"/>
      <c r="RSC118"/>
      <c r="RSD118"/>
      <c r="RSE118"/>
      <c r="RSF118"/>
      <c r="RSG118"/>
      <c r="RSH118"/>
      <c r="RSI118"/>
      <c r="RSJ118"/>
      <c r="RSK118"/>
      <c r="RSL118"/>
      <c r="RSM118"/>
      <c r="RSN118"/>
      <c r="RSO118"/>
      <c r="RSP118"/>
      <c r="RSQ118"/>
      <c r="RSR118"/>
      <c r="RSS118"/>
      <c r="RST118"/>
      <c r="RSU118"/>
      <c r="RSV118"/>
      <c r="RSW118"/>
      <c r="RSX118"/>
      <c r="RSY118"/>
      <c r="RSZ118"/>
      <c r="RTA118"/>
      <c r="RTB118"/>
      <c r="RTC118"/>
      <c r="RTD118"/>
      <c r="RTE118"/>
      <c r="RTF118"/>
      <c r="RTG118"/>
      <c r="RTH118"/>
      <c r="RTI118"/>
      <c r="RTJ118"/>
      <c r="RTK118"/>
      <c r="RTL118"/>
      <c r="RTM118"/>
      <c r="RTN118"/>
      <c r="RTO118"/>
      <c r="RTP118"/>
      <c r="RTQ118"/>
      <c r="RTR118"/>
      <c r="RTS118"/>
      <c r="RTT118"/>
      <c r="RTU118"/>
      <c r="RTV118"/>
      <c r="RTW118"/>
      <c r="RTX118"/>
      <c r="RTY118"/>
      <c r="RTZ118"/>
      <c r="RUA118"/>
      <c r="RUB118"/>
      <c r="RUC118"/>
      <c r="RUD118"/>
      <c r="RUE118"/>
      <c r="RUF118"/>
      <c r="RUG118"/>
      <c r="RUH118"/>
      <c r="RUI118"/>
      <c r="RUJ118"/>
      <c r="RUK118"/>
      <c r="RUL118"/>
      <c r="RUM118"/>
      <c r="RUN118"/>
      <c r="RUO118"/>
      <c r="RUP118"/>
      <c r="RUQ118"/>
      <c r="RUR118"/>
      <c r="RUS118"/>
      <c r="RUT118"/>
      <c r="RUU118"/>
      <c r="RUV118"/>
      <c r="RUW118"/>
      <c r="RUX118"/>
      <c r="RUY118"/>
      <c r="RUZ118"/>
      <c r="RVA118"/>
      <c r="RVB118"/>
      <c r="RVC118"/>
      <c r="RVD118"/>
      <c r="RVE118"/>
      <c r="RVF118"/>
      <c r="RVG118"/>
      <c r="RVH118"/>
      <c r="RVI118"/>
      <c r="RVJ118"/>
      <c r="RVK118"/>
      <c r="RVL118"/>
      <c r="RVM118"/>
      <c r="RVN118"/>
      <c r="RVO118"/>
      <c r="RVP118"/>
      <c r="RVQ118"/>
      <c r="RVR118"/>
      <c r="RVS118"/>
      <c r="RVT118"/>
      <c r="RVU118"/>
      <c r="RVV118"/>
      <c r="RVW118"/>
      <c r="RVX118"/>
      <c r="RVY118"/>
      <c r="RVZ118"/>
      <c r="RWA118"/>
      <c r="RWB118"/>
      <c r="RWC118"/>
      <c r="RWD118"/>
      <c r="RWE118"/>
      <c r="RWF118"/>
      <c r="RWG118"/>
      <c r="RWH118"/>
      <c r="RWI118"/>
      <c r="RWJ118"/>
      <c r="RWK118"/>
      <c r="RWL118"/>
      <c r="RWM118"/>
      <c r="RWN118"/>
      <c r="RWO118"/>
      <c r="RWP118"/>
      <c r="RWQ118"/>
      <c r="RWR118"/>
      <c r="RWS118"/>
      <c r="RWT118"/>
      <c r="RWU118"/>
      <c r="RWV118"/>
      <c r="RWW118"/>
      <c r="RWX118"/>
      <c r="RWY118"/>
      <c r="RWZ118"/>
      <c r="RXA118"/>
      <c r="RXB118"/>
      <c r="RXC118"/>
      <c r="RXD118"/>
      <c r="RXE118"/>
      <c r="RXF118"/>
      <c r="RXG118"/>
      <c r="RXH118"/>
      <c r="RXI118"/>
      <c r="RXJ118"/>
      <c r="RXK118"/>
      <c r="RXL118"/>
      <c r="RXM118"/>
      <c r="RXN118"/>
      <c r="RXO118"/>
      <c r="RXP118"/>
      <c r="RXQ118"/>
      <c r="RXR118"/>
      <c r="RXS118"/>
      <c r="RXT118"/>
      <c r="RXU118"/>
      <c r="RXV118"/>
      <c r="RXW118"/>
      <c r="RXX118"/>
      <c r="RXY118"/>
      <c r="RXZ118"/>
      <c r="RYA118"/>
      <c r="RYB118"/>
      <c r="RYC118"/>
      <c r="RYD118"/>
      <c r="RYE118"/>
      <c r="RYF118"/>
      <c r="RYG118"/>
      <c r="RYH118"/>
      <c r="RYI118"/>
      <c r="RYJ118"/>
      <c r="RYK118"/>
      <c r="RYL118"/>
      <c r="RYM118"/>
      <c r="RYN118"/>
      <c r="RYO118"/>
      <c r="RYP118"/>
      <c r="RYQ118"/>
      <c r="RYR118"/>
      <c r="RYS118"/>
      <c r="RYT118"/>
      <c r="RYU118"/>
      <c r="RYV118"/>
      <c r="RYW118"/>
      <c r="RYX118"/>
      <c r="RYY118"/>
      <c r="RYZ118"/>
      <c r="RZA118"/>
      <c r="RZB118"/>
      <c r="RZC118"/>
      <c r="RZD118"/>
      <c r="RZE118"/>
      <c r="RZF118"/>
      <c r="RZG118"/>
      <c r="RZH118"/>
      <c r="RZI118"/>
      <c r="RZJ118"/>
      <c r="RZK118"/>
      <c r="RZL118"/>
      <c r="RZM118"/>
      <c r="RZN118"/>
      <c r="RZO118"/>
      <c r="RZP118"/>
      <c r="RZQ118"/>
      <c r="RZR118"/>
      <c r="RZS118"/>
      <c r="RZT118"/>
      <c r="RZU118"/>
      <c r="RZV118"/>
      <c r="RZW118"/>
      <c r="RZX118"/>
      <c r="RZY118"/>
      <c r="RZZ118"/>
      <c r="SAA118"/>
      <c r="SAB118"/>
      <c r="SAC118"/>
      <c r="SAD118"/>
      <c r="SAE118"/>
      <c r="SAF118"/>
      <c r="SAG118"/>
      <c r="SAH118"/>
      <c r="SAI118"/>
      <c r="SAJ118"/>
      <c r="SAK118"/>
      <c r="SAL118"/>
      <c r="SAM118"/>
      <c r="SAN118"/>
      <c r="SAO118"/>
      <c r="SAP118"/>
      <c r="SAQ118"/>
      <c r="SAR118"/>
      <c r="SAS118"/>
      <c r="SAT118"/>
      <c r="SAU118"/>
      <c r="SAV118"/>
      <c r="SAW118"/>
      <c r="SAX118"/>
      <c r="SAY118"/>
      <c r="SAZ118"/>
      <c r="SBA118"/>
      <c r="SBB118"/>
      <c r="SBC118"/>
      <c r="SBD118"/>
      <c r="SBE118"/>
      <c r="SBF118"/>
      <c r="SBG118"/>
      <c r="SBH118"/>
      <c r="SBI118"/>
      <c r="SBJ118"/>
      <c r="SBK118"/>
      <c r="SBL118"/>
      <c r="SBM118"/>
      <c r="SBN118"/>
      <c r="SBO118"/>
      <c r="SBP118"/>
      <c r="SBQ118"/>
      <c r="SBR118"/>
      <c r="SBS118"/>
      <c r="SBT118"/>
      <c r="SBU118"/>
      <c r="SBV118"/>
      <c r="SBW118"/>
      <c r="SBX118"/>
      <c r="SBY118"/>
      <c r="SBZ118"/>
      <c r="SCA118"/>
      <c r="SCB118"/>
      <c r="SCC118"/>
      <c r="SCD118"/>
      <c r="SCE118"/>
      <c r="SCF118"/>
      <c r="SCG118"/>
      <c r="SCH118"/>
      <c r="SCI118"/>
      <c r="SCJ118"/>
      <c r="SCK118"/>
      <c r="SCL118"/>
      <c r="SCM118"/>
      <c r="SCN118"/>
      <c r="SCO118"/>
      <c r="SCP118"/>
      <c r="SCQ118"/>
      <c r="SCR118"/>
      <c r="SCS118"/>
      <c r="SCT118"/>
      <c r="SCU118"/>
      <c r="SCV118"/>
      <c r="SCW118"/>
      <c r="SCX118"/>
      <c r="SCY118"/>
      <c r="SCZ118"/>
      <c r="SDA118"/>
      <c r="SDB118"/>
      <c r="SDC118"/>
      <c r="SDD118"/>
      <c r="SDE118"/>
      <c r="SDF118"/>
      <c r="SDG118"/>
      <c r="SDH118"/>
      <c r="SDI118"/>
      <c r="SDJ118"/>
      <c r="SDK118"/>
      <c r="SDL118"/>
      <c r="SDM118"/>
      <c r="SDN118"/>
      <c r="SDO118"/>
      <c r="SDP118"/>
      <c r="SDQ118"/>
      <c r="SDR118"/>
      <c r="SDS118"/>
      <c r="SDT118"/>
      <c r="SDU118"/>
      <c r="SDV118"/>
      <c r="SDW118"/>
      <c r="SDX118"/>
      <c r="SDY118"/>
      <c r="SDZ118"/>
      <c r="SEA118"/>
      <c r="SEB118"/>
      <c r="SEC118"/>
      <c r="SED118"/>
      <c r="SEE118"/>
      <c r="SEF118"/>
      <c r="SEG118"/>
      <c r="SEH118"/>
      <c r="SEI118"/>
      <c r="SEJ118"/>
      <c r="SEK118"/>
      <c r="SEL118"/>
      <c r="SEM118"/>
      <c r="SEN118"/>
      <c r="SEO118"/>
      <c r="SEP118"/>
      <c r="SEQ118"/>
      <c r="SER118"/>
      <c r="SES118"/>
      <c r="SET118"/>
      <c r="SEU118"/>
      <c r="SEV118"/>
      <c r="SEW118"/>
      <c r="SEX118"/>
      <c r="SEY118"/>
      <c r="SEZ118"/>
      <c r="SFA118"/>
      <c r="SFB118"/>
      <c r="SFC118"/>
      <c r="SFD118"/>
      <c r="SFE118"/>
      <c r="SFF118"/>
      <c r="SFG118"/>
      <c r="SFH118"/>
      <c r="SFI118"/>
      <c r="SFJ118"/>
      <c r="SFK118"/>
      <c r="SFL118"/>
      <c r="SFM118"/>
      <c r="SFN118"/>
      <c r="SFO118"/>
      <c r="SFP118"/>
      <c r="SFQ118"/>
      <c r="SFR118"/>
      <c r="SFS118"/>
      <c r="SFT118"/>
      <c r="SFU118"/>
      <c r="SFV118"/>
      <c r="SFW118"/>
      <c r="SFX118"/>
      <c r="SFY118"/>
      <c r="SFZ118"/>
      <c r="SGA118"/>
      <c r="SGB118"/>
      <c r="SGC118"/>
      <c r="SGD118"/>
      <c r="SGE118"/>
      <c r="SGF118"/>
      <c r="SGG118"/>
      <c r="SGH118"/>
      <c r="SGI118"/>
      <c r="SGJ118"/>
      <c r="SGK118"/>
      <c r="SGL118"/>
      <c r="SGM118"/>
      <c r="SGN118"/>
      <c r="SGO118"/>
      <c r="SGP118"/>
      <c r="SGQ118"/>
      <c r="SGR118"/>
      <c r="SGS118"/>
      <c r="SGT118"/>
      <c r="SGU118"/>
      <c r="SGV118"/>
      <c r="SGW118"/>
      <c r="SGX118"/>
      <c r="SGY118"/>
      <c r="SGZ118"/>
      <c r="SHA118"/>
      <c r="SHB118"/>
      <c r="SHC118"/>
      <c r="SHD118"/>
      <c r="SHE118"/>
      <c r="SHF118"/>
      <c r="SHG118"/>
      <c r="SHH118"/>
      <c r="SHI118"/>
      <c r="SHJ118"/>
      <c r="SHK118"/>
      <c r="SHL118"/>
      <c r="SHM118"/>
      <c r="SHN118"/>
      <c r="SHO118"/>
      <c r="SHP118"/>
      <c r="SHQ118"/>
      <c r="SHR118"/>
      <c r="SHS118"/>
      <c r="SHT118"/>
      <c r="SHU118"/>
      <c r="SHV118"/>
      <c r="SHW118"/>
      <c r="SHX118"/>
      <c r="SHY118"/>
      <c r="SHZ118"/>
      <c r="SIA118"/>
      <c r="SIB118"/>
      <c r="SIC118"/>
      <c r="SID118"/>
      <c r="SIE118"/>
      <c r="SIF118"/>
      <c r="SIG118"/>
      <c r="SIH118"/>
      <c r="SII118"/>
      <c r="SIJ118"/>
      <c r="SIK118"/>
      <c r="SIL118"/>
      <c r="SIM118"/>
      <c r="SIN118"/>
      <c r="SIO118"/>
      <c r="SIP118"/>
      <c r="SIQ118"/>
      <c r="SIR118"/>
      <c r="SIS118"/>
      <c r="SIT118"/>
      <c r="SIU118"/>
      <c r="SIV118"/>
      <c r="SIW118"/>
      <c r="SIX118"/>
      <c r="SIY118"/>
      <c r="SIZ118"/>
      <c r="SJA118"/>
      <c r="SJB118"/>
      <c r="SJC118"/>
      <c r="SJD118"/>
      <c r="SJE118"/>
      <c r="SJF118"/>
      <c r="SJG118"/>
      <c r="SJH118"/>
      <c r="SJI118"/>
      <c r="SJJ118"/>
      <c r="SJK118"/>
      <c r="SJL118"/>
      <c r="SJM118"/>
      <c r="SJN118"/>
      <c r="SJO118"/>
      <c r="SJP118"/>
      <c r="SJQ118"/>
      <c r="SJR118"/>
      <c r="SJS118"/>
      <c r="SJT118"/>
      <c r="SJU118"/>
      <c r="SJV118"/>
      <c r="SJW118"/>
      <c r="SJX118"/>
      <c r="SJY118"/>
      <c r="SJZ118"/>
      <c r="SKA118"/>
      <c r="SKB118"/>
      <c r="SKC118"/>
      <c r="SKD118"/>
      <c r="SKE118"/>
      <c r="SKF118"/>
      <c r="SKG118"/>
      <c r="SKH118"/>
      <c r="SKI118"/>
      <c r="SKJ118"/>
      <c r="SKK118"/>
      <c r="SKL118"/>
      <c r="SKM118"/>
      <c r="SKN118"/>
      <c r="SKO118"/>
      <c r="SKP118"/>
      <c r="SKQ118"/>
      <c r="SKR118"/>
      <c r="SKS118"/>
      <c r="SKT118"/>
      <c r="SKU118"/>
      <c r="SKV118"/>
      <c r="SKW118"/>
      <c r="SKX118"/>
      <c r="SKY118"/>
      <c r="SKZ118"/>
      <c r="SLA118"/>
      <c r="SLB118"/>
      <c r="SLC118"/>
      <c r="SLD118"/>
      <c r="SLE118"/>
      <c r="SLF118"/>
      <c r="SLG118"/>
      <c r="SLH118"/>
      <c r="SLI118"/>
      <c r="SLJ118"/>
      <c r="SLK118"/>
      <c r="SLL118"/>
      <c r="SLM118"/>
      <c r="SLN118"/>
      <c r="SLO118"/>
      <c r="SLP118"/>
      <c r="SLQ118"/>
      <c r="SLR118"/>
      <c r="SLS118"/>
      <c r="SLT118"/>
      <c r="SLU118"/>
      <c r="SLV118"/>
      <c r="SLW118"/>
      <c r="SLX118"/>
      <c r="SLY118"/>
      <c r="SLZ118"/>
      <c r="SMA118"/>
      <c r="SMB118"/>
      <c r="SMC118"/>
      <c r="SMD118"/>
      <c r="SME118"/>
      <c r="SMF118"/>
      <c r="SMG118"/>
      <c r="SMH118"/>
      <c r="SMI118"/>
      <c r="SMJ118"/>
      <c r="SMK118"/>
      <c r="SML118"/>
      <c r="SMM118"/>
      <c r="SMN118"/>
      <c r="SMO118"/>
      <c r="SMP118"/>
      <c r="SMQ118"/>
      <c r="SMR118"/>
      <c r="SMS118"/>
      <c r="SMT118"/>
      <c r="SMU118"/>
      <c r="SMV118"/>
      <c r="SMW118"/>
      <c r="SMX118"/>
      <c r="SMY118"/>
      <c r="SMZ118"/>
      <c r="SNA118"/>
      <c r="SNB118"/>
      <c r="SNC118"/>
      <c r="SND118"/>
      <c r="SNE118"/>
      <c r="SNF118"/>
      <c r="SNG118"/>
      <c r="SNH118"/>
      <c r="SNI118"/>
      <c r="SNJ118"/>
      <c r="SNK118"/>
      <c r="SNL118"/>
      <c r="SNM118"/>
      <c r="SNN118"/>
      <c r="SNO118"/>
      <c r="SNP118"/>
      <c r="SNQ118"/>
      <c r="SNR118"/>
      <c r="SNS118"/>
      <c r="SNT118"/>
      <c r="SNU118"/>
      <c r="SNV118"/>
      <c r="SNW118"/>
      <c r="SNX118"/>
      <c r="SNY118"/>
      <c r="SNZ118"/>
      <c r="SOA118"/>
      <c r="SOB118"/>
      <c r="SOC118"/>
      <c r="SOD118"/>
      <c r="SOE118"/>
      <c r="SOF118"/>
      <c r="SOG118"/>
      <c r="SOH118"/>
      <c r="SOI118"/>
      <c r="SOJ118"/>
      <c r="SOK118"/>
      <c r="SOL118"/>
      <c r="SOM118"/>
      <c r="SON118"/>
      <c r="SOO118"/>
      <c r="SOP118"/>
      <c r="SOQ118"/>
      <c r="SOR118"/>
      <c r="SOS118"/>
      <c r="SOT118"/>
      <c r="SOU118"/>
      <c r="SOV118"/>
      <c r="SOW118"/>
      <c r="SOX118"/>
      <c r="SOY118"/>
      <c r="SOZ118"/>
      <c r="SPA118"/>
      <c r="SPB118"/>
      <c r="SPC118"/>
      <c r="SPD118"/>
      <c r="SPE118"/>
      <c r="SPF118"/>
      <c r="SPG118"/>
      <c r="SPH118"/>
      <c r="SPI118"/>
      <c r="SPJ118"/>
      <c r="SPK118"/>
      <c r="SPL118"/>
      <c r="SPM118"/>
      <c r="SPN118"/>
      <c r="SPO118"/>
      <c r="SPP118"/>
      <c r="SPQ118"/>
      <c r="SPR118"/>
      <c r="SPS118"/>
      <c r="SPT118"/>
      <c r="SPU118"/>
      <c r="SPV118"/>
      <c r="SPW118"/>
      <c r="SPX118"/>
      <c r="SPY118"/>
      <c r="SPZ118"/>
      <c r="SQA118"/>
      <c r="SQB118"/>
      <c r="SQC118"/>
      <c r="SQD118"/>
      <c r="SQE118"/>
      <c r="SQF118"/>
      <c r="SQG118"/>
      <c r="SQH118"/>
      <c r="SQI118"/>
      <c r="SQJ118"/>
      <c r="SQK118"/>
      <c r="SQL118"/>
      <c r="SQM118"/>
      <c r="SQN118"/>
      <c r="SQO118"/>
      <c r="SQP118"/>
      <c r="SQQ118"/>
      <c r="SQR118"/>
      <c r="SQS118"/>
      <c r="SQT118"/>
      <c r="SQU118"/>
      <c r="SQV118"/>
      <c r="SQW118"/>
      <c r="SQX118"/>
      <c r="SQY118"/>
      <c r="SQZ118"/>
      <c r="SRA118"/>
      <c r="SRB118"/>
      <c r="SRC118"/>
      <c r="SRD118"/>
      <c r="SRE118"/>
      <c r="SRF118"/>
      <c r="SRG118"/>
      <c r="SRH118"/>
      <c r="SRI118"/>
      <c r="SRJ118"/>
      <c r="SRK118"/>
      <c r="SRL118"/>
      <c r="SRM118"/>
      <c r="SRN118"/>
      <c r="SRO118"/>
      <c r="SRP118"/>
      <c r="SRQ118"/>
      <c r="SRR118"/>
      <c r="SRS118"/>
      <c r="SRT118"/>
      <c r="SRU118"/>
      <c r="SRV118"/>
      <c r="SRW118"/>
      <c r="SRX118"/>
      <c r="SRY118"/>
      <c r="SRZ118"/>
      <c r="SSA118"/>
      <c r="SSB118"/>
      <c r="SSC118"/>
      <c r="SSD118"/>
      <c r="SSE118"/>
      <c r="SSF118"/>
      <c r="SSG118"/>
      <c r="SSH118"/>
      <c r="SSI118"/>
      <c r="SSJ118"/>
      <c r="SSK118"/>
      <c r="SSL118"/>
      <c r="SSM118"/>
      <c r="SSN118"/>
      <c r="SSO118"/>
      <c r="SSP118"/>
      <c r="SSQ118"/>
      <c r="SSR118"/>
      <c r="SSS118"/>
      <c r="SST118"/>
      <c r="SSU118"/>
      <c r="SSV118"/>
      <c r="SSW118"/>
      <c r="SSX118"/>
      <c r="SSY118"/>
      <c r="SSZ118"/>
      <c r="STA118"/>
      <c r="STB118"/>
      <c r="STC118"/>
      <c r="STD118"/>
      <c r="STE118"/>
      <c r="STF118"/>
      <c r="STG118"/>
      <c r="STH118"/>
      <c r="STI118"/>
      <c r="STJ118"/>
      <c r="STK118"/>
      <c r="STL118"/>
      <c r="STM118"/>
      <c r="STN118"/>
      <c r="STO118"/>
      <c r="STP118"/>
      <c r="STQ118"/>
      <c r="STR118"/>
      <c r="STS118"/>
      <c r="STT118"/>
      <c r="STU118"/>
      <c r="STV118"/>
      <c r="STW118"/>
      <c r="STX118"/>
      <c r="STY118"/>
      <c r="STZ118"/>
      <c r="SUA118"/>
      <c r="SUB118"/>
      <c r="SUC118"/>
      <c r="SUD118"/>
      <c r="SUE118"/>
      <c r="SUF118"/>
      <c r="SUG118"/>
      <c r="SUH118"/>
      <c r="SUI118"/>
      <c r="SUJ118"/>
      <c r="SUK118"/>
      <c r="SUL118"/>
      <c r="SUM118"/>
      <c r="SUN118"/>
      <c r="SUO118"/>
      <c r="SUP118"/>
      <c r="SUQ118"/>
      <c r="SUR118"/>
      <c r="SUS118"/>
      <c r="SUT118"/>
      <c r="SUU118"/>
      <c r="SUV118"/>
      <c r="SUW118"/>
      <c r="SUX118"/>
      <c r="SUY118"/>
      <c r="SUZ118"/>
      <c r="SVA118"/>
      <c r="SVB118"/>
      <c r="SVC118"/>
      <c r="SVD118"/>
      <c r="SVE118"/>
      <c r="SVF118"/>
      <c r="SVG118"/>
      <c r="SVH118"/>
      <c r="SVI118"/>
      <c r="SVJ118"/>
      <c r="SVK118"/>
      <c r="SVL118"/>
      <c r="SVM118"/>
      <c r="SVN118"/>
      <c r="SVO118"/>
      <c r="SVP118"/>
      <c r="SVQ118"/>
      <c r="SVR118"/>
      <c r="SVS118"/>
      <c r="SVT118"/>
      <c r="SVU118"/>
      <c r="SVV118"/>
      <c r="SVW118"/>
      <c r="SVX118"/>
      <c r="SVY118"/>
      <c r="SVZ118"/>
      <c r="SWA118"/>
      <c r="SWB118"/>
      <c r="SWC118"/>
      <c r="SWD118"/>
      <c r="SWE118"/>
      <c r="SWF118"/>
      <c r="SWG118"/>
      <c r="SWH118"/>
      <c r="SWI118"/>
      <c r="SWJ118"/>
      <c r="SWK118"/>
      <c r="SWL118"/>
      <c r="SWM118"/>
      <c r="SWN118"/>
      <c r="SWO118"/>
      <c r="SWP118"/>
      <c r="SWQ118"/>
      <c r="SWR118"/>
      <c r="SWS118"/>
      <c r="SWT118"/>
      <c r="SWU118"/>
      <c r="SWV118"/>
      <c r="SWW118"/>
      <c r="SWX118"/>
      <c r="SWY118"/>
      <c r="SWZ118"/>
      <c r="SXA118"/>
      <c r="SXB118"/>
      <c r="SXC118"/>
      <c r="SXD118"/>
      <c r="SXE118"/>
      <c r="SXF118"/>
      <c r="SXG118"/>
      <c r="SXH118"/>
      <c r="SXI118"/>
      <c r="SXJ118"/>
      <c r="SXK118"/>
      <c r="SXL118"/>
      <c r="SXM118"/>
      <c r="SXN118"/>
      <c r="SXO118"/>
      <c r="SXP118"/>
      <c r="SXQ118"/>
      <c r="SXR118"/>
      <c r="SXS118"/>
      <c r="SXT118"/>
      <c r="SXU118"/>
      <c r="SXV118"/>
      <c r="SXW118"/>
      <c r="SXX118"/>
      <c r="SXY118"/>
      <c r="SXZ118"/>
      <c r="SYA118"/>
      <c r="SYB118"/>
      <c r="SYC118"/>
      <c r="SYD118"/>
      <c r="SYE118"/>
      <c r="SYF118"/>
      <c r="SYG118"/>
      <c r="SYH118"/>
      <c r="SYI118"/>
      <c r="SYJ118"/>
      <c r="SYK118"/>
      <c r="SYL118"/>
      <c r="SYM118"/>
      <c r="SYN118"/>
      <c r="SYO118"/>
      <c r="SYP118"/>
      <c r="SYQ118"/>
      <c r="SYR118"/>
      <c r="SYS118"/>
      <c r="SYT118"/>
      <c r="SYU118"/>
      <c r="SYV118"/>
      <c r="SYW118"/>
      <c r="SYX118"/>
      <c r="SYY118"/>
      <c r="SYZ118"/>
      <c r="SZA118"/>
      <c r="SZB118"/>
      <c r="SZC118"/>
      <c r="SZD118"/>
      <c r="SZE118"/>
      <c r="SZF118"/>
      <c r="SZG118"/>
      <c r="SZH118"/>
      <c r="SZI118"/>
      <c r="SZJ118"/>
      <c r="SZK118"/>
      <c r="SZL118"/>
      <c r="SZM118"/>
      <c r="SZN118"/>
      <c r="SZO118"/>
      <c r="SZP118"/>
      <c r="SZQ118"/>
      <c r="SZR118"/>
      <c r="SZS118"/>
      <c r="SZT118"/>
      <c r="SZU118"/>
      <c r="SZV118"/>
      <c r="SZW118"/>
      <c r="SZX118"/>
      <c r="SZY118"/>
      <c r="SZZ118"/>
      <c r="TAA118"/>
      <c r="TAB118"/>
      <c r="TAC118"/>
      <c r="TAD118"/>
      <c r="TAE118"/>
      <c r="TAF118"/>
      <c r="TAG118"/>
      <c r="TAH118"/>
      <c r="TAI118"/>
      <c r="TAJ118"/>
      <c r="TAK118"/>
      <c r="TAL118"/>
      <c r="TAM118"/>
      <c r="TAN118"/>
      <c r="TAO118"/>
      <c r="TAP118"/>
      <c r="TAQ118"/>
      <c r="TAR118"/>
      <c r="TAS118"/>
      <c r="TAT118"/>
      <c r="TAU118"/>
      <c r="TAV118"/>
      <c r="TAW118"/>
      <c r="TAX118"/>
      <c r="TAY118"/>
      <c r="TAZ118"/>
      <c r="TBA118"/>
      <c r="TBB118"/>
      <c r="TBC118"/>
      <c r="TBD118"/>
      <c r="TBE118"/>
      <c r="TBF118"/>
      <c r="TBG118"/>
      <c r="TBH118"/>
      <c r="TBI118"/>
      <c r="TBJ118"/>
      <c r="TBK118"/>
      <c r="TBL118"/>
      <c r="TBM118"/>
      <c r="TBN118"/>
      <c r="TBO118"/>
      <c r="TBP118"/>
      <c r="TBQ118"/>
      <c r="TBR118"/>
      <c r="TBS118"/>
      <c r="TBT118"/>
      <c r="TBU118"/>
      <c r="TBV118"/>
      <c r="TBW118"/>
      <c r="TBX118"/>
      <c r="TBY118"/>
      <c r="TBZ118"/>
      <c r="TCA118"/>
      <c r="TCB118"/>
      <c r="TCC118"/>
      <c r="TCD118"/>
      <c r="TCE118"/>
      <c r="TCF118"/>
      <c r="TCG118"/>
      <c r="TCH118"/>
      <c r="TCI118"/>
      <c r="TCJ118"/>
      <c r="TCK118"/>
      <c r="TCL118"/>
      <c r="TCM118"/>
      <c r="TCN118"/>
      <c r="TCO118"/>
      <c r="TCP118"/>
      <c r="TCQ118"/>
      <c r="TCR118"/>
      <c r="TCS118"/>
      <c r="TCT118"/>
      <c r="TCU118"/>
      <c r="TCV118"/>
      <c r="TCW118"/>
      <c r="TCX118"/>
      <c r="TCY118"/>
      <c r="TCZ118"/>
      <c r="TDA118"/>
      <c r="TDB118"/>
      <c r="TDC118"/>
      <c r="TDD118"/>
      <c r="TDE118"/>
      <c r="TDF118"/>
      <c r="TDG118"/>
      <c r="TDH118"/>
      <c r="TDI118"/>
      <c r="TDJ118"/>
      <c r="TDK118"/>
      <c r="TDL118"/>
      <c r="TDM118"/>
      <c r="TDN118"/>
      <c r="TDO118"/>
      <c r="TDP118"/>
      <c r="TDQ118"/>
      <c r="TDR118"/>
      <c r="TDS118"/>
      <c r="TDT118"/>
      <c r="TDU118"/>
      <c r="TDV118"/>
      <c r="TDW118"/>
      <c r="TDX118"/>
      <c r="TDY118"/>
      <c r="TDZ118"/>
      <c r="TEA118"/>
      <c r="TEB118"/>
      <c r="TEC118"/>
      <c r="TED118"/>
      <c r="TEE118"/>
      <c r="TEF118"/>
      <c r="TEG118"/>
      <c r="TEH118"/>
      <c r="TEI118"/>
      <c r="TEJ118"/>
      <c r="TEK118"/>
      <c r="TEL118"/>
      <c r="TEM118"/>
      <c r="TEN118"/>
      <c r="TEO118"/>
      <c r="TEP118"/>
      <c r="TEQ118"/>
      <c r="TER118"/>
      <c r="TES118"/>
      <c r="TET118"/>
      <c r="TEU118"/>
      <c r="TEV118"/>
      <c r="TEW118"/>
      <c r="TEX118"/>
      <c r="TEY118"/>
      <c r="TEZ118"/>
      <c r="TFA118"/>
      <c r="TFB118"/>
      <c r="TFC118"/>
      <c r="TFD118"/>
      <c r="TFE118"/>
      <c r="TFF118"/>
      <c r="TFG118"/>
      <c r="TFH118"/>
      <c r="TFI118"/>
      <c r="TFJ118"/>
      <c r="TFK118"/>
      <c r="TFL118"/>
      <c r="TFM118"/>
      <c r="TFN118"/>
      <c r="TFO118"/>
      <c r="TFP118"/>
      <c r="TFQ118"/>
      <c r="TFR118"/>
      <c r="TFS118"/>
      <c r="TFT118"/>
      <c r="TFU118"/>
      <c r="TFV118"/>
      <c r="TFW118"/>
      <c r="TFX118"/>
      <c r="TFY118"/>
      <c r="TFZ118"/>
      <c r="TGA118"/>
      <c r="TGB118"/>
      <c r="TGC118"/>
      <c r="TGD118"/>
      <c r="TGE118"/>
      <c r="TGF118"/>
      <c r="TGG118"/>
      <c r="TGH118"/>
      <c r="TGI118"/>
      <c r="TGJ118"/>
      <c r="TGK118"/>
      <c r="TGL118"/>
      <c r="TGM118"/>
      <c r="TGN118"/>
      <c r="TGO118"/>
      <c r="TGP118"/>
      <c r="TGQ118"/>
      <c r="TGR118"/>
      <c r="TGS118"/>
      <c r="TGT118"/>
      <c r="TGU118"/>
      <c r="TGV118"/>
      <c r="TGW118"/>
      <c r="TGX118"/>
      <c r="TGY118"/>
      <c r="TGZ118"/>
      <c r="THA118"/>
      <c r="THB118"/>
      <c r="THC118"/>
      <c r="THD118"/>
      <c r="THE118"/>
      <c r="THF118"/>
      <c r="THG118"/>
      <c r="THH118"/>
      <c r="THI118"/>
      <c r="THJ118"/>
      <c r="THK118"/>
      <c r="THL118"/>
      <c r="THM118"/>
      <c r="THN118"/>
      <c r="THO118"/>
      <c r="THP118"/>
      <c r="THQ118"/>
      <c r="THR118"/>
      <c r="THS118"/>
      <c r="THT118"/>
      <c r="THU118"/>
      <c r="THV118"/>
      <c r="THW118"/>
      <c r="THX118"/>
      <c r="THY118"/>
      <c r="THZ118"/>
      <c r="TIA118"/>
      <c r="TIB118"/>
      <c r="TIC118"/>
      <c r="TID118"/>
      <c r="TIE118"/>
      <c r="TIF118"/>
      <c r="TIG118"/>
      <c r="TIH118"/>
      <c r="TII118"/>
      <c r="TIJ118"/>
      <c r="TIK118"/>
      <c r="TIL118"/>
      <c r="TIM118"/>
      <c r="TIN118"/>
      <c r="TIO118"/>
      <c r="TIP118"/>
      <c r="TIQ118"/>
      <c r="TIR118"/>
      <c r="TIS118"/>
      <c r="TIT118"/>
      <c r="TIU118"/>
      <c r="TIV118"/>
      <c r="TIW118"/>
      <c r="TIX118"/>
      <c r="TIY118"/>
      <c r="TIZ118"/>
      <c r="TJA118"/>
      <c r="TJB118"/>
      <c r="TJC118"/>
      <c r="TJD118"/>
      <c r="TJE118"/>
      <c r="TJF118"/>
      <c r="TJG118"/>
      <c r="TJH118"/>
      <c r="TJI118"/>
      <c r="TJJ118"/>
      <c r="TJK118"/>
      <c r="TJL118"/>
      <c r="TJM118"/>
      <c r="TJN118"/>
      <c r="TJO118"/>
      <c r="TJP118"/>
      <c r="TJQ118"/>
      <c r="TJR118"/>
      <c r="TJS118"/>
      <c r="TJT118"/>
      <c r="TJU118"/>
      <c r="TJV118"/>
      <c r="TJW118"/>
      <c r="TJX118"/>
      <c r="TJY118"/>
      <c r="TJZ118"/>
      <c r="TKA118"/>
      <c r="TKB118"/>
      <c r="TKC118"/>
      <c r="TKD118"/>
      <c r="TKE118"/>
      <c r="TKF118"/>
      <c r="TKG118"/>
      <c r="TKH118"/>
      <c r="TKI118"/>
      <c r="TKJ118"/>
      <c r="TKK118"/>
      <c r="TKL118"/>
      <c r="TKM118"/>
      <c r="TKN118"/>
      <c r="TKO118"/>
      <c r="TKP118"/>
      <c r="TKQ118"/>
      <c r="TKR118"/>
      <c r="TKS118"/>
      <c r="TKT118"/>
      <c r="TKU118"/>
      <c r="TKV118"/>
      <c r="TKW118"/>
      <c r="TKX118"/>
      <c r="TKY118"/>
      <c r="TKZ118"/>
      <c r="TLA118"/>
      <c r="TLB118"/>
      <c r="TLC118"/>
      <c r="TLD118"/>
      <c r="TLE118"/>
      <c r="TLF118"/>
      <c r="TLG118"/>
      <c r="TLH118"/>
      <c r="TLI118"/>
      <c r="TLJ118"/>
      <c r="TLK118"/>
      <c r="TLL118"/>
      <c r="TLM118"/>
      <c r="TLN118"/>
      <c r="TLO118"/>
      <c r="TLP118"/>
      <c r="TLQ118"/>
      <c r="TLR118"/>
      <c r="TLS118"/>
      <c r="TLT118"/>
      <c r="TLU118"/>
      <c r="TLV118"/>
      <c r="TLW118"/>
      <c r="TLX118"/>
      <c r="TLY118"/>
      <c r="TLZ118"/>
      <c r="TMA118"/>
      <c r="TMB118"/>
      <c r="TMC118"/>
      <c r="TMD118"/>
      <c r="TME118"/>
      <c r="TMF118"/>
      <c r="TMG118"/>
      <c r="TMH118"/>
      <c r="TMI118"/>
      <c r="TMJ118"/>
      <c r="TMK118"/>
      <c r="TML118"/>
      <c r="TMM118"/>
      <c r="TMN118"/>
      <c r="TMO118"/>
      <c r="TMP118"/>
      <c r="TMQ118"/>
      <c r="TMR118"/>
      <c r="TMS118"/>
      <c r="TMT118"/>
      <c r="TMU118"/>
      <c r="TMV118"/>
      <c r="TMW118"/>
      <c r="TMX118"/>
      <c r="TMY118"/>
      <c r="TMZ118"/>
      <c r="TNA118"/>
      <c r="TNB118"/>
      <c r="TNC118"/>
      <c r="TND118"/>
      <c r="TNE118"/>
      <c r="TNF118"/>
      <c r="TNG118"/>
      <c r="TNH118"/>
      <c r="TNI118"/>
      <c r="TNJ118"/>
      <c r="TNK118"/>
      <c r="TNL118"/>
      <c r="TNM118"/>
      <c r="TNN118"/>
      <c r="TNO118"/>
      <c r="TNP118"/>
      <c r="TNQ118"/>
      <c r="TNR118"/>
      <c r="TNS118"/>
      <c r="TNT118"/>
      <c r="TNU118"/>
      <c r="TNV118"/>
      <c r="TNW118"/>
      <c r="TNX118"/>
      <c r="TNY118"/>
      <c r="TNZ118"/>
      <c r="TOA118"/>
      <c r="TOB118"/>
      <c r="TOC118"/>
      <c r="TOD118"/>
      <c r="TOE118"/>
      <c r="TOF118"/>
      <c r="TOG118"/>
      <c r="TOH118"/>
      <c r="TOI118"/>
      <c r="TOJ118"/>
      <c r="TOK118"/>
      <c r="TOL118"/>
      <c r="TOM118"/>
      <c r="TON118"/>
      <c r="TOO118"/>
      <c r="TOP118"/>
      <c r="TOQ118"/>
      <c r="TOR118"/>
      <c r="TOS118"/>
      <c r="TOT118"/>
      <c r="TOU118"/>
      <c r="TOV118"/>
      <c r="TOW118"/>
      <c r="TOX118"/>
      <c r="TOY118"/>
      <c r="TOZ118"/>
      <c r="TPA118"/>
      <c r="TPB118"/>
      <c r="TPC118"/>
      <c r="TPD118"/>
      <c r="TPE118"/>
      <c r="TPF118"/>
      <c r="TPG118"/>
      <c r="TPH118"/>
      <c r="TPI118"/>
      <c r="TPJ118"/>
      <c r="TPK118"/>
      <c r="TPL118"/>
      <c r="TPM118"/>
      <c r="TPN118"/>
      <c r="TPO118"/>
      <c r="TPP118"/>
      <c r="TPQ118"/>
      <c r="TPR118"/>
      <c r="TPS118"/>
      <c r="TPT118"/>
      <c r="TPU118"/>
      <c r="TPV118"/>
      <c r="TPW118"/>
      <c r="TPX118"/>
      <c r="TPY118"/>
      <c r="TPZ118"/>
      <c r="TQA118"/>
      <c r="TQB118"/>
      <c r="TQC118"/>
      <c r="TQD118"/>
      <c r="TQE118"/>
      <c r="TQF118"/>
      <c r="TQG118"/>
      <c r="TQH118"/>
      <c r="TQI118"/>
      <c r="TQJ118"/>
      <c r="TQK118"/>
      <c r="TQL118"/>
      <c r="TQM118"/>
      <c r="TQN118"/>
      <c r="TQO118"/>
      <c r="TQP118"/>
      <c r="TQQ118"/>
      <c r="TQR118"/>
      <c r="TQS118"/>
      <c r="TQT118"/>
      <c r="TQU118"/>
      <c r="TQV118"/>
      <c r="TQW118"/>
      <c r="TQX118"/>
      <c r="TQY118"/>
      <c r="TQZ118"/>
      <c r="TRA118"/>
      <c r="TRB118"/>
      <c r="TRC118"/>
      <c r="TRD118"/>
      <c r="TRE118"/>
      <c r="TRF118"/>
      <c r="TRG118"/>
      <c r="TRH118"/>
      <c r="TRI118"/>
      <c r="TRJ118"/>
      <c r="TRK118"/>
      <c r="TRL118"/>
      <c r="TRM118"/>
      <c r="TRN118"/>
      <c r="TRO118"/>
      <c r="TRP118"/>
      <c r="TRQ118"/>
      <c r="TRR118"/>
      <c r="TRS118"/>
      <c r="TRT118"/>
      <c r="TRU118"/>
      <c r="TRV118"/>
      <c r="TRW118"/>
      <c r="TRX118"/>
      <c r="TRY118"/>
      <c r="TRZ118"/>
      <c r="TSA118"/>
      <c r="TSB118"/>
      <c r="TSC118"/>
      <c r="TSD118"/>
      <c r="TSE118"/>
      <c r="TSF118"/>
      <c r="TSG118"/>
      <c r="TSH118"/>
      <c r="TSI118"/>
      <c r="TSJ118"/>
      <c r="TSK118"/>
      <c r="TSL118"/>
      <c r="TSM118"/>
      <c r="TSN118"/>
      <c r="TSO118"/>
      <c r="TSP118"/>
      <c r="TSQ118"/>
      <c r="TSR118"/>
      <c r="TSS118"/>
      <c r="TST118"/>
      <c r="TSU118"/>
      <c r="TSV118"/>
      <c r="TSW118"/>
      <c r="TSX118"/>
      <c r="TSY118"/>
      <c r="TSZ118"/>
      <c r="TTA118"/>
      <c r="TTB118"/>
      <c r="TTC118"/>
      <c r="TTD118"/>
      <c r="TTE118"/>
      <c r="TTF118"/>
      <c r="TTG118"/>
      <c r="TTH118"/>
      <c r="TTI118"/>
      <c r="TTJ118"/>
      <c r="TTK118"/>
      <c r="TTL118"/>
      <c r="TTM118"/>
      <c r="TTN118"/>
      <c r="TTO118"/>
      <c r="TTP118"/>
      <c r="TTQ118"/>
      <c r="TTR118"/>
      <c r="TTS118"/>
      <c r="TTT118"/>
      <c r="TTU118"/>
      <c r="TTV118"/>
      <c r="TTW118"/>
      <c r="TTX118"/>
      <c r="TTY118"/>
      <c r="TTZ118"/>
      <c r="TUA118"/>
      <c r="TUB118"/>
      <c r="TUC118"/>
      <c r="TUD118"/>
      <c r="TUE118"/>
      <c r="TUF118"/>
      <c r="TUG118"/>
      <c r="TUH118"/>
      <c r="TUI118"/>
      <c r="TUJ118"/>
      <c r="TUK118"/>
      <c r="TUL118"/>
      <c r="TUM118"/>
      <c r="TUN118"/>
      <c r="TUO118"/>
      <c r="TUP118"/>
      <c r="TUQ118"/>
      <c r="TUR118"/>
      <c r="TUS118"/>
      <c r="TUT118"/>
      <c r="TUU118"/>
      <c r="TUV118"/>
      <c r="TUW118"/>
      <c r="TUX118"/>
      <c r="TUY118"/>
      <c r="TUZ118"/>
      <c r="TVA118"/>
      <c r="TVB118"/>
      <c r="TVC118"/>
      <c r="TVD118"/>
      <c r="TVE118"/>
      <c r="TVF118"/>
      <c r="TVG118"/>
      <c r="TVH118"/>
      <c r="TVI118"/>
      <c r="TVJ118"/>
      <c r="TVK118"/>
      <c r="TVL118"/>
      <c r="TVM118"/>
      <c r="TVN118"/>
      <c r="TVO118"/>
      <c r="TVP118"/>
      <c r="TVQ118"/>
      <c r="TVR118"/>
      <c r="TVS118"/>
      <c r="TVT118"/>
      <c r="TVU118"/>
      <c r="TVV118"/>
      <c r="TVW118"/>
      <c r="TVX118"/>
      <c r="TVY118"/>
      <c r="TVZ118"/>
      <c r="TWA118"/>
      <c r="TWB118"/>
      <c r="TWC118"/>
      <c r="TWD118"/>
      <c r="TWE118"/>
      <c r="TWF118"/>
      <c r="TWG118"/>
      <c r="TWH118"/>
      <c r="TWI118"/>
      <c r="TWJ118"/>
      <c r="TWK118"/>
      <c r="TWL118"/>
      <c r="TWM118"/>
      <c r="TWN118"/>
      <c r="TWO118"/>
      <c r="TWP118"/>
      <c r="TWQ118"/>
      <c r="TWR118"/>
      <c r="TWS118"/>
      <c r="TWT118"/>
      <c r="TWU118"/>
      <c r="TWV118"/>
      <c r="TWW118"/>
      <c r="TWX118"/>
      <c r="TWY118"/>
      <c r="TWZ118"/>
      <c r="TXA118"/>
      <c r="TXB118"/>
      <c r="TXC118"/>
      <c r="TXD118"/>
      <c r="TXE118"/>
      <c r="TXF118"/>
      <c r="TXG118"/>
      <c r="TXH118"/>
      <c r="TXI118"/>
      <c r="TXJ118"/>
      <c r="TXK118"/>
      <c r="TXL118"/>
      <c r="TXM118"/>
      <c r="TXN118"/>
      <c r="TXO118"/>
      <c r="TXP118"/>
      <c r="TXQ118"/>
      <c r="TXR118"/>
      <c r="TXS118"/>
      <c r="TXT118"/>
      <c r="TXU118"/>
      <c r="TXV118"/>
      <c r="TXW118"/>
      <c r="TXX118"/>
      <c r="TXY118"/>
      <c r="TXZ118"/>
      <c r="TYA118"/>
      <c r="TYB118"/>
      <c r="TYC118"/>
      <c r="TYD118"/>
      <c r="TYE118"/>
      <c r="TYF118"/>
      <c r="TYG118"/>
      <c r="TYH118"/>
      <c r="TYI118"/>
      <c r="TYJ118"/>
      <c r="TYK118"/>
      <c r="TYL118"/>
      <c r="TYM118"/>
      <c r="TYN118"/>
      <c r="TYO118"/>
      <c r="TYP118"/>
      <c r="TYQ118"/>
      <c r="TYR118"/>
      <c r="TYS118"/>
      <c r="TYT118"/>
      <c r="TYU118"/>
      <c r="TYV118"/>
      <c r="TYW118"/>
      <c r="TYX118"/>
      <c r="TYY118"/>
      <c r="TYZ118"/>
      <c r="TZA118"/>
      <c r="TZB118"/>
      <c r="TZC118"/>
      <c r="TZD118"/>
      <c r="TZE118"/>
      <c r="TZF118"/>
      <c r="TZG118"/>
      <c r="TZH118"/>
      <c r="TZI118"/>
      <c r="TZJ118"/>
      <c r="TZK118"/>
      <c r="TZL118"/>
      <c r="TZM118"/>
      <c r="TZN118"/>
      <c r="TZO118"/>
      <c r="TZP118"/>
      <c r="TZQ118"/>
      <c r="TZR118"/>
      <c r="TZS118"/>
      <c r="TZT118"/>
      <c r="TZU118"/>
      <c r="TZV118"/>
      <c r="TZW118"/>
      <c r="TZX118"/>
      <c r="TZY118"/>
      <c r="TZZ118"/>
      <c r="UAA118"/>
      <c r="UAB118"/>
      <c r="UAC118"/>
      <c r="UAD118"/>
      <c r="UAE118"/>
      <c r="UAF118"/>
      <c r="UAG118"/>
      <c r="UAH118"/>
      <c r="UAI118"/>
      <c r="UAJ118"/>
      <c r="UAK118"/>
      <c r="UAL118"/>
      <c r="UAM118"/>
      <c r="UAN118"/>
      <c r="UAO118"/>
      <c r="UAP118"/>
      <c r="UAQ118"/>
      <c r="UAR118"/>
      <c r="UAS118"/>
      <c r="UAT118"/>
      <c r="UAU118"/>
      <c r="UAV118"/>
      <c r="UAW118"/>
      <c r="UAX118"/>
      <c r="UAY118"/>
      <c r="UAZ118"/>
      <c r="UBA118"/>
      <c r="UBB118"/>
      <c r="UBC118"/>
      <c r="UBD118"/>
      <c r="UBE118"/>
      <c r="UBF118"/>
      <c r="UBG118"/>
      <c r="UBH118"/>
      <c r="UBI118"/>
      <c r="UBJ118"/>
      <c r="UBK118"/>
      <c r="UBL118"/>
      <c r="UBM118"/>
      <c r="UBN118"/>
      <c r="UBO118"/>
      <c r="UBP118"/>
      <c r="UBQ118"/>
      <c r="UBR118"/>
      <c r="UBS118"/>
      <c r="UBT118"/>
      <c r="UBU118"/>
      <c r="UBV118"/>
      <c r="UBW118"/>
      <c r="UBX118"/>
      <c r="UBY118"/>
      <c r="UBZ118"/>
      <c r="UCA118"/>
      <c r="UCB118"/>
      <c r="UCC118"/>
      <c r="UCD118"/>
      <c r="UCE118"/>
      <c r="UCF118"/>
      <c r="UCG118"/>
      <c r="UCH118"/>
      <c r="UCI118"/>
      <c r="UCJ118"/>
      <c r="UCK118"/>
      <c r="UCL118"/>
      <c r="UCM118"/>
      <c r="UCN118"/>
      <c r="UCO118"/>
      <c r="UCP118"/>
      <c r="UCQ118"/>
      <c r="UCR118"/>
      <c r="UCS118"/>
      <c r="UCT118"/>
      <c r="UCU118"/>
      <c r="UCV118"/>
      <c r="UCW118"/>
      <c r="UCX118"/>
      <c r="UCY118"/>
      <c r="UCZ118"/>
      <c r="UDA118"/>
      <c r="UDB118"/>
      <c r="UDC118"/>
      <c r="UDD118"/>
      <c r="UDE118"/>
      <c r="UDF118"/>
      <c r="UDG118"/>
      <c r="UDH118"/>
      <c r="UDI118"/>
      <c r="UDJ118"/>
      <c r="UDK118"/>
      <c r="UDL118"/>
      <c r="UDM118"/>
      <c r="UDN118"/>
      <c r="UDO118"/>
      <c r="UDP118"/>
      <c r="UDQ118"/>
      <c r="UDR118"/>
      <c r="UDS118"/>
      <c r="UDT118"/>
      <c r="UDU118"/>
      <c r="UDV118"/>
      <c r="UDW118"/>
      <c r="UDX118"/>
      <c r="UDY118"/>
      <c r="UDZ118"/>
      <c r="UEA118"/>
      <c r="UEB118"/>
      <c r="UEC118"/>
      <c r="UED118"/>
      <c r="UEE118"/>
      <c r="UEF118"/>
      <c r="UEG118"/>
      <c r="UEH118"/>
      <c r="UEI118"/>
      <c r="UEJ118"/>
      <c r="UEK118"/>
      <c r="UEL118"/>
      <c r="UEM118"/>
      <c r="UEN118"/>
      <c r="UEO118"/>
      <c r="UEP118"/>
      <c r="UEQ118"/>
      <c r="UER118"/>
      <c r="UES118"/>
      <c r="UET118"/>
      <c r="UEU118"/>
      <c r="UEV118"/>
      <c r="UEW118"/>
      <c r="UEX118"/>
      <c r="UEY118"/>
      <c r="UEZ118"/>
      <c r="UFA118"/>
      <c r="UFB118"/>
      <c r="UFC118"/>
      <c r="UFD118"/>
      <c r="UFE118"/>
      <c r="UFF118"/>
      <c r="UFG118"/>
      <c r="UFH118"/>
      <c r="UFI118"/>
      <c r="UFJ118"/>
      <c r="UFK118"/>
      <c r="UFL118"/>
      <c r="UFM118"/>
      <c r="UFN118"/>
      <c r="UFO118"/>
      <c r="UFP118"/>
      <c r="UFQ118"/>
      <c r="UFR118"/>
      <c r="UFS118"/>
      <c r="UFT118"/>
      <c r="UFU118"/>
      <c r="UFV118"/>
      <c r="UFW118"/>
      <c r="UFX118"/>
      <c r="UFY118"/>
      <c r="UFZ118"/>
      <c r="UGA118"/>
      <c r="UGB118"/>
      <c r="UGC118"/>
      <c r="UGD118"/>
      <c r="UGE118"/>
      <c r="UGF118"/>
      <c r="UGG118"/>
      <c r="UGH118"/>
      <c r="UGI118"/>
      <c r="UGJ118"/>
      <c r="UGK118"/>
      <c r="UGL118"/>
      <c r="UGM118"/>
      <c r="UGN118"/>
      <c r="UGO118"/>
      <c r="UGP118"/>
      <c r="UGQ118"/>
      <c r="UGR118"/>
      <c r="UGS118"/>
      <c r="UGT118"/>
      <c r="UGU118"/>
      <c r="UGV118"/>
      <c r="UGW118"/>
      <c r="UGX118"/>
      <c r="UGY118"/>
      <c r="UGZ118"/>
      <c r="UHA118"/>
      <c r="UHB118"/>
      <c r="UHC118"/>
      <c r="UHD118"/>
      <c r="UHE118"/>
      <c r="UHF118"/>
      <c r="UHG118"/>
      <c r="UHH118"/>
      <c r="UHI118"/>
      <c r="UHJ118"/>
      <c r="UHK118"/>
      <c r="UHL118"/>
      <c r="UHM118"/>
      <c r="UHN118"/>
      <c r="UHO118"/>
      <c r="UHP118"/>
      <c r="UHQ118"/>
      <c r="UHR118"/>
      <c r="UHS118"/>
      <c r="UHT118"/>
      <c r="UHU118"/>
      <c r="UHV118"/>
      <c r="UHW118"/>
      <c r="UHX118"/>
      <c r="UHY118"/>
      <c r="UHZ118"/>
      <c r="UIA118"/>
      <c r="UIB118"/>
      <c r="UIC118"/>
      <c r="UID118"/>
      <c r="UIE118"/>
      <c r="UIF118"/>
      <c r="UIG118"/>
      <c r="UIH118"/>
      <c r="UII118"/>
      <c r="UIJ118"/>
      <c r="UIK118"/>
      <c r="UIL118"/>
      <c r="UIM118"/>
      <c r="UIN118"/>
      <c r="UIO118"/>
      <c r="UIP118"/>
      <c r="UIQ118"/>
      <c r="UIR118"/>
      <c r="UIS118"/>
      <c r="UIT118"/>
      <c r="UIU118"/>
      <c r="UIV118"/>
      <c r="UIW118"/>
      <c r="UIX118"/>
      <c r="UIY118"/>
      <c r="UIZ118"/>
      <c r="UJA118"/>
      <c r="UJB118"/>
      <c r="UJC118"/>
      <c r="UJD118"/>
      <c r="UJE118"/>
      <c r="UJF118"/>
      <c r="UJG118"/>
      <c r="UJH118"/>
      <c r="UJI118"/>
      <c r="UJJ118"/>
      <c r="UJK118"/>
      <c r="UJL118"/>
      <c r="UJM118"/>
      <c r="UJN118"/>
      <c r="UJO118"/>
      <c r="UJP118"/>
      <c r="UJQ118"/>
      <c r="UJR118"/>
      <c r="UJS118"/>
      <c r="UJT118"/>
      <c r="UJU118"/>
      <c r="UJV118"/>
      <c r="UJW118"/>
      <c r="UJX118"/>
      <c r="UJY118"/>
      <c r="UJZ118"/>
      <c r="UKA118"/>
      <c r="UKB118"/>
      <c r="UKC118"/>
      <c r="UKD118"/>
      <c r="UKE118"/>
      <c r="UKF118"/>
      <c r="UKG118"/>
      <c r="UKH118"/>
      <c r="UKI118"/>
      <c r="UKJ118"/>
      <c r="UKK118"/>
      <c r="UKL118"/>
      <c r="UKM118"/>
      <c r="UKN118"/>
      <c r="UKO118"/>
      <c r="UKP118"/>
      <c r="UKQ118"/>
      <c r="UKR118"/>
      <c r="UKS118"/>
      <c r="UKT118"/>
      <c r="UKU118"/>
      <c r="UKV118"/>
      <c r="UKW118"/>
      <c r="UKX118"/>
      <c r="UKY118"/>
      <c r="UKZ118"/>
      <c r="ULA118"/>
      <c r="ULB118"/>
      <c r="ULC118"/>
      <c r="ULD118"/>
      <c r="ULE118"/>
      <c r="ULF118"/>
      <c r="ULG118"/>
      <c r="ULH118"/>
      <c r="ULI118"/>
      <c r="ULJ118"/>
      <c r="ULK118"/>
      <c r="ULL118"/>
      <c r="ULM118"/>
      <c r="ULN118"/>
      <c r="ULO118"/>
      <c r="ULP118"/>
      <c r="ULQ118"/>
      <c r="ULR118"/>
      <c r="ULS118"/>
      <c r="ULT118"/>
      <c r="ULU118"/>
      <c r="ULV118"/>
      <c r="ULW118"/>
      <c r="ULX118"/>
      <c r="ULY118"/>
      <c r="ULZ118"/>
      <c r="UMA118"/>
      <c r="UMB118"/>
      <c r="UMC118"/>
      <c r="UMD118"/>
      <c r="UME118"/>
      <c r="UMF118"/>
      <c r="UMG118"/>
      <c r="UMH118"/>
      <c r="UMI118"/>
      <c r="UMJ118"/>
      <c r="UMK118"/>
      <c r="UML118"/>
      <c r="UMM118"/>
      <c r="UMN118"/>
      <c r="UMO118"/>
      <c r="UMP118"/>
      <c r="UMQ118"/>
      <c r="UMR118"/>
      <c r="UMS118"/>
      <c r="UMT118"/>
      <c r="UMU118"/>
      <c r="UMV118"/>
      <c r="UMW118"/>
      <c r="UMX118"/>
      <c r="UMY118"/>
      <c r="UMZ118"/>
      <c r="UNA118"/>
      <c r="UNB118"/>
      <c r="UNC118"/>
      <c r="UND118"/>
      <c r="UNE118"/>
      <c r="UNF118"/>
      <c r="UNG118"/>
      <c r="UNH118"/>
      <c r="UNI118"/>
      <c r="UNJ118"/>
      <c r="UNK118"/>
      <c r="UNL118"/>
      <c r="UNM118"/>
      <c r="UNN118"/>
      <c r="UNO118"/>
      <c r="UNP118"/>
      <c r="UNQ118"/>
      <c r="UNR118"/>
      <c r="UNS118"/>
      <c r="UNT118"/>
      <c r="UNU118"/>
      <c r="UNV118"/>
      <c r="UNW118"/>
      <c r="UNX118"/>
      <c r="UNY118"/>
      <c r="UNZ118"/>
      <c r="UOA118"/>
      <c r="UOB118"/>
      <c r="UOC118"/>
      <c r="UOD118"/>
      <c r="UOE118"/>
      <c r="UOF118"/>
      <c r="UOG118"/>
      <c r="UOH118"/>
      <c r="UOI118"/>
      <c r="UOJ118"/>
      <c r="UOK118"/>
      <c r="UOL118"/>
      <c r="UOM118"/>
      <c r="UON118"/>
      <c r="UOO118"/>
      <c r="UOP118"/>
      <c r="UOQ118"/>
      <c r="UOR118"/>
      <c r="UOS118"/>
      <c r="UOT118"/>
      <c r="UOU118"/>
      <c r="UOV118"/>
      <c r="UOW118"/>
      <c r="UOX118"/>
      <c r="UOY118"/>
      <c r="UOZ118"/>
      <c r="UPA118"/>
      <c r="UPB118"/>
      <c r="UPC118"/>
      <c r="UPD118"/>
      <c r="UPE118"/>
      <c r="UPF118"/>
      <c r="UPG118"/>
      <c r="UPH118"/>
      <c r="UPI118"/>
      <c r="UPJ118"/>
      <c r="UPK118"/>
      <c r="UPL118"/>
      <c r="UPM118"/>
      <c r="UPN118"/>
      <c r="UPO118"/>
      <c r="UPP118"/>
      <c r="UPQ118"/>
      <c r="UPR118"/>
      <c r="UPS118"/>
      <c r="UPT118"/>
      <c r="UPU118"/>
      <c r="UPV118"/>
      <c r="UPW118"/>
      <c r="UPX118"/>
      <c r="UPY118"/>
      <c r="UPZ118"/>
      <c r="UQA118"/>
      <c r="UQB118"/>
      <c r="UQC118"/>
      <c r="UQD118"/>
      <c r="UQE118"/>
      <c r="UQF118"/>
      <c r="UQG118"/>
      <c r="UQH118"/>
      <c r="UQI118"/>
      <c r="UQJ118"/>
      <c r="UQK118"/>
      <c r="UQL118"/>
      <c r="UQM118"/>
      <c r="UQN118"/>
      <c r="UQO118"/>
      <c r="UQP118"/>
      <c r="UQQ118"/>
      <c r="UQR118"/>
      <c r="UQS118"/>
      <c r="UQT118"/>
      <c r="UQU118"/>
      <c r="UQV118"/>
      <c r="UQW118"/>
      <c r="UQX118"/>
      <c r="UQY118"/>
      <c r="UQZ118"/>
      <c r="URA118"/>
      <c r="URB118"/>
      <c r="URC118"/>
      <c r="URD118"/>
      <c r="URE118"/>
      <c r="URF118"/>
      <c r="URG118"/>
      <c r="URH118"/>
      <c r="URI118"/>
      <c r="URJ118"/>
      <c r="URK118"/>
      <c r="URL118"/>
      <c r="URM118"/>
      <c r="URN118"/>
      <c r="URO118"/>
      <c r="URP118"/>
      <c r="URQ118"/>
      <c r="URR118"/>
      <c r="URS118"/>
      <c r="URT118"/>
      <c r="URU118"/>
      <c r="URV118"/>
      <c r="URW118"/>
      <c r="URX118"/>
      <c r="URY118"/>
      <c r="URZ118"/>
      <c r="USA118"/>
      <c r="USB118"/>
      <c r="USC118"/>
      <c r="USD118"/>
      <c r="USE118"/>
      <c r="USF118"/>
      <c r="USG118"/>
      <c r="USH118"/>
      <c r="USI118"/>
      <c r="USJ118"/>
      <c r="USK118"/>
      <c r="USL118"/>
      <c r="USM118"/>
      <c r="USN118"/>
      <c r="USO118"/>
      <c r="USP118"/>
      <c r="USQ118"/>
      <c r="USR118"/>
      <c r="USS118"/>
      <c r="UST118"/>
      <c r="USU118"/>
      <c r="USV118"/>
      <c r="USW118"/>
      <c r="USX118"/>
      <c r="USY118"/>
      <c r="USZ118"/>
      <c r="UTA118"/>
      <c r="UTB118"/>
      <c r="UTC118"/>
      <c r="UTD118"/>
      <c r="UTE118"/>
      <c r="UTF118"/>
      <c r="UTG118"/>
      <c r="UTH118"/>
      <c r="UTI118"/>
      <c r="UTJ118"/>
      <c r="UTK118"/>
      <c r="UTL118"/>
      <c r="UTM118"/>
      <c r="UTN118"/>
      <c r="UTO118"/>
      <c r="UTP118"/>
      <c r="UTQ118"/>
      <c r="UTR118"/>
      <c r="UTS118"/>
      <c r="UTT118"/>
      <c r="UTU118"/>
      <c r="UTV118"/>
      <c r="UTW118"/>
      <c r="UTX118"/>
      <c r="UTY118"/>
      <c r="UTZ118"/>
      <c r="UUA118"/>
      <c r="UUB118"/>
      <c r="UUC118"/>
      <c r="UUD118"/>
      <c r="UUE118"/>
      <c r="UUF118"/>
      <c r="UUG118"/>
      <c r="UUH118"/>
      <c r="UUI118"/>
      <c r="UUJ118"/>
      <c r="UUK118"/>
      <c r="UUL118"/>
      <c r="UUM118"/>
      <c r="UUN118"/>
      <c r="UUO118"/>
      <c r="UUP118"/>
      <c r="UUQ118"/>
      <c r="UUR118"/>
      <c r="UUS118"/>
      <c r="UUT118"/>
      <c r="UUU118"/>
      <c r="UUV118"/>
      <c r="UUW118"/>
      <c r="UUX118"/>
      <c r="UUY118"/>
      <c r="UUZ118"/>
      <c r="UVA118"/>
      <c r="UVB118"/>
      <c r="UVC118"/>
      <c r="UVD118"/>
      <c r="UVE118"/>
      <c r="UVF118"/>
      <c r="UVG118"/>
      <c r="UVH118"/>
      <c r="UVI118"/>
      <c r="UVJ118"/>
      <c r="UVK118"/>
      <c r="UVL118"/>
      <c r="UVM118"/>
      <c r="UVN118"/>
      <c r="UVO118"/>
      <c r="UVP118"/>
      <c r="UVQ118"/>
      <c r="UVR118"/>
      <c r="UVS118"/>
      <c r="UVT118"/>
      <c r="UVU118"/>
      <c r="UVV118"/>
      <c r="UVW118"/>
      <c r="UVX118"/>
      <c r="UVY118"/>
      <c r="UVZ118"/>
      <c r="UWA118"/>
      <c r="UWB118"/>
      <c r="UWC118"/>
      <c r="UWD118"/>
      <c r="UWE118"/>
      <c r="UWF118"/>
      <c r="UWG118"/>
      <c r="UWH118"/>
      <c r="UWI118"/>
      <c r="UWJ118"/>
      <c r="UWK118"/>
      <c r="UWL118"/>
      <c r="UWM118"/>
      <c r="UWN118"/>
      <c r="UWO118"/>
      <c r="UWP118"/>
      <c r="UWQ118"/>
      <c r="UWR118"/>
      <c r="UWS118"/>
      <c r="UWT118"/>
      <c r="UWU118"/>
      <c r="UWV118"/>
      <c r="UWW118"/>
      <c r="UWX118"/>
      <c r="UWY118"/>
      <c r="UWZ118"/>
      <c r="UXA118"/>
      <c r="UXB118"/>
      <c r="UXC118"/>
      <c r="UXD118"/>
      <c r="UXE118"/>
      <c r="UXF118"/>
      <c r="UXG118"/>
      <c r="UXH118"/>
      <c r="UXI118"/>
      <c r="UXJ118"/>
      <c r="UXK118"/>
      <c r="UXL118"/>
      <c r="UXM118"/>
      <c r="UXN118"/>
      <c r="UXO118"/>
      <c r="UXP118"/>
      <c r="UXQ118"/>
      <c r="UXR118"/>
      <c r="UXS118"/>
      <c r="UXT118"/>
      <c r="UXU118"/>
      <c r="UXV118"/>
      <c r="UXW118"/>
      <c r="UXX118"/>
      <c r="UXY118"/>
      <c r="UXZ118"/>
      <c r="UYA118"/>
      <c r="UYB118"/>
      <c r="UYC118"/>
      <c r="UYD118"/>
      <c r="UYE118"/>
      <c r="UYF118"/>
      <c r="UYG118"/>
      <c r="UYH118"/>
      <c r="UYI118"/>
      <c r="UYJ118"/>
      <c r="UYK118"/>
      <c r="UYL118"/>
      <c r="UYM118"/>
      <c r="UYN118"/>
      <c r="UYO118"/>
      <c r="UYP118"/>
      <c r="UYQ118"/>
      <c r="UYR118"/>
      <c r="UYS118"/>
      <c r="UYT118"/>
      <c r="UYU118"/>
      <c r="UYV118"/>
      <c r="UYW118"/>
      <c r="UYX118"/>
      <c r="UYY118"/>
      <c r="UYZ118"/>
      <c r="UZA118"/>
      <c r="UZB118"/>
      <c r="UZC118"/>
      <c r="UZD118"/>
      <c r="UZE118"/>
      <c r="UZF118"/>
      <c r="UZG118"/>
      <c r="UZH118"/>
      <c r="UZI118"/>
      <c r="UZJ118"/>
      <c r="UZK118"/>
      <c r="UZL118"/>
      <c r="UZM118"/>
      <c r="UZN118"/>
      <c r="UZO118"/>
      <c r="UZP118"/>
      <c r="UZQ118"/>
      <c r="UZR118"/>
      <c r="UZS118"/>
      <c r="UZT118"/>
      <c r="UZU118"/>
      <c r="UZV118"/>
      <c r="UZW118"/>
      <c r="UZX118"/>
      <c r="UZY118"/>
      <c r="UZZ118"/>
      <c r="VAA118"/>
      <c r="VAB118"/>
      <c r="VAC118"/>
      <c r="VAD118"/>
      <c r="VAE118"/>
      <c r="VAF118"/>
      <c r="VAG118"/>
      <c r="VAH118"/>
      <c r="VAI118"/>
      <c r="VAJ118"/>
      <c r="VAK118"/>
      <c r="VAL118"/>
      <c r="VAM118"/>
      <c r="VAN118"/>
      <c r="VAO118"/>
      <c r="VAP118"/>
      <c r="VAQ118"/>
      <c r="VAR118"/>
      <c r="VAS118"/>
      <c r="VAT118"/>
      <c r="VAU118"/>
      <c r="VAV118"/>
      <c r="VAW118"/>
      <c r="VAX118"/>
      <c r="VAY118"/>
      <c r="VAZ118"/>
      <c r="VBA118"/>
      <c r="VBB118"/>
      <c r="VBC118"/>
      <c r="VBD118"/>
      <c r="VBE118"/>
      <c r="VBF118"/>
      <c r="VBG118"/>
      <c r="VBH118"/>
      <c r="VBI118"/>
      <c r="VBJ118"/>
      <c r="VBK118"/>
      <c r="VBL118"/>
      <c r="VBM118"/>
      <c r="VBN118"/>
      <c r="VBO118"/>
      <c r="VBP118"/>
      <c r="VBQ118"/>
      <c r="VBR118"/>
      <c r="VBS118"/>
      <c r="VBT118"/>
      <c r="VBU118"/>
      <c r="VBV118"/>
      <c r="VBW118"/>
      <c r="VBX118"/>
      <c r="VBY118"/>
      <c r="VBZ118"/>
      <c r="VCA118"/>
      <c r="VCB118"/>
      <c r="VCC118"/>
      <c r="VCD118"/>
      <c r="VCE118"/>
      <c r="VCF118"/>
      <c r="VCG118"/>
      <c r="VCH118"/>
      <c r="VCI118"/>
      <c r="VCJ118"/>
      <c r="VCK118"/>
      <c r="VCL118"/>
      <c r="VCM118"/>
      <c r="VCN118"/>
      <c r="VCO118"/>
      <c r="VCP118"/>
      <c r="VCQ118"/>
      <c r="VCR118"/>
      <c r="VCS118"/>
      <c r="VCT118"/>
      <c r="VCU118"/>
      <c r="VCV118"/>
      <c r="VCW118"/>
      <c r="VCX118"/>
      <c r="VCY118"/>
      <c r="VCZ118"/>
      <c r="VDA118"/>
      <c r="VDB118"/>
      <c r="VDC118"/>
      <c r="VDD118"/>
      <c r="VDE118"/>
      <c r="VDF118"/>
      <c r="VDG118"/>
      <c r="VDH118"/>
      <c r="VDI118"/>
      <c r="VDJ118"/>
      <c r="VDK118"/>
      <c r="VDL118"/>
      <c r="VDM118"/>
      <c r="VDN118"/>
      <c r="VDO118"/>
      <c r="VDP118"/>
      <c r="VDQ118"/>
      <c r="VDR118"/>
      <c r="VDS118"/>
      <c r="VDT118"/>
      <c r="VDU118"/>
      <c r="VDV118"/>
      <c r="VDW118"/>
      <c r="VDX118"/>
      <c r="VDY118"/>
      <c r="VDZ118"/>
      <c r="VEA118"/>
      <c r="VEB118"/>
      <c r="VEC118"/>
      <c r="VED118"/>
      <c r="VEE118"/>
      <c r="VEF118"/>
      <c r="VEG118"/>
      <c r="VEH118"/>
      <c r="VEI118"/>
      <c r="VEJ118"/>
      <c r="VEK118"/>
      <c r="VEL118"/>
      <c r="VEM118"/>
      <c r="VEN118"/>
      <c r="VEO118"/>
      <c r="VEP118"/>
      <c r="VEQ118"/>
      <c r="VER118"/>
      <c r="VES118"/>
      <c r="VET118"/>
      <c r="VEU118"/>
      <c r="VEV118"/>
      <c r="VEW118"/>
      <c r="VEX118"/>
      <c r="VEY118"/>
      <c r="VEZ118"/>
      <c r="VFA118"/>
      <c r="VFB118"/>
      <c r="VFC118"/>
      <c r="VFD118"/>
      <c r="VFE118"/>
      <c r="VFF118"/>
      <c r="VFG118"/>
      <c r="VFH118"/>
      <c r="VFI118"/>
      <c r="VFJ118"/>
      <c r="VFK118"/>
      <c r="VFL118"/>
      <c r="VFM118"/>
      <c r="VFN118"/>
      <c r="VFO118"/>
      <c r="VFP118"/>
      <c r="VFQ118"/>
      <c r="VFR118"/>
      <c r="VFS118"/>
      <c r="VFT118"/>
      <c r="VFU118"/>
      <c r="VFV118"/>
      <c r="VFW118"/>
      <c r="VFX118"/>
      <c r="VFY118"/>
      <c r="VFZ118"/>
      <c r="VGA118"/>
      <c r="VGB118"/>
      <c r="VGC118"/>
      <c r="VGD118"/>
      <c r="VGE118"/>
      <c r="VGF118"/>
      <c r="VGG118"/>
      <c r="VGH118"/>
      <c r="VGI118"/>
      <c r="VGJ118"/>
      <c r="VGK118"/>
      <c r="VGL118"/>
      <c r="VGM118"/>
      <c r="VGN118"/>
      <c r="VGO118"/>
      <c r="VGP118"/>
      <c r="VGQ118"/>
      <c r="VGR118"/>
      <c r="VGS118"/>
      <c r="VGT118"/>
      <c r="VGU118"/>
      <c r="VGV118"/>
      <c r="VGW118"/>
      <c r="VGX118"/>
      <c r="VGY118"/>
      <c r="VGZ118"/>
      <c r="VHA118"/>
      <c r="VHB118"/>
      <c r="VHC118"/>
      <c r="VHD118"/>
      <c r="VHE118"/>
      <c r="VHF118"/>
      <c r="VHG118"/>
      <c r="VHH118"/>
      <c r="VHI118"/>
      <c r="VHJ118"/>
      <c r="VHK118"/>
      <c r="VHL118"/>
      <c r="VHM118"/>
      <c r="VHN118"/>
      <c r="VHO118"/>
      <c r="VHP118"/>
      <c r="VHQ118"/>
      <c r="VHR118"/>
      <c r="VHS118"/>
      <c r="VHT118"/>
      <c r="VHU118"/>
      <c r="VHV118"/>
      <c r="VHW118"/>
      <c r="VHX118"/>
      <c r="VHY118"/>
      <c r="VHZ118"/>
      <c r="VIA118"/>
      <c r="VIB118"/>
      <c r="VIC118"/>
      <c r="VID118"/>
      <c r="VIE118"/>
      <c r="VIF118"/>
      <c r="VIG118"/>
      <c r="VIH118"/>
      <c r="VII118"/>
      <c r="VIJ118"/>
      <c r="VIK118"/>
      <c r="VIL118"/>
      <c r="VIM118"/>
      <c r="VIN118"/>
      <c r="VIO118"/>
      <c r="VIP118"/>
      <c r="VIQ118"/>
      <c r="VIR118"/>
      <c r="VIS118"/>
      <c r="VIT118"/>
      <c r="VIU118"/>
      <c r="VIV118"/>
      <c r="VIW118"/>
      <c r="VIX118"/>
      <c r="VIY118"/>
      <c r="VIZ118"/>
      <c r="VJA118"/>
      <c r="VJB118"/>
      <c r="VJC118"/>
      <c r="VJD118"/>
      <c r="VJE118"/>
      <c r="VJF118"/>
      <c r="VJG118"/>
      <c r="VJH118"/>
      <c r="VJI118"/>
      <c r="VJJ118"/>
      <c r="VJK118"/>
      <c r="VJL118"/>
      <c r="VJM118"/>
      <c r="VJN118"/>
      <c r="VJO118"/>
      <c r="VJP118"/>
      <c r="VJQ118"/>
      <c r="VJR118"/>
      <c r="VJS118"/>
      <c r="VJT118"/>
      <c r="VJU118"/>
      <c r="VJV118"/>
      <c r="VJW118"/>
      <c r="VJX118"/>
      <c r="VJY118"/>
      <c r="VJZ118"/>
      <c r="VKA118"/>
      <c r="VKB118"/>
      <c r="VKC118"/>
      <c r="VKD118"/>
      <c r="VKE118"/>
      <c r="VKF118"/>
      <c r="VKG118"/>
      <c r="VKH118"/>
      <c r="VKI118"/>
      <c r="VKJ118"/>
      <c r="VKK118"/>
      <c r="VKL118"/>
      <c r="VKM118"/>
      <c r="VKN118"/>
      <c r="VKO118"/>
      <c r="VKP118"/>
      <c r="VKQ118"/>
      <c r="VKR118"/>
      <c r="VKS118"/>
      <c r="VKT118"/>
      <c r="VKU118"/>
      <c r="VKV118"/>
      <c r="VKW118"/>
      <c r="VKX118"/>
      <c r="VKY118"/>
      <c r="VKZ118"/>
      <c r="VLA118"/>
      <c r="VLB118"/>
      <c r="VLC118"/>
      <c r="VLD118"/>
      <c r="VLE118"/>
      <c r="VLF118"/>
      <c r="VLG118"/>
      <c r="VLH118"/>
      <c r="VLI118"/>
      <c r="VLJ118"/>
      <c r="VLK118"/>
      <c r="VLL118"/>
      <c r="VLM118"/>
      <c r="VLN118"/>
      <c r="VLO118"/>
      <c r="VLP118"/>
      <c r="VLQ118"/>
      <c r="VLR118"/>
      <c r="VLS118"/>
      <c r="VLT118"/>
      <c r="VLU118"/>
      <c r="VLV118"/>
      <c r="VLW118"/>
      <c r="VLX118"/>
      <c r="VLY118"/>
      <c r="VLZ118"/>
      <c r="VMA118"/>
      <c r="VMB118"/>
      <c r="VMC118"/>
      <c r="VMD118"/>
      <c r="VME118"/>
      <c r="VMF118"/>
      <c r="VMG118"/>
      <c r="VMH118"/>
      <c r="VMI118"/>
      <c r="VMJ118"/>
      <c r="VMK118"/>
      <c r="VML118"/>
      <c r="VMM118"/>
      <c r="VMN118"/>
      <c r="VMO118"/>
      <c r="VMP118"/>
      <c r="VMQ118"/>
      <c r="VMR118"/>
      <c r="VMS118"/>
      <c r="VMT118"/>
      <c r="VMU118"/>
      <c r="VMV118"/>
      <c r="VMW118"/>
      <c r="VMX118"/>
      <c r="VMY118"/>
      <c r="VMZ118"/>
      <c r="VNA118"/>
      <c r="VNB118"/>
      <c r="VNC118"/>
      <c r="VND118"/>
      <c r="VNE118"/>
      <c r="VNF118"/>
      <c r="VNG118"/>
      <c r="VNH118"/>
      <c r="VNI118"/>
      <c r="VNJ118"/>
      <c r="VNK118"/>
      <c r="VNL118"/>
      <c r="VNM118"/>
      <c r="VNN118"/>
      <c r="VNO118"/>
      <c r="VNP118"/>
      <c r="VNQ118"/>
      <c r="VNR118"/>
      <c r="VNS118"/>
      <c r="VNT118"/>
      <c r="VNU118"/>
      <c r="VNV118"/>
      <c r="VNW118"/>
      <c r="VNX118"/>
      <c r="VNY118"/>
      <c r="VNZ118"/>
      <c r="VOA118"/>
      <c r="VOB118"/>
      <c r="VOC118"/>
      <c r="VOD118"/>
      <c r="VOE118"/>
      <c r="VOF118"/>
      <c r="VOG118"/>
      <c r="VOH118"/>
      <c r="VOI118"/>
      <c r="VOJ118"/>
      <c r="VOK118"/>
      <c r="VOL118"/>
      <c r="VOM118"/>
      <c r="VON118"/>
      <c r="VOO118"/>
      <c r="VOP118"/>
      <c r="VOQ118"/>
      <c r="VOR118"/>
      <c r="VOS118"/>
      <c r="VOT118"/>
      <c r="VOU118"/>
      <c r="VOV118"/>
      <c r="VOW118"/>
      <c r="VOX118"/>
      <c r="VOY118"/>
      <c r="VOZ118"/>
      <c r="VPA118"/>
      <c r="VPB118"/>
      <c r="VPC118"/>
      <c r="VPD118"/>
      <c r="VPE118"/>
      <c r="VPF118"/>
      <c r="VPG118"/>
      <c r="VPH118"/>
      <c r="VPI118"/>
      <c r="VPJ118"/>
      <c r="VPK118"/>
      <c r="VPL118"/>
      <c r="VPM118"/>
      <c r="VPN118"/>
      <c r="VPO118"/>
      <c r="VPP118"/>
      <c r="VPQ118"/>
      <c r="VPR118"/>
      <c r="VPS118"/>
      <c r="VPT118"/>
      <c r="VPU118"/>
      <c r="VPV118"/>
      <c r="VPW118"/>
      <c r="VPX118"/>
      <c r="VPY118"/>
      <c r="VPZ118"/>
      <c r="VQA118"/>
      <c r="VQB118"/>
      <c r="VQC118"/>
      <c r="VQD118"/>
      <c r="VQE118"/>
      <c r="VQF118"/>
      <c r="VQG118"/>
      <c r="VQH118"/>
      <c r="VQI118"/>
      <c r="VQJ118"/>
      <c r="VQK118"/>
      <c r="VQL118"/>
      <c r="VQM118"/>
      <c r="VQN118"/>
      <c r="VQO118"/>
      <c r="VQP118"/>
      <c r="VQQ118"/>
      <c r="VQR118"/>
      <c r="VQS118"/>
      <c r="VQT118"/>
      <c r="VQU118"/>
      <c r="VQV118"/>
      <c r="VQW118"/>
      <c r="VQX118"/>
      <c r="VQY118"/>
      <c r="VQZ118"/>
      <c r="VRA118"/>
      <c r="VRB118"/>
      <c r="VRC118"/>
      <c r="VRD118"/>
      <c r="VRE118"/>
      <c r="VRF118"/>
      <c r="VRG118"/>
      <c r="VRH118"/>
      <c r="VRI118"/>
      <c r="VRJ118"/>
      <c r="VRK118"/>
      <c r="VRL118"/>
      <c r="VRM118"/>
      <c r="VRN118"/>
      <c r="VRO118"/>
      <c r="VRP118"/>
      <c r="VRQ118"/>
      <c r="VRR118"/>
      <c r="VRS118"/>
      <c r="VRT118"/>
      <c r="VRU118"/>
      <c r="VRV118"/>
      <c r="VRW118"/>
      <c r="VRX118"/>
      <c r="VRY118"/>
      <c r="VRZ118"/>
      <c r="VSA118"/>
      <c r="VSB118"/>
      <c r="VSC118"/>
      <c r="VSD118"/>
      <c r="VSE118"/>
      <c r="VSF118"/>
      <c r="VSG118"/>
      <c r="VSH118"/>
      <c r="VSI118"/>
      <c r="VSJ118"/>
      <c r="VSK118"/>
      <c r="VSL118"/>
      <c r="VSM118"/>
      <c r="VSN118"/>
      <c r="VSO118"/>
      <c r="VSP118"/>
      <c r="VSQ118"/>
      <c r="VSR118"/>
      <c r="VSS118"/>
      <c r="VST118"/>
      <c r="VSU118"/>
      <c r="VSV118"/>
      <c r="VSW118"/>
      <c r="VSX118"/>
      <c r="VSY118"/>
      <c r="VSZ118"/>
      <c r="VTA118"/>
      <c r="VTB118"/>
      <c r="VTC118"/>
      <c r="VTD118"/>
      <c r="VTE118"/>
      <c r="VTF118"/>
      <c r="VTG118"/>
      <c r="VTH118"/>
      <c r="VTI118"/>
      <c r="VTJ118"/>
      <c r="VTK118"/>
      <c r="VTL118"/>
      <c r="VTM118"/>
      <c r="VTN118"/>
      <c r="VTO118"/>
      <c r="VTP118"/>
      <c r="VTQ118"/>
      <c r="VTR118"/>
      <c r="VTS118"/>
      <c r="VTT118"/>
      <c r="VTU118"/>
      <c r="VTV118"/>
      <c r="VTW118"/>
      <c r="VTX118"/>
      <c r="VTY118"/>
      <c r="VTZ118"/>
      <c r="VUA118"/>
      <c r="VUB118"/>
      <c r="VUC118"/>
      <c r="VUD118"/>
      <c r="VUE118"/>
      <c r="VUF118"/>
      <c r="VUG118"/>
      <c r="VUH118"/>
      <c r="VUI118"/>
      <c r="VUJ118"/>
      <c r="VUK118"/>
      <c r="VUL118"/>
      <c r="VUM118"/>
      <c r="VUN118"/>
      <c r="VUO118"/>
      <c r="VUP118"/>
      <c r="VUQ118"/>
      <c r="VUR118"/>
      <c r="VUS118"/>
      <c r="VUT118"/>
      <c r="VUU118"/>
      <c r="VUV118"/>
      <c r="VUW118"/>
      <c r="VUX118"/>
      <c r="VUY118"/>
      <c r="VUZ118"/>
      <c r="VVA118"/>
      <c r="VVB118"/>
      <c r="VVC118"/>
      <c r="VVD118"/>
      <c r="VVE118"/>
      <c r="VVF118"/>
      <c r="VVG118"/>
      <c r="VVH118"/>
      <c r="VVI118"/>
      <c r="VVJ118"/>
      <c r="VVK118"/>
      <c r="VVL118"/>
      <c r="VVM118"/>
      <c r="VVN118"/>
      <c r="VVO118"/>
      <c r="VVP118"/>
      <c r="VVQ118"/>
      <c r="VVR118"/>
      <c r="VVS118"/>
      <c r="VVT118"/>
      <c r="VVU118"/>
      <c r="VVV118"/>
      <c r="VVW118"/>
      <c r="VVX118"/>
      <c r="VVY118"/>
      <c r="VVZ118"/>
      <c r="VWA118"/>
      <c r="VWB118"/>
      <c r="VWC118"/>
      <c r="VWD118"/>
      <c r="VWE118"/>
      <c r="VWF118"/>
      <c r="VWG118"/>
      <c r="VWH118"/>
      <c r="VWI118"/>
      <c r="VWJ118"/>
      <c r="VWK118"/>
      <c r="VWL118"/>
      <c r="VWM118"/>
      <c r="VWN118"/>
      <c r="VWO118"/>
      <c r="VWP118"/>
      <c r="VWQ118"/>
      <c r="VWR118"/>
      <c r="VWS118"/>
      <c r="VWT118"/>
      <c r="VWU118"/>
      <c r="VWV118"/>
      <c r="VWW118"/>
      <c r="VWX118"/>
      <c r="VWY118"/>
      <c r="VWZ118"/>
      <c r="VXA118"/>
      <c r="VXB118"/>
      <c r="VXC118"/>
      <c r="VXD118"/>
      <c r="VXE118"/>
      <c r="VXF118"/>
      <c r="VXG118"/>
      <c r="VXH118"/>
      <c r="VXI118"/>
      <c r="VXJ118"/>
      <c r="VXK118"/>
      <c r="VXL118"/>
      <c r="VXM118"/>
      <c r="VXN118"/>
      <c r="VXO118"/>
      <c r="VXP118"/>
      <c r="VXQ118"/>
      <c r="VXR118"/>
      <c r="VXS118"/>
      <c r="VXT118"/>
      <c r="VXU118"/>
      <c r="VXV118"/>
      <c r="VXW118"/>
      <c r="VXX118"/>
      <c r="VXY118"/>
      <c r="VXZ118"/>
      <c r="VYA118"/>
      <c r="VYB118"/>
      <c r="VYC118"/>
      <c r="VYD118"/>
      <c r="VYE118"/>
      <c r="VYF118"/>
      <c r="VYG118"/>
      <c r="VYH118"/>
      <c r="VYI118"/>
      <c r="VYJ118"/>
      <c r="VYK118"/>
      <c r="VYL118"/>
      <c r="VYM118"/>
      <c r="VYN118"/>
      <c r="VYO118"/>
      <c r="VYP118"/>
      <c r="VYQ118"/>
      <c r="VYR118"/>
      <c r="VYS118"/>
      <c r="VYT118"/>
      <c r="VYU118"/>
      <c r="VYV118"/>
      <c r="VYW118"/>
      <c r="VYX118"/>
      <c r="VYY118"/>
      <c r="VYZ118"/>
      <c r="VZA118"/>
      <c r="VZB118"/>
      <c r="VZC118"/>
      <c r="VZD118"/>
      <c r="VZE118"/>
      <c r="VZF118"/>
      <c r="VZG118"/>
      <c r="VZH118"/>
      <c r="VZI118"/>
      <c r="VZJ118"/>
      <c r="VZK118"/>
      <c r="VZL118"/>
      <c r="VZM118"/>
      <c r="VZN118"/>
      <c r="VZO118"/>
      <c r="VZP118"/>
      <c r="VZQ118"/>
      <c r="VZR118"/>
      <c r="VZS118"/>
      <c r="VZT118"/>
      <c r="VZU118"/>
      <c r="VZV118"/>
      <c r="VZW118"/>
      <c r="VZX118"/>
      <c r="VZY118"/>
      <c r="VZZ118"/>
      <c r="WAA118"/>
      <c r="WAB118"/>
      <c r="WAC118"/>
      <c r="WAD118"/>
      <c r="WAE118"/>
      <c r="WAF118"/>
      <c r="WAG118"/>
      <c r="WAH118"/>
      <c r="WAI118"/>
      <c r="WAJ118"/>
      <c r="WAK118"/>
      <c r="WAL118"/>
      <c r="WAM118"/>
      <c r="WAN118"/>
      <c r="WAO118"/>
      <c r="WAP118"/>
      <c r="WAQ118"/>
      <c r="WAR118"/>
      <c r="WAS118"/>
      <c r="WAT118"/>
      <c r="WAU118"/>
      <c r="WAV118"/>
      <c r="WAW118"/>
      <c r="WAX118"/>
      <c r="WAY118"/>
      <c r="WAZ118"/>
      <c r="WBA118"/>
      <c r="WBB118"/>
      <c r="WBC118"/>
      <c r="WBD118"/>
      <c r="WBE118"/>
      <c r="WBF118"/>
      <c r="WBG118"/>
      <c r="WBH118"/>
      <c r="WBI118"/>
      <c r="WBJ118"/>
      <c r="WBK118"/>
      <c r="WBL118"/>
      <c r="WBM118"/>
      <c r="WBN118"/>
      <c r="WBO118"/>
      <c r="WBP118"/>
      <c r="WBQ118"/>
      <c r="WBR118"/>
      <c r="WBS118"/>
      <c r="WBT118"/>
      <c r="WBU118"/>
      <c r="WBV118"/>
      <c r="WBW118"/>
      <c r="WBX118"/>
      <c r="WBY118"/>
      <c r="WBZ118"/>
      <c r="WCA118"/>
      <c r="WCB118"/>
      <c r="WCC118"/>
      <c r="WCD118"/>
      <c r="WCE118"/>
      <c r="WCF118"/>
      <c r="WCG118"/>
      <c r="WCH118"/>
      <c r="WCI118"/>
      <c r="WCJ118"/>
      <c r="WCK118"/>
      <c r="WCL118"/>
      <c r="WCM118"/>
      <c r="WCN118"/>
      <c r="WCO118"/>
      <c r="WCP118"/>
      <c r="WCQ118"/>
      <c r="WCR118"/>
      <c r="WCS118"/>
      <c r="WCT118"/>
      <c r="WCU118"/>
      <c r="WCV118"/>
      <c r="WCW118"/>
      <c r="WCX118"/>
      <c r="WCY118"/>
      <c r="WCZ118"/>
      <c r="WDA118"/>
      <c r="WDB118"/>
      <c r="WDC118"/>
      <c r="WDD118"/>
      <c r="WDE118"/>
      <c r="WDF118"/>
      <c r="WDG118"/>
      <c r="WDH118"/>
      <c r="WDI118"/>
      <c r="WDJ118"/>
      <c r="WDK118"/>
      <c r="WDL118"/>
      <c r="WDM118"/>
      <c r="WDN118"/>
      <c r="WDO118"/>
      <c r="WDP118"/>
      <c r="WDQ118"/>
      <c r="WDR118"/>
      <c r="WDS118"/>
      <c r="WDT118"/>
      <c r="WDU118"/>
      <c r="WDV118"/>
      <c r="WDW118"/>
      <c r="WDX118"/>
      <c r="WDY118"/>
      <c r="WDZ118"/>
      <c r="WEA118"/>
      <c r="WEB118"/>
      <c r="WEC118"/>
      <c r="WED118"/>
      <c r="WEE118"/>
      <c r="WEF118"/>
      <c r="WEG118"/>
      <c r="WEH118"/>
      <c r="WEI118"/>
      <c r="WEJ118"/>
      <c r="WEK118"/>
      <c r="WEL118"/>
      <c r="WEM118"/>
      <c r="WEN118"/>
      <c r="WEO118"/>
      <c r="WEP118"/>
      <c r="WEQ118"/>
      <c r="WER118"/>
      <c r="WES118"/>
      <c r="WET118"/>
      <c r="WEU118"/>
      <c r="WEV118"/>
      <c r="WEW118"/>
      <c r="WEX118"/>
      <c r="WEY118"/>
      <c r="WEZ118"/>
      <c r="WFA118"/>
      <c r="WFB118"/>
      <c r="WFC118"/>
      <c r="WFD118"/>
      <c r="WFE118"/>
      <c r="WFF118"/>
      <c r="WFG118"/>
      <c r="WFH118"/>
      <c r="WFI118"/>
      <c r="WFJ118"/>
      <c r="WFK118"/>
      <c r="WFL118"/>
      <c r="WFM118"/>
      <c r="WFN118"/>
      <c r="WFO118"/>
      <c r="WFP118"/>
      <c r="WFQ118"/>
      <c r="WFR118"/>
      <c r="WFS118"/>
      <c r="WFT118"/>
      <c r="WFU118"/>
      <c r="WFV118"/>
      <c r="WFW118"/>
      <c r="WFX118"/>
      <c r="WFY118"/>
      <c r="WFZ118"/>
      <c r="WGA118"/>
      <c r="WGB118"/>
      <c r="WGC118"/>
      <c r="WGD118"/>
      <c r="WGE118"/>
      <c r="WGF118"/>
      <c r="WGG118"/>
      <c r="WGH118"/>
      <c r="WGI118"/>
      <c r="WGJ118"/>
      <c r="WGK118"/>
      <c r="WGL118"/>
      <c r="WGM118"/>
      <c r="WGN118"/>
      <c r="WGO118"/>
      <c r="WGP118"/>
      <c r="WGQ118"/>
      <c r="WGR118"/>
      <c r="WGS118"/>
      <c r="WGT118"/>
      <c r="WGU118"/>
      <c r="WGV118"/>
      <c r="WGW118"/>
      <c r="WGX118"/>
      <c r="WGY118"/>
      <c r="WGZ118"/>
      <c r="WHA118"/>
      <c r="WHB118"/>
      <c r="WHC118"/>
      <c r="WHD118"/>
      <c r="WHE118"/>
      <c r="WHF118"/>
      <c r="WHG118"/>
      <c r="WHH118"/>
      <c r="WHI118"/>
      <c r="WHJ118"/>
      <c r="WHK118"/>
      <c r="WHL118"/>
      <c r="WHM118"/>
      <c r="WHN118"/>
      <c r="WHO118"/>
      <c r="WHP118"/>
      <c r="WHQ118"/>
      <c r="WHR118"/>
      <c r="WHS118"/>
      <c r="WHT118"/>
      <c r="WHU118"/>
      <c r="WHV118"/>
      <c r="WHW118"/>
      <c r="WHX118"/>
      <c r="WHY118"/>
      <c r="WHZ118"/>
      <c r="WIA118"/>
      <c r="WIB118"/>
      <c r="WIC118"/>
      <c r="WID118"/>
      <c r="WIE118"/>
      <c r="WIF118"/>
      <c r="WIG118"/>
      <c r="WIH118"/>
      <c r="WII118"/>
      <c r="WIJ118"/>
      <c r="WIK118"/>
      <c r="WIL118"/>
      <c r="WIM118"/>
      <c r="WIN118"/>
      <c r="WIO118"/>
      <c r="WIP118"/>
      <c r="WIQ118"/>
      <c r="WIR118"/>
      <c r="WIS118"/>
      <c r="WIT118"/>
      <c r="WIU118"/>
      <c r="WIV118"/>
      <c r="WIW118"/>
      <c r="WIX118"/>
      <c r="WIY118"/>
      <c r="WIZ118"/>
      <c r="WJA118"/>
      <c r="WJB118"/>
      <c r="WJC118"/>
      <c r="WJD118"/>
      <c r="WJE118"/>
      <c r="WJF118"/>
      <c r="WJG118"/>
      <c r="WJH118"/>
      <c r="WJI118"/>
      <c r="WJJ118"/>
      <c r="WJK118"/>
      <c r="WJL118"/>
      <c r="WJM118"/>
      <c r="WJN118"/>
      <c r="WJO118"/>
      <c r="WJP118"/>
      <c r="WJQ118"/>
      <c r="WJR118"/>
      <c r="WJS118"/>
      <c r="WJT118"/>
      <c r="WJU118"/>
      <c r="WJV118"/>
      <c r="WJW118"/>
      <c r="WJX118"/>
      <c r="WJY118"/>
      <c r="WJZ118"/>
      <c r="WKA118"/>
      <c r="WKB118"/>
      <c r="WKC118"/>
      <c r="WKD118"/>
      <c r="WKE118"/>
      <c r="WKF118"/>
      <c r="WKG118"/>
      <c r="WKH118"/>
      <c r="WKI118"/>
      <c r="WKJ118"/>
      <c r="WKK118"/>
      <c r="WKL118"/>
      <c r="WKM118"/>
      <c r="WKN118"/>
      <c r="WKO118"/>
      <c r="WKP118"/>
      <c r="WKQ118"/>
      <c r="WKR118"/>
      <c r="WKS118"/>
      <c r="WKT118"/>
      <c r="WKU118"/>
      <c r="WKV118"/>
      <c r="WKW118"/>
      <c r="WKX118"/>
      <c r="WKY118"/>
      <c r="WKZ118"/>
      <c r="WLA118"/>
      <c r="WLB118"/>
      <c r="WLC118"/>
      <c r="WLD118"/>
      <c r="WLE118"/>
      <c r="WLF118"/>
      <c r="WLG118"/>
      <c r="WLH118"/>
      <c r="WLI118"/>
      <c r="WLJ118"/>
      <c r="WLK118"/>
      <c r="WLL118"/>
      <c r="WLM118"/>
      <c r="WLN118"/>
      <c r="WLO118"/>
      <c r="WLP118"/>
      <c r="WLQ118"/>
      <c r="WLR118"/>
      <c r="WLS118"/>
      <c r="WLT118"/>
      <c r="WLU118"/>
      <c r="WLV118"/>
      <c r="WLW118"/>
      <c r="WLX118"/>
      <c r="WLY118"/>
      <c r="WLZ118"/>
      <c r="WMA118"/>
      <c r="WMB118"/>
      <c r="WMC118"/>
      <c r="WMD118"/>
      <c r="WME118"/>
      <c r="WMF118"/>
      <c r="WMG118"/>
      <c r="WMH118"/>
      <c r="WMI118"/>
      <c r="WMJ118"/>
      <c r="WMK118"/>
      <c r="WML118"/>
      <c r="WMM118"/>
      <c r="WMN118"/>
      <c r="WMO118"/>
      <c r="WMP118"/>
      <c r="WMQ118"/>
      <c r="WMR118"/>
      <c r="WMS118"/>
      <c r="WMT118"/>
      <c r="WMU118"/>
      <c r="WMV118"/>
      <c r="WMW118"/>
      <c r="WMX118"/>
      <c r="WMY118"/>
      <c r="WMZ118"/>
      <c r="WNA118"/>
      <c r="WNB118"/>
      <c r="WNC118"/>
      <c r="WND118"/>
      <c r="WNE118"/>
      <c r="WNF118"/>
      <c r="WNG118"/>
      <c r="WNH118"/>
      <c r="WNI118"/>
      <c r="WNJ118"/>
      <c r="WNK118"/>
      <c r="WNL118"/>
      <c r="WNM118"/>
      <c r="WNN118"/>
      <c r="WNO118"/>
      <c r="WNP118"/>
      <c r="WNQ118"/>
      <c r="WNR118"/>
      <c r="WNS118"/>
      <c r="WNT118"/>
      <c r="WNU118"/>
      <c r="WNV118"/>
      <c r="WNW118"/>
      <c r="WNX118"/>
      <c r="WNY118"/>
      <c r="WNZ118"/>
      <c r="WOA118"/>
      <c r="WOB118"/>
      <c r="WOC118"/>
      <c r="WOD118"/>
      <c r="WOE118"/>
      <c r="WOF118"/>
      <c r="WOG118"/>
      <c r="WOH118"/>
      <c r="WOI118"/>
      <c r="WOJ118"/>
      <c r="WOK118"/>
      <c r="WOL118"/>
      <c r="WOM118"/>
      <c r="WON118"/>
      <c r="WOO118"/>
      <c r="WOP118"/>
      <c r="WOQ118"/>
      <c r="WOR118"/>
      <c r="WOS118"/>
      <c r="WOT118"/>
      <c r="WOU118"/>
      <c r="WOV118"/>
      <c r="WOW118"/>
      <c r="WOX118"/>
      <c r="WOY118"/>
      <c r="WOZ118"/>
      <c r="WPA118"/>
      <c r="WPB118"/>
      <c r="WPC118"/>
      <c r="WPD118"/>
      <c r="WPE118"/>
      <c r="WPF118"/>
      <c r="WPG118"/>
      <c r="WPH118"/>
      <c r="WPI118"/>
      <c r="WPJ118"/>
      <c r="WPK118"/>
      <c r="WPL118"/>
      <c r="WPM118"/>
      <c r="WPN118"/>
      <c r="WPO118"/>
      <c r="WPP118"/>
      <c r="WPQ118"/>
      <c r="WPR118"/>
      <c r="WPS118"/>
      <c r="WPT118"/>
      <c r="WPU118"/>
      <c r="WPV118"/>
      <c r="WPW118"/>
      <c r="WPX118"/>
      <c r="WPY118"/>
      <c r="WPZ118"/>
      <c r="WQA118"/>
      <c r="WQB118"/>
      <c r="WQC118"/>
      <c r="WQD118"/>
      <c r="WQE118"/>
      <c r="WQF118"/>
      <c r="WQG118"/>
      <c r="WQH118"/>
      <c r="WQI118"/>
      <c r="WQJ118"/>
      <c r="WQK118"/>
      <c r="WQL118"/>
      <c r="WQM118"/>
      <c r="WQN118"/>
      <c r="WQO118"/>
      <c r="WQP118"/>
      <c r="WQQ118"/>
      <c r="WQR118"/>
      <c r="WQS118"/>
      <c r="WQT118"/>
      <c r="WQU118"/>
      <c r="WQV118"/>
      <c r="WQW118"/>
      <c r="WQX118"/>
      <c r="WQY118"/>
      <c r="WQZ118"/>
      <c r="WRA118"/>
      <c r="WRB118"/>
      <c r="WRC118"/>
      <c r="WRD118"/>
      <c r="WRE118"/>
      <c r="WRF118"/>
      <c r="WRG118"/>
      <c r="WRH118"/>
      <c r="WRI118"/>
      <c r="WRJ118"/>
      <c r="WRK118"/>
      <c r="WRL118"/>
      <c r="WRM118"/>
      <c r="WRN118"/>
      <c r="WRO118"/>
      <c r="WRP118"/>
      <c r="WRQ118"/>
      <c r="WRR118"/>
      <c r="WRS118"/>
      <c r="WRT118"/>
      <c r="WRU118"/>
      <c r="WRV118"/>
      <c r="WRW118"/>
      <c r="WRX118"/>
      <c r="WRY118"/>
      <c r="WRZ118"/>
      <c r="WSA118"/>
      <c r="WSB118"/>
      <c r="WSC118"/>
      <c r="WSD118"/>
      <c r="WSE118"/>
      <c r="WSF118"/>
      <c r="WSG118"/>
      <c r="WSH118"/>
      <c r="WSI118"/>
      <c r="WSJ118"/>
      <c r="WSK118"/>
      <c r="WSL118"/>
      <c r="WSM118"/>
      <c r="WSN118"/>
      <c r="WSO118"/>
      <c r="WSP118"/>
      <c r="WSQ118"/>
      <c r="WSR118"/>
      <c r="WSS118"/>
      <c r="WST118"/>
      <c r="WSU118"/>
      <c r="WSV118"/>
      <c r="WSW118"/>
      <c r="WSX118"/>
      <c r="WSY118"/>
      <c r="WSZ118"/>
      <c r="WTA118"/>
      <c r="WTB118"/>
      <c r="WTC118"/>
      <c r="WTD118"/>
      <c r="WTE118"/>
      <c r="WTF118"/>
      <c r="WTG118"/>
      <c r="WTH118"/>
      <c r="WTI118"/>
      <c r="WTJ118"/>
      <c r="WTK118"/>
      <c r="WTL118"/>
      <c r="WTM118"/>
      <c r="WTN118"/>
      <c r="WTO118"/>
      <c r="WTP118"/>
      <c r="WTQ118"/>
      <c r="WTR118"/>
      <c r="WTS118"/>
      <c r="WTT118"/>
      <c r="WTU118"/>
      <c r="WTV118"/>
      <c r="WTW118"/>
      <c r="WTX118"/>
      <c r="WTY118"/>
      <c r="WTZ118"/>
      <c r="WUA118"/>
      <c r="WUB118"/>
      <c r="WUC118"/>
      <c r="WUD118"/>
      <c r="WUE118"/>
      <c r="WUF118"/>
      <c r="WUG118"/>
      <c r="WUH118"/>
      <c r="WUI118"/>
      <c r="WUJ118"/>
      <c r="WUK118"/>
      <c r="WUL118"/>
      <c r="WUM118"/>
      <c r="WUN118"/>
      <c r="WUO118"/>
      <c r="WUP118"/>
      <c r="WUQ118"/>
      <c r="WUR118"/>
      <c r="WUS118"/>
      <c r="WUT118"/>
      <c r="WUU118"/>
      <c r="WUV118"/>
      <c r="WUW118"/>
      <c r="WUX118"/>
      <c r="WUY118"/>
      <c r="WUZ118"/>
      <c r="WVA118"/>
      <c r="WVB118"/>
      <c r="WVC118"/>
      <c r="WVD118"/>
      <c r="WVE118"/>
      <c r="WVF118"/>
      <c r="WVG118"/>
      <c r="WVH118"/>
      <c r="WVI118"/>
      <c r="WVJ118"/>
      <c r="WVK118"/>
      <c r="WVL118"/>
      <c r="WVM118"/>
      <c r="WVN118"/>
      <c r="WVO118"/>
      <c r="WVP118"/>
      <c r="WVQ118"/>
      <c r="WVR118"/>
      <c r="WVS118"/>
      <c r="WVT118"/>
      <c r="WVU118"/>
      <c r="WVV118"/>
      <c r="WVW118"/>
      <c r="WVX118"/>
      <c r="WVY118"/>
      <c r="WVZ118"/>
      <c r="WWA118"/>
      <c r="WWB118"/>
      <c r="WWC118"/>
      <c r="WWD118"/>
      <c r="WWE118"/>
      <c r="WWF118"/>
      <c r="WWG118"/>
      <c r="WWH118"/>
      <c r="WWI118"/>
      <c r="WWJ118"/>
      <c r="WWK118"/>
      <c r="WWL118"/>
      <c r="WWM118"/>
      <c r="WWN118"/>
      <c r="WWO118"/>
      <c r="WWP118"/>
      <c r="WWQ118"/>
      <c r="WWR118"/>
      <c r="WWS118"/>
      <c r="WWT118"/>
      <c r="WWU118"/>
      <c r="WWV118"/>
      <c r="WWW118"/>
      <c r="WWX118"/>
      <c r="WWY118"/>
      <c r="WWZ118"/>
      <c r="WXA118"/>
      <c r="WXB118"/>
      <c r="WXC118"/>
      <c r="WXD118"/>
      <c r="WXE118"/>
      <c r="WXF118"/>
      <c r="WXG118"/>
      <c r="WXH118"/>
      <c r="WXI118"/>
      <c r="WXJ118"/>
      <c r="WXK118"/>
      <c r="WXL118"/>
      <c r="WXM118"/>
      <c r="WXN118"/>
      <c r="WXO118"/>
      <c r="WXP118"/>
      <c r="WXQ118"/>
      <c r="WXR118"/>
      <c r="WXS118"/>
      <c r="WXT118"/>
      <c r="WXU118"/>
      <c r="WXV118"/>
      <c r="WXW118"/>
      <c r="WXX118"/>
      <c r="WXY118"/>
      <c r="WXZ118"/>
      <c r="WYA118"/>
      <c r="WYB118"/>
      <c r="WYC118"/>
      <c r="WYD118"/>
      <c r="WYE118"/>
      <c r="WYF118"/>
      <c r="WYG118"/>
      <c r="WYH118"/>
      <c r="WYI118"/>
      <c r="WYJ118"/>
      <c r="WYK118"/>
      <c r="WYL118"/>
      <c r="WYM118"/>
      <c r="WYN118"/>
      <c r="WYO118"/>
      <c r="WYP118"/>
      <c r="WYQ118"/>
      <c r="WYR118"/>
      <c r="WYS118"/>
      <c r="WYT118"/>
      <c r="WYU118"/>
      <c r="WYV118"/>
      <c r="WYW118"/>
      <c r="WYX118"/>
      <c r="WYY118"/>
      <c r="WYZ118"/>
      <c r="WZA118"/>
      <c r="WZB118"/>
      <c r="WZC118"/>
      <c r="WZD118"/>
      <c r="WZE118"/>
      <c r="WZF118"/>
      <c r="WZG118"/>
      <c r="WZH118"/>
      <c r="WZI118"/>
      <c r="WZJ118"/>
      <c r="WZK118"/>
      <c r="WZL118"/>
      <c r="WZM118"/>
      <c r="WZN118"/>
      <c r="WZO118"/>
      <c r="WZP118"/>
      <c r="WZQ118"/>
      <c r="WZR118"/>
      <c r="WZS118"/>
      <c r="WZT118"/>
      <c r="WZU118"/>
      <c r="WZV118"/>
      <c r="WZW118"/>
      <c r="WZX118"/>
      <c r="WZY118"/>
      <c r="WZZ118"/>
      <c r="XAA118"/>
      <c r="XAB118"/>
      <c r="XAC118"/>
      <c r="XAD118"/>
      <c r="XAE118"/>
      <c r="XAF118"/>
      <c r="XAG118"/>
      <c r="XAH118"/>
      <c r="XAI118"/>
      <c r="XAJ118"/>
      <c r="XAK118"/>
      <c r="XAL118"/>
      <c r="XAM118"/>
      <c r="XAN118"/>
      <c r="XAO118"/>
      <c r="XAP118"/>
      <c r="XAQ118"/>
      <c r="XAR118"/>
      <c r="XAS118"/>
      <c r="XAT118"/>
      <c r="XAU118"/>
      <c r="XAV118"/>
      <c r="XAW118"/>
      <c r="XAX118"/>
      <c r="XAY118"/>
      <c r="XAZ118"/>
      <c r="XBA118"/>
      <c r="XBB118"/>
      <c r="XBC118"/>
      <c r="XBD118"/>
      <c r="XBE118"/>
      <c r="XBF118"/>
      <c r="XBG118"/>
      <c r="XBH118"/>
      <c r="XBI118"/>
      <c r="XBJ118"/>
      <c r="XBK118"/>
      <c r="XBL118"/>
      <c r="XBM118"/>
      <c r="XBN118"/>
      <c r="XBO118"/>
      <c r="XBP118"/>
      <c r="XBQ118"/>
      <c r="XBR118"/>
      <c r="XBS118"/>
      <c r="XBT118"/>
      <c r="XBU118"/>
      <c r="XBV118"/>
      <c r="XBW118"/>
      <c r="XBX118"/>
      <c r="XBY118"/>
      <c r="XBZ118"/>
      <c r="XCA118"/>
      <c r="XCB118"/>
      <c r="XCC118"/>
      <c r="XCD118"/>
      <c r="XCE118"/>
      <c r="XCF118"/>
      <c r="XCG118"/>
      <c r="XCH118"/>
      <c r="XCI118"/>
      <c r="XCJ118"/>
      <c r="XCK118"/>
      <c r="XCL118"/>
      <c r="XCM118"/>
      <c r="XCN118"/>
      <c r="XCO118"/>
      <c r="XCP118"/>
      <c r="XCQ118"/>
      <c r="XCR118"/>
      <c r="XCS118"/>
      <c r="XCT118"/>
      <c r="XCU118"/>
      <c r="XCV118"/>
      <c r="XCW118"/>
      <c r="XCX118"/>
      <c r="XCY118"/>
      <c r="XCZ118"/>
      <c r="XDA118"/>
      <c r="XDB118"/>
      <c r="XDC118"/>
      <c r="XDD118"/>
      <c r="XDE118"/>
      <c r="XDF118"/>
      <c r="XDG118"/>
      <c r="XDH118"/>
      <c r="XDI118"/>
      <c r="XDJ118"/>
      <c r="XDK118"/>
      <c r="XDL118"/>
      <c r="XDM118"/>
      <c r="XDN118"/>
      <c r="XDO118"/>
      <c r="XDP118"/>
      <c r="XDQ118"/>
      <c r="XDR118"/>
      <c r="XDS118"/>
      <c r="XDT118"/>
      <c r="XDU118"/>
      <c r="XDV118"/>
      <c r="XDW118"/>
      <c r="XDX118"/>
      <c r="XDY118"/>
      <c r="XDZ118"/>
      <c r="XEA118"/>
      <c r="XEB118"/>
      <c r="XEC118"/>
      <c r="XED118"/>
      <c r="XEE118"/>
      <c r="XEF118"/>
      <c r="XEG118"/>
      <c r="XEH118"/>
      <c r="XEI118"/>
      <c r="XEJ118"/>
      <c r="XEK118"/>
      <c r="XEL118"/>
      <c r="XEM118"/>
      <c r="XEN118"/>
      <c r="XEO118"/>
      <c r="XEP118"/>
      <c r="XEQ118"/>
    </row>
    <row r="119" spans="1:16371" outlineLevel="1" x14ac:dyDescent="0.25">
      <c r="A119" s="32" t="s">
        <v>35</v>
      </c>
      <c r="B119" s="238"/>
      <c r="C119" s="32" t="s">
        <v>36</v>
      </c>
      <c r="E119" s="9"/>
      <c r="F119" s="9"/>
      <c r="G119" s="9"/>
      <c r="H119" s="9"/>
      <c r="I119" s="9"/>
      <c r="J119" s="9"/>
      <c r="K119" s="9"/>
      <c r="L119" s="9"/>
      <c r="M119" s="9"/>
      <c r="N119" s="9"/>
      <c r="O119" s="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c r="AMK119"/>
      <c r="AML119"/>
      <c r="AMM119"/>
      <c r="AMN119"/>
      <c r="AMO119"/>
      <c r="AMP119"/>
      <c r="AMQ119"/>
      <c r="AMR119"/>
      <c r="AMS119"/>
      <c r="AMT119"/>
      <c r="AMU119"/>
      <c r="AMV119"/>
      <c r="AMW119"/>
      <c r="AMX119"/>
      <c r="AMY119"/>
      <c r="AMZ119"/>
      <c r="ANA119"/>
      <c r="ANB119"/>
      <c r="ANC119"/>
      <c r="AND119"/>
      <c r="ANE119"/>
      <c r="ANF119"/>
      <c r="ANG119"/>
      <c r="ANH119"/>
      <c r="ANI119"/>
      <c r="ANJ119"/>
      <c r="ANK119"/>
      <c r="ANL119"/>
      <c r="ANM119"/>
      <c r="ANN119"/>
      <c r="ANO119"/>
      <c r="ANP119"/>
      <c r="ANQ119"/>
      <c r="ANR119"/>
      <c r="ANS119"/>
      <c r="ANT119"/>
      <c r="ANU119"/>
      <c r="ANV119"/>
      <c r="ANW119"/>
      <c r="ANX119"/>
      <c r="ANY119"/>
      <c r="ANZ119"/>
      <c r="AOA119"/>
      <c r="AOB119"/>
      <c r="AOC119"/>
      <c r="AOD119"/>
      <c r="AOE119"/>
      <c r="AOF119"/>
      <c r="AOG119"/>
      <c r="AOH119"/>
      <c r="AOI119"/>
      <c r="AOJ119"/>
      <c r="AOK119"/>
      <c r="AOL119"/>
      <c r="AOM119"/>
      <c r="AON119"/>
      <c r="AOO119"/>
      <c r="AOP119"/>
      <c r="AOQ119"/>
      <c r="AOR119"/>
      <c r="AOS119"/>
      <c r="AOT119"/>
      <c r="AOU119"/>
      <c r="AOV119"/>
      <c r="AOW119"/>
      <c r="AOX119"/>
      <c r="AOY119"/>
      <c r="AOZ119"/>
      <c r="APA119"/>
      <c r="APB119"/>
      <c r="APC119"/>
      <c r="APD119"/>
      <c r="APE119"/>
      <c r="APF119"/>
      <c r="APG119"/>
      <c r="APH119"/>
      <c r="API119"/>
      <c r="APJ119"/>
      <c r="APK119"/>
      <c r="APL119"/>
      <c r="APM119"/>
      <c r="APN119"/>
      <c r="APO119"/>
      <c r="APP119"/>
      <c r="APQ119"/>
      <c r="APR119"/>
      <c r="APS119"/>
      <c r="APT119"/>
      <c r="APU119"/>
      <c r="APV119"/>
      <c r="APW119"/>
      <c r="APX119"/>
      <c r="APY119"/>
      <c r="APZ119"/>
      <c r="AQA119"/>
      <c r="AQB119"/>
      <c r="AQC119"/>
      <c r="AQD119"/>
      <c r="AQE119"/>
      <c r="AQF119"/>
      <c r="AQG119"/>
      <c r="AQH119"/>
      <c r="AQI119"/>
      <c r="AQJ119"/>
      <c r="AQK119"/>
      <c r="AQL119"/>
      <c r="AQM119"/>
      <c r="AQN119"/>
      <c r="AQO119"/>
      <c r="AQP119"/>
      <c r="AQQ119"/>
      <c r="AQR119"/>
      <c r="AQS119"/>
      <c r="AQT119"/>
      <c r="AQU119"/>
      <c r="AQV119"/>
      <c r="AQW119"/>
      <c r="AQX119"/>
      <c r="AQY119"/>
      <c r="AQZ119"/>
      <c r="ARA119"/>
      <c r="ARB119"/>
      <c r="ARC119"/>
      <c r="ARD119"/>
      <c r="ARE119"/>
      <c r="ARF119"/>
      <c r="ARG119"/>
      <c r="ARH119"/>
      <c r="ARI119"/>
      <c r="ARJ119"/>
      <c r="ARK119"/>
      <c r="ARL119"/>
      <c r="ARM119"/>
      <c r="ARN119"/>
      <c r="ARO119"/>
      <c r="ARP119"/>
      <c r="ARQ119"/>
      <c r="ARR119"/>
      <c r="ARS119"/>
      <c r="ART119"/>
      <c r="ARU119"/>
      <c r="ARV119"/>
      <c r="ARW119"/>
      <c r="ARX119"/>
      <c r="ARY119"/>
      <c r="ARZ119"/>
      <c r="ASA119"/>
      <c r="ASB119"/>
      <c r="ASC119"/>
      <c r="ASD119"/>
      <c r="ASE119"/>
      <c r="ASF119"/>
      <c r="ASG119"/>
      <c r="ASH119"/>
      <c r="ASI119"/>
      <c r="ASJ119"/>
      <c r="ASK119"/>
      <c r="ASL119"/>
      <c r="ASM119"/>
      <c r="ASN119"/>
      <c r="ASO119"/>
      <c r="ASP119"/>
      <c r="ASQ119"/>
      <c r="ASR119"/>
      <c r="ASS119"/>
      <c r="AST119"/>
      <c r="ASU119"/>
      <c r="ASV119"/>
      <c r="ASW119"/>
      <c r="ASX119"/>
      <c r="ASY119"/>
      <c r="ASZ119"/>
      <c r="ATA119"/>
      <c r="ATB119"/>
      <c r="ATC119"/>
      <c r="ATD119"/>
      <c r="ATE119"/>
      <c r="ATF119"/>
      <c r="ATG119"/>
      <c r="ATH119"/>
      <c r="ATI119"/>
      <c r="ATJ119"/>
      <c r="ATK119"/>
      <c r="ATL119"/>
      <c r="ATM119"/>
      <c r="ATN119"/>
      <c r="ATO119"/>
      <c r="ATP119"/>
      <c r="ATQ119"/>
      <c r="ATR119"/>
      <c r="ATS119"/>
      <c r="ATT119"/>
      <c r="ATU119"/>
      <c r="ATV119"/>
      <c r="ATW119"/>
      <c r="ATX119"/>
      <c r="ATY119"/>
      <c r="ATZ119"/>
      <c r="AUA119"/>
      <c r="AUB119"/>
      <c r="AUC119"/>
      <c r="AUD119"/>
      <c r="AUE119"/>
      <c r="AUF119"/>
      <c r="AUG119"/>
      <c r="AUH119"/>
      <c r="AUI119"/>
      <c r="AUJ119"/>
      <c r="AUK119"/>
      <c r="AUL119"/>
      <c r="AUM119"/>
      <c r="AUN119"/>
      <c r="AUO119"/>
      <c r="AUP119"/>
      <c r="AUQ119"/>
      <c r="AUR119"/>
      <c r="AUS119"/>
      <c r="AUT119"/>
      <c r="AUU119"/>
      <c r="AUV119"/>
      <c r="AUW119"/>
      <c r="AUX119"/>
      <c r="AUY119"/>
      <c r="AUZ119"/>
      <c r="AVA119"/>
      <c r="AVB119"/>
      <c r="AVC119"/>
      <c r="AVD119"/>
      <c r="AVE119"/>
      <c r="AVF119"/>
      <c r="AVG119"/>
      <c r="AVH119"/>
      <c r="AVI119"/>
      <c r="AVJ119"/>
      <c r="AVK119"/>
      <c r="AVL119"/>
      <c r="AVM119"/>
      <c r="AVN119"/>
      <c r="AVO119"/>
      <c r="AVP119"/>
      <c r="AVQ119"/>
      <c r="AVR119"/>
      <c r="AVS119"/>
      <c r="AVT119"/>
      <c r="AVU119"/>
      <c r="AVV119"/>
      <c r="AVW119"/>
      <c r="AVX119"/>
      <c r="AVY119"/>
      <c r="AVZ119"/>
      <c r="AWA119"/>
      <c r="AWB119"/>
      <c r="AWC119"/>
      <c r="AWD119"/>
      <c r="AWE119"/>
      <c r="AWF119"/>
      <c r="AWG119"/>
      <c r="AWH119"/>
      <c r="AWI119"/>
      <c r="AWJ119"/>
      <c r="AWK119"/>
      <c r="AWL119"/>
      <c r="AWM119"/>
      <c r="AWN119"/>
      <c r="AWO119"/>
      <c r="AWP119"/>
      <c r="AWQ119"/>
      <c r="AWR119"/>
      <c r="AWS119"/>
      <c r="AWT119"/>
      <c r="AWU119"/>
      <c r="AWV119"/>
      <c r="AWW119"/>
      <c r="AWX119"/>
      <c r="AWY119"/>
      <c r="AWZ119"/>
      <c r="AXA119"/>
      <c r="AXB119"/>
      <c r="AXC119"/>
      <c r="AXD119"/>
      <c r="AXE119"/>
      <c r="AXF119"/>
      <c r="AXG119"/>
      <c r="AXH119"/>
      <c r="AXI119"/>
      <c r="AXJ119"/>
      <c r="AXK119"/>
      <c r="AXL119"/>
      <c r="AXM119"/>
      <c r="AXN119"/>
      <c r="AXO119"/>
      <c r="AXP119"/>
      <c r="AXQ119"/>
      <c r="AXR119"/>
      <c r="AXS119"/>
      <c r="AXT119"/>
      <c r="AXU119"/>
      <c r="AXV119"/>
      <c r="AXW119"/>
      <c r="AXX119"/>
      <c r="AXY119"/>
      <c r="AXZ119"/>
      <c r="AYA119"/>
      <c r="AYB119"/>
      <c r="AYC119"/>
      <c r="AYD119"/>
      <c r="AYE119"/>
      <c r="AYF119"/>
      <c r="AYG119"/>
      <c r="AYH119"/>
      <c r="AYI119"/>
      <c r="AYJ119"/>
      <c r="AYK119"/>
      <c r="AYL119"/>
      <c r="AYM119"/>
      <c r="AYN119"/>
      <c r="AYO119"/>
      <c r="AYP119"/>
      <c r="AYQ119"/>
      <c r="AYR119"/>
      <c r="AYS119"/>
      <c r="AYT119"/>
      <c r="AYU119"/>
      <c r="AYV119"/>
      <c r="AYW119"/>
      <c r="AYX119"/>
      <c r="AYY119"/>
      <c r="AYZ119"/>
      <c r="AZA119"/>
      <c r="AZB119"/>
      <c r="AZC119"/>
      <c r="AZD119"/>
      <c r="AZE119"/>
      <c r="AZF119"/>
      <c r="AZG119"/>
      <c r="AZH119"/>
      <c r="AZI119"/>
      <c r="AZJ119"/>
      <c r="AZK119"/>
      <c r="AZL119"/>
      <c r="AZM119"/>
      <c r="AZN119"/>
      <c r="AZO119"/>
      <c r="AZP119"/>
      <c r="AZQ119"/>
      <c r="AZR119"/>
      <c r="AZS119"/>
      <c r="AZT119"/>
      <c r="AZU119"/>
      <c r="AZV119"/>
      <c r="AZW119"/>
      <c r="AZX119"/>
      <c r="AZY119"/>
      <c r="AZZ119"/>
      <c r="BAA119"/>
      <c r="BAB119"/>
      <c r="BAC119"/>
      <c r="BAD119"/>
      <c r="BAE119"/>
      <c r="BAF119"/>
      <c r="BAG119"/>
      <c r="BAH119"/>
      <c r="BAI119"/>
      <c r="BAJ119"/>
      <c r="BAK119"/>
      <c r="BAL119"/>
      <c r="BAM119"/>
      <c r="BAN119"/>
      <c r="BAO119"/>
      <c r="BAP119"/>
      <c r="BAQ119"/>
      <c r="BAR119"/>
      <c r="BAS119"/>
      <c r="BAT119"/>
      <c r="BAU119"/>
      <c r="BAV119"/>
      <c r="BAW119"/>
      <c r="BAX119"/>
      <c r="BAY119"/>
      <c r="BAZ119"/>
      <c r="BBA119"/>
      <c r="BBB119"/>
      <c r="BBC119"/>
      <c r="BBD119"/>
      <c r="BBE119"/>
      <c r="BBF119"/>
      <c r="BBG119"/>
      <c r="BBH119"/>
      <c r="BBI119"/>
      <c r="BBJ119"/>
      <c r="BBK119"/>
      <c r="BBL119"/>
      <c r="BBM119"/>
      <c r="BBN119"/>
      <c r="BBO119"/>
      <c r="BBP119"/>
      <c r="BBQ119"/>
      <c r="BBR119"/>
      <c r="BBS119"/>
      <c r="BBT119"/>
      <c r="BBU119"/>
      <c r="BBV119"/>
      <c r="BBW119"/>
      <c r="BBX119"/>
      <c r="BBY119"/>
      <c r="BBZ119"/>
      <c r="BCA119"/>
      <c r="BCB119"/>
      <c r="BCC119"/>
      <c r="BCD119"/>
      <c r="BCE119"/>
      <c r="BCF119"/>
      <c r="BCG119"/>
      <c r="BCH119"/>
      <c r="BCI119"/>
      <c r="BCJ119"/>
      <c r="BCK119"/>
      <c r="BCL119"/>
      <c r="BCM119"/>
      <c r="BCN119"/>
      <c r="BCO119"/>
      <c r="BCP119"/>
      <c r="BCQ119"/>
      <c r="BCR119"/>
      <c r="BCS119"/>
      <c r="BCT119"/>
      <c r="BCU119"/>
      <c r="BCV119"/>
      <c r="BCW119"/>
      <c r="BCX119"/>
      <c r="BCY119"/>
      <c r="BCZ119"/>
      <c r="BDA119"/>
      <c r="BDB119"/>
      <c r="BDC119"/>
      <c r="BDD119"/>
      <c r="BDE119"/>
      <c r="BDF119"/>
      <c r="BDG119"/>
      <c r="BDH119"/>
      <c r="BDI119"/>
      <c r="BDJ119"/>
      <c r="BDK119"/>
      <c r="BDL119"/>
      <c r="BDM119"/>
      <c r="BDN119"/>
      <c r="BDO119"/>
      <c r="BDP119"/>
      <c r="BDQ119"/>
      <c r="BDR119"/>
      <c r="BDS119"/>
      <c r="BDT119"/>
      <c r="BDU119"/>
      <c r="BDV119"/>
      <c r="BDW119"/>
      <c r="BDX119"/>
      <c r="BDY119"/>
      <c r="BDZ119"/>
      <c r="BEA119"/>
      <c r="BEB119"/>
      <c r="BEC119"/>
      <c r="BED119"/>
      <c r="BEE119"/>
      <c r="BEF119"/>
      <c r="BEG119"/>
      <c r="BEH119"/>
      <c r="BEI119"/>
      <c r="BEJ119"/>
      <c r="BEK119"/>
      <c r="BEL119"/>
      <c r="BEM119"/>
      <c r="BEN119"/>
      <c r="BEO119"/>
      <c r="BEP119"/>
      <c r="BEQ119"/>
      <c r="BER119"/>
      <c r="BES119"/>
      <c r="BET119"/>
      <c r="BEU119"/>
      <c r="BEV119"/>
      <c r="BEW119"/>
      <c r="BEX119"/>
      <c r="BEY119"/>
      <c r="BEZ119"/>
      <c r="BFA119"/>
      <c r="BFB119"/>
      <c r="BFC119"/>
      <c r="BFD119"/>
      <c r="BFE119"/>
      <c r="BFF119"/>
      <c r="BFG119"/>
      <c r="BFH119"/>
      <c r="BFI119"/>
      <c r="BFJ119"/>
      <c r="BFK119"/>
      <c r="BFL119"/>
      <c r="BFM119"/>
      <c r="BFN119"/>
      <c r="BFO119"/>
      <c r="BFP119"/>
      <c r="BFQ119"/>
      <c r="BFR119"/>
      <c r="BFS119"/>
      <c r="BFT119"/>
      <c r="BFU119"/>
      <c r="BFV119"/>
      <c r="BFW119"/>
      <c r="BFX119"/>
      <c r="BFY119"/>
      <c r="BFZ119"/>
      <c r="BGA119"/>
      <c r="BGB119"/>
      <c r="BGC119"/>
      <c r="BGD119"/>
      <c r="BGE119"/>
      <c r="BGF119"/>
      <c r="BGG119"/>
      <c r="BGH119"/>
      <c r="BGI119"/>
      <c r="BGJ119"/>
      <c r="BGK119"/>
      <c r="BGL119"/>
      <c r="BGM119"/>
      <c r="BGN119"/>
      <c r="BGO119"/>
      <c r="BGP119"/>
      <c r="BGQ119"/>
      <c r="BGR119"/>
      <c r="BGS119"/>
      <c r="BGT119"/>
      <c r="BGU119"/>
      <c r="BGV119"/>
      <c r="BGW119"/>
      <c r="BGX119"/>
      <c r="BGY119"/>
      <c r="BGZ119"/>
      <c r="BHA119"/>
      <c r="BHB119"/>
      <c r="BHC119"/>
      <c r="BHD119"/>
      <c r="BHE119"/>
      <c r="BHF119"/>
      <c r="BHG119"/>
      <c r="BHH119"/>
      <c r="BHI119"/>
      <c r="BHJ119"/>
      <c r="BHK119"/>
      <c r="BHL119"/>
      <c r="BHM119"/>
      <c r="BHN119"/>
      <c r="BHO119"/>
      <c r="BHP119"/>
      <c r="BHQ119"/>
      <c r="BHR119"/>
      <c r="BHS119"/>
      <c r="BHT119"/>
      <c r="BHU119"/>
      <c r="BHV119"/>
      <c r="BHW119"/>
      <c r="BHX119"/>
      <c r="BHY119"/>
      <c r="BHZ119"/>
      <c r="BIA119"/>
      <c r="BIB119"/>
      <c r="BIC119"/>
      <c r="BID119"/>
      <c r="BIE119"/>
      <c r="BIF119"/>
      <c r="BIG119"/>
      <c r="BIH119"/>
      <c r="BII119"/>
      <c r="BIJ119"/>
      <c r="BIK119"/>
      <c r="BIL119"/>
      <c r="BIM119"/>
      <c r="BIN119"/>
      <c r="BIO119"/>
      <c r="BIP119"/>
      <c r="BIQ119"/>
      <c r="BIR119"/>
      <c r="BIS119"/>
      <c r="BIT119"/>
      <c r="BIU119"/>
      <c r="BIV119"/>
      <c r="BIW119"/>
      <c r="BIX119"/>
      <c r="BIY119"/>
      <c r="BIZ119"/>
      <c r="BJA119"/>
      <c r="BJB119"/>
      <c r="BJC119"/>
      <c r="BJD119"/>
      <c r="BJE119"/>
      <c r="BJF119"/>
      <c r="BJG119"/>
      <c r="BJH119"/>
      <c r="BJI119"/>
      <c r="BJJ119"/>
      <c r="BJK119"/>
      <c r="BJL119"/>
      <c r="BJM119"/>
      <c r="BJN119"/>
      <c r="BJO119"/>
      <c r="BJP119"/>
      <c r="BJQ119"/>
      <c r="BJR119"/>
      <c r="BJS119"/>
      <c r="BJT119"/>
      <c r="BJU119"/>
      <c r="BJV119"/>
      <c r="BJW119"/>
      <c r="BJX119"/>
      <c r="BJY119"/>
      <c r="BJZ119"/>
      <c r="BKA119"/>
      <c r="BKB119"/>
      <c r="BKC119"/>
      <c r="BKD119"/>
      <c r="BKE119"/>
      <c r="BKF119"/>
      <c r="BKG119"/>
      <c r="BKH119"/>
      <c r="BKI119"/>
      <c r="BKJ119"/>
      <c r="BKK119"/>
      <c r="BKL119"/>
      <c r="BKM119"/>
      <c r="BKN119"/>
      <c r="BKO119"/>
      <c r="BKP119"/>
      <c r="BKQ119"/>
      <c r="BKR119"/>
      <c r="BKS119"/>
      <c r="BKT119"/>
      <c r="BKU119"/>
      <c r="BKV119"/>
      <c r="BKW119"/>
      <c r="BKX119"/>
      <c r="BKY119"/>
      <c r="BKZ119"/>
      <c r="BLA119"/>
      <c r="BLB119"/>
      <c r="BLC119"/>
      <c r="BLD119"/>
      <c r="BLE119"/>
      <c r="BLF119"/>
      <c r="BLG119"/>
      <c r="BLH119"/>
      <c r="BLI119"/>
      <c r="BLJ119"/>
      <c r="BLK119"/>
      <c r="BLL119"/>
      <c r="BLM119"/>
      <c r="BLN119"/>
      <c r="BLO119"/>
      <c r="BLP119"/>
      <c r="BLQ119"/>
      <c r="BLR119"/>
      <c r="BLS119"/>
      <c r="BLT119"/>
      <c r="BLU119"/>
      <c r="BLV119"/>
      <c r="BLW119"/>
      <c r="BLX119"/>
      <c r="BLY119"/>
      <c r="BLZ119"/>
      <c r="BMA119"/>
      <c r="BMB119"/>
      <c r="BMC119"/>
      <c r="BMD119"/>
      <c r="BME119"/>
      <c r="BMF119"/>
      <c r="BMG119"/>
      <c r="BMH119"/>
      <c r="BMI119"/>
      <c r="BMJ119"/>
      <c r="BMK119"/>
      <c r="BML119"/>
      <c r="BMM119"/>
      <c r="BMN119"/>
      <c r="BMO119"/>
      <c r="BMP119"/>
      <c r="BMQ119"/>
      <c r="BMR119"/>
      <c r="BMS119"/>
      <c r="BMT119"/>
      <c r="BMU119"/>
      <c r="BMV119"/>
      <c r="BMW119"/>
      <c r="BMX119"/>
      <c r="BMY119"/>
      <c r="BMZ119"/>
      <c r="BNA119"/>
      <c r="BNB119"/>
      <c r="BNC119"/>
      <c r="BND119"/>
      <c r="BNE119"/>
      <c r="BNF119"/>
      <c r="BNG119"/>
      <c r="BNH119"/>
      <c r="BNI119"/>
      <c r="BNJ119"/>
      <c r="BNK119"/>
      <c r="BNL119"/>
      <c r="BNM119"/>
      <c r="BNN119"/>
      <c r="BNO119"/>
      <c r="BNP119"/>
      <c r="BNQ119"/>
      <c r="BNR119"/>
      <c r="BNS119"/>
      <c r="BNT119"/>
      <c r="BNU119"/>
      <c r="BNV119"/>
      <c r="BNW119"/>
      <c r="BNX119"/>
      <c r="BNY119"/>
      <c r="BNZ119"/>
      <c r="BOA119"/>
      <c r="BOB119"/>
      <c r="BOC119"/>
      <c r="BOD119"/>
      <c r="BOE119"/>
      <c r="BOF119"/>
      <c r="BOG119"/>
      <c r="BOH119"/>
      <c r="BOI119"/>
      <c r="BOJ119"/>
      <c r="BOK119"/>
      <c r="BOL119"/>
      <c r="BOM119"/>
      <c r="BON119"/>
      <c r="BOO119"/>
      <c r="BOP119"/>
      <c r="BOQ119"/>
      <c r="BOR119"/>
      <c r="BOS119"/>
      <c r="BOT119"/>
      <c r="BOU119"/>
      <c r="BOV119"/>
      <c r="BOW119"/>
      <c r="BOX119"/>
      <c r="BOY119"/>
      <c r="BOZ119"/>
      <c r="BPA119"/>
      <c r="BPB119"/>
      <c r="BPC119"/>
      <c r="BPD119"/>
      <c r="BPE119"/>
      <c r="BPF119"/>
      <c r="BPG119"/>
      <c r="BPH119"/>
      <c r="BPI119"/>
      <c r="BPJ119"/>
      <c r="BPK119"/>
      <c r="BPL119"/>
      <c r="BPM119"/>
      <c r="BPN119"/>
      <c r="BPO119"/>
      <c r="BPP119"/>
      <c r="BPQ119"/>
      <c r="BPR119"/>
      <c r="BPS119"/>
      <c r="BPT119"/>
      <c r="BPU119"/>
      <c r="BPV119"/>
      <c r="BPW119"/>
      <c r="BPX119"/>
      <c r="BPY119"/>
      <c r="BPZ119"/>
      <c r="BQA119"/>
      <c r="BQB119"/>
      <c r="BQC119"/>
      <c r="BQD119"/>
      <c r="BQE119"/>
      <c r="BQF119"/>
      <c r="BQG119"/>
      <c r="BQH119"/>
      <c r="BQI119"/>
      <c r="BQJ119"/>
      <c r="BQK119"/>
      <c r="BQL119"/>
      <c r="BQM119"/>
      <c r="BQN119"/>
      <c r="BQO119"/>
      <c r="BQP119"/>
      <c r="BQQ119"/>
      <c r="BQR119"/>
      <c r="BQS119"/>
      <c r="BQT119"/>
      <c r="BQU119"/>
      <c r="BQV119"/>
      <c r="BQW119"/>
      <c r="BQX119"/>
      <c r="BQY119"/>
      <c r="BQZ119"/>
      <c r="BRA119"/>
      <c r="BRB119"/>
      <c r="BRC119"/>
      <c r="BRD119"/>
      <c r="BRE119"/>
      <c r="BRF119"/>
      <c r="BRG119"/>
      <c r="BRH119"/>
      <c r="BRI119"/>
      <c r="BRJ119"/>
      <c r="BRK119"/>
      <c r="BRL119"/>
      <c r="BRM119"/>
      <c r="BRN119"/>
      <c r="BRO119"/>
      <c r="BRP119"/>
      <c r="BRQ119"/>
      <c r="BRR119"/>
      <c r="BRS119"/>
      <c r="BRT119"/>
      <c r="BRU119"/>
      <c r="BRV119"/>
      <c r="BRW119"/>
      <c r="BRX119"/>
      <c r="BRY119"/>
      <c r="BRZ119"/>
      <c r="BSA119"/>
      <c r="BSB119"/>
      <c r="BSC119"/>
      <c r="BSD119"/>
      <c r="BSE119"/>
      <c r="BSF119"/>
      <c r="BSG119"/>
      <c r="BSH119"/>
      <c r="BSI119"/>
      <c r="BSJ119"/>
      <c r="BSK119"/>
      <c r="BSL119"/>
      <c r="BSM119"/>
      <c r="BSN119"/>
      <c r="BSO119"/>
      <c r="BSP119"/>
      <c r="BSQ119"/>
      <c r="BSR119"/>
      <c r="BSS119"/>
      <c r="BST119"/>
      <c r="BSU119"/>
      <c r="BSV119"/>
      <c r="BSW119"/>
      <c r="BSX119"/>
      <c r="BSY119"/>
      <c r="BSZ119"/>
      <c r="BTA119"/>
      <c r="BTB119"/>
      <c r="BTC119"/>
      <c r="BTD119"/>
      <c r="BTE119"/>
      <c r="BTF119"/>
      <c r="BTG119"/>
      <c r="BTH119"/>
      <c r="BTI119"/>
      <c r="BTJ119"/>
      <c r="BTK119"/>
      <c r="BTL119"/>
      <c r="BTM119"/>
      <c r="BTN119"/>
      <c r="BTO119"/>
      <c r="BTP119"/>
      <c r="BTQ119"/>
      <c r="BTR119"/>
      <c r="BTS119"/>
      <c r="BTT119"/>
      <c r="BTU119"/>
      <c r="BTV119"/>
      <c r="BTW119"/>
      <c r="BTX119"/>
      <c r="BTY119"/>
      <c r="BTZ119"/>
      <c r="BUA119"/>
      <c r="BUB119"/>
      <c r="BUC119"/>
      <c r="BUD119"/>
      <c r="BUE119"/>
      <c r="BUF119"/>
      <c r="BUG119"/>
      <c r="BUH119"/>
      <c r="BUI119"/>
      <c r="BUJ119"/>
      <c r="BUK119"/>
      <c r="BUL119"/>
      <c r="BUM119"/>
      <c r="BUN119"/>
      <c r="BUO119"/>
      <c r="BUP119"/>
      <c r="BUQ119"/>
      <c r="BUR119"/>
      <c r="BUS119"/>
      <c r="BUT119"/>
      <c r="BUU119"/>
      <c r="BUV119"/>
      <c r="BUW119"/>
      <c r="BUX119"/>
      <c r="BUY119"/>
      <c r="BUZ119"/>
      <c r="BVA119"/>
      <c r="BVB119"/>
      <c r="BVC119"/>
      <c r="BVD119"/>
      <c r="BVE119"/>
      <c r="BVF119"/>
      <c r="BVG119"/>
      <c r="BVH119"/>
      <c r="BVI119"/>
      <c r="BVJ119"/>
      <c r="BVK119"/>
      <c r="BVL119"/>
      <c r="BVM119"/>
      <c r="BVN119"/>
      <c r="BVO119"/>
      <c r="BVP119"/>
      <c r="BVQ119"/>
      <c r="BVR119"/>
      <c r="BVS119"/>
      <c r="BVT119"/>
      <c r="BVU119"/>
      <c r="BVV119"/>
      <c r="BVW119"/>
      <c r="BVX119"/>
      <c r="BVY119"/>
      <c r="BVZ119"/>
      <c r="BWA119"/>
      <c r="BWB119"/>
      <c r="BWC119"/>
      <c r="BWD119"/>
      <c r="BWE119"/>
      <c r="BWF119"/>
      <c r="BWG119"/>
      <c r="BWH119"/>
      <c r="BWI119"/>
      <c r="BWJ119"/>
      <c r="BWK119"/>
      <c r="BWL119"/>
      <c r="BWM119"/>
      <c r="BWN119"/>
      <c r="BWO119"/>
      <c r="BWP119"/>
      <c r="BWQ119"/>
      <c r="BWR119"/>
      <c r="BWS119"/>
      <c r="BWT119"/>
      <c r="BWU119"/>
      <c r="BWV119"/>
      <c r="BWW119"/>
      <c r="BWX119"/>
      <c r="BWY119"/>
      <c r="BWZ119"/>
      <c r="BXA119"/>
      <c r="BXB119"/>
      <c r="BXC119"/>
      <c r="BXD119"/>
      <c r="BXE119"/>
      <c r="BXF119"/>
      <c r="BXG119"/>
      <c r="BXH119"/>
      <c r="BXI119"/>
      <c r="BXJ119"/>
      <c r="BXK119"/>
      <c r="BXL119"/>
      <c r="BXM119"/>
      <c r="BXN119"/>
      <c r="BXO119"/>
      <c r="BXP119"/>
      <c r="BXQ119"/>
      <c r="BXR119"/>
      <c r="BXS119"/>
      <c r="BXT119"/>
      <c r="BXU119"/>
      <c r="BXV119"/>
      <c r="BXW119"/>
      <c r="BXX119"/>
      <c r="BXY119"/>
      <c r="BXZ119"/>
      <c r="BYA119"/>
      <c r="BYB119"/>
      <c r="BYC119"/>
      <c r="BYD119"/>
      <c r="BYE119"/>
      <c r="BYF119"/>
      <c r="BYG119"/>
      <c r="BYH119"/>
      <c r="BYI119"/>
      <c r="BYJ119"/>
      <c r="BYK119"/>
      <c r="BYL119"/>
      <c r="BYM119"/>
      <c r="BYN119"/>
      <c r="BYO119"/>
      <c r="BYP119"/>
      <c r="BYQ119"/>
      <c r="BYR119"/>
      <c r="BYS119"/>
      <c r="BYT119"/>
      <c r="BYU119"/>
      <c r="BYV119"/>
      <c r="BYW119"/>
      <c r="BYX119"/>
      <c r="BYY119"/>
      <c r="BYZ119"/>
      <c r="BZA119"/>
      <c r="BZB119"/>
      <c r="BZC119"/>
      <c r="BZD119"/>
      <c r="BZE119"/>
      <c r="BZF119"/>
      <c r="BZG119"/>
      <c r="BZH119"/>
      <c r="BZI119"/>
      <c r="BZJ119"/>
      <c r="BZK119"/>
      <c r="BZL119"/>
      <c r="BZM119"/>
      <c r="BZN119"/>
      <c r="BZO119"/>
      <c r="BZP119"/>
      <c r="BZQ119"/>
      <c r="BZR119"/>
      <c r="BZS119"/>
      <c r="BZT119"/>
      <c r="BZU119"/>
      <c r="BZV119"/>
      <c r="BZW119"/>
      <c r="BZX119"/>
      <c r="BZY119"/>
      <c r="BZZ119"/>
      <c r="CAA119"/>
      <c r="CAB119"/>
      <c r="CAC119"/>
      <c r="CAD119"/>
      <c r="CAE119"/>
      <c r="CAF119"/>
      <c r="CAG119"/>
      <c r="CAH119"/>
      <c r="CAI119"/>
      <c r="CAJ119"/>
      <c r="CAK119"/>
      <c r="CAL119"/>
      <c r="CAM119"/>
      <c r="CAN119"/>
      <c r="CAO119"/>
      <c r="CAP119"/>
      <c r="CAQ119"/>
      <c r="CAR119"/>
      <c r="CAS119"/>
      <c r="CAT119"/>
      <c r="CAU119"/>
      <c r="CAV119"/>
      <c r="CAW119"/>
      <c r="CAX119"/>
      <c r="CAY119"/>
      <c r="CAZ119"/>
      <c r="CBA119"/>
      <c r="CBB119"/>
      <c r="CBC119"/>
      <c r="CBD119"/>
      <c r="CBE119"/>
      <c r="CBF119"/>
      <c r="CBG119"/>
      <c r="CBH119"/>
      <c r="CBI119"/>
      <c r="CBJ119"/>
      <c r="CBK119"/>
      <c r="CBL119"/>
      <c r="CBM119"/>
      <c r="CBN119"/>
      <c r="CBO119"/>
      <c r="CBP119"/>
      <c r="CBQ119"/>
      <c r="CBR119"/>
      <c r="CBS119"/>
      <c r="CBT119"/>
      <c r="CBU119"/>
      <c r="CBV119"/>
      <c r="CBW119"/>
      <c r="CBX119"/>
      <c r="CBY119"/>
      <c r="CBZ119"/>
      <c r="CCA119"/>
      <c r="CCB119"/>
      <c r="CCC119"/>
      <c r="CCD119"/>
      <c r="CCE119"/>
      <c r="CCF119"/>
      <c r="CCG119"/>
      <c r="CCH119"/>
      <c r="CCI119"/>
      <c r="CCJ119"/>
      <c r="CCK119"/>
      <c r="CCL119"/>
      <c r="CCM119"/>
      <c r="CCN119"/>
      <c r="CCO119"/>
      <c r="CCP119"/>
      <c r="CCQ119"/>
      <c r="CCR119"/>
      <c r="CCS119"/>
      <c r="CCT119"/>
      <c r="CCU119"/>
      <c r="CCV119"/>
      <c r="CCW119"/>
      <c r="CCX119"/>
      <c r="CCY119"/>
      <c r="CCZ119"/>
      <c r="CDA119"/>
      <c r="CDB119"/>
      <c r="CDC119"/>
      <c r="CDD119"/>
      <c r="CDE119"/>
      <c r="CDF119"/>
      <c r="CDG119"/>
      <c r="CDH119"/>
      <c r="CDI119"/>
      <c r="CDJ119"/>
      <c r="CDK119"/>
      <c r="CDL119"/>
      <c r="CDM119"/>
      <c r="CDN119"/>
      <c r="CDO119"/>
      <c r="CDP119"/>
      <c r="CDQ119"/>
      <c r="CDR119"/>
      <c r="CDS119"/>
      <c r="CDT119"/>
      <c r="CDU119"/>
      <c r="CDV119"/>
      <c r="CDW119"/>
      <c r="CDX119"/>
      <c r="CDY119"/>
      <c r="CDZ119"/>
      <c r="CEA119"/>
      <c r="CEB119"/>
      <c r="CEC119"/>
      <c r="CED119"/>
      <c r="CEE119"/>
      <c r="CEF119"/>
      <c r="CEG119"/>
      <c r="CEH119"/>
      <c r="CEI119"/>
      <c r="CEJ119"/>
      <c r="CEK119"/>
      <c r="CEL119"/>
      <c r="CEM119"/>
      <c r="CEN119"/>
      <c r="CEO119"/>
      <c r="CEP119"/>
      <c r="CEQ119"/>
      <c r="CER119"/>
      <c r="CES119"/>
      <c r="CET119"/>
      <c r="CEU119"/>
      <c r="CEV119"/>
      <c r="CEW119"/>
      <c r="CEX119"/>
      <c r="CEY119"/>
      <c r="CEZ119"/>
      <c r="CFA119"/>
      <c r="CFB119"/>
      <c r="CFC119"/>
      <c r="CFD119"/>
      <c r="CFE119"/>
      <c r="CFF119"/>
      <c r="CFG119"/>
      <c r="CFH119"/>
      <c r="CFI119"/>
      <c r="CFJ119"/>
      <c r="CFK119"/>
      <c r="CFL119"/>
      <c r="CFM119"/>
      <c r="CFN119"/>
      <c r="CFO119"/>
      <c r="CFP119"/>
      <c r="CFQ119"/>
      <c r="CFR119"/>
      <c r="CFS119"/>
      <c r="CFT119"/>
      <c r="CFU119"/>
      <c r="CFV119"/>
      <c r="CFW119"/>
      <c r="CFX119"/>
      <c r="CFY119"/>
      <c r="CFZ119"/>
      <c r="CGA119"/>
      <c r="CGB119"/>
      <c r="CGC119"/>
      <c r="CGD119"/>
      <c r="CGE119"/>
      <c r="CGF119"/>
      <c r="CGG119"/>
      <c r="CGH119"/>
      <c r="CGI119"/>
      <c r="CGJ119"/>
      <c r="CGK119"/>
      <c r="CGL119"/>
      <c r="CGM119"/>
      <c r="CGN119"/>
      <c r="CGO119"/>
      <c r="CGP119"/>
      <c r="CGQ119"/>
      <c r="CGR119"/>
      <c r="CGS119"/>
      <c r="CGT119"/>
      <c r="CGU119"/>
      <c r="CGV119"/>
      <c r="CGW119"/>
      <c r="CGX119"/>
      <c r="CGY119"/>
      <c r="CGZ119"/>
      <c r="CHA119"/>
      <c r="CHB119"/>
      <c r="CHC119"/>
      <c r="CHD119"/>
      <c r="CHE119"/>
      <c r="CHF119"/>
      <c r="CHG119"/>
      <c r="CHH119"/>
      <c r="CHI119"/>
      <c r="CHJ119"/>
      <c r="CHK119"/>
      <c r="CHL119"/>
      <c r="CHM119"/>
      <c r="CHN119"/>
      <c r="CHO119"/>
      <c r="CHP119"/>
      <c r="CHQ119"/>
      <c r="CHR119"/>
      <c r="CHS119"/>
      <c r="CHT119"/>
      <c r="CHU119"/>
      <c r="CHV119"/>
      <c r="CHW119"/>
      <c r="CHX119"/>
      <c r="CHY119"/>
      <c r="CHZ119"/>
      <c r="CIA119"/>
      <c r="CIB119"/>
      <c r="CIC119"/>
      <c r="CID119"/>
      <c r="CIE119"/>
      <c r="CIF119"/>
      <c r="CIG119"/>
      <c r="CIH119"/>
      <c r="CII119"/>
      <c r="CIJ119"/>
      <c r="CIK119"/>
      <c r="CIL119"/>
      <c r="CIM119"/>
      <c r="CIN119"/>
      <c r="CIO119"/>
      <c r="CIP119"/>
      <c r="CIQ119"/>
      <c r="CIR119"/>
      <c r="CIS119"/>
      <c r="CIT119"/>
      <c r="CIU119"/>
      <c r="CIV119"/>
      <c r="CIW119"/>
      <c r="CIX119"/>
      <c r="CIY119"/>
      <c r="CIZ119"/>
      <c r="CJA119"/>
      <c r="CJB119"/>
      <c r="CJC119"/>
      <c r="CJD119"/>
      <c r="CJE119"/>
      <c r="CJF119"/>
      <c r="CJG119"/>
      <c r="CJH119"/>
      <c r="CJI119"/>
      <c r="CJJ119"/>
      <c r="CJK119"/>
      <c r="CJL119"/>
      <c r="CJM119"/>
      <c r="CJN119"/>
      <c r="CJO119"/>
      <c r="CJP119"/>
      <c r="CJQ119"/>
      <c r="CJR119"/>
      <c r="CJS119"/>
      <c r="CJT119"/>
      <c r="CJU119"/>
      <c r="CJV119"/>
      <c r="CJW119"/>
      <c r="CJX119"/>
      <c r="CJY119"/>
      <c r="CJZ119"/>
      <c r="CKA119"/>
      <c r="CKB119"/>
      <c r="CKC119"/>
      <c r="CKD119"/>
      <c r="CKE119"/>
      <c r="CKF119"/>
      <c r="CKG119"/>
      <c r="CKH119"/>
      <c r="CKI119"/>
      <c r="CKJ119"/>
      <c r="CKK119"/>
      <c r="CKL119"/>
      <c r="CKM119"/>
      <c r="CKN119"/>
      <c r="CKO119"/>
      <c r="CKP119"/>
      <c r="CKQ119"/>
      <c r="CKR119"/>
      <c r="CKS119"/>
      <c r="CKT119"/>
      <c r="CKU119"/>
      <c r="CKV119"/>
      <c r="CKW119"/>
      <c r="CKX119"/>
      <c r="CKY119"/>
      <c r="CKZ119"/>
      <c r="CLA119"/>
      <c r="CLB119"/>
      <c r="CLC119"/>
      <c r="CLD119"/>
      <c r="CLE119"/>
      <c r="CLF119"/>
      <c r="CLG119"/>
      <c r="CLH119"/>
      <c r="CLI119"/>
      <c r="CLJ119"/>
      <c r="CLK119"/>
      <c r="CLL119"/>
      <c r="CLM119"/>
      <c r="CLN119"/>
      <c r="CLO119"/>
      <c r="CLP119"/>
      <c r="CLQ119"/>
      <c r="CLR119"/>
      <c r="CLS119"/>
      <c r="CLT119"/>
      <c r="CLU119"/>
      <c r="CLV119"/>
      <c r="CLW119"/>
      <c r="CLX119"/>
      <c r="CLY119"/>
      <c r="CLZ119"/>
      <c r="CMA119"/>
      <c r="CMB119"/>
      <c r="CMC119"/>
      <c r="CMD119"/>
      <c r="CME119"/>
      <c r="CMF119"/>
      <c r="CMG119"/>
      <c r="CMH119"/>
      <c r="CMI119"/>
      <c r="CMJ119"/>
      <c r="CMK119"/>
      <c r="CML119"/>
      <c r="CMM119"/>
      <c r="CMN119"/>
      <c r="CMO119"/>
      <c r="CMP119"/>
      <c r="CMQ119"/>
      <c r="CMR119"/>
      <c r="CMS119"/>
      <c r="CMT119"/>
      <c r="CMU119"/>
      <c r="CMV119"/>
      <c r="CMW119"/>
      <c r="CMX119"/>
      <c r="CMY119"/>
      <c r="CMZ119"/>
      <c r="CNA119"/>
      <c r="CNB119"/>
      <c r="CNC119"/>
      <c r="CND119"/>
      <c r="CNE119"/>
      <c r="CNF119"/>
      <c r="CNG119"/>
      <c r="CNH119"/>
      <c r="CNI119"/>
      <c r="CNJ119"/>
      <c r="CNK119"/>
      <c r="CNL119"/>
      <c r="CNM119"/>
      <c r="CNN119"/>
      <c r="CNO119"/>
      <c r="CNP119"/>
      <c r="CNQ119"/>
      <c r="CNR119"/>
      <c r="CNS119"/>
      <c r="CNT119"/>
      <c r="CNU119"/>
      <c r="CNV119"/>
      <c r="CNW119"/>
      <c r="CNX119"/>
      <c r="CNY119"/>
      <c r="CNZ119"/>
      <c r="COA119"/>
      <c r="COB119"/>
      <c r="COC119"/>
      <c r="COD119"/>
      <c r="COE119"/>
      <c r="COF119"/>
      <c r="COG119"/>
      <c r="COH119"/>
      <c r="COI119"/>
      <c r="COJ119"/>
      <c r="COK119"/>
      <c r="COL119"/>
      <c r="COM119"/>
      <c r="CON119"/>
      <c r="COO119"/>
      <c r="COP119"/>
      <c r="COQ119"/>
      <c r="COR119"/>
      <c r="COS119"/>
      <c r="COT119"/>
      <c r="COU119"/>
      <c r="COV119"/>
      <c r="COW119"/>
      <c r="COX119"/>
      <c r="COY119"/>
      <c r="COZ119"/>
      <c r="CPA119"/>
      <c r="CPB119"/>
      <c r="CPC119"/>
      <c r="CPD119"/>
      <c r="CPE119"/>
      <c r="CPF119"/>
      <c r="CPG119"/>
      <c r="CPH119"/>
      <c r="CPI119"/>
      <c r="CPJ119"/>
      <c r="CPK119"/>
      <c r="CPL119"/>
      <c r="CPM119"/>
      <c r="CPN119"/>
      <c r="CPO119"/>
      <c r="CPP119"/>
      <c r="CPQ119"/>
      <c r="CPR119"/>
      <c r="CPS119"/>
      <c r="CPT119"/>
      <c r="CPU119"/>
      <c r="CPV119"/>
      <c r="CPW119"/>
      <c r="CPX119"/>
      <c r="CPY119"/>
      <c r="CPZ119"/>
      <c r="CQA119"/>
      <c r="CQB119"/>
      <c r="CQC119"/>
      <c r="CQD119"/>
      <c r="CQE119"/>
      <c r="CQF119"/>
      <c r="CQG119"/>
      <c r="CQH119"/>
      <c r="CQI119"/>
      <c r="CQJ119"/>
      <c r="CQK119"/>
      <c r="CQL119"/>
      <c r="CQM119"/>
      <c r="CQN119"/>
      <c r="CQO119"/>
      <c r="CQP119"/>
      <c r="CQQ119"/>
      <c r="CQR119"/>
      <c r="CQS119"/>
      <c r="CQT119"/>
      <c r="CQU119"/>
      <c r="CQV119"/>
      <c r="CQW119"/>
      <c r="CQX119"/>
      <c r="CQY119"/>
      <c r="CQZ119"/>
      <c r="CRA119"/>
      <c r="CRB119"/>
      <c r="CRC119"/>
      <c r="CRD119"/>
      <c r="CRE119"/>
      <c r="CRF119"/>
      <c r="CRG119"/>
      <c r="CRH119"/>
      <c r="CRI119"/>
      <c r="CRJ119"/>
      <c r="CRK119"/>
      <c r="CRL119"/>
      <c r="CRM119"/>
      <c r="CRN119"/>
      <c r="CRO119"/>
      <c r="CRP119"/>
      <c r="CRQ119"/>
      <c r="CRR119"/>
      <c r="CRS119"/>
      <c r="CRT119"/>
      <c r="CRU119"/>
      <c r="CRV119"/>
      <c r="CRW119"/>
      <c r="CRX119"/>
      <c r="CRY119"/>
      <c r="CRZ119"/>
      <c r="CSA119"/>
      <c r="CSB119"/>
      <c r="CSC119"/>
      <c r="CSD119"/>
      <c r="CSE119"/>
      <c r="CSF119"/>
      <c r="CSG119"/>
      <c r="CSH119"/>
      <c r="CSI119"/>
      <c r="CSJ119"/>
      <c r="CSK119"/>
      <c r="CSL119"/>
      <c r="CSM119"/>
      <c r="CSN119"/>
      <c r="CSO119"/>
      <c r="CSP119"/>
      <c r="CSQ119"/>
      <c r="CSR119"/>
      <c r="CSS119"/>
      <c r="CST119"/>
      <c r="CSU119"/>
      <c r="CSV119"/>
      <c r="CSW119"/>
      <c r="CSX119"/>
      <c r="CSY119"/>
      <c r="CSZ119"/>
      <c r="CTA119"/>
      <c r="CTB119"/>
      <c r="CTC119"/>
      <c r="CTD119"/>
      <c r="CTE119"/>
      <c r="CTF119"/>
      <c r="CTG119"/>
      <c r="CTH119"/>
      <c r="CTI119"/>
      <c r="CTJ119"/>
      <c r="CTK119"/>
      <c r="CTL119"/>
      <c r="CTM119"/>
      <c r="CTN119"/>
      <c r="CTO119"/>
      <c r="CTP119"/>
      <c r="CTQ119"/>
      <c r="CTR119"/>
      <c r="CTS119"/>
      <c r="CTT119"/>
      <c r="CTU119"/>
      <c r="CTV119"/>
      <c r="CTW119"/>
      <c r="CTX119"/>
      <c r="CTY119"/>
      <c r="CTZ119"/>
      <c r="CUA119"/>
      <c r="CUB119"/>
      <c r="CUC119"/>
      <c r="CUD119"/>
      <c r="CUE119"/>
      <c r="CUF119"/>
      <c r="CUG119"/>
      <c r="CUH119"/>
      <c r="CUI119"/>
      <c r="CUJ119"/>
      <c r="CUK119"/>
      <c r="CUL119"/>
      <c r="CUM119"/>
      <c r="CUN119"/>
      <c r="CUO119"/>
      <c r="CUP119"/>
      <c r="CUQ119"/>
      <c r="CUR119"/>
      <c r="CUS119"/>
      <c r="CUT119"/>
      <c r="CUU119"/>
      <c r="CUV119"/>
      <c r="CUW119"/>
      <c r="CUX119"/>
      <c r="CUY119"/>
      <c r="CUZ119"/>
      <c r="CVA119"/>
      <c r="CVB119"/>
      <c r="CVC119"/>
      <c r="CVD119"/>
      <c r="CVE119"/>
      <c r="CVF119"/>
      <c r="CVG119"/>
      <c r="CVH119"/>
      <c r="CVI119"/>
      <c r="CVJ119"/>
      <c r="CVK119"/>
      <c r="CVL119"/>
      <c r="CVM119"/>
      <c r="CVN119"/>
      <c r="CVO119"/>
      <c r="CVP119"/>
      <c r="CVQ119"/>
      <c r="CVR119"/>
      <c r="CVS119"/>
      <c r="CVT119"/>
      <c r="CVU119"/>
      <c r="CVV119"/>
      <c r="CVW119"/>
      <c r="CVX119"/>
      <c r="CVY119"/>
      <c r="CVZ119"/>
      <c r="CWA119"/>
      <c r="CWB119"/>
      <c r="CWC119"/>
      <c r="CWD119"/>
      <c r="CWE119"/>
      <c r="CWF119"/>
      <c r="CWG119"/>
      <c r="CWH119"/>
      <c r="CWI119"/>
      <c r="CWJ119"/>
      <c r="CWK119"/>
      <c r="CWL119"/>
      <c r="CWM119"/>
      <c r="CWN119"/>
      <c r="CWO119"/>
      <c r="CWP119"/>
      <c r="CWQ119"/>
      <c r="CWR119"/>
      <c r="CWS119"/>
      <c r="CWT119"/>
      <c r="CWU119"/>
      <c r="CWV119"/>
      <c r="CWW119"/>
      <c r="CWX119"/>
      <c r="CWY119"/>
      <c r="CWZ119"/>
      <c r="CXA119"/>
      <c r="CXB119"/>
      <c r="CXC119"/>
      <c r="CXD119"/>
      <c r="CXE119"/>
      <c r="CXF119"/>
      <c r="CXG119"/>
      <c r="CXH119"/>
      <c r="CXI119"/>
      <c r="CXJ119"/>
      <c r="CXK119"/>
      <c r="CXL119"/>
      <c r="CXM119"/>
      <c r="CXN119"/>
      <c r="CXO119"/>
      <c r="CXP119"/>
      <c r="CXQ119"/>
      <c r="CXR119"/>
      <c r="CXS119"/>
      <c r="CXT119"/>
      <c r="CXU119"/>
      <c r="CXV119"/>
      <c r="CXW119"/>
      <c r="CXX119"/>
      <c r="CXY119"/>
      <c r="CXZ119"/>
      <c r="CYA119"/>
      <c r="CYB119"/>
      <c r="CYC119"/>
      <c r="CYD119"/>
      <c r="CYE119"/>
      <c r="CYF119"/>
      <c r="CYG119"/>
      <c r="CYH119"/>
      <c r="CYI119"/>
      <c r="CYJ119"/>
      <c r="CYK119"/>
      <c r="CYL119"/>
      <c r="CYM119"/>
      <c r="CYN119"/>
      <c r="CYO119"/>
      <c r="CYP119"/>
      <c r="CYQ119"/>
      <c r="CYR119"/>
      <c r="CYS119"/>
      <c r="CYT119"/>
      <c r="CYU119"/>
      <c r="CYV119"/>
      <c r="CYW119"/>
      <c r="CYX119"/>
      <c r="CYY119"/>
      <c r="CYZ119"/>
      <c r="CZA119"/>
      <c r="CZB119"/>
      <c r="CZC119"/>
      <c r="CZD119"/>
      <c r="CZE119"/>
      <c r="CZF119"/>
      <c r="CZG119"/>
      <c r="CZH119"/>
      <c r="CZI119"/>
      <c r="CZJ119"/>
      <c r="CZK119"/>
      <c r="CZL119"/>
      <c r="CZM119"/>
      <c r="CZN119"/>
      <c r="CZO119"/>
      <c r="CZP119"/>
      <c r="CZQ119"/>
      <c r="CZR119"/>
      <c r="CZS119"/>
      <c r="CZT119"/>
      <c r="CZU119"/>
      <c r="CZV119"/>
      <c r="CZW119"/>
      <c r="CZX119"/>
      <c r="CZY119"/>
      <c r="CZZ119"/>
      <c r="DAA119"/>
      <c r="DAB119"/>
      <c r="DAC119"/>
      <c r="DAD119"/>
      <c r="DAE119"/>
      <c r="DAF119"/>
      <c r="DAG119"/>
      <c r="DAH119"/>
      <c r="DAI119"/>
      <c r="DAJ119"/>
      <c r="DAK119"/>
      <c r="DAL119"/>
      <c r="DAM119"/>
      <c r="DAN119"/>
      <c r="DAO119"/>
      <c r="DAP119"/>
      <c r="DAQ119"/>
      <c r="DAR119"/>
      <c r="DAS119"/>
      <c r="DAT119"/>
      <c r="DAU119"/>
      <c r="DAV119"/>
      <c r="DAW119"/>
      <c r="DAX119"/>
      <c r="DAY119"/>
      <c r="DAZ119"/>
      <c r="DBA119"/>
      <c r="DBB119"/>
      <c r="DBC119"/>
      <c r="DBD119"/>
      <c r="DBE119"/>
      <c r="DBF119"/>
      <c r="DBG119"/>
      <c r="DBH119"/>
      <c r="DBI119"/>
      <c r="DBJ119"/>
      <c r="DBK119"/>
      <c r="DBL119"/>
      <c r="DBM119"/>
      <c r="DBN119"/>
      <c r="DBO119"/>
      <c r="DBP119"/>
      <c r="DBQ119"/>
      <c r="DBR119"/>
      <c r="DBS119"/>
      <c r="DBT119"/>
      <c r="DBU119"/>
      <c r="DBV119"/>
      <c r="DBW119"/>
      <c r="DBX119"/>
      <c r="DBY119"/>
      <c r="DBZ119"/>
      <c r="DCA119"/>
      <c r="DCB119"/>
      <c r="DCC119"/>
      <c r="DCD119"/>
      <c r="DCE119"/>
      <c r="DCF119"/>
      <c r="DCG119"/>
      <c r="DCH119"/>
      <c r="DCI119"/>
      <c r="DCJ119"/>
      <c r="DCK119"/>
      <c r="DCL119"/>
      <c r="DCM119"/>
      <c r="DCN119"/>
      <c r="DCO119"/>
      <c r="DCP119"/>
      <c r="DCQ119"/>
      <c r="DCR119"/>
      <c r="DCS119"/>
      <c r="DCT119"/>
      <c r="DCU119"/>
      <c r="DCV119"/>
      <c r="DCW119"/>
      <c r="DCX119"/>
      <c r="DCY119"/>
      <c r="DCZ119"/>
      <c r="DDA119"/>
      <c r="DDB119"/>
      <c r="DDC119"/>
      <c r="DDD119"/>
      <c r="DDE119"/>
      <c r="DDF119"/>
      <c r="DDG119"/>
      <c r="DDH119"/>
      <c r="DDI119"/>
      <c r="DDJ119"/>
      <c r="DDK119"/>
      <c r="DDL119"/>
      <c r="DDM119"/>
      <c r="DDN119"/>
      <c r="DDO119"/>
      <c r="DDP119"/>
      <c r="DDQ119"/>
      <c r="DDR119"/>
      <c r="DDS119"/>
      <c r="DDT119"/>
      <c r="DDU119"/>
      <c r="DDV119"/>
      <c r="DDW119"/>
      <c r="DDX119"/>
      <c r="DDY119"/>
      <c r="DDZ119"/>
      <c r="DEA119"/>
      <c r="DEB119"/>
      <c r="DEC119"/>
      <c r="DED119"/>
      <c r="DEE119"/>
      <c r="DEF119"/>
      <c r="DEG119"/>
      <c r="DEH119"/>
      <c r="DEI119"/>
      <c r="DEJ119"/>
      <c r="DEK119"/>
      <c r="DEL119"/>
      <c r="DEM119"/>
      <c r="DEN119"/>
      <c r="DEO119"/>
      <c r="DEP119"/>
      <c r="DEQ119"/>
      <c r="DER119"/>
      <c r="DES119"/>
      <c r="DET119"/>
      <c r="DEU119"/>
      <c r="DEV119"/>
      <c r="DEW119"/>
      <c r="DEX119"/>
      <c r="DEY119"/>
      <c r="DEZ119"/>
      <c r="DFA119"/>
      <c r="DFB119"/>
      <c r="DFC119"/>
      <c r="DFD119"/>
      <c r="DFE119"/>
      <c r="DFF119"/>
      <c r="DFG119"/>
      <c r="DFH119"/>
      <c r="DFI119"/>
      <c r="DFJ119"/>
      <c r="DFK119"/>
      <c r="DFL119"/>
      <c r="DFM119"/>
      <c r="DFN119"/>
      <c r="DFO119"/>
      <c r="DFP119"/>
      <c r="DFQ119"/>
      <c r="DFR119"/>
      <c r="DFS119"/>
      <c r="DFT119"/>
      <c r="DFU119"/>
      <c r="DFV119"/>
      <c r="DFW119"/>
      <c r="DFX119"/>
      <c r="DFY119"/>
      <c r="DFZ119"/>
      <c r="DGA119"/>
      <c r="DGB119"/>
      <c r="DGC119"/>
      <c r="DGD119"/>
      <c r="DGE119"/>
      <c r="DGF119"/>
      <c r="DGG119"/>
      <c r="DGH119"/>
      <c r="DGI119"/>
      <c r="DGJ119"/>
      <c r="DGK119"/>
      <c r="DGL119"/>
      <c r="DGM119"/>
      <c r="DGN119"/>
      <c r="DGO119"/>
      <c r="DGP119"/>
      <c r="DGQ119"/>
      <c r="DGR119"/>
      <c r="DGS119"/>
      <c r="DGT119"/>
      <c r="DGU119"/>
      <c r="DGV119"/>
      <c r="DGW119"/>
      <c r="DGX119"/>
      <c r="DGY119"/>
      <c r="DGZ119"/>
      <c r="DHA119"/>
      <c r="DHB119"/>
      <c r="DHC119"/>
      <c r="DHD119"/>
      <c r="DHE119"/>
      <c r="DHF119"/>
      <c r="DHG119"/>
      <c r="DHH119"/>
      <c r="DHI119"/>
      <c r="DHJ119"/>
      <c r="DHK119"/>
      <c r="DHL119"/>
      <c r="DHM119"/>
      <c r="DHN119"/>
      <c r="DHO119"/>
      <c r="DHP119"/>
      <c r="DHQ119"/>
      <c r="DHR119"/>
      <c r="DHS119"/>
      <c r="DHT119"/>
      <c r="DHU119"/>
      <c r="DHV119"/>
      <c r="DHW119"/>
      <c r="DHX119"/>
      <c r="DHY119"/>
      <c r="DHZ119"/>
      <c r="DIA119"/>
      <c r="DIB119"/>
      <c r="DIC119"/>
      <c r="DID119"/>
      <c r="DIE119"/>
      <c r="DIF119"/>
      <c r="DIG119"/>
      <c r="DIH119"/>
      <c r="DII119"/>
      <c r="DIJ119"/>
      <c r="DIK119"/>
      <c r="DIL119"/>
      <c r="DIM119"/>
      <c r="DIN119"/>
      <c r="DIO119"/>
      <c r="DIP119"/>
      <c r="DIQ119"/>
      <c r="DIR119"/>
      <c r="DIS119"/>
      <c r="DIT119"/>
      <c r="DIU119"/>
      <c r="DIV119"/>
      <c r="DIW119"/>
      <c r="DIX119"/>
      <c r="DIY119"/>
      <c r="DIZ119"/>
      <c r="DJA119"/>
      <c r="DJB119"/>
      <c r="DJC119"/>
      <c r="DJD119"/>
      <c r="DJE119"/>
      <c r="DJF119"/>
      <c r="DJG119"/>
      <c r="DJH119"/>
      <c r="DJI119"/>
      <c r="DJJ119"/>
      <c r="DJK119"/>
      <c r="DJL119"/>
      <c r="DJM119"/>
      <c r="DJN119"/>
      <c r="DJO119"/>
      <c r="DJP119"/>
      <c r="DJQ119"/>
      <c r="DJR119"/>
      <c r="DJS119"/>
      <c r="DJT119"/>
      <c r="DJU119"/>
      <c r="DJV119"/>
      <c r="DJW119"/>
      <c r="DJX119"/>
      <c r="DJY119"/>
      <c r="DJZ119"/>
      <c r="DKA119"/>
      <c r="DKB119"/>
      <c r="DKC119"/>
      <c r="DKD119"/>
      <c r="DKE119"/>
      <c r="DKF119"/>
      <c r="DKG119"/>
      <c r="DKH119"/>
      <c r="DKI119"/>
      <c r="DKJ119"/>
      <c r="DKK119"/>
      <c r="DKL119"/>
      <c r="DKM119"/>
      <c r="DKN119"/>
      <c r="DKO119"/>
      <c r="DKP119"/>
      <c r="DKQ119"/>
      <c r="DKR119"/>
      <c r="DKS119"/>
      <c r="DKT119"/>
      <c r="DKU119"/>
      <c r="DKV119"/>
      <c r="DKW119"/>
      <c r="DKX119"/>
      <c r="DKY119"/>
      <c r="DKZ119"/>
      <c r="DLA119"/>
      <c r="DLB119"/>
      <c r="DLC119"/>
      <c r="DLD119"/>
      <c r="DLE119"/>
      <c r="DLF119"/>
      <c r="DLG119"/>
      <c r="DLH119"/>
      <c r="DLI119"/>
      <c r="DLJ119"/>
      <c r="DLK119"/>
      <c r="DLL119"/>
      <c r="DLM119"/>
      <c r="DLN119"/>
      <c r="DLO119"/>
      <c r="DLP119"/>
      <c r="DLQ119"/>
      <c r="DLR119"/>
      <c r="DLS119"/>
      <c r="DLT119"/>
      <c r="DLU119"/>
      <c r="DLV119"/>
      <c r="DLW119"/>
      <c r="DLX119"/>
      <c r="DLY119"/>
      <c r="DLZ119"/>
      <c r="DMA119"/>
      <c r="DMB119"/>
      <c r="DMC119"/>
      <c r="DMD119"/>
      <c r="DME119"/>
      <c r="DMF119"/>
      <c r="DMG119"/>
      <c r="DMH119"/>
      <c r="DMI119"/>
      <c r="DMJ119"/>
      <c r="DMK119"/>
      <c r="DML119"/>
      <c r="DMM119"/>
      <c r="DMN119"/>
      <c r="DMO119"/>
      <c r="DMP119"/>
      <c r="DMQ119"/>
      <c r="DMR119"/>
      <c r="DMS119"/>
      <c r="DMT119"/>
      <c r="DMU119"/>
      <c r="DMV119"/>
      <c r="DMW119"/>
      <c r="DMX119"/>
      <c r="DMY119"/>
      <c r="DMZ119"/>
      <c r="DNA119"/>
      <c r="DNB119"/>
      <c r="DNC119"/>
      <c r="DND119"/>
      <c r="DNE119"/>
      <c r="DNF119"/>
      <c r="DNG119"/>
      <c r="DNH119"/>
      <c r="DNI119"/>
      <c r="DNJ119"/>
      <c r="DNK119"/>
      <c r="DNL119"/>
      <c r="DNM119"/>
      <c r="DNN119"/>
      <c r="DNO119"/>
      <c r="DNP119"/>
      <c r="DNQ119"/>
      <c r="DNR119"/>
      <c r="DNS119"/>
      <c r="DNT119"/>
      <c r="DNU119"/>
      <c r="DNV119"/>
      <c r="DNW119"/>
      <c r="DNX119"/>
      <c r="DNY119"/>
      <c r="DNZ119"/>
      <c r="DOA119"/>
      <c r="DOB119"/>
      <c r="DOC119"/>
      <c r="DOD119"/>
      <c r="DOE119"/>
      <c r="DOF119"/>
      <c r="DOG119"/>
      <c r="DOH119"/>
      <c r="DOI119"/>
      <c r="DOJ119"/>
      <c r="DOK119"/>
      <c r="DOL119"/>
      <c r="DOM119"/>
      <c r="DON119"/>
      <c r="DOO119"/>
      <c r="DOP119"/>
      <c r="DOQ119"/>
      <c r="DOR119"/>
      <c r="DOS119"/>
      <c r="DOT119"/>
      <c r="DOU119"/>
      <c r="DOV119"/>
      <c r="DOW119"/>
      <c r="DOX119"/>
      <c r="DOY119"/>
      <c r="DOZ119"/>
      <c r="DPA119"/>
      <c r="DPB119"/>
      <c r="DPC119"/>
      <c r="DPD119"/>
      <c r="DPE119"/>
      <c r="DPF119"/>
      <c r="DPG119"/>
      <c r="DPH119"/>
      <c r="DPI119"/>
      <c r="DPJ119"/>
      <c r="DPK119"/>
      <c r="DPL119"/>
      <c r="DPM119"/>
      <c r="DPN119"/>
      <c r="DPO119"/>
      <c r="DPP119"/>
      <c r="DPQ119"/>
      <c r="DPR119"/>
      <c r="DPS119"/>
      <c r="DPT119"/>
      <c r="DPU119"/>
      <c r="DPV119"/>
      <c r="DPW119"/>
      <c r="DPX119"/>
      <c r="DPY119"/>
      <c r="DPZ119"/>
      <c r="DQA119"/>
      <c r="DQB119"/>
      <c r="DQC119"/>
      <c r="DQD119"/>
      <c r="DQE119"/>
      <c r="DQF119"/>
      <c r="DQG119"/>
      <c r="DQH119"/>
      <c r="DQI119"/>
      <c r="DQJ119"/>
      <c r="DQK119"/>
      <c r="DQL119"/>
      <c r="DQM119"/>
      <c r="DQN119"/>
      <c r="DQO119"/>
      <c r="DQP119"/>
      <c r="DQQ119"/>
      <c r="DQR119"/>
      <c r="DQS119"/>
      <c r="DQT119"/>
      <c r="DQU119"/>
      <c r="DQV119"/>
      <c r="DQW119"/>
      <c r="DQX119"/>
      <c r="DQY119"/>
      <c r="DQZ119"/>
      <c r="DRA119"/>
      <c r="DRB119"/>
      <c r="DRC119"/>
      <c r="DRD119"/>
      <c r="DRE119"/>
      <c r="DRF119"/>
      <c r="DRG119"/>
      <c r="DRH119"/>
      <c r="DRI119"/>
      <c r="DRJ119"/>
      <c r="DRK119"/>
      <c r="DRL119"/>
      <c r="DRM119"/>
      <c r="DRN119"/>
      <c r="DRO119"/>
      <c r="DRP119"/>
      <c r="DRQ119"/>
      <c r="DRR119"/>
      <c r="DRS119"/>
      <c r="DRT119"/>
      <c r="DRU119"/>
      <c r="DRV119"/>
      <c r="DRW119"/>
      <c r="DRX119"/>
      <c r="DRY119"/>
      <c r="DRZ119"/>
      <c r="DSA119"/>
      <c r="DSB119"/>
      <c r="DSC119"/>
      <c r="DSD119"/>
      <c r="DSE119"/>
      <c r="DSF119"/>
      <c r="DSG119"/>
      <c r="DSH119"/>
      <c r="DSI119"/>
      <c r="DSJ119"/>
      <c r="DSK119"/>
      <c r="DSL119"/>
      <c r="DSM119"/>
      <c r="DSN119"/>
      <c r="DSO119"/>
      <c r="DSP119"/>
      <c r="DSQ119"/>
      <c r="DSR119"/>
      <c r="DSS119"/>
      <c r="DST119"/>
      <c r="DSU119"/>
      <c r="DSV119"/>
      <c r="DSW119"/>
      <c r="DSX119"/>
      <c r="DSY119"/>
      <c r="DSZ119"/>
      <c r="DTA119"/>
      <c r="DTB119"/>
      <c r="DTC119"/>
      <c r="DTD119"/>
      <c r="DTE119"/>
      <c r="DTF119"/>
      <c r="DTG119"/>
      <c r="DTH119"/>
      <c r="DTI119"/>
      <c r="DTJ119"/>
      <c r="DTK119"/>
      <c r="DTL119"/>
      <c r="DTM119"/>
      <c r="DTN119"/>
      <c r="DTO119"/>
      <c r="DTP119"/>
      <c r="DTQ119"/>
      <c r="DTR119"/>
      <c r="DTS119"/>
      <c r="DTT119"/>
      <c r="DTU119"/>
      <c r="DTV119"/>
      <c r="DTW119"/>
      <c r="DTX119"/>
      <c r="DTY119"/>
      <c r="DTZ119"/>
      <c r="DUA119"/>
      <c r="DUB119"/>
      <c r="DUC119"/>
      <c r="DUD119"/>
      <c r="DUE119"/>
      <c r="DUF119"/>
      <c r="DUG119"/>
      <c r="DUH119"/>
      <c r="DUI119"/>
      <c r="DUJ119"/>
      <c r="DUK119"/>
      <c r="DUL119"/>
      <c r="DUM119"/>
      <c r="DUN119"/>
      <c r="DUO119"/>
      <c r="DUP119"/>
      <c r="DUQ119"/>
      <c r="DUR119"/>
      <c r="DUS119"/>
      <c r="DUT119"/>
      <c r="DUU119"/>
      <c r="DUV119"/>
      <c r="DUW119"/>
      <c r="DUX119"/>
      <c r="DUY119"/>
      <c r="DUZ119"/>
      <c r="DVA119"/>
      <c r="DVB119"/>
      <c r="DVC119"/>
      <c r="DVD119"/>
      <c r="DVE119"/>
      <c r="DVF119"/>
      <c r="DVG119"/>
      <c r="DVH119"/>
      <c r="DVI119"/>
      <c r="DVJ119"/>
      <c r="DVK119"/>
      <c r="DVL119"/>
      <c r="DVM119"/>
      <c r="DVN119"/>
      <c r="DVO119"/>
      <c r="DVP119"/>
      <c r="DVQ119"/>
      <c r="DVR119"/>
      <c r="DVS119"/>
      <c r="DVT119"/>
      <c r="DVU119"/>
      <c r="DVV119"/>
      <c r="DVW119"/>
      <c r="DVX119"/>
      <c r="DVY119"/>
      <c r="DVZ119"/>
      <c r="DWA119"/>
      <c r="DWB119"/>
      <c r="DWC119"/>
      <c r="DWD119"/>
      <c r="DWE119"/>
      <c r="DWF119"/>
      <c r="DWG119"/>
      <c r="DWH119"/>
      <c r="DWI119"/>
      <c r="DWJ119"/>
      <c r="DWK119"/>
      <c r="DWL119"/>
      <c r="DWM119"/>
      <c r="DWN119"/>
      <c r="DWO119"/>
      <c r="DWP119"/>
      <c r="DWQ119"/>
      <c r="DWR119"/>
      <c r="DWS119"/>
      <c r="DWT119"/>
      <c r="DWU119"/>
      <c r="DWV119"/>
      <c r="DWW119"/>
      <c r="DWX119"/>
      <c r="DWY119"/>
      <c r="DWZ119"/>
      <c r="DXA119"/>
      <c r="DXB119"/>
      <c r="DXC119"/>
      <c r="DXD119"/>
      <c r="DXE119"/>
      <c r="DXF119"/>
      <c r="DXG119"/>
      <c r="DXH119"/>
      <c r="DXI119"/>
      <c r="DXJ119"/>
      <c r="DXK119"/>
      <c r="DXL119"/>
      <c r="DXM119"/>
      <c r="DXN119"/>
      <c r="DXO119"/>
      <c r="DXP119"/>
      <c r="DXQ119"/>
      <c r="DXR119"/>
      <c r="DXS119"/>
      <c r="DXT119"/>
      <c r="DXU119"/>
      <c r="DXV119"/>
      <c r="DXW119"/>
      <c r="DXX119"/>
      <c r="DXY119"/>
      <c r="DXZ119"/>
      <c r="DYA119"/>
      <c r="DYB119"/>
      <c r="DYC119"/>
      <c r="DYD119"/>
      <c r="DYE119"/>
      <c r="DYF119"/>
      <c r="DYG119"/>
      <c r="DYH119"/>
      <c r="DYI119"/>
      <c r="DYJ119"/>
      <c r="DYK119"/>
      <c r="DYL119"/>
      <c r="DYM119"/>
      <c r="DYN119"/>
      <c r="DYO119"/>
      <c r="DYP119"/>
      <c r="DYQ119"/>
      <c r="DYR119"/>
      <c r="DYS119"/>
      <c r="DYT119"/>
      <c r="DYU119"/>
      <c r="DYV119"/>
      <c r="DYW119"/>
      <c r="DYX119"/>
      <c r="DYY119"/>
      <c r="DYZ119"/>
      <c r="DZA119"/>
      <c r="DZB119"/>
      <c r="DZC119"/>
      <c r="DZD119"/>
      <c r="DZE119"/>
      <c r="DZF119"/>
      <c r="DZG119"/>
      <c r="DZH119"/>
      <c r="DZI119"/>
      <c r="DZJ119"/>
      <c r="DZK119"/>
      <c r="DZL119"/>
      <c r="DZM119"/>
      <c r="DZN119"/>
      <c r="DZO119"/>
      <c r="DZP119"/>
      <c r="DZQ119"/>
      <c r="DZR119"/>
      <c r="DZS119"/>
      <c r="DZT119"/>
      <c r="DZU119"/>
      <c r="DZV119"/>
      <c r="DZW119"/>
      <c r="DZX119"/>
      <c r="DZY119"/>
      <c r="DZZ119"/>
      <c r="EAA119"/>
      <c r="EAB119"/>
      <c r="EAC119"/>
      <c r="EAD119"/>
      <c r="EAE119"/>
      <c r="EAF119"/>
      <c r="EAG119"/>
      <c r="EAH119"/>
      <c r="EAI119"/>
      <c r="EAJ119"/>
      <c r="EAK119"/>
      <c r="EAL119"/>
      <c r="EAM119"/>
      <c r="EAN119"/>
      <c r="EAO119"/>
      <c r="EAP119"/>
      <c r="EAQ119"/>
      <c r="EAR119"/>
      <c r="EAS119"/>
      <c r="EAT119"/>
      <c r="EAU119"/>
      <c r="EAV119"/>
      <c r="EAW119"/>
      <c r="EAX119"/>
      <c r="EAY119"/>
      <c r="EAZ119"/>
      <c r="EBA119"/>
      <c r="EBB119"/>
      <c r="EBC119"/>
      <c r="EBD119"/>
      <c r="EBE119"/>
      <c r="EBF119"/>
      <c r="EBG119"/>
      <c r="EBH119"/>
      <c r="EBI119"/>
      <c r="EBJ119"/>
      <c r="EBK119"/>
      <c r="EBL119"/>
      <c r="EBM119"/>
      <c r="EBN119"/>
      <c r="EBO119"/>
      <c r="EBP119"/>
      <c r="EBQ119"/>
      <c r="EBR119"/>
      <c r="EBS119"/>
      <c r="EBT119"/>
      <c r="EBU119"/>
      <c r="EBV119"/>
      <c r="EBW119"/>
      <c r="EBX119"/>
      <c r="EBY119"/>
      <c r="EBZ119"/>
      <c r="ECA119"/>
      <c r="ECB119"/>
      <c r="ECC119"/>
      <c r="ECD119"/>
      <c r="ECE119"/>
      <c r="ECF119"/>
      <c r="ECG119"/>
      <c r="ECH119"/>
      <c r="ECI119"/>
      <c r="ECJ119"/>
      <c r="ECK119"/>
      <c r="ECL119"/>
      <c r="ECM119"/>
      <c r="ECN119"/>
      <c r="ECO119"/>
      <c r="ECP119"/>
      <c r="ECQ119"/>
      <c r="ECR119"/>
      <c r="ECS119"/>
      <c r="ECT119"/>
      <c r="ECU119"/>
      <c r="ECV119"/>
      <c r="ECW119"/>
      <c r="ECX119"/>
      <c r="ECY119"/>
      <c r="ECZ119"/>
      <c r="EDA119"/>
      <c r="EDB119"/>
      <c r="EDC119"/>
      <c r="EDD119"/>
      <c r="EDE119"/>
      <c r="EDF119"/>
      <c r="EDG119"/>
      <c r="EDH119"/>
      <c r="EDI119"/>
      <c r="EDJ119"/>
      <c r="EDK119"/>
      <c r="EDL119"/>
      <c r="EDM119"/>
      <c r="EDN119"/>
      <c r="EDO119"/>
      <c r="EDP119"/>
      <c r="EDQ119"/>
      <c r="EDR119"/>
      <c r="EDS119"/>
      <c r="EDT119"/>
      <c r="EDU119"/>
      <c r="EDV119"/>
      <c r="EDW119"/>
      <c r="EDX119"/>
      <c r="EDY119"/>
      <c r="EDZ119"/>
      <c r="EEA119"/>
      <c r="EEB119"/>
      <c r="EEC119"/>
      <c r="EED119"/>
      <c r="EEE119"/>
      <c r="EEF119"/>
      <c r="EEG119"/>
      <c r="EEH119"/>
      <c r="EEI119"/>
      <c r="EEJ119"/>
      <c r="EEK119"/>
      <c r="EEL119"/>
      <c r="EEM119"/>
      <c r="EEN119"/>
      <c r="EEO119"/>
      <c r="EEP119"/>
      <c r="EEQ119"/>
      <c r="EER119"/>
      <c r="EES119"/>
      <c r="EET119"/>
      <c r="EEU119"/>
      <c r="EEV119"/>
      <c r="EEW119"/>
      <c r="EEX119"/>
      <c r="EEY119"/>
      <c r="EEZ119"/>
      <c r="EFA119"/>
      <c r="EFB119"/>
      <c r="EFC119"/>
      <c r="EFD119"/>
      <c r="EFE119"/>
      <c r="EFF119"/>
      <c r="EFG119"/>
      <c r="EFH119"/>
      <c r="EFI119"/>
      <c r="EFJ119"/>
      <c r="EFK119"/>
      <c r="EFL119"/>
      <c r="EFM119"/>
      <c r="EFN119"/>
      <c r="EFO119"/>
      <c r="EFP119"/>
      <c r="EFQ119"/>
      <c r="EFR119"/>
      <c r="EFS119"/>
      <c r="EFT119"/>
      <c r="EFU119"/>
      <c r="EFV119"/>
      <c r="EFW119"/>
      <c r="EFX119"/>
      <c r="EFY119"/>
      <c r="EFZ119"/>
      <c r="EGA119"/>
      <c r="EGB119"/>
      <c r="EGC119"/>
      <c r="EGD119"/>
      <c r="EGE119"/>
      <c r="EGF119"/>
      <c r="EGG119"/>
      <c r="EGH119"/>
      <c r="EGI119"/>
      <c r="EGJ119"/>
      <c r="EGK119"/>
      <c r="EGL119"/>
      <c r="EGM119"/>
      <c r="EGN119"/>
      <c r="EGO119"/>
      <c r="EGP119"/>
      <c r="EGQ119"/>
      <c r="EGR119"/>
      <c r="EGS119"/>
      <c r="EGT119"/>
      <c r="EGU119"/>
      <c r="EGV119"/>
      <c r="EGW119"/>
      <c r="EGX119"/>
      <c r="EGY119"/>
      <c r="EGZ119"/>
      <c r="EHA119"/>
      <c r="EHB119"/>
      <c r="EHC119"/>
      <c r="EHD119"/>
      <c r="EHE119"/>
      <c r="EHF119"/>
      <c r="EHG119"/>
      <c r="EHH119"/>
      <c r="EHI119"/>
      <c r="EHJ119"/>
      <c r="EHK119"/>
      <c r="EHL119"/>
      <c r="EHM119"/>
      <c r="EHN119"/>
      <c r="EHO119"/>
      <c r="EHP119"/>
      <c r="EHQ119"/>
      <c r="EHR119"/>
      <c r="EHS119"/>
      <c r="EHT119"/>
      <c r="EHU119"/>
      <c r="EHV119"/>
      <c r="EHW119"/>
      <c r="EHX119"/>
      <c r="EHY119"/>
      <c r="EHZ119"/>
      <c r="EIA119"/>
      <c r="EIB119"/>
      <c r="EIC119"/>
      <c r="EID119"/>
      <c r="EIE119"/>
      <c r="EIF119"/>
      <c r="EIG119"/>
      <c r="EIH119"/>
      <c r="EII119"/>
      <c r="EIJ119"/>
      <c r="EIK119"/>
      <c r="EIL119"/>
      <c r="EIM119"/>
      <c r="EIN119"/>
      <c r="EIO119"/>
      <c r="EIP119"/>
      <c r="EIQ119"/>
      <c r="EIR119"/>
      <c r="EIS119"/>
      <c r="EIT119"/>
      <c r="EIU119"/>
      <c r="EIV119"/>
      <c r="EIW119"/>
      <c r="EIX119"/>
      <c r="EIY119"/>
      <c r="EIZ119"/>
      <c r="EJA119"/>
      <c r="EJB119"/>
      <c r="EJC119"/>
      <c r="EJD119"/>
      <c r="EJE119"/>
      <c r="EJF119"/>
      <c r="EJG119"/>
      <c r="EJH119"/>
      <c r="EJI119"/>
      <c r="EJJ119"/>
      <c r="EJK119"/>
      <c r="EJL119"/>
      <c r="EJM119"/>
      <c r="EJN119"/>
      <c r="EJO119"/>
      <c r="EJP119"/>
      <c r="EJQ119"/>
      <c r="EJR119"/>
      <c r="EJS119"/>
      <c r="EJT119"/>
      <c r="EJU119"/>
      <c r="EJV119"/>
      <c r="EJW119"/>
      <c r="EJX119"/>
      <c r="EJY119"/>
      <c r="EJZ119"/>
      <c r="EKA119"/>
      <c r="EKB119"/>
      <c r="EKC119"/>
      <c r="EKD119"/>
      <c r="EKE119"/>
      <c r="EKF119"/>
      <c r="EKG119"/>
      <c r="EKH119"/>
      <c r="EKI119"/>
      <c r="EKJ119"/>
      <c r="EKK119"/>
      <c r="EKL119"/>
      <c r="EKM119"/>
      <c r="EKN119"/>
      <c r="EKO119"/>
      <c r="EKP119"/>
      <c r="EKQ119"/>
      <c r="EKR119"/>
      <c r="EKS119"/>
      <c r="EKT119"/>
      <c r="EKU119"/>
      <c r="EKV119"/>
      <c r="EKW119"/>
      <c r="EKX119"/>
      <c r="EKY119"/>
      <c r="EKZ119"/>
      <c r="ELA119"/>
      <c r="ELB119"/>
      <c r="ELC119"/>
      <c r="ELD119"/>
      <c r="ELE119"/>
      <c r="ELF119"/>
      <c r="ELG119"/>
      <c r="ELH119"/>
      <c r="ELI119"/>
      <c r="ELJ119"/>
      <c r="ELK119"/>
      <c r="ELL119"/>
      <c r="ELM119"/>
      <c r="ELN119"/>
      <c r="ELO119"/>
      <c r="ELP119"/>
      <c r="ELQ119"/>
      <c r="ELR119"/>
      <c r="ELS119"/>
      <c r="ELT119"/>
      <c r="ELU119"/>
      <c r="ELV119"/>
      <c r="ELW119"/>
      <c r="ELX119"/>
      <c r="ELY119"/>
      <c r="ELZ119"/>
      <c r="EMA119"/>
      <c r="EMB119"/>
      <c r="EMC119"/>
      <c r="EMD119"/>
      <c r="EME119"/>
      <c r="EMF119"/>
      <c r="EMG119"/>
      <c r="EMH119"/>
      <c r="EMI119"/>
      <c r="EMJ119"/>
      <c r="EMK119"/>
      <c r="EML119"/>
      <c r="EMM119"/>
      <c r="EMN119"/>
      <c r="EMO119"/>
      <c r="EMP119"/>
      <c r="EMQ119"/>
      <c r="EMR119"/>
      <c r="EMS119"/>
      <c r="EMT119"/>
      <c r="EMU119"/>
      <c r="EMV119"/>
      <c r="EMW119"/>
      <c r="EMX119"/>
      <c r="EMY119"/>
      <c r="EMZ119"/>
      <c r="ENA119"/>
      <c r="ENB119"/>
      <c r="ENC119"/>
      <c r="END119"/>
      <c r="ENE119"/>
      <c r="ENF119"/>
      <c r="ENG119"/>
      <c r="ENH119"/>
      <c r="ENI119"/>
      <c r="ENJ119"/>
      <c r="ENK119"/>
      <c r="ENL119"/>
      <c r="ENM119"/>
      <c r="ENN119"/>
      <c r="ENO119"/>
      <c r="ENP119"/>
      <c r="ENQ119"/>
      <c r="ENR119"/>
      <c r="ENS119"/>
      <c r="ENT119"/>
      <c r="ENU119"/>
      <c r="ENV119"/>
      <c r="ENW119"/>
      <c r="ENX119"/>
      <c r="ENY119"/>
      <c r="ENZ119"/>
      <c r="EOA119"/>
      <c r="EOB119"/>
      <c r="EOC119"/>
      <c r="EOD119"/>
      <c r="EOE119"/>
      <c r="EOF119"/>
      <c r="EOG119"/>
      <c r="EOH119"/>
      <c r="EOI119"/>
      <c r="EOJ119"/>
      <c r="EOK119"/>
      <c r="EOL119"/>
      <c r="EOM119"/>
      <c r="EON119"/>
      <c r="EOO119"/>
      <c r="EOP119"/>
      <c r="EOQ119"/>
      <c r="EOR119"/>
      <c r="EOS119"/>
      <c r="EOT119"/>
      <c r="EOU119"/>
      <c r="EOV119"/>
      <c r="EOW119"/>
      <c r="EOX119"/>
      <c r="EOY119"/>
      <c r="EOZ119"/>
      <c r="EPA119"/>
      <c r="EPB119"/>
      <c r="EPC119"/>
      <c r="EPD119"/>
      <c r="EPE119"/>
      <c r="EPF119"/>
      <c r="EPG119"/>
      <c r="EPH119"/>
      <c r="EPI119"/>
      <c r="EPJ119"/>
      <c r="EPK119"/>
      <c r="EPL119"/>
      <c r="EPM119"/>
      <c r="EPN119"/>
      <c r="EPO119"/>
      <c r="EPP119"/>
      <c r="EPQ119"/>
      <c r="EPR119"/>
      <c r="EPS119"/>
      <c r="EPT119"/>
      <c r="EPU119"/>
      <c r="EPV119"/>
      <c r="EPW119"/>
      <c r="EPX119"/>
      <c r="EPY119"/>
      <c r="EPZ119"/>
      <c r="EQA119"/>
      <c r="EQB119"/>
      <c r="EQC119"/>
      <c r="EQD119"/>
      <c r="EQE119"/>
      <c r="EQF119"/>
      <c r="EQG119"/>
      <c r="EQH119"/>
      <c r="EQI119"/>
      <c r="EQJ119"/>
      <c r="EQK119"/>
      <c r="EQL119"/>
      <c r="EQM119"/>
      <c r="EQN119"/>
      <c r="EQO119"/>
      <c r="EQP119"/>
      <c r="EQQ119"/>
      <c r="EQR119"/>
      <c r="EQS119"/>
      <c r="EQT119"/>
      <c r="EQU119"/>
      <c r="EQV119"/>
      <c r="EQW119"/>
      <c r="EQX119"/>
      <c r="EQY119"/>
      <c r="EQZ119"/>
      <c r="ERA119"/>
      <c r="ERB119"/>
      <c r="ERC119"/>
      <c r="ERD119"/>
      <c r="ERE119"/>
      <c r="ERF119"/>
      <c r="ERG119"/>
      <c r="ERH119"/>
      <c r="ERI119"/>
      <c r="ERJ119"/>
      <c r="ERK119"/>
      <c r="ERL119"/>
      <c r="ERM119"/>
      <c r="ERN119"/>
      <c r="ERO119"/>
      <c r="ERP119"/>
      <c r="ERQ119"/>
      <c r="ERR119"/>
      <c r="ERS119"/>
      <c r="ERT119"/>
      <c r="ERU119"/>
      <c r="ERV119"/>
      <c r="ERW119"/>
      <c r="ERX119"/>
      <c r="ERY119"/>
      <c r="ERZ119"/>
      <c r="ESA119"/>
      <c r="ESB119"/>
      <c r="ESC119"/>
      <c r="ESD119"/>
      <c r="ESE119"/>
      <c r="ESF119"/>
      <c r="ESG119"/>
      <c r="ESH119"/>
      <c r="ESI119"/>
      <c r="ESJ119"/>
      <c r="ESK119"/>
      <c r="ESL119"/>
      <c r="ESM119"/>
      <c r="ESN119"/>
      <c r="ESO119"/>
      <c r="ESP119"/>
      <c r="ESQ119"/>
      <c r="ESR119"/>
      <c r="ESS119"/>
      <c r="EST119"/>
      <c r="ESU119"/>
      <c r="ESV119"/>
      <c r="ESW119"/>
      <c r="ESX119"/>
      <c r="ESY119"/>
      <c r="ESZ119"/>
      <c r="ETA119"/>
      <c r="ETB119"/>
      <c r="ETC119"/>
      <c r="ETD119"/>
      <c r="ETE119"/>
      <c r="ETF119"/>
      <c r="ETG119"/>
      <c r="ETH119"/>
      <c r="ETI119"/>
      <c r="ETJ119"/>
      <c r="ETK119"/>
      <c r="ETL119"/>
      <c r="ETM119"/>
      <c r="ETN119"/>
      <c r="ETO119"/>
      <c r="ETP119"/>
      <c r="ETQ119"/>
      <c r="ETR119"/>
      <c r="ETS119"/>
      <c r="ETT119"/>
      <c r="ETU119"/>
      <c r="ETV119"/>
      <c r="ETW119"/>
      <c r="ETX119"/>
      <c r="ETY119"/>
      <c r="ETZ119"/>
      <c r="EUA119"/>
      <c r="EUB119"/>
      <c r="EUC119"/>
      <c r="EUD119"/>
      <c r="EUE119"/>
      <c r="EUF119"/>
      <c r="EUG119"/>
      <c r="EUH119"/>
      <c r="EUI119"/>
      <c r="EUJ119"/>
      <c r="EUK119"/>
      <c r="EUL119"/>
      <c r="EUM119"/>
      <c r="EUN119"/>
      <c r="EUO119"/>
      <c r="EUP119"/>
      <c r="EUQ119"/>
      <c r="EUR119"/>
      <c r="EUS119"/>
      <c r="EUT119"/>
      <c r="EUU119"/>
      <c r="EUV119"/>
      <c r="EUW119"/>
      <c r="EUX119"/>
      <c r="EUY119"/>
      <c r="EUZ119"/>
      <c r="EVA119"/>
      <c r="EVB119"/>
      <c r="EVC119"/>
      <c r="EVD119"/>
      <c r="EVE119"/>
      <c r="EVF119"/>
      <c r="EVG119"/>
      <c r="EVH119"/>
      <c r="EVI119"/>
      <c r="EVJ119"/>
      <c r="EVK119"/>
      <c r="EVL119"/>
      <c r="EVM119"/>
      <c r="EVN119"/>
      <c r="EVO119"/>
      <c r="EVP119"/>
      <c r="EVQ119"/>
      <c r="EVR119"/>
      <c r="EVS119"/>
      <c r="EVT119"/>
      <c r="EVU119"/>
      <c r="EVV119"/>
      <c r="EVW119"/>
      <c r="EVX119"/>
      <c r="EVY119"/>
      <c r="EVZ119"/>
      <c r="EWA119"/>
      <c r="EWB119"/>
      <c r="EWC119"/>
      <c r="EWD119"/>
      <c r="EWE119"/>
      <c r="EWF119"/>
      <c r="EWG119"/>
      <c r="EWH119"/>
      <c r="EWI119"/>
      <c r="EWJ119"/>
      <c r="EWK119"/>
      <c r="EWL119"/>
      <c r="EWM119"/>
      <c r="EWN119"/>
      <c r="EWO119"/>
      <c r="EWP119"/>
      <c r="EWQ119"/>
      <c r="EWR119"/>
      <c r="EWS119"/>
      <c r="EWT119"/>
      <c r="EWU119"/>
      <c r="EWV119"/>
      <c r="EWW119"/>
      <c r="EWX119"/>
      <c r="EWY119"/>
      <c r="EWZ119"/>
      <c r="EXA119"/>
      <c r="EXB119"/>
      <c r="EXC119"/>
      <c r="EXD119"/>
      <c r="EXE119"/>
      <c r="EXF119"/>
      <c r="EXG119"/>
      <c r="EXH119"/>
      <c r="EXI119"/>
      <c r="EXJ119"/>
      <c r="EXK119"/>
      <c r="EXL119"/>
      <c r="EXM119"/>
      <c r="EXN119"/>
      <c r="EXO119"/>
      <c r="EXP119"/>
      <c r="EXQ119"/>
      <c r="EXR119"/>
      <c r="EXS119"/>
      <c r="EXT119"/>
      <c r="EXU119"/>
      <c r="EXV119"/>
      <c r="EXW119"/>
      <c r="EXX119"/>
      <c r="EXY119"/>
      <c r="EXZ119"/>
      <c r="EYA119"/>
      <c r="EYB119"/>
      <c r="EYC119"/>
      <c r="EYD119"/>
      <c r="EYE119"/>
      <c r="EYF119"/>
      <c r="EYG119"/>
      <c r="EYH119"/>
      <c r="EYI119"/>
      <c r="EYJ119"/>
      <c r="EYK119"/>
      <c r="EYL119"/>
      <c r="EYM119"/>
      <c r="EYN119"/>
      <c r="EYO119"/>
      <c r="EYP119"/>
      <c r="EYQ119"/>
      <c r="EYR119"/>
      <c r="EYS119"/>
      <c r="EYT119"/>
      <c r="EYU119"/>
      <c r="EYV119"/>
      <c r="EYW119"/>
      <c r="EYX119"/>
      <c r="EYY119"/>
      <c r="EYZ119"/>
      <c r="EZA119"/>
      <c r="EZB119"/>
      <c r="EZC119"/>
      <c r="EZD119"/>
      <c r="EZE119"/>
      <c r="EZF119"/>
      <c r="EZG119"/>
      <c r="EZH119"/>
      <c r="EZI119"/>
      <c r="EZJ119"/>
      <c r="EZK119"/>
      <c r="EZL119"/>
      <c r="EZM119"/>
      <c r="EZN119"/>
      <c r="EZO119"/>
      <c r="EZP119"/>
      <c r="EZQ119"/>
      <c r="EZR119"/>
      <c r="EZS119"/>
      <c r="EZT119"/>
      <c r="EZU119"/>
      <c r="EZV119"/>
      <c r="EZW119"/>
      <c r="EZX119"/>
      <c r="EZY119"/>
      <c r="EZZ119"/>
      <c r="FAA119"/>
      <c r="FAB119"/>
      <c r="FAC119"/>
      <c r="FAD119"/>
      <c r="FAE119"/>
      <c r="FAF119"/>
      <c r="FAG119"/>
      <c r="FAH119"/>
      <c r="FAI119"/>
      <c r="FAJ119"/>
      <c r="FAK119"/>
      <c r="FAL119"/>
      <c r="FAM119"/>
      <c r="FAN119"/>
      <c r="FAO119"/>
      <c r="FAP119"/>
      <c r="FAQ119"/>
      <c r="FAR119"/>
      <c r="FAS119"/>
      <c r="FAT119"/>
      <c r="FAU119"/>
      <c r="FAV119"/>
      <c r="FAW119"/>
      <c r="FAX119"/>
      <c r="FAY119"/>
      <c r="FAZ119"/>
      <c r="FBA119"/>
      <c r="FBB119"/>
      <c r="FBC119"/>
      <c r="FBD119"/>
      <c r="FBE119"/>
      <c r="FBF119"/>
      <c r="FBG119"/>
      <c r="FBH119"/>
      <c r="FBI119"/>
      <c r="FBJ119"/>
      <c r="FBK119"/>
      <c r="FBL119"/>
      <c r="FBM119"/>
      <c r="FBN119"/>
      <c r="FBO119"/>
      <c r="FBP119"/>
      <c r="FBQ119"/>
      <c r="FBR119"/>
      <c r="FBS119"/>
      <c r="FBT119"/>
      <c r="FBU119"/>
      <c r="FBV119"/>
      <c r="FBW119"/>
      <c r="FBX119"/>
      <c r="FBY119"/>
      <c r="FBZ119"/>
      <c r="FCA119"/>
      <c r="FCB119"/>
      <c r="FCC119"/>
      <c r="FCD119"/>
      <c r="FCE119"/>
      <c r="FCF119"/>
      <c r="FCG119"/>
      <c r="FCH119"/>
      <c r="FCI119"/>
      <c r="FCJ119"/>
      <c r="FCK119"/>
      <c r="FCL119"/>
      <c r="FCM119"/>
      <c r="FCN119"/>
      <c r="FCO119"/>
      <c r="FCP119"/>
      <c r="FCQ119"/>
      <c r="FCR119"/>
      <c r="FCS119"/>
      <c r="FCT119"/>
      <c r="FCU119"/>
      <c r="FCV119"/>
      <c r="FCW119"/>
      <c r="FCX119"/>
      <c r="FCY119"/>
      <c r="FCZ119"/>
      <c r="FDA119"/>
      <c r="FDB119"/>
      <c r="FDC119"/>
      <c r="FDD119"/>
      <c r="FDE119"/>
      <c r="FDF119"/>
      <c r="FDG119"/>
      <c r="FDH119"/>
      <c r="FDI119"/>
      <c r="FDJ119"/>
      <c r="FDK119"/>
      <c r="FDL119"/>
      <c r="FDM119"/>
      <c r="FDN119"/>
      <c r="FDO119"/>
      <c r="FDP119"/>
      <c r="FDQ119"/>
      <c r="FDR119"/>
      <c r="FDS119"/>
      <c r="FDT119"/>
      <c r="FDU119"/>
      <c r="FDV119"/>
      <c r="FDW119"/>
      <c r="FDX119"/>
      <c r="FDY119"/>
      <c r="FDZ119"/>
      <c r="FEA119"/>
      <c r="FEB119"/>
      <c r="FEC119"/>
      <c r="FED119"/>
      <c r="FEE119"/>
      <c r="FEF119"/>
      <c r="FEG119"/>
      <c r="FEH119"/>
      <c r="FEI119"/>
      <c r="FEJ119"/>
      <c r="FEK119"/>
      <c r="FEL119"/>
      <c r="FEM119"/>
      <c r="FEN119"/>
      <c r="FEO119"/>
      <c r="FEP119"/>
      <c r="FEQ119"/>
      <c r="FER119"/>
      <c r="FES119"/>
      <c r="FET119"/>
      <c r="FEU119"/>
      <c r="FEV119"/>
      <c r="FEW119"/>
      <c r="FEX119"/>
      <c r="FEY119"/>
      <c r="FEZ119"/>
      <c r="FFA119"/>
      <c r="FFB119"/>
      <c r="FFC119"/>
      <c r="FFD119"/>
      <c r="FFE119"/>
      <c r="FFF119"/>
      <c r="FFG119"/>
      <c r="FFH119"/>
      <c r="FFI119"/>
      <c r="FFJ119"/>
      <c r="FFK119"/>
      <c r="FFL119"/>
      <c r="FFM119"/>
      <c r="FFN119"/>
      <c r="FFO119"/>
      <c r="FFP119"/>
      <c r="FFQ119"/>
      <c r="FFR119"/>
      <c r="FFS119"/>
      <c r="FFT119"/>
      <c r="FFU119"/>
      <c r="FFV119"/>
      <c r="FFW119"/>
      <c r="FFX119"/>
      <c r="FFY119"/>
      <c r="FFZ119"/>
      <c r="FGA119"/>
      <c r="FGB119"/>
      <c r="FGC119"/>
      <c r="FGD119"/>
      <c r="FGE119"/>
      <c r="FGF119"/>
      <c r="FGG119"/>
      <c r="FGH119"/>
      <c r="FGI119"/>
      <c r="FGJ119"/>
      <c r="FGK119"/>
      <c r="FGL119"/>
      <c r="FGM119"/>
      <c r="FGN119"/>
      <c r="FGO119"/>
      <c r="FGP119"/>
      <c r="FGQ119"/>
      <c r="FGR119"/>
      <c r="FGS119"/>
      <c r="FGT119"/>
      <c r="FGU119"/>
      <c r="FGV119"/>
      <c r="FGW119"/>
      <c r="FGX119"/>
      <c r="FGY119"/>
      <c r="FGZ119"/>
      <c r="FHA119"/>
      <c r="FHB119"/>
      <c r="FHC119"/>
      <c r="FHD119"/>
      <c r="FHE119"/>
      <c r="FHF119"/>
      <c r="FHG119"/>
      <c r="FHH119"/>
      <c r="FHI119"/>
      <c r="FHJ119"/>
      <c r="FHK119"/>
      <c r="FHL119"/>
      <c r="FHM119"/>
      <c r="FHN119"/>
      <c r="FHO119"/>
      <c r="FHP119"/>
      <c r="FHQ119"/>
      <c r="FHR119"/>
      <c r="FHS119"/>
      <c r="FHT119"/>
      <c r="FHU119"/>
      <c r="FHV119"/>
      <c r="FHW119"/>
      <c r="FHX119"/>
      <c r="FHY119"/>
      <c r="FHZ119"/>
      <c r="FIA119"/>
      <c r="FIB119"/>
      <c r="FIC119"/>
      <c r="FID119"/>
      <c r="FIE119"/>
      <c r="FIF119"/>
      <c r="FIG119"/>
      <c r="FIH119"/>
      <c r="FII119"/>
      <c r="FIJ119"/>
      <c r="FIK119"/>
      <c r="FIL119"/>
      <c r="FIM119"/>
      <c r="FIN119"/>
      <c r="FIO119"/>
      <c r="FIP119"/>
      <c r="FIQ119"/>
      <c r="FIR119"/>
      <c r="FIS119"/>
      <c r="FIT119"/>
      <c r="FIU119"/>
      <c r="FIV119"/>
      <c r="FIW119"/>
      <c r="FIX119"/>
      <c r="FIY119"/>
      <c r="FIZ119"/>
      <c r="FJA119"/>
      <c r="FJB119"/>
      <c r="FJC119"/>
      <c r="FJD119"/>
      <c r="FJE119"/>
      <c r="FJF119"/>
      <c r="FJG119"/>
      <c r="FJH119"/>
      <c r="FJI119"/>
      <c r="FJJ119"/>
      <c r="FJK119"/>
      <c r="FJL119"/>
      <c r="FJM119"/>
      <c r="FJN119"/>
      <c r="FJO119"/>
      <c r="FJP119"/>
      <c r="FJQ119"/>
      <c r="FJR119"/>
      <c r="FJS119"/>
      <c r="FJT119"/>
      <c r="FJU119"/>
      <c r="FJV119"/>
      <c r="FJW119"/>
      <c r="FJX119"/>
      <c r="FJY119"/>
      <c r="FJZ119"/>
      <c r="FKA119"/>
      <c r="FKB119"/>
      <c r="FKC119"/>
      <c r="FKD119"/>
      <c r="FKE119"/>
      <c r="FKF119"/>
      <c r="FKG119"/>
      <c r="FKH119"/>
      <c r="FKI119"/>
      <c r="FKJ119"/>
      <c r="FKK119"/>
      <c r="FKL119"/>
      <c r="FKM119"/>
      <c r="FKN119"/>
      <c r="FKO119"/>
      <c r="FKP119"/>
      <c r="FKQ119"/>
      <c r="FKR119"/>
      <c r="FKS119"/>
      <c r="FKT119"/>
      <c r="FKU119"/>
      <c r="FKV119"/>
      <c r="FKW119"/>
      <c r="FKX119"/>
      <c r="FKY119"/>
      <c r="FKZ119"/>
      <c r="FLA119"/>
      <c r="FLB119"/>
      <c r="FLC119"/>
      <c r="FLD119"/>
      <c r="FLE119"/>
      <c r="FLF119"/>
      <c r="FLG119"/>
      <c r="FLH119"/>
      <c r="FLI119"/>
      <c r="FLJ119"/>
      <c r="FLK119"/>
      <c r="FLL119"/>
      <c r="FLM119"/>
      <c r="FLN119"/>
      <c r="FLO119"/>
      <c r="FLP119"/>
      <c r="FLQ119"/>
      <c r="FLR119"/>
      <c r="FLS119"/>
      <c r="FLT119"/>
      <c r="FLU119"/>
      <c r="FLV119"/>
      <c r="FLW119"/>
      <c r="FLX119"/>
      <c r="FLY119"/>
      <c r="FLZ119"/>
      <c r="FMA119"/>
      <c r="FMB119"/>
      <c r="FMC119"/>
      <c r="FMD119"/>
      <c r="FME119"/>
      <c r="FMF119"/>
      <c r="FMG119"/>
      <c r="FMH119"/>
      <c r="FMI119"/>
      <c r="FMJ119"/>
      <c r="FMK119"/>
      <c r="FML119"/>
      <c r="FMM119"/>
      <c r="FMN119"/>
      <c r="FMO119"/>
      <c r="FMP119"/>
      <c r="FMQ119"/>
      <c r="FMR119"/>
      <c r="FMS119"/>
      <c r="FMT119"/>
      <c r="FMU119"/>
      <c r="FMV119"/>
      <c r="FMW119"/>
      <c r="FMX119"/>
      <c r="FMY119"/>
      <c r="FMZ119"/>
      <c r="FNA119"/>
      <c r="FNB119"/>
      <c r="FNC119"/>
      <c r="FND119"/>
      <c r="FNE119"/>
      <c r="FNF119"/>
      <c r="FNG119"/>
      <c r="FNH119"/>
      <c r="FNI119"/>
      <c r="FNJ119"/>
      <c r="FNK119"/>
      <c r="FNL119"/>
      <c r="FNM119"/>
      <c r="FNN119"/>
      <c r="FNO119"/>
      <c r="FNP119"/>
      <c r="FNQ119"/>
      <c r="FNR119"/>
      <c r="FNS119"/>
      <c r="FNT119"/>
      <c r="FNU119"/>
      <c r="FNV119"/>
      <c r="FNW119"/>
      <c r="FNX119"/>
      <c r="FNY119"/>
      <c r="FNZ119"/>
      <c r="FOA119"/>
      <c r="FOB119"/>
      <c r="FOC119"/>
      <c r="FOD119"/>
      <c r="FOE119"/>
      <c r="FOF119"/>
      <c r="FOG119"/>
      <c r="FOH119"/>
      <c r="FOI119"/>
      <c r="FOJ119"/>
      <c r="FOK119"/>
      <c r="FOL119"/>
      <c r="FOM119"/>
      <c r="FON119"/>
      <c r="FOO119"/>
      <c r="FOP119"/>
      <c r="FOQ119"/>
      <c r="FOR119"/>
      <c r="FOS119"/>
      <c r="FOT119"/>
      <c r="FOU119"/>
      <c r="FOV119"/>
      <c r="FOW119"/>
      <c r="FOX119"/>
      <c r="FOY119"/>
      <c r="FOZ119"/>
      <c r="FPA119"/>
      <c r="FPB119"/>
      <c r="FPC119"/>
      <c r="FPD119"/>
      <c r="FPE119"/>
      <c r="FPF119"/>
      <c r="FPG119"/>
      <c r="FPH119"/>
      <c r="FPI119"/>
      <c r="FPJ119"/>
      <c r="FPK119"/>
      <c r="FPL119"/>
      <c r="FPM119"/>
      <c r="FPN119"/>
      <c r="FPO119"/>
      <c r="FPP119"/>
      <c r="FPQ119"/>
      <c r="FPR119"/>
      <c r="FPS119"/>
      <c r="FPT119"/>
      <c r="FPU119"/>
      <c r="FPV119"/>
      <c r="FPW119"/>
      <c r="FPX119"/>
      <c r="FPY119"/>
      <c r="FPZ119"/>
      <c r="FQA119"/>
      <c r="FQB119"/>
      <c r="FQC119"/>
      <c r="FQD119"/>
      <c r="FQE119"/>
      <c r="FQF119"/>
      <c r="FQG119"/>
      <c r="FQH119"/>
      <c r="FQI119"/>
      <c r="FQJ119"/>
      <c r="FQK119"/>
      <c r="FQL119"/>
      <c r="FQM119"/>
      <c r="FQN119"/>
      <c r="FQO119"/>
      <c r="FQP119"/>
      <c r="FQQ119"/>
      <c r="FQR119"/>
      <c r="FQS119"/>
      <c r="FQT119"/>
      <c r="FQU119"/>
      <c r="FQV119"/>
      <c r="FQW119"/>
      <c r="FQX119"/>
      <c r="FQY119"/>
      <c r="FQZ119"/>
      <c r="FRA119"/>
      <c r="FRB119"/>
      <c r="FRC119"/>
      <c r="FRD119"/>
      <c r="FRE119"/>
      <c r="FRF119"/>
      <c r="FRG119"/>
      <c r="FRH119"/>
      <c r="FRI119"/>
      <c r="FRJ119"/>
      <c r="FRK119"/>
      <c r="FRL119"/>
      <c r="FRM119"/>
      <c r="FRN119"/>
      <c r="FRO119"/>
      <c r="FRP119"/>
      <c r="FRQ119"/>
      <c r="FRR119"/>
      <c r="FRS119"/>
      <c r="FRT119"/>
      <c r="FRU119"/>
      <c r="FRV119"/>
      <c r="FRW119"/>
      <c r="FRX119"/>
      <c r="FRY119"/>
      <c r="FRZ119"/>
      <c r="FSA119"/>
      <c r="FSB119"/>
      <c r="FSC119"/>
      <c r="FSD119"/>
      <c r="FSE119"/>
      <c r="FSF119"/>
      <c r="FSG119"/>
      <c r="FSH119"/>
      <c r="FSI119"/>
      <c r="FSJ119"/>
      <c r="FSK119"/>
      <c r="FSL119"/>
      <c r="FSM119"/>
      <c r="FSN119"/>
      <c r="FSO119"/>
      <c r="FSP119"/>
      <c r="FSQ119"/>
      <c r="FSR119"/>
      <c r="FSS119"/>
      <c r="FST119"/>
      <c r="FSU119"/>
      <c r="FSV119"/>
      <c r="FSW119"/>
      <c r="FSX119"/>
      <c r="FSY119"/>
      <c r="FSZ119"/>
      <c r="FTA119"/>
      <c r="FTB119"/>
      <c r="FTC119"/>
      <c r="FTD119"/>
      <c r="FTE119"/>
      <c r="FTF119"/>
      <c r="FTG119"/>
      <c r="FTH119"/>
      <c r="FTI119"/>
      <c r="FTJ119"/>
      <c r="FTK119"/>
      <c r="FTL119"/>
      <c r="FTM119"/>
      <c r="FTN119"/>
      <c r="FTO119"/>
      <c r="FTP119"/>
      <c r="FTQ119"/>
      <c r="FTR119"/>
      <c r="FTS119"/>
      <c r="FTT119"/>
      <c r="FTU119"/>
      <c r="FTV119"/>
      <c r="FTW119"/>
      <c r="FTX119"/>
      <c r="FTY119"/>
      <c r="FTZ119"/>
      <c r="FUA119"/>
      <c r="FUB119"/>
      <c r="FUC119"/>
      <c r="FUD119"/>
      <c r="FUE119"/>
      <c r="FUF119"/>
      <c r="FUG119"/>
      <c r="FUH119"/>
      <c r="FUI119"/>
      <c r="FUJ119"/>
      <c r="FUK119"/>
      <c r="FUL119"/>
      <c r="FUM119"/>
      <c r="FUN119"/>
      <c r="FUO119"/>
      <c r="FUP119"/>
      <c r="FUQ119"/>
      <c r="FUR119"/>
      <c r="FUS119"/>
      <c r="FUT119"/>
      <c r="FUU119"/>
      <c r="FUV119"/>
      <c r="FUW119"/>
      <c r="FUX119"/>
      <c r="FUY119"/>
      <c r="FUZ119"/>
      <c r="FVA119"/>
      <c r="FVB119"/>
      <c r="FVC119"/>
      <c r="FVD119"/>
      <c r="FVE119"/>
      <c r="FVF119"/>
      <c r="FVG119"/>
      <c r="FVH119"/>
      <c r="FVI119"/>
      <c r="FVJ119"/>
      <c r="FVK119"/>
      <c r="FVL119"/>
      <c r="FVM119"/>
      <c r="FVN119"/>
      <c r="FVO119"/>
      <c r="FVP119"/>
      <c r="FVQ119"/>
      <c r="FVR119"/>
      <c r="FVS119"/>
      <c r="FVT119"/>
      <c r="FVU119"/>
      <c r="FVV119"/>
      <c r="FVW119"/>
      <c r="FVX119"/>
      <c r="FVY119"/>
      <c r="FVZ119"/>
      <c r="FWA119"/>
      <c r="FWB119"/>
      <c r="FWC119"/>
      <c r="FWD119"/>
      <c r="FWE119"/>
      <c r="FWF119"/>
      <c r="FWG119"/>
      <c r="FWH119"/>
      <c r="FWI119"/>
      <c r="FWJ119"/>
      <c r="FWK119"/>
      <c r="FWL119"/>
      <c r="FWM119"/>
      <c r="FWN119"/>
      <c r="FWO119"/>
      <c r="FWP119"/>
      <c r="FWQ119"/>
      <c r="FWR119"/>
      <c r="FWS119"/>
      <c r="FWT119"/>
      <c r="FWU119"/>
      <c r="FWV119"/>
      <c r="FWW119"/>
      <c r="FWX119"/>
      <c r="FWY119"/>
      <c r="FWZ119"/>
      <c r="FXA119"/>
      <c r="FXB119"/>
      <c r="FXC119"/>
      <c r="FXD119"/>
      <c r="FXE119"/>
      <c r="FXF119"/>
      <c r="FXG119"/>
      <c r="FXH119"/>
      <c r="FXI119"/>
      <c r="FXJ119"/>
      <c r="FXK119"/>
      <c r="FXL119"/>
      <c r="FXM119"/>
      <c r="FXN119"/>
      <c r="FXO119"/>
      <c r="FXP119"/>
      <c r="FXQ119"/>
      <c r="FXR119"/>
      <c r="FXS119"/>
      <c r="FXT119"/>
      <c r="FXU119"/>
      <c r="FXV119"/>
      <c r="FXW119"/>
      <c r="FXX119"/>
      <c r="FXY119"/>
      <c r="FXZ119"/>
      <c r="FYA119"/>
      <c r="FYB119"/>
      <c r="FYC119"/>
      <c r="FYD119"/>
      <c r="FYE119"/>
      <c r="FYF119"/>
      <c r="FYG119"/>
      <c r="FYH119"/>
      <c r="FYI119"/>
      <c r="FYJ119"/>
      <c r="FYK119"/>
      <c r="FYL119"/>
      <c r="FYM119"/>
      <c r="FYN119"/>
      <c r="FYO119"/>
      <c r="FYP119"/>
      <c r="FYQ119"/>
      <c r="FYR119"/>
      <c r="FYS119"/>
      <c r="FYT119"/>
      <c r="FYU119"/>
      <c r="FYV119"/>
      <c r="FYW119"/>
      <c r="FYX119"/>
      <c r="FYY119"/>
      <c r="FYZ119"/>
      <c r="FZA119"/>
      <c r="FZB119"/>
      <c r="FZC119"/>
      <c r="FZD119"/>
      <c r="FZE119"/>
      <c r="FZF119"/>
      <c r="FZG119"/>
      <c r="FZH119"/>
      <c r="FZI119"/>
      <c r="FZJ119"/>
      <c r="FZK119"/>
      <c r="FZL119"/>
      <c r="FZM119"/>
      <c r="FZN119"/>
      <c r="FZO119"/>
      <c r="FZP119"/>
      <c r="FZQ119"/>
      <c r="FZR119"/>
      <c r="FZS119"/>
      <c r="FZT119"/>
      <c r="FZU119"/>
      <c r="FZV119"/>
      <c r="FZW119"/>
      <c r="FZX119"/>
      <c r="FZY119"/>
      <c r="FZZ119"/>
      <c r="GAA119"/>
      <c r="GAB119"/>
      <c r="GAC119"/>
      <c r="GAD119"/>
      <c r="GAE119"/>
      <c r="GAF119"/>
      <c r="GAG119"/>
      <c r="GAH119"/>
      <c r="GAI119"/>
      <c r="GAJ119"/>
      <c r="GAK119"/>
      <c r="GAL119"/>
      <c r="GAM119"/>
      <c r="GAN119"/>
      <c r="GAO119"/>
      <c r="GAP119"/>
      <c r="GAQ119"/>
      <c r="GAR119"/>
      <c r="GAS119"/>
      <c r="GAT119"/>
      <c r="GAU119"/>
      <c r="GAV119"/>
      <c r="GAW119"/>
      <c r="GAX119"/>
      <c r="GAY119"/>
      <c r="GAZ119"/>
      <c r="GBA119"/>
      <c r="GBB119"/>
      <c r="GBC119"/>
      <c r="GBD119"/>
      <c r="GBE119"/>
      <c r="GBF119"/>
      <c r="GBG119"/>
      <c r="GBH119"/>
      <c r="GBI119"/>
      <c r="GBJ119"/>
      <c r="GBK119"/>
      <c r="GBL119"/>
      <c r="GBM119"/>
      <c r="GBN119"/>
      <c r="GBO119"/>
      <c r="GBP119"/>
      <c r="GBQ119"/>
      <c r="GBR119"/>
      <c r="GBS119"/>
      <c r="GBT119"/>
      <c r="GBU119"/>
      <c r="GBV119"/>
      <c r="GBW119"/>
      <c r="GBX119"/>
      <c r="GBY119"/>
      <c r="GBZ119"/>
      <c r="GCA119"/>
      <c r="GCB119"/>
      <c r="GCC119"/>
      <c r="GCD119"/>
      <c r="GCE119"/>
      <c r="GCF119"/>
      <c r="GCG119"/>
      <c r="GCH119"/>
      <c r="GCI119"/>
      <c r="GCJ119"/>
      <c r="GCK119"/>
      <c r="GCL119"/>
      <c r="GCM119"/>
      <c r="GCN119"/>
      <c r="GCO119"/>
      <c r="GCP119"/>
      <c r="GCQ119"/>
      <c r="GCR119"/>
      <c r="GCS119"/>
      <c r="GCT119"/>
      <c r="GCU119"/>
      <c r="GCV119"/>
      <c r="GCW119"/>
      <c r="GCX119"/>
      <c r="GCY119"/>
      <c r="GCZ119"/>
      <c r="GDA119"/>
      <c r="GDB119"/>
      <c r="GDC119"/>
      <c r="GDD119"/>
      <c r="GDE119"/>
      <c r="GDF119"/>
      <c r="GDG119"/>
      <c r="GDH119"/>
      <c r="GDI119"/>
      <c r="GDJ119"/>
      <c r="GDK119"/>
      <c r="GDL119"/>
      <c r="GDM119"/>
      <c r="GDN119"/>
      <c r="GDO119"/>
      <c r="GDP119"/>
      <c r="GDQ119"/>
      <c r="GDR119"/>
      <c r="GDS119"/>
      <c r="GDT119"/>
      <c r="GDU119"/>
      <c r="GDV119"/>
      <c r="GDW119"/>
      <c r="GDX119"/>
      <c r="GDY119"/>
      <c r="GDZ119"/>
      <c r="GEA119"/>
      <c r="GEB119"/>
      <c r="GEC119"/>
      <c r="GED119"/>
      <c r="GEE119"/>
      <c r="GEF119"/>
      <c r="GEG119"/>
      <c r="GEH119"/>
      <c r="GEI119"/>
      <c r="GEJ119"/>
      <c r="GEK119"/>
      <c r="GEL119"/>
      <c r="GEM119"/>
      <c r="GEN119"/>
      <c r="GEO119"/>
      <c r="GEP119"/>
      <c r="GEQ119"/>
      <c r="GER119"/>
      <c r="GES119"/>
      <c r="GET119"/>
      <c r="GEU119"/>
      <c r="GEV119"/>
      <c r="GEW119"/>
      <c r="GEX119"/>
      <c r="GEY119"/>
      <c r="GEZ119"/>
      <c r="GFA119"/>
      <c r="GFB119"/>
      <c r="GFC119"/>
      <c r="GFD119"/>
      <c r="GFE119"/>
      <c r="GFF119"/>
      <c r="GFG119"/>
      <c r="GFH119"/>
      <c r="GFI119"/>
      <c r="GFJ119"/>
      <c r="GFK119"/>
      <c r="GFL119"/>
      <c r="GFM119"/>
      <c r="GFN119"/>
      <c r="GFO119"/>
      <c r="GFP119"/>
      <c r="GFQ119"/>
      <c r="GFR119"/>
      <c r="GFS119"/>
      <c r="GFT119"/>
      <c r="GFU119"/>
      <c r="GFV119"/>
      <c r="GFW119"/>
      <c r="GFX119"/>
      <c r="GFY119"/>
      <c r="GFZ119"/>
      <c r="GGA119"/>
      <c r="GGB119"/>
      <c r="GGC119"/>
      <c r="GGD119"/>
      <c r="GGE119"/>
      <c r="GGF119"/>
      <c r="GGG119"/>
      <c r="GGH119"/>
      <c r="GGI119"/>
      <c r="GGJ119"/>
      <c r="GGK119"/>
      <c r="GGL119"/>
      <c r="GGM119"/>
      <c r="GGN119"/>
      <c r="GGO119"/>
      <c r="GGP119"/>
      <c r="GGQ119"/>
      <c r="GGR119"/>
      <c r="GGS119"/>
      <c r="GGT119"/>
      <c r="GGU119"/>
      <c r="GGV119"/>
      <c r="GGW119"/>
      <c r="GGX119"/>
      <c r="GGY119"/>
      <c r="GGZ119"/>
      <c r="GHA119"/>
      <c r="GHB119"/>
      <c r="GHC119"/>
      <c r="GHD119"/>
      <c r="GHE119"/>
      <c r="GHF119"/>
      <c r="GHG119"/>
      <c r="GHH119"/>
      <c r="GHI119"/>
      <c r="GHJ119"/>
      <c r="GHK119"/>
      <c r="GHL119"/>
      <c r="GHM119"/>
      <c r="GHN119"/>
      <c r="GHO119"/>
      <c r="GHP119"/>
      <c r="GHQ119"/>
      <c r="GHR119"/>
      <c r="GHS119"/>
      <c r="GHT119"/>
      <c r="GHU119"/>
      <c r="GHV119"/>
      <c r="GHW119"/>
      <c r="GHX119"/>
      <c r="GHY119"/>
      <c r="GHZ119"/>
      <c r="GIA119"/>
      <c r="GIB119"/>
      <c r="GIC119"/>
      <c r="GID119"/>
      <c r="GIE119"/>
      <c r="GIF119"/>
      <c r="GIG119"/>
      <c r="GIH119"/>
      <c r="GII119"/>
      <c r="GIJ119"/>
      <c r="GIK119"/>
      <c r="GIL119"/>
      <c r="GIM119"/>
      <c r="GIN119"/>
      <c r="GIO119"/>
      <c r="GIP119"/>
      <c r="GIQ119"/>
      <c r="GIR119"/>
      <c r="GIS119"/>
      <c r="GIT119"/>
      <c r="GIU119"/>
      <c r="GIV119"/>
      <c r="GIW119"/>
      <c r="GIX119"/>
      <c r="GIY119"/>
      <c r="GIZ119"/>
      <c r="GJA119"/>
      <c r="GJB119"/>
      <c r="GJC119"/>
      <c r="GJD119"/>
      <c r="GJE119"/>
      <c r="GJF119"/>
      <c r="GJG119"/>
      <c r="GJH119"/>
      <c r="GJI119"/>
      <c r="GJJ119"/>
      <c r="GJK119"/>
      <c r="GJL119"/>
      <c r="GJM119"/>
      <c r="GJN119"/>
      <c r="GJO119"/>
      <c r="GJP119"/>
      <c r="GJQ119"/>
      <c r="GJR119"/>
      <c r="GJS119"/>
      <c r="GJT119"/>
      <c r="GJU119"/>
      <c r="GJV119"/>
      <c r="GJW119"/>
      <c r="GJX119"/>
      <c r="GJY119"/>
      <c r="GJZ119"/>
      <c r="GKA119"/>
      <c r="GKB119"/>
      <c r="GKC119"/>
      <c r="GKD119"/>
      <c r="GKE119"/>
      <c r="GKF119"/>
      <c r="GKG119"/>
      <c r="GKH119"/>
      <c r="GKI119"/>
      <c r="GKJ119"/>
      <c r="GKK119"/>
      <c r="GKL119"/>
      <c r="GKM119"/>
      <c r="GKN119"/>
      <c r="GKO119"/>
      <c r="GKP119"/>
      <c r="GKQ119"/>
      <c r="GKR119"/>
      <c r="GKS119"/>
      <c r="GKT119"/>
      <c r="GKU119"/>
      <c r="GKV119"/>
      <c r="GKW119"/>
      <c r="GKX119"/>
      <c r="GKY119"/>
      <c r="GKZ119"/>
      <c r="GLA119"/>
      <c r="GLB119"/>
      <c r="GLC119"/>
      <c r="GLD119"/>
      <c r="GLE119"/>
      <c r="GLF119"/>
      <c r="GLG119"/>
      <c r="GLH119"/>
      <c r="GLI119"/>
      <c r="GLJ119"/>
      <c r="GLK119"/>
      <c r="GLL119"/>
      <c r="GLM119"/>
      <c r="GLN119"/>
      <c r="GLO119"/>
      <c r="GLP119"/>
      <c r="GLQ119"/>
      <c r="GLR119"/>
      <c r="GLS119"/>
      <c r="GLT119"/>
      <c r="GLU119"/>
      <c r="GLV119"/>
      <c r="GLW119"/>
      <c r="GLX119"/>
      <c r="GLY119"/>
      <c r="GLZ119"/>
      <c r="GMA119"/>
      <c r="GMB119"/>
      <c r="GMC119"/>
      <c r="GMD119"/>
      <c r="GME119"/>
      <c r="GMF119"/>
      <c r="GMG119"/>
      <c r="GMH119"/>
      <c r="GMI119"/>
      <c r="GMJ119"/>
      <c r="GMK119"/>
      <c r="GML119"/>
      <c r="GMM119"/>
      <c r="GMN119"/>
      <c r="GMO119"/>
      <c r="GMP119"/>
      <c r="GMQ119"/>
      <c r="GMR119"/>
      <c r="GMS119"/>
      <c r="GMT119"/>
      <c r="GMU119"/>
      <c r="GMV119"/>
      <c r="GMW119"/>
      <c r="GMX119"/>
      <c r="GMY119"/>
      <c r="GMZ119"/>
      <c r="GNA119"/>
      <c r="GNB119"/>
      <c r="GNC119"/>
      <c r="GND119"/>
      <c r="GNE119"/>
      <c r="GNF119"/>
      <c r="GNG119"/>
      <c r="GNH119"/>
      <c r="GNI119"/>
      <c r="GNJ119"/>
      <c r="GNK119"/>
      <c r="GNL119"/>
      <c r="GNM119"/>
      <c r="GNN119"/>
      <c r="GNO119"/>
      <c r="GNP119"/>
      <c r="GNQ119"/>
      <c r="GNR119"/>
      <c r="GNS119"/>
      <c r="GNT119"/>
      <c r="GNU119"/>
      <c r="GNV119"/>
      <c r="GNW119"/>
      <c r="GNX119"/>
      <c r="GNY119"/>
      <c r="GNZ119"/>
      <c r="GOA119"/>
      <c r="GOB119"/>
      <c r="GOC119"/>
      <c r="GOD119"/>
      <c r="GOE119"/>
      <c r="GOF119"/>
      <c r="GOG119"/>
      <c r="GOH119"/>
      <c r="GOI119"/>
      <c r="GOJ119"/>
      <c r="GOK119"/>
      <c r="GOL119"/>
      <c r="GOM119"/>
      <c r="GON119"/>
      <c r="GOO119"/>
      <c r="GOP119"/>
      <c r="GOQ119"/>
      <c r="GOR119"/>
      <c r="GOS119"/>
      <c r="GOT119"/>
      <c r="GOU119"/>
      <c r="GOV119"/>
      <c r="GOW119"/>
      <c r="GOX119"/>
      <c r="GOY119"/>
      <c r="GOZ119"/>
      <c r="GPA119"/>
      <c r="GPB119"/>
      <c r="GPC119"/>
      <c r="GPD119"/>
      <c r="GPE119"/>
      <c r="GPF119"/>
      <c r="GPG119"/>
      <c r="GPH119"/>
      <c r="GPI119"/>
      <c r="GPJ119"/>
      <c r="GPK119"/>
      <c r="GPL119"/>
      <c r="GPM119"/>
      <c r="GPN119"/>
      <c r="GPO119"/>
      <c r="GPP119"/>
      <c r="GPQ119"/>
      <c r="GPR119"/>
      <c r="GPS119"/>
      <c r="GPT119"/>
      <c r="GPU119"/>
      <c r="GPV119"/>
      <c r="GPW119"/>
      <c r="GPX119"/>
      <c r="GPY119"/>
      <c r="GPZ119"/>
      <c r="GQA119"/>
      <c r="GQB119"/>
      <c r="GQC119"/>
      <c r="GQD119"/>
      <c r="GQE119"/>
      <c r="GQF119"/>
      <c r="GQG119"/>
      <c r="GQH119"/>
      <c r="GQI119"/>
      <c r="GQJ119"/>
      <c r="GQK119"/>
      <c r="GQL119"/>
      <c r="GQM119"/>
      <c r="GQN119"/>
      <c r="GQO119"/>
      <c r="GQP119"/>
      <c r="GQQ119"/>
      <c r="GQR119"/>
      <c r="GQS119"/>
      <c r="GQT119"/>
      <c r="GQU119"/>
      <c r="GQV119"/>
      <c r="GQW119"/>
      <c r="GQX119"/>
      <c r="GQY119"/>
      <c r="GQZ119"/>
      <c r="GRA119"/>
      <c r="GRB119"/>
      <c r="GRC119"/>
      <c r="GRD119"/>
      <c r="GRE119"/>
      <c r="GRF119"/>
      <c r="GRG119"/>
      <c r="GRH119"/>
      <c r="GRI119"/>
      <c r="GRJ119"/>
      <c r="GRK119"/>
      <c r="GRL119"/>
      <c r="GRM119"/>
      <c r="GRN119"/>
      <c r="GRO119"/>
      <c r="GRP119"/>
      <c r="GRQ119"/>
      <c r="GRR119"/>
      <c r="GRS119"/>
      <c r="GRT119"/>
      <c r="GRU119"/>
      <c r="GRV119"/>
      <c r="GRW119"/>
      <c r="GRX119"/>
      <c r="GRY119"/>
      <c r="GRZ119"/>
      <c r="GSA119"/>
      <c r="GSB119"/>
      <c r="GSC119"/>
      <c r="GSD119"/>
      <c r="GSE119"/>
      <c r="GSF119"/>
      <c r="GSG119"/>
      <c r="GSH119"/>
      <c r="GSI119"/>
      <c r="GSJ119"/>
      <c r="GSK119"/>
      <c r="GSL119"/>
      <c r="GSM119"/>
      <c r="GSN119"/>
      <c r="GSO119"/>
      <c r="GSP119"/>
      <c r="GSQ119"/>
      <c r="GSR119"/>
      <c r="GSS119"/>
      <c r="GST119"/>
      <c r="GSU119"/>
      <c r="GSV119"/>
      <c r="GSW119"/>
      <c r="GSX119"/>
      <c r="GSY119"/>
      <c r="GSZ119"/>
      <c r="GTA119"/>
      <c r="GTB119"/>
      <c r="GTC119"/>
      <c r="GTD119"/>
      <c r="GTE119"/>
      <c r="GTF119"/>
      <c r="GTG119"/>
      <c r="GTH119"/>
      <c r="GTI119"/>
      <c r="GTJ119"/>
      <c r="GTK119"/>
      <c r="GTL119"/>
      <c r="GTM119"/>
      <c r="GTN119"/>
      <c r="GTO119"/>
      <c r="GTP119"/>
      <c r="GTQ119"/>
      <c r="GTR119"/>
      <c r="GTS119"/>
      <c r="GTT119"/>
      <c r="GTU119"/>
      <c r="GTV119"/>
      <c r="GTW119"/>
      <c r="GTX119"/>
      <c r="GTY119"/>
      <c r="GTZ119"/>
      <c r="GUA119"/>
      <c r="GUB119"/>
      <c r="GUC119"/>
      <c r="GUD119"/>
      <c r="GUE119"/>
      <c r="GUF119"/>
      <c r="GUG119"/>
      <c r="GUH119"/>
      <c r="GUI119"/>
      <c r="GUJ119"/>
      <c r="GUK119"/>
      <c r="GUL119"/>
      <c r="GUM119"/>
      <c r="GUN119"/>
      <c r="GUO119"/>
      <c r="GUP119"/>
      <c r="GUQ119"/>
      <c r="GUR119"/>
      <c r="GUS119"/>
      <c r="GUT119"/>
      <c r="GUU119"/>
      <c r="GUV119"/>
      <c r="GUW119"/>
      <c r="GUX119"/>
      <c r="GUY119"/>
      <c r="GUZ119"/>
      <c r="GVA119"/>
      <c r="GVB119"/>
      <c r="GVC119"/>
      <c r="GVD119"/>
      <c r="GVE119"/>
      <c r="GVF119"/>
      <c r="GVG119"/>
      <c r="GVH119"/>
      <c r="GVI119"/>
      <c r="GVJ119"/>
      <c r="GVK119"/>
      <c r="GVL119"/>
      <c r="GVM119"/>
      <c r="GVN119"/>
      <c r="GVO119"/>
      <c r="GVP119"/>
      <c r="GVQ119"/>
      <c r="GVR119"/>
      <c r="GVS119"/>
      <c r="GVT119"/>
      <c r="GVU119"/>
      <c r="GVV119"/>
      <c r="GVW119"/>
      <c r="GVX119"/>
      <c r="GVY119"/>
      <c r="GVZ119"/>
      <c r="GWA119"/>
      <c r="GWB119"/>
      <c r="GWC119"/>
      <c r="GWD119"/>
      <c r="GWE119"/>
      <c r="GWF119"/>
      <c r="GWG119"/>
      <c r="GWH119"/>
      <c r="GWI119"/>
      <c r="GWJ119"/>
      <c r="GWK119"/>
      <c r="GWL119"/>
      <c r="GWM119"/>
      <c r="GWN119"/>
      <c r="GWO119"/>
      <c r="GWP119"/>
      <c r="GWQ119"/>
      <c r="GWR119"/>
      <c r="GWS119"/>
      <c r="GWT119"/>
      <c r="GWU119"/>
      <c r="GWV119"/>
      <c r="GWW119"/>
      <c r="GWX119"/>
      <c r="GWY119"/>
      <c r="GWZ119"/>
      <c r="GXA119"/>
      <c r="GXB119"/>
      <c r="GXC119"/>
      <c r="GXD119"/>
      <c r="GXE119"/>
      <c r="GXF119"/>
      <c r="GXG119"/>
      <c r="GXH119"/>
      <c r="GXI119"/>
      <c r="GXJ119"/>
      <c r="GXK119"/>
      <c r="GXL119"/>
      <c r="GXM119"/>
      <c r="GXN119"/>
      <c r="GXO119"/>
      <c r="GXP119"/>
      <c r="GXQ119"/>
      <c r="GXR119"/>
      <c r="GXS119"/>
      <c r="GXT119"/>
      <c r="GXU119"/>
      <c r="GXV119"/>
      <c r="GXW119"/>
      <c r="GXX119"/>
      <c r="GXY119"/>
      <c r="GXZ119"/>
      <c r="GYA119"/>
      <c r="GYB119"/>
      <c r="GYC119"/>
      <c r="GYD119"/>
      <c r="GYE119"/>
      <c r="GYF119"/>
      <c r="GYG119"/>
      <c r="GYH119"/>
      <c r="GYI119"/>
      <c r="GYJ119"/>
      <c r="GYK119"/>
      <c r="GYL119"/>
      <c r="GYM119"/>
      <c r="GYN119"/>
      <c r="GYO119"/>
      <c r="GYP119"/>
      <c r="GYQ119"/>
      <c r="GYR119"/>
      <c r="GYS119"/>
      <c r="GYT119"/>
      <c r="GYU119"/>
      <c r="GYV119"/>
      <c r="GYW119"/>
      <c r="GYX119"/>
      <c r="GYY119"/>
      <c r="GYZ119"/>
      <c r="GZA119"/>
      <c r="GZB119"/>
      <c r="GZC119"/>
      <c r="GZD119"/>
      <c r="GZE119"/>
      <c r="GZF119"/>
      <c r="GZG119"/>
      <c r="GZH119"/>
      <c r="GZI119"/>
      <c r="GZJ119"/>
      <c r="GZK119"/>
      <c r="GZL119"/>
      <c r="GZM119"/>
      <c r="GZN119"/>
      <c r="GZO119"/>
      <c r="GZP119"/>
      <c r="GZQ119"/>
      <c r="GZR119"/>
      <c r="GZS119"/>
      <c r="GZT119"/>
      <c r="GZU119"/>
      <c r="GZV119"/>
      <c r="GZW119"/>
      <c r="GZX119"/>
      <c r="GZY119"/>
      <c r="GZZ119"/>
      <c r="HAA119"/>
      <c r="HAB119"/>
      <c r="HAC119"/>
      <c r="HAD119"/>
      <c r="HAE119"/>
      <c r="HAF119"/>
      <c r="HAG119"/>
      <c r="HAH119"/>
      <c r="HAI119"/>
      <c r="HAJ119"/>
      <c r="HAK119"/>
      <c r="HAL119"/>
      <c r="HAM119"/>
      <c r="HAN119"/>
      <c r="HAO119"/>
      <c r="HAP119"/>
      <c r="HAQ119"/>
      <c r="HAR119"/>
      <c r="HAS119"/>
      <c r="HAT119"/>
      <c r="HAU119"/>
      <c r="HAV119"/>
      <c r="HAW119"/>
      <c r="HAX119"/>
      <c r="HAY119"/>
      <c r="HAZ119"/>
      <c r="HBA119"/>
      <c r="HBB119"/>
      <c r="HBC119"/>
      <c r="HBD119"/>
      <c r="HBE119"/>
      <c r="HBF119"/>
      <c r="HBG119"/>
      <c r="HBH119"/>
      <c r="HBI119"/>
      <c r="HBJ119"/>
      <c r="HBK119"/>
      <c r="HBL119"/>
      <c r="HBM119"/>
      <c r="HBN119"/>
      <c r="HBO119"/>
      <c r="HBP119"/>
      <c r="HBQ119"/>
      <c r="HBR119"/>
      <c r="HBS119"/>
      <c r="HBT119"/>
      <c r="HBU119"/>
      <c r="HBV119"/>
      <c r="HBW119"/>
      <c r="HBX119"/>
      <c r="HBY119"/>
      <c r="HBZ119"/>
      <c r="HCA119"/>
      <c r="HCB119"/>
      <c r="HCC119"/>
      <c r="HCD119"/>
      <c r="HCE119"/>
      <c r="HCF119"/>
      <c r="HCG119"/>
      <c r="HCH119"/>
      <c r="HCI119"/>
      <c r="HCJ119"/>
      <c r="HCK119"/>
      <c r="HCL119"/>
      <c r="HCM119"/>
      <c r="HCN119"/>
      <c r="HCO119"/>
      <c r="HCP119"/>
      <c r="HCQ119"/>
      <c r="HCR119"/>
      <c r="HCS119"/>
      <c r="HCT119"/>
      <c r="HCU119"/>
      <c r="HCV119"/>
      <c r="HCW119"/>
      <c r="HCX119"/>
      <c r="HCY119"/>
      <c r="HCZ119"/>
      <c r="HDA119"/>
      <c r="HDB119"/>
      <c r="HDC119"/>
      <c r="HDD119"/>
      <c r="HDE119"/>
      <c r="HDF119"/>
      <c r="HDG119"/>
      <c r="HDH119"/>
      <c r="HDI119"/>
      <c r="HDJ119"/>
      <c r="HDK119"/>
      <c r="HDL119"/>
      <c r="HDM119"/>
      <c r="HDN119"/>
      <c r="HDO119"/>
      <c r="HDP119"/>
      <c r="HDQ119"/>
      <c r="HDR119"/>
      <c r="HDS119"/>
      <c r="HDT119"/>
      <c r="HDU119"/>
      <c r="HDV119"/>
      <c r="HDW119"/>
      <c r="HDX119"/>
      <c r="HDY119"/>
      <c r="HDZ119"/>
      <c r="HEA119"/>
      <c r="HEB119"/>
      <c r="HEC119"/>
      <c r="HED119"/>
      <c r="HEE119"/>
      <c r="HEF119"/>
      <c r="HEG119"/>
      <c r="HEH119"/>
      <c r="HEI119"/>
      <c r="HEJ119"/>
      <c r="HEK119"/>
      <c r="HEL119"/>
      <c r="HEM119"/>
      <c r="HEN119"/>
      <c r="HEO119"/>
      <c r="HEP119"/>
      <c r="HEQ119"/>
      <c r="HER119"/>
      <c r="HES119"/>
      <c r="HET119"/>
      <c r="HEU119"/>
      <c r="HEV119"/>
      <c r="HEW119"/>
      <c r="HEX119"/>
      <c r="HEY119"/>
      <c r="HEZ119"/>
      <c r="HFA119"/>
      <c r="HFB119"/>
      <c r="HFC119"/>
      <c r="HFD119"/>
      <c r="HFE119"/>
      <c r="HFF119"/>
      <c r="HFG119"/>
      <c r="HFH119"/>
      <c r="HFI119"/>
      <c r="HFJ119"/>
      <c r="HFK119"/>
      <c r="HFL119"/>
      <c r="HFM119"/>
      <c r="HFN119"/>
      <c r="HFO119"/>
      <c r="HFP119"/>
      <c r="HFQ119"/>
      <c r="HFR119"/>
      <c r="HFS119"/>
      <c r="HFT119"/>
      <c r="HFU119"/>
      <c r="HFV119"/>
      <c r="HFW119"/>
      <c r="HFX119"/>
      <c r="HFY119"/>
      <c r="HFZ119"/>
      <c r="HGA119"/>
      <c r="HGB119"/>
      <c r="HGC119"/>
      <c r="HGD119"/>
      <c r="HGE119"/>
      <c r="HGF119"/>
      <c r="HGG119"/>
      <c r="HGH119"/>
      <c r="HGI119"/>
      <c r="HGJ119"/>
      <c r="HGK119"/>
      <c r="HGL119"/>
      <c r="HGM119"/>
      <c r="HGN119"/>
      <c r="HGO119"/>
      <c r="HGP119"/>
      <c r="HGQ119"/>
      <c r="HGR119"/>
      <c r="HGS119"/>
      <c r="HGT119"/>
      <c r="HGU119"/>
      <c r="HGV119"/>
      <c r="HGW119"/>
      <c r="HGX119"/>
      <c r="HGY119"/>
      <c r="HGZ119"/>
      <c r="HHA119"/>
      <c r="HHB119"/>
      <c r="HHC119"/>
      <c r="HHD119"/>
      <c r="HHE119"/>
      <c r="HHF119"/>
      <c r="HHG119"/>
      <c r="HHH119"/>
      <c r="HHI119"/>
      <c r="HHJ119"/>
      <c r="HHK119"/>
      <c r="HHL119"/>
      <c r="HHM119"/>
      <c r="HHN119"/>
      <c r="HHO119"/>
      <c r="HHP119"/>
      <c r="HHQ119"/>
      <c r="HHR119"/>
      <c r="HHS119"/>
      <c r="HHT119"/>
      <c r="HHU119"/>
      <c r="HHV119"/>
      <c r="HHW119"/>
      <c r="HHX119"/>
      <c r="HHY119"/>
      <c r="HHZ119"/>
      <c r="HIA119"/>
      <c r="HIB119"/>
      <c r="HIC119"/>
      <c r="HID119"/>
      <c r="HIE119"/>
      <c r="HIF119"/>
      <c r="HIG119"/>
      <c r="HIH119"/>
      <c r="HII119"/>
      <c r="HIJ119"/>
      <c r="HIK119"/>
      <c r="HIL119"/>
      <c r="HIM119"/>
      <c r="HIN119"/>
      <c r="HIO119"/>
      <c r="HIP119"/>
      <c r="HIQ119"/>
      <c r="HIR119"/>
      <c r="HIS119"/>
      <c r="HIT119"/>
      <c r="HIU119"/>
      <c r="HIV119"/>
      <c r="HIW119"/>
      <c r="HIX119"/>
      <c r="HIY119"/>
      <c r="HIZ119"/>
      <c r="HJA119"/>
      <c r="HJB119"/>
      <c r="HJC119"/>
      <c r="HJD119"/>
      <c r="HJE119"/>
      <c r="HJF119"/>
      <c r="HJG119"/>
      <c r="HJH119"/>
      <c r="HJI119"/>
      <c r="HJJ119"/>
      <c r="HJK119"/>
      <c r="HJL119"/>
      <c r="HJM119"/>
      <c r="HJN119"/>
      <c r="HJO119"/>
      <c r="HJP119"/>
      <c r="HJQ119"/>
      <c r="HJR119"/>
      <c r="HJS119"/>
      <c r="HJT119"/>
      <c r="HJU119"/>
      <c r="HJV119"/>
      <c r="HJW119"/>
      <c r="HJX119"/>
      <c r="HJY119"/>
      <c r="HJZ119"/>
      <c r="HKA119"/>
      <c r="HKB119"/>
      <c r="HKC119"/>
      <c r="HKD119"/>
      <c r="HKE119"/>
      <c r="HKF119"/>
      <c r="HKG119"/>
      <c r="HKH119"/>
      <c r="HKI119"/>
      <c r="HKJ119"/>
      <c r="HKK119"/>
      <c r="HKL119"/>
      <c r="HKM119"/>
      <c r="HKN119"/>
      <c r="HKO119"/>
      <c r="HKP119"/>
      <c r="HKQ119"/>
      <c r="HKR119"/>
      <c r="HKS119"/>
      <c r="HKT119"/>
      <c r="HKU119"/>
      <c r="HKV119"/>
      <c r="HKW119"/>
      <c r="HKX119"/>
      <c r="HKY119"/>
      <c r="HKZ119"/>
      <c r="HLA119"/>
      <c r="HLB119"/>
      <c r="HLC119"/>
      <c r="HLD119"/>
      <c r="HLE119"/>
      <c r="HLF119"/>
      <c r="HLG119"/>
      <c r="HLH119"/>
      <c r="HLI119"/>
      <c r="HLJ119"/>
      <c r="HLK119"/>
      <c r="HLL119"/>
      <c r="HLM119"/>
      <c r="HLN119"/>
      <c r="HLO119"/>
      <c r="HLP119"/>
      <c r="HLQ119"/>
      <c r="HLR119"/>
      <c r="HLS119"/>
      <c r="HLT119"/>
      <c r="HLU119"/>
      <c r="HLV119"/>
      <c r="HLW119"/>
      <c r="HLX119"/>
      <c r="HLY119"/>
      <c r="HLZ119"/>
      <c r="HMA119"/>
      <c r="HMB119"/>
      <c r="HMC119"/>
      <c r="HMD119"/>
      <c r="HME119"/>
      <c r="HMF119"/>
      <c r="HMG119"/>
      <c r="HMH119"/>
      <c r="HMI119"/>
      <c r="HMJ119"/>
      <c r="HMK119"/>
      <c r="HML119"/>
      <c r="HMM119"/>
      <c r="HMN119"/>
      <c r="HMO119"/>
      <c r="HMP119"/>
      <c r="HMQ119"/>
      <c r="HMR119"/>
      <c r="HMS119"/>
      <c r="HMT119"/>
      <c r="HMU119"/>
      <c r="HMV119"/>
      <c r="HMW119"/>
      <c r="HMX119"/>
      <c r="HMY119"/>
      <c r="HMZ119"/>
      <c r="HNA119"/>
      <c r="HNB119"/>
      <c r="HNC119"/>
      <c r="HND119"/>
      <c r="HNE119"/>
      <c r="HNF119"/>
      <c r="HNG119"/>
      <c r="HNH119"/>
      <c r="HNI119"/>
      <c r="HNJ119"/>
      <c r="HNK119"/>
      <c r="HNL119"/>
      <c r="HNM119"/>
      <c r="HNN119"/>
      <c r="HNO119"/>
      <c r="HNP119"/>
      <c r="HNQ119"/>
      <c r="HNR119"/>
      <c r="HNS119"/>
      <c r="HNT119"/>
      <c r="HNU119"/>
      <c r="HNV119"/>
      <c r="HNW119"/>
      <c r="HNX119"/>
      <c r="HNY119"/>
      <c r="HNZ119"/>
      <c r="HOA119"/>
      <c r="HOB119"/>
      <c r="HOC119"/>
      <c r="HOD119"/>
      <c r="HOE119"/>
      <c r="HOF119"/>
      <c r="HOG119"/>
      <c r="HOH119"/>
      <c r="HOI119"/>
      <c r="HOJ119"/>
      <c r="HOK119"/>
      <c r="HOL119"/>
      <c r="HOM119"/>
      <c r="HON119"/>
      <c r="HOO119"/>
      <c r="HOP119"/>
      <c r="HOQ119"/>
      <c r="HOR119"/>
      <c r="HOS119"/>
      <c r="HOT119"/>
      <c r="HOU119"/>
      <c r="HOV119"/>
      <c r="HOW119"/>
      <c r="HOX119"/>
      <c r="HOY119"/>
      <c r="HOZ119"/>
      <c r="HPA119"/>
      <c r="HPB119"/>
      <c r="HPC119"/>
      <c r="HPD119"/>
      <c r="HPE119"/>
      <c r="HPF119"/>
      <c r="HPG119"/>
      <c r="HPH119"/>
      <c r="HPI119"/>
      <c r="HPJ119"/>
      <c r="HPK119"/>
      <c r="HPL119"/>
      <c r="HPM119"/>
      <c r="HPN119"/>
      <c r="HPO119"/>
      <c r="HPP119"/>
      <c r="HPQ119"/>
      <c r="HPR119"/>
      <c r="HPS119"/>
      <c r="HPT119"/>
      <c r="HPU119"/>
      <c r="HPV119"/>
      <c r="HPW119"/>
      <c r="HPX119"/>
      <c r="HPY119"/>
      <c r="HPZ119"/>
      <c r="HQA119"/>
      <c r="HQB119"/>
      <c r="HQC119"/>
      <c r="HQD119"/>
      <c r="HQE119"/>
      <c r="HQF119"/>
      <c r="HQG119"/>
      <c r="HQH119"/>
      <c r="HQI119"/>
      <c r="HQJ119"/>
      <c r="HQK119"/>
      <c r="HQL119"/>
      <c r="HQM119"/>
      <c r="HQN119"/>
      <c r="HQO119"/>
      <c r="HQP119"/>
      <c r="HQQ119"/>
      <c r="HQR119"/>
      <c r="HQS119"/>
      <c r="HQT119"/>
      <c r="HQU119"/>
      <c r="HQV119"/>
      <c r="HQW119"/>
      <c r="HQX119"/>
      <c r="HQY119"/>
      <c r="HQZ119"/>
      <c r="HRA119"/>
      <c r="HRB119"/>
      <c r="HRC119"/>
      <c r="HRD119"/>
      <c r="HRE119"/>
      <c r="HRF119"/>
      <c r="HRG119"/>
      <c r="HRH119"/>
      <c r="HRI119"/>
      <c r="HRJ119"/>
      <c r="HRK119"/>
      <c r="HRL119"/>
      <c r="HRM119"/>
      <c r="HRN119"/>
      <c r="HRO119"/>
      <c r="HRP119"/>
      <c r="HRQ119"/>
      <c r="HRR119"/>
      <c r="HRS119"/>
      <c r="HRT119"/>
      <c r="HRU119"/>
      <c r="HRV119"/>
      <c r="HRW119"/>
      <c r="HRX119"/>
      <c r="HRY119"/>
      <c r="HRZ119"/>
      <c r="HSA119"/>
      <c r="HSB119"/>
      <c r="HSC119"/>
      <c r="HSD119"/>
      <c r="HSE119"/>
      <c r="HSF119"/>
      <c r="HSG119"/>
      <c r="HSH119"/>
      <c r="HSI119"/>
      <c r="HSJ119"/>
      <c r="HSK119"/>
      <c r="HSL119"/>
      <c r="HSM119"/>
      <c r="HSN119"/>
      <c r="HSO119"/>
      <c r="HSP119"/>
      <c r="HSQ119"/>
      <c r="HSR119"/>
      <c r="HSS119"/>
      <c r="HST119"/>
      <c r="HSU119"/>
      <c r="HSV119"/>
      <c r="HSW119"/>
      <c r="HSX119"/>
      <c r="HSY119"/>
      <c r="HSZ119"/>
      <c r="HTA119"/>
      <c r="HTB119"/>
      <c r="HTC119"/>
      <c r="HTD119"/>
      <c r="HTE119"/>
      <c r="HTF119"/>
      <c r="HTG119"/>
      <c r="HTH119"/>
      <c r="HTI119"/>
      <c r="HTJ119"/>
      <c r="HTK119"/>
      <c r="HTL119"/>
      <c r="HTM119"/>
      <c r="HTN119"/>
      <c r="HTO119"/>
      <c r="HTP119"/>
      <c r="HTQ119"/>
      <c r="HTR119"/>
      <c r="HTS119"/>
      <c r="HTT119"/>
      <c r="HTU119"/>
      <c r="HTV119"/>
      <c r="HTW119"/>
      <c r="HTX119"/>
      <c r="HTY119"/>
      <c r="HTZ119"/>
      <c r="HUA119"/>
      <c r="HUB119"/>
      <c r="HUC119"/>
      <c r="HUD119"/>
      <c r="HUE119"/>
      <c r="HUF119"/>
      <c r="HUG119"/>
      <c r="HUH119"/>
      <c r="HUI119"/>
      <c r="HUJ119"/>
      <c r="HUK119"/>
      <c r="HUL119"/>
      <c r="HUM119"/>
      <c r="HUN119"/>
      <c r="HUO119"/>
      <c r="HUP119"/>
      <c r="HUQ119"/>
      <c r="HUR119"/>
      <c r="HUS119"/>
      <c r="HUT119"/>
      <c r="HUU119"/>
      <c r="HUV119"/>
      <c r="HUW119"/>
      <c r="HUX119"/>
      <c r="HUY119"/>
      <c r="HUZ119"/>
      <c r="HVA119"/>
      <c r="HVB119"/>
      <c r="HVC119"/>
      <c r="HVD119"/>
      <c r="HVE119"/>
      <c r="HVF119"/>
      <c r="HVG119"/>
      <c r="HVH119"/>
      <c r="HVI119"/>
      <c r="HVJ119"/>
      <c r="HVK119"/>
      <c r="HVL119"/>
      <c r="HVM119"/>
      <c r="HVN119"/>
      <c r="HVO119"/>
      <c r="HVP119"/>
      <c r="HVQ119"/>
      <c r="HVR119"/>
      <c r="HVS119"/>
      <c r="HVT119"/>
      <c r="HVU119"/>
      <c r="HVV119"/>
      <c r="HVW119"/>
      <c r="HVX119"/>
      <c r="HVY119"/>
      <c r="HVZ119"/>
      <c r="HWA119"/>
      <c r="HWB119"/>
      <c r="HWC119"/>
      <c r="HWD119"/>
      <c r="HWE119"/>
      <c r="HWF119"/>
      <c r="HWG119"/>
      <c r="HWH119"/>
      <c r="HWI119"/>
      <c r="HWJ119"/>
      <c r="HWK119"/>
      <c r="HWL119"/>
      <c r="HWM119"/>
      <c r="HWN119"/>
      <c r="HWO119"/>
      <c r="HWP119"/>
      <c r="HWQ119"/>
      <c r="HWR119"/>
      <c r="HWS119"/>
      <c r="HWT119"/>
      <c r="HWU119"/>
      <c r="HWV119"/>
      <c r="HWW119"/>
      <c r="HWX119"/>
      <c r="HWY119"/>
      <c r="HWZ119"/>
      <c r="HXA119"/>
      <c r="HXB119"/>
      <c r="HXC119"/>
      <c r="HXD119"/>
      <c r="HXE119"/>
      <c r="HXF119"/>
      <c r="HXG119"/>
      <c r="HXH119"/>
      <c r="HXI119"/>
      <c r="HXJ119"/>
      <c r="HXK119"/>
      <c r="HXL119"/>
      <c r="HXM119"/>
      <c r="HXN119"/>
      <c r="HXO119"/>
      <c r="HXP119"/>
      <c r="HXQ119"/>
      <c r="HXR119"/>
      <c r="HXS119"/>
      <c r="HXT119"/>
      <c r="HXU119"/>
      <c r="HXV119"/>
      <c r="HXW119"/>
      <c r="HXX119"/>
      <c r="HXY119"/>
      <c r="HXZ119"/>
      <c r="HYA119"/>
      <c r="HYB119"/>
      <c r="HYC119"/>
      <c r="HYD119"/>
      <c r="HYE119"/>
      <c r="HYF119"/>
      <c r="HYG119"/>
      <c r="HYH119"/>
      <c r="HYI119"/>
      <c r="HYJ119"/>
      <c r="HYK119"/>
      <c r="HYL119"/>
      <c r="HYM119"/>
      <c r="HYN119"/>
      <c r="HYO119"/>
      <c r="HYP119"/>
      <c r="HYQ119"/>
      <c r="HYR119"/>
      <c r="HYS119"/>
      <c r="HYT119"/>
      <c r="HYU119"/>
      <c r="HYV119"/>
      <c r="HYW119"/>
      <c r="HYX119"/>
      <c r="HYY119"/>
      <c r="HYZ119"/>
      <c r="HZA119"/>
      <c r="HZB119"/>
      <c r="HZC119"/>
      <c r="HZD119"/>
      <c r="HZE119"/>
      <c r="HZF119"/>
      <c r="HZG119"/>
      <c r="HZH119"/>
      <c r="HZI119"/>
      <c r="HZJ119"/>
      <c r="HZK119"/>
      <c r="HZL119"/>
      <c r="HZM119"/>
      <c r="HZN119"/>
      <c r="HZO119"/>
      <c r="HZP119"/>
      <c r="HZQ119"/>
      <c r="HZR119"/>
      <c r="HZS119"/>
      <c r="HZT119"/>
      <c r="HZU119"/>
      <c r="HZV119"/>
      <c r="HZW119"/>
      <c r="HZX119"/>
      <c r="HZY119"/>
      <c r="HZZ119"/>
      <c r="IAA119"/>
      <c r="IAB119"/>
      <c r="IAC119"/>
      <c r="IAD119"/>
      <c r="IAE119"/>
      <c r="IAF119"/>
      <c r="IAG119"/>
      <c r="IAH119"/>
      <c r="IAI119"/>
      <c r="IAJ119"/>
      <c r="IAK119"/>
      <c r="IAL119"/>
      <c r="IAM119"/>
      <c r="IAN119"/>
      <c r="IAO119"/>
      <c r="IAP119"/>
      <c r="IAQ119"/>
      <c r="IAR119"/>
      <c r="IAS119"/>
      <c r="IAT119"/>
      <c r="IAU119"/>
      <c r="IAV119"/>
      <c r="IAW119"/>
      <c r="IAX119"/>
      <c r="IAY119"/>
      <c r="IAZ119"/>
      <c r="IBA119"/>
      <c r="IBB119"/>
      <c r="IBC119"/>
      <c r="IBD119"/>
      <c r="IBE119"/>
      <c r="IBF119"/>
      <c r="IBG119"/>
      <c r="IBH119"/>
      <c r="IBI119"/>
      <c r="IBJ119"/>
      <c r="IBK119"/>
      <c r="IBL119"/>
      <c r="IBM119"/>
      <c r="IBN119"/>
      <c r="IBO119"/>
      <c r="IBP119"/>
      <c r="IBQ119"/>
      <c r="IBR119"/>
      <c r="IBS119"/>
      <c r="IBT119"/>
      <c r="IBU119"/>
      <c r="IBV119"/>
      <c r="IBW119"/>
      <c r="IBX119"/>
      <c r="IBY119"/>
      <c r="IBZ119"/>
      <c r="ICA119"/>
      <c r="ICB119"/>
      <c r="ICC119"/>
      <c r="ICD119"/>
      <c r="ICE119"/>
      <c r="ICF119"/>
      <c r="ICG119"/>
      <c r="ICH119"/>
      <c r="ICI119"/>
      <c r="ICJ119"/>
      <c r="ICK119"/>
      <c r="ICL119"/>
      <c r="ICM119"/>
      <c r="ICN119"/>
      <c r="ICO119"/>
      <c r="ICP119"/>
      <c r="ICQ119"/>
      <c r="ICR119"/>
      <c r="ICS119"/>
      <c r="ICT119"/>
      <c r="ICU119"/>
      <c r="ICV119"/>
      <c r="ICW119"/>
      <c r="ICX119"/>
      <c r="ICY119"/>
      <c r="ICZ119"/>
      <c r="IDA119"/>
      <c r="IDB119"/>
      <c r="IDC119"/>
      <c r="IDD119"/>
      <c r="IDE119"/>
      <c r="IDF119"/>
      <c r="IDG119"/>
      <c r="IDH119"/>
      <c r="IDI119"/>
      <c r="IDJ119"/>
      <c r="IDK119"/>
      <c r="IDL119"/>
      <c r="IDM119"/>
      <c r="IDN119"/>
      <c r="IDO119"/>
      <c r="IDP119"/>
      <c r="IDQ119"/>
      <c r="IDR119"/>
      <c r="IDS119"/>
      <c r="IDT119"/>
      <c r="IDU119"/>
      <c r="IDV119"/>
      <c r="IDW119"/>
      <c r="IDX119"/>
      <c r="IDY119"/>
      <c r="IDZ119"/>
      <c r="IEA119"/>
      <c r="IEB119"/>
      <c r="IEC119"/>
      <c r="IED119"/>
      <c r="IEE119"/>
      <c r="IEF119"/>
      <c r="IEG119"/>
      <c r="IEH119"/>
      <c r="IEI119"/>
      <c r="IEJ119"/>
      <c r="IEK119"/>
      <c r="IEL119"/>
      <c r="IEM119"/>
      <c r="IEN119"/>
      <c r="IEO119"/>
      <c r="IEP119"/>
      <c r="IEQ119"/>
      <c r="IER119"/>
      <c r="IES119"/>
      <c r="IET119"/>
      <c r="IEU119"/>
      <c r="IEV119"/>
      <c r="IEW119"/>
      <c r="IEX119"/>
      <c r="IEY119"/>
      <c r="IEZ119"/>
      <c r="IFA119"/>
      <c r="IFB119"/>
      <c r="IFC119"/>
      <c r="IFD119"/>
      <c r="IFE119"/>
      <c r="IFF119"/>
      <c r="IFG119"/>
      <c r="IFH119"/>
      <c r="IFI119"/>
      <c r="IFJ119"/>
      <c r="IFK119"/>
      <c r="IFL119"/>
      <c r="IFM119"/>
      <c r="IFN119"/>
      <c r="IFO119"/>
      <c r="IFP119"/>
      <c r="IFQ119"/>
      <c r="IFR119"/>
      <c r="IFS119"/>
      <c r="IFT119"/>
      <c r="IFU119"/>
      <c r="IFV119"/>
      <c r="IFW119"/>
      <c r="IFX119"/>
      <c r="IFY119"/>
      <c r="IFZ119"/>
      <c r="IGA119"/>
      <c r="IGB119"/>
      <c r="IGC119"/>
      <c r="IGD119"/>
      <c r="IGE119"/>
      <c r="IGF119"/>
      <c r="IGG119"/>
      <c r="IGH119"/>
      <c r="IGI119"/>
      <c r="IGJ119"/>
      <c r="IGK119"/>
      <c r="IGL119"/>
      <c r="IGM119"/>
      <c r="IGN119"/>
      <c r="IGO119"/>
      <c r="IGP119"/>
      <c r="IGQ119"/>
      <c r="IGR119"/>
      <c r="IGS119"/>
      <c r="IGT119"/>
      <c r="IGU119"/>
      <c r="IGV119"/>
      <c r="IGW119"/>
      <c r="IGX119"/>
      <c r="IGY119"/>
      <c r="IGZ119"/>
      <c r="IHA119"/>
      <c r="IHB119"/>
      <c r="IHC119"/>
      <c r="IHD119"/>
      <c r="IHE119"/>
      <c r="IHF119"/>
      <c r="IHG119"/>
      <c r="IHH119"/>
      <c r="IHI119"/>
      <c r="IHJ119"/>
      <c r="IHK119"/>
      <c r="IHL119"/>
      <c r="IHM119"/>
      <c r="IHN119"/>
      <c r="IHO119"/>
      <c r="IHP119"/>
      <c r="IHQ119"/>
      <c r="IHR119"/>
      <c r="IHS119"/>
      <c r="IHT119"/>
      <c r="IHU119"/>
      <c r="IHV119"/>
      <c r="IHW119"/>
      <c r="IHX119"/>
      <c r="IHY119"/>
      <c r="IHZ119"/>
      <c r="IIA119"/>
      <c r="IIB119"/>
      <c r="IIC119"/>
      <c r="IID119"/>
      <c r="IIE119"/>
      <c r="IIF119"/>
      <c r="IIG119"/>
      <c r="IIH119"/>
      <c r="III119"/>
      <c r="IIJ119"/>
      <c r="IIK119"/>
      <c r="IIL119"/>
      <c r="IIM119"/>
      <c r="IIN119"/>
      <c r="IIO119"/>
      <c r="IIP119"/>
      <c r="IIQ119"/>
      <c r="IIR119"/>
      <c r="IIS119"/>
      <c r="IIT119"/>
      <c r="IIU119"/>
      <c r="IIV119"/>
      <c r="IIW119"/>
      <c r="IIX119"/>
      <c r="IIY119"/>
      <c r="IIZ119"/>
      <c r="IJA119"/>
      <c r="IJB119"/>
      <c r="IJC119"/>
      <c r="IJD119"/>
      <c r="IJE119"/>
      <c r="IJF119"/>
      <c r="IJG119"/>
      <c r="IJH119"/>
      <c r="IJI119"/>
      <c r="IJJ119"/>
      <c r="IJK119"/>
      <c r="IJL119"/>
      <c r="IJM119"/>
      <c r="IJN119"/>
      <c r="IJO119"/>
      <c r="IJP119"/>
      <c r="IJQ119"/>
      <c r="IJR119"/>
      <c r="IJS119"/>
      <c r="IJT119"/>
      <c r="IJU119"/>
      <c r="IJV119"/>
      <c r="IJW119"/>
      <c r="IJX119"/>
      <c r="IJY119"/>
      <c r="IJZ119"/>
      <c r="IKA119"/>
      <c r="IKB119"/>
      <c r="IKC119"/>
      <c r="IKD119"/>
      <c r="IKE119"/>
      <c r="IKF119"/>
      <c r="IKG119"/>
      <c r="IKH119"/>
      <c r="IKI119"/>
      <c r="IKJ119"/>
      <c r="IKK119"/>
      <c r="IKL119"/>
      <c r="IKM119"/>
      <c r="IKN119"/>
      <c r="IKO119"/>
      <c r="IKP119"/>
      <c r="IKQ119"/>
      <c r="IKR119"/>
      <c r="IKS119"/>
      <c r="IKT119"/>
      <c r="IKU119"/>
      <c r="IKV119"/>
      <c r="IKW119"/>
      <c r="IKX119"/>
      <c r="IKY119"/>
      <c r="IKZ119"/>
      <c r="ILA119"/>
      <c r="ILB119"/>
      <c r="ILC119"/>
      <c r="ILD119"/>
      <c r="ILE119"/>
      <c r="ILF119"/>
      <c r="ILG119"/>
      <c r="ILH119"/>
      <c r="ILI119"/>
      <c r="ILJ119"/>
      <c r="ILK119"/>
      <c r="ILL119"/>
      <c r="ILM119"/>
      <c r="ILN119"/>
      <c r="ILO119"/>
      <c r="ILP119"/>
      <c r="ILQ119"/>
      <c r="ILR119"/>
      <c r="ILS119"/>
      <c r="ILT119"/>
      <c r="ILU119"/>
      <c r="ILV119"/>
      <c r="ILW119"/>
      <c r="ILX119"/>
      <c r="ILY119"/>
      <c r="ILZ119"/>
      <c r="IMA119"/>
      <c r="IMB119"/>
      <c r="IMC119"/>
      <c r="IMD119"/>
      <c r="IME119"/>
      <c r="IMF119"/>
      <c r="IMG119"/>
      <c r="IMH119"/>
      <c r="IMI119"/>
      <c r="IMJ119"/>
      <c r="IMK119"/>
      <c r="IML119"/>
      <c r="IMM119"/>
      <c r="IMN119"/>
      <c r="IMO119"/>
      <c r="IMP119"/>
      <c r="IMQ119"/>
      <c r="IMR119"/>
      <c r="IMS119"/>
      <c r="IMT119"/>
      <c r="IMU119"/>
      <c r="IMV119"/>
      <c r="IMW119"/>
      <c r="IMX119"/>
      <c r="IMY119"/>
      <c r="IMZ119"/>
      <c r="INA119"/>
      <c r="INB119"/>
      <c r="INC119"/>
      <c r="IND119"/>
      <c r="INE119"/>
      <c r="INF119"/>
      <c r="ING119"/>
      <c r="INH119"/>
      <c r="INI119"/>
      <c r="INJ119"/>
      <c r="INK119"/>
      <c r="INL119"/>
      <c r="INM119"/>
      <c r="INN119"/>
      <c r="INO119"/>
      <c r="INP119"/>
      <c r="INQ119"/>
      <c r="INR119"/>
      <c r="INS119"/>
      <c r="INT119"/>
      <c r="INU119"/>
      <c r="INV119"/>
      <c r="INW119"/>
      <c r="INX119"/>
      <c r="INY119"/>
      <c r="INZ119"/>
      <c r="IOA119"/>
      <c r="IOB119"/>
      <c r="IOC119"/>
      <c r="IOD119"/>
      <c r="IOE119"/>
      <c r="IOF119"/>
      <c r="IOG119"/>
      <c r="IOH119"/>
      <c r="IOI119"/>
      <c r="IOJ119"/>
      <c r="IOK119"/>
      <c r="IOL119"/>
      <c r="IOM119"/>
      <c r="ION119"/>
      <c r="IOO119"/>
      <c r="IOP119"/>
      <c r="IOQ119"/>
      <c r="IOR119"/>
      <c r="IOS119"/>
      <c r="IOT119"/>
      <c r="IOU119"/>
      <c r="IOV119"/>
      <c r="IOW119"/>
      <c r="IOX119"/>
      <c r="IOY119"/>
      <c r="IOZ119"/>
      <c r="IPA119"/>
      <c r="IPB119"/>
      <c r="IPC119"/>
      <c r="IPD119"/>
      <c r="IPE119"/>
      <c r="IPF119"/>
      <c r="IPG119"/>
      <c r="IPH119"/>
      <c r="IPI119"/>
      <c r="IPJ119"/>
      <c r="IPK119"/>
      <c r="IPL119"/>
      <c r="IPM119"/>
      <c r="IPN119"/>
      <c r="IPO119"/>
      <c r="IPP119"/>
      <c r="IPQ119"/>
      <c r="IPR119"/>
      <c r="IPS119"/>
      <c r="IPT119"/>
      <c r="IPU119"/>
      <c r="IPV119"/>
      <c r="IPW119"/>
      <c r="IPX119"/>
      <c r="IPY119"/>
      <c r="IPZ119"/>
      <c r="IQA119"/>
      <c r="IQB119"/>
      <c r="IQC119"/>
      <c r="IQD119"/>
      <c r="IQE119"/>
      <c r="IQF119"/>
      <c r="IQG119"/>
      <c r="IQH119"/>
      <c r="IQI119"/>
      <c r="IQJ119"/>
      <c r="IQK119"/>
      <c r="IQL119"/>
      <c r="IQM119"/>
      <c r="IQN119"/>
      <c r="IQO119"/>
      <c r="IQP119"/>
      <c r="IQQ119"/>
      <c r="IQR119"/>
      <c r="IQS119"/>
      <c r="IQT119"/>
      <c r="IQU119"/>
      <c r="IQV119"/>
      <c r="IQW119"/>
      <c r="IQX119"/>
      <c r="IQY119"/>
      <c r="IQZ119"/>
      <c r="IRA119"/>
      <c r="IRB119"/>
      <c r="IRC119"/>
      <c r="IRD119"/>
      <c r="IRE119"/>
      <c r="IRF119"/>
      <c r="IRG119"/>
      <c r="IRH119"/>
      <c r="IRI119"/>
      <c r="IRJ119"/>
      <c r="IRK119"/>
      <c r="IRL119"/>
      <c r="IRM119"/>
      <c r="IRN119"/>
      <c r="IRO119"/>
      <c r="IRP119"/>
      <c r="IRQ119"/>
      <c r="IRR119"/>
      <c r="IRS119"/>
      <c r="IRT119"/>
      <c r="IRU119"/>
      <c r="IRV119"/>
      <c r="IRW119"/>
      <c r="IRX119"/>
      <c r="IRY119"/>
      <c r="IRZ119"/>
      <c r="ISA119"/>
      <c r="ISB119"/>
      <c r="ISC119"/>
      <c r="ISD119"/>
      <c r="ISE119"/>
      <c r="ISF119"/>
      <c r="ISG119"/>
      <c r="ISH119"/>
      <c r="ISI119"/>
      <c r="ISJ119"/>
      <c r="ISK119"/>
      <c r="ISL119"/>
      <c r="ISM119"/>
      <c r="ISN119"/>
      <c r="ISO119"/>
      <c r="ISP119"/>
      <c r="ISQ119"/>
      <c r="ISR119"/>
      <c r="ISS119"/>
      <c r="IST119"/>
      <c r="ISU119"/>
      <c r="ISV119"/>
      <c r="ISW119"/>
      <c r="ISX119"/>
      <c r="ISY119"/>
      <c r="ISZ119"/>
      <c r="ITA119"/>
      <c r="ITB119"/>
      <c r="ITC119"/>
      <c r="ITD119"/>
      <c r="ITE119"/>
      <c r="ITF119"/>
      <c r="ITG119"/>
      <c r="ITH119"/>
      <c r="ITI119"/>
      <c r="ITJ119"/>
      <c r="ITK119"/>
      <c r="ITL119"/>
      <c r="ITM119"/>
      <c r="ITN119"/>
      <c r="ITO119"/>
      <c r="ITP119"/>
      <c r="ITQ119"/>
      <c r="ITR119"/>
      <c r="ITS119"/>
      <c r="ITT119"/>
      <c r="ITU119"/>
      <c r="ITV119"/>
      <c r="ITW119"/>
      <c r="ITX119"/>
      <c r="ITY119"/>
      <c r="ITZ119"/>
      <c r="IUA119"/>
      <c r="IUB119"/>
      <c r="IUC119"/>
      <c r="IUD119"/>
      <c r="IUE119"/>
      <c r="IUF119"/>
      <c r="IUG119"/>
      <c r="IUH119"/>
      <c r="IUI119"/>
      <c r="IUJ119"/>
      <c r="IUK119"/>
      <c r="IUL119"/>
      <c r="IUM119"/>
      <c r="IUN119"/>
      <c r="IUO119"/>
      <c r="IUP119"/>
      <c r="IUQ119"/>
      <c r="IUR119"/>
      <c r="IUS119"/>
      <c r="IUT119"/>
      <c r="IUU119"/>
      <c r="IUV119"/>
      <c r="IUW119"/>
      <c r="IUX119"/>
      <c r="IUY119"/>
      <c r="IUZ119"/>
      <c r="IVA119"/>
      <c r="IVB119"/>
      <c r="IVC119"/>
      <c r="IVD119"/>
      <c r="IVE119"/>
      <c r="IVF119"/>
      <c r="IVG119"/>
      <c r="IVH119"/>
      <c r="IVI119"/>
      <c r="IVJ119"/>
      <c r="IVK119"/>
      <c r="IVL119"/>
      <c r="IVM119"/>
      <c r="IVN119"/>
      <c r="IVO119"/>
      <c r="IVP119"/>
      <c r="IVQ119"/>
      <c r="IVR119"/>
      <c r="IVS119"/>
      <c r="IVT119"/>
      <c r="IVU119"/>
      <c r="IVV119"/>
      <c r="IVW119"/>
      <c r="IVX119"/>
      <c r="IVY119"/>
      <c r="IVZ119"/>
      <c r="IWA119"/>
      <c r="IWB119"/>
      <c r="IWC119"/>
      <c r="IWD119"/>
      <c r="IWE119"/>
      <c r="IWF119"/>
      <c r="IWG119"/>
      <c r="IWH119"/>
      <c r="IWI119"/>
      <c r="IWJ119"/>
      <c r="IWK119"/>
      <c r="IWL119"/>
      <c r="IWM119"/>
      <c r="IWN119"/>
      <c r="IWO119"/>
      <c r="IWP119"/>
      <c r="IWQ119"/>
      <c r="IWR119"/>
      <c r="IWS119"/>
      <c r="IWT119"/>
      <c r="IWU119"/>
      <c r="IWV119"/>
      <c r="IWW119"/>
      <c r="IWX119"/>
      <c r="IWY119"/>
      <c r="IWZ119"/>
      <c r="IXA119"/>
      <c r="IXB119"/>
      <c r="IXC119"/>
      <c r="IXD119"/>
      <c r="IXE119"/>
      <c r="IXF119"/>
      <c r="IXG119"/>
      <c r="IXH119"/>
      <c r="IXI119"/>
      <c r="IXJ119"/>
      <c r="IXK119"/>
      <c r="IXL119"/>
      <c r="IXM119"/>
      <c r="IXN119"/>
      <c r="IXO119"/>
      <c r="IXP119"/>
      <c r="IXQ119"/>
      <c r="IXR119"/>
      <c r="IXS119"/>
      <c r="IXT119"/>
      <c r="IXU119"/>
      <c r="IXV119"/>
      <c r="IXW119"/>
      <c r="IXX119"/>
      <c r="IXY119"/>
      <c r="IXZ119"/>
      <c r="IYA119"/>
      <c r="IYB119"/>
      <c r="IYC119"/>
      <c r="IYD119"/>
      <c r="IYE119"/>
      <c r="IYF119"/>
      <c r="IYG119"/>
      <c r="IYH119"/>
      <c r="IYI119"/>
      <c r="IYJ119"/>
      <c r="IYK119"/>
      <c r="IYL119"/>
      <c r="IYM119"/>
      <c r="IYN119"/>
      <c r="IYO119"/>
      <c r="IYP119"/>
      <c r="IYQ119"/>
      <c r="IYR119"/>
      <c r="IYS119"/>
      <c r="IYT119"/>
      <c r="IYU119"/>
      <c r="IYV119"/>
      <c r="IYW119"/>
      <c r="IYX119"/>
      <c r="IYY119"/>
      <c r="IYZ119"/>
      <c r="IZA119"/>
      <c r="IZB119"/>
      <c r="IZC119"/>
      <c r="IZD119"/>
      <c r="IZE119"/>
      <c r="IZF119"/>
      <c r="IZG119"/>
      <c r="IZH119"/>
      <c r="IZI119"/>
      <c r="IZJ119"/>
      <c r="IZK119"/>
      <c r="IZL119"/>
      <c r="IZM119"/>
      <c r="IZN119"/>
      <c r="IZO119"/>
      <c r="IZP119"/>
      <c r="IZQ119"/>
      <c r="IZR119"/>
      <c r="IZS119"/>
      <c r="IZT119"/>
      <c r="IZU119"/>
      <c r="IZV119"/>
      <c r="IZW119"/>
      <c r="IZX119"/>
      <c r="IZY119"/>
      <c r="IZZ119"/>
      <c r="JAA119"/>
      <c r="JAB119"/>
      <c r="JAC119"/>
      <c r="JAD119"/>
      <c r="JAE119"/>
      <c r="JAF119"/>
      <c r="JAG119"/>
      <c r="JAH119"/>
      <c r="JAI119"/>
      <c r="JAJ119"/>
      <c r="JAK119"/>
      <c r="JAL119"/>
      <c r="JAM119"/>
      <c r="JAN119"/>
      <c r="JAO119"/>
      <c r="JAP119"/>
      <c r="JAQ119"/>
      <c r="JAR119"/>
      <c r="JAS119"/>
      <c r="JAT119"/>
      <c r="JAU119"/>
      <c r="JAV119"/>
      <c r="JAW119"/>
      <c r="JAX119"/>
      <c r="JAY119"/>
      <c r="JAZ119"/>
      <c r="JBA119"/>
      <c r="JBB119"/>
      <c r="JBC119"/>
      <c r="JBD119"/>
      <c r="JBE119"/>
      <c r="JBF119"/>
      <c r="JBG119"/>
      <c r="JBH119"/>
      <c r="JBI119"/>
      <c r="JBJ119"/>
      <c r="JBK119"/>
      <c r="JBL119"/>
      <c r="JBM119"/>
      <c r="JBN119"/>
      <c r="JBO119"/>
      <c r="JBP119"/>
      <c r="JBQ119"/>
      <c r="JBR119"/>
      <c r="JBS119"/>
      <c r="JBT119"/>
      <c r="JBU119"/>
      <c r="JBV119"/>
      <c r="JBW119"/>
      <c r="JBX119"/>
      <c r="JBY119"/>
      <c r="JBZ119"/>
      <c r="JCA119"/>
      <c r="JCB119"/>
      <c r="JCC119"/>
      <c r="JCD119"/>
      <c r="JCE119"/>
      <c r="JCF119"/>
      <c r="JCG119"/>
      <c r="JCH119"/>
      <c r="JCI119"/>
      <c r="JCJ119"/>
      <c r="JCK119"/>
      <c r="JCL119"/>
      <c r="JCM119"/>
      <c r="JCN119"/>
      <c r="JCO119"/>
      <c r="JCP119"/>
      <c r="JCQ119"/>
      <c r="JCR119"/>
      <c r="JCS119"/>
      <c r="JCT119"/>
      <c r="JCU119"/>
      <c r="JCV119"/>
      <c r="JCW119"/>
      <c r="JCX119"/>
      <c r="JCY119"/>
      <c r="JCZ119"/>
      <c r="JDA119"/>
      <c r="JDB119"/>
      <c r="JDC119"/>
      <c r="JDD119"/>
      <c r="JDE119"/>
      <c r="JDF119"/>
      <c r="JDG119"/>
      <c r="JDH119"/>
      <c r="JDI119"/>
      <c r="JDJ119"/>
      <c r="JDK119"/>
      <c r="JDL119"/>
      <c r="JDM119"/>
      <c r="JDN119"/>
      <c r="JDO119"/>
      <c r="JDP119"/>
      <c r="JDQ119"/>
      <c r="JDR119"/>
      <c r="JDS119"/>
      <c r="JDT119"/>
      <c r="JDU119"/>
      <c r="JDV119"/>
      <c r="JDW119"/>
      <c r="JDX119"/>
      <c r="JDY119"/>
      <c r="JDZ119"/>
      <c r="JEA119"/>
      <c r="JEB119"/>
      <c r="JEC119"/>
      <c r="JED119"/>
      <c r="JEE119"/>
      <c r="JEF119"/>
      <c r="JEG119"/>
      <c r="JEH119"/>
      <c r="JEI119"/>
      <c r="JEJ119"/>
      <c r="JEK119"/>
      <c r="JEL119"/>
      <c r="JEM119"/>
      <c r="JEN119"/>
      <c r="JEO119"/>
      <c r="JEP119"/>
      <c r="JEQ119"/>
      <c r="JER119"/>
      <c r="JES119"/>
      <c r="JET119"/>
      <c r="JEU119"/>
      <c r="JEV119"/>
      <c r="JEW119"/>
      <c r="JEX119"/>
      <c r="JEY119"/>
      <c r="JEZ119"/>
      <c r="JFA119"/>
      <c r="JFB119"/>
      <c r="JFC119"/>
      <c r="JFD119"/>
      <c r="JFE119"/>
      <c r="JFF119"/>
      <c r="JFG119"/>
      <c r="JFH119"/>
      <c r="JFI119"/>
      <c r="JFJ119"/>
      <c r="JFK119"/>
      <c r="JFL119"/>
      <c r="JFM119"/>
      <c r="JFN119"/>
      <c r="JFO119"/>
      <c r="JFP119"/>
      <c r="JFQ119"/>
      <c r="JFR119"/>
      <c r="JFS119"/>
      <c r="JFT119"/>
      <c r="JFU119"/>
      <c r="JFV119"/>
      <c r="JFW119"/>
      <c r="JFX119"/>
      <c r="JFY119"/>
      <c r="JFZ119"/>
      <c r="JGA119"/>
      <c r="JGB119"/>
      <c r="JGC119"/>
      <c r="JGD119"/>
      <c r="JGE119"/>
      <c r="JGF119"/>
      <c r="JGG119"/>
      <c r="JGH119"/>
      <c r="JGI119"/>
      <c r="JGJ119"/>
      <c r="JGK119"/>
      <c r="JGL119"/>
      <c r="JGM119"/>
      <c r="JGN119"/>
      <c r="JGO119"/>
      <c r="JGP119"/>
      <c r="JGQ119"/>
      <c r="JGR119"/>
      <c r="JGS119"/>
      <c r="JGT119"/>
      <c r="JGU119"/>
      <c r="JGV119"/>
      <c r="JGW119"/>
      <c r="JGX119"/>
      <c r="JGY119"/>
      <c r="JGZ119"/>
      <c r="JHA119"/>
      <c r="JHB119"/>
      <c r="JHC119"/>
      <c r="JHD119"/>
      <c r="JHE119"/>
      <c r="JHF119"/>
      <c r="JHG119"/>
      <c r="JHH119"/>
      <c r="JHI119"/>
      <c r="JHJ119"/>
      <c r="JHK119"/>
      <c r="JHL119"/>
      <c r="JHM119"/>
      <c r="JHN119"/>
      <c r="JHO119"/>
      <c r="JHP119"/>
      <c r="JHQ119"/>
      <c r="JHR119"/>
      <c r="JHS119"/>
      <c r="JHT119"/>
      <c r="JHU119"/>
      <c r="JHV119"/>
      <c r="JHW119"/>
      <c r="JHX119"/>
      <c r="JHY119"/>
      <c r="JHZ119"/>
      <c r="JIA119"/>
      <c r="JIB119"/>
      <c r="JIC119"/>
      <c r="JID119"/>
      <c r="JIE119"/>
      <c r="JIF119"/>
      <c r="JIG119"/>
      <c r="JIH119"/>
      <c r="JII119"/>
      <c r="JIJ119"/>
      <c r="JIK119"/>
      <c r="JIL119"/>
      <c r="JIM119"/>
      <c r="JIN119"/>
      <c r="JIO119"/>
      <c r="JIP119"/>
      <c r="JIQ119"/>
      <c r="JIR119"/>
      <c r="JIS119"/>
      <c r="JIT119"/>
      <c r="JIU119"/>
      <c r="JIV119"/>
      <c r="JIW119"/>
      <c r="JIX119"/>
      <c r="JIY119"/>
      <c r="JIZ119"/>
      <c r="JJA119"/>
      <c r="JJB119"/>
      <c r="JJC119"/>
      <c r="JJD119"/>
      <c r="JJE119"/>
      <c r="JJF119"/>
      <c r="JJG119"/>
      <c r="JJH119"/>
      <c r="JJI119"/>
      <c r="JJJ119"/>
      <c r="JJK119"/>
      <c r="JJL119"/>
      <c r="JJM119"/>
      <c r="JJN119"/>
      <c r="JJO119"/>
      <c r="JJP119"/>
      <c r="JJQ119"/>
      <c r="JJR119"/>
      <c r="JJS119"/>
      <c r="JJT119"/>
      <c r="JJU119"/>
      <c r="JJV119"/>
      <c r="JJW119"/>
      <c r="JJX119"/>
      <c r="JJY119"/>
      <c r="JJZ119"/>
      <c r="JKA119"/>
      <c r="JKB119"/>
      <c r="JKC119"/>
      <c r="JKD119"/>
      <c r="JKE119"/>
      <c r="JKF119"/>
      <c r="JKG119"/>
      <c r="JKH119"/>
      <c r="JKI119"/>
      <c r="JKJ119"/>
      <c r="JKK119"/>
      <c r="JKL119"/>
      <c r="JKM119"/>
      <c r="JKN119"/>
      <c r="JKO119"/>
      <c r="JKP119"/>
      <c r="JKQ119"/>
      <c r="JKR119"/>
      <c r="JKS119"/>
      <c r="JKT119"/>
      <c r="JKU119"/>
      <c r="JKV119"/>
      <c r="JKW119"/>
      <c r="JKX119"/>
      <c r="JKY119"/>
      <c r="JKZ119"/>
      <c r="JLA119"/>
      <c r="JLB119"/>
      <c r="JLC119"/>
      <c r="JLD119"/>
      <c r="JLE119"/>
      <c r="JLF119"/>
      <c r="JLG119"/>
      <c r="JLH119"/>
      <c r="JLI119"/>
      <c r="JLJ119"/>
      <c r="JLK119"/>
      <c r="JLL119"/>
      <c r="JLM119"/>
      <c r="JLN119"/>
      <c r="JLO119"/>
      <c r="JLP119"/>
      <c r="JLQ119"/>
      <c r="JLR119"/>
      <c r="JLS119"/>
      <c r="JLT119"/>
      <c r="JLU119"/>
      <c r="JLV119"/>
      <c r="JLW119"/>
      <c r="JLX119"/>
      <c r="JLY119"/>
      <c r="JLZ119"/>
      <c r="JMA119"/>
      <c r="JMB119"/>
      <c r="JMC119"/>
      <c r="JMD119"/>
      <c r="JME119"/>
      <c r="JMF119"/>
      <c r="JMG119"/>
      <c r="JMH119"/>
      <c r="JMI119"/>
      <c r="JMJ119"/>
      <c r="JMK119"/>
      <c r="JML119"/>
      <c r="JMM119"/>
      <c r="JMN119"/>
      <c r="JMO119"/>
      <c r="JMP119"/>
      <c r="JMQ119"/>
      <c r="JMR119"/>
      <c r="JMS119"/>
      <c r="JMT119"/>
      <c r="JMU119"/>
      <c r="JMV119"/>
      <c r="JMW119"/>
      <c r="JMX119"/>
      <c r="JMY119"/>
      <c r="JMZ119"/>
      <c r="JNA119"/>
      <c r="JNB119"/>
      <c r="JNC119"/>
      <c r="JND119"/>
      <c r="JNE119"/>
      <c r="JNF119"/>
      <c r="JNG119"/>
      <c r="JNH119"/>
      <c r="JNI119"/>
      <c r="JNJ119"/>
      <c r="JNK119"/>
      <c r="JNL119"/>
      <c r="JNM119"/>
      <c r="JNN119"/>
      <c r="JNO119"/>
      <c r="JNP119"/>
      <c r="JNQ119"/>
      <c r="JNR119"/>
      <c r="JNS119"/>
      <c r="JNT119"/>
      <c r="JNU119"/>
      <c r="JNV119"/>
      <c r="JNW119"/>
      <c r="JNX119"/>
      <c r="JNY119"/>
      <c r="JNZ119"/>
      <c r="JOA119"/>
      <c r="JOB119"/>
      <c r="JOC119"/>
      <c r="JOD119"/>
      <c r="JOE119"/>
      <c r="JOF119"/>
      <c r="JOG119"/>
      <c r="JOH119"/>
      <c r="JOI119"/>
      <c r="JOJ119"/>
      <c r="JOK119"/>
      <c r="JOL119"/>
      <c r="JOM119"/>
      <c r="JON119"/>
      <c r="JOO119"/>
      <c r="JOP119"/>
      <c r="JOQ119"/>
      <c r="JOR119"/>
      <c r="JOS119"/>
      <c r="JOT119"/>
      <c r="JOU119"/>
      <c r="JOV119"/>
      <c r="JOW119"/>
      <c r="JOX119"/>
      <c r="JOY119"/>
      <c r="JOZ119"/>
      <c r="JPA119"/>
      <c r="JPB119"/>
      <c r="JPC119"/>
      <c r="JPD119"/>
      <c r="JPE119"/>
      <c r="JPF119"/>
      <c r="JPG119"/>
      <c r="JPH119"/>
      <c r="JPI119"/>
      <c r="JPJ119"/>
      <c r="JPK119"/>
      <c r="JPL119"/>
      <c r="JPM119"/>
      <c r="JPN119"/>
      <c r="JPO119"/>
      <c r="JPP119"/>
      <c r="JPQ119"/>
      <c r="JPR119"/>
      <c r="JPS119"/>
      <c r="JPT119"/>
      <c r="JPU119"/>
      <c r="JPV119"/>
      <c r="JPW119"/>
      <c r="JPX119"/>
      <c r="JPY119"/>
      <c r="JPZ119"/>
      <c r="JQA119"/>
      <c r="JQB119"/>
      <c r="JQC119"/>
      <c r="JQD119"/>
      <c r="JQE119"/>
      <c r="JQF119"/>
      <c r="JQG119"/>
      <c r="JQH119"/>
      <c r="JQI119"/>
      <c r="JQJ119"/>
      <c r="JQK119"/>
      <c r="JQL119"/>
      <c r="JQM119"/>
      <c r="JQN119"/>
      <c r="JQO119"/>
      <c r="JQP119"/>
      <c r="JQQ119"/>
      <c r="JQR119"/>
      <c r="JQS119"/>
      <c r="JQT119"/>
      <c r="JQU119"/>
      <c r="JQV119"/>
      <c r="JQW119"/>
      <c r="JQX119"/>
      <c r="JQY119"/>
      <c r="JQZ119"/>
      <c r="JRA119"/>
      <c r="JRB119"/>
      <c r="JRC119"/>
      <c r="JRD119"/>
      <c r="JRE119"/>
      <c r="JRF119"/>
      <c r="JRG119"/>
      <c r="JRH119"/>
      <c r="JRI119"/>
      <c r="JRJ119"/>
      <c r="JRK119"/>
      <c r="JRL119"/>
      <c r="JRM119"/>
      <c r="JRN119"/>
      <c r="JRO119"/>
      <c r="JRP119"/>
      <c r="JRQ119"/>
      <c r="JRR119"/>
      <c r="JRS119"/>
      <c r="JRT119"/>
      <c r="JRU119"/>
      <c r="JRV119"/>
      <c r="JRW119"/>
      <c r="JRX119"/>
      <c r="JRY119"/>
      <c r="JRZ119"/>
      <c r="JSA119"/>
      <c r="JSB119"/>
      <c r="JSC119"/>
      <c r="JSD119"/>
      <c r="JSE119"/>
      <c r="JSF119"/>
      <c r="JSG119"/>
      <c r="JSH119"/>
      <c r="JSI119"/>
      <c r="JSJ119"/>
      <c r="JSK119"/>
      <c r="JSL119"/>
      <c r="JSM119"/>
      <c r="JSN119"/>
      <c r="JSO119"/>
      <c r="JSP119"/>
      <c r="JSQ119"/>
      <c r="JSR119"/>
      <c r="JSS119"/>
      <c r="JST119"/>
      <c r="JSU119"/>
      <c r="JSV119"/>
      <c r="JSW119"/>
      <c r="JSX119"/>
      <c r="JSY119"/>
      <c r="JSZ119"/>
      <c r="JTA119"/>
      <c r="JTB119"/>
      <c r="JTC119"/>
      <c r="JTD119"/>
      <c r="JTE119"/>
      <c r="JTF119"/>
      <c r="JTG119"/>
      <c r="JTH119"/>
      <c r="JTI119"/>
      <c r="JTJ119"/>
      <c r="JTK119"/>
      <c r="JTL119"/>
      <c r="JTM119"/>
      <c r="JTN119"/>
      <c r="JTO119"/>
      <c r="JTP119"/>
      <c r="JTQ119"/>
      <c r="JTR119"/>
      <c r="JTS119"/>
      <c r="JTT119"/>
      <c r="JTU119"/>
      <c r="JTV119"/>
      <c r="JTW119"/>
      <c r="JTX119"/>
      <c r="JTY119"/>
      <c r="JTZ119"/>
      <c r="JUA119"/>
      <c r="JUB119"/>
      <c r="JUC119"/>
      <c r="JUD119"/>
      <c r="JUE119"/>
      <c r="JUF119"/>
      <c r="JUG119"/>
      <c r="JUH119"/>
      <c r="JUI119"/>
      <c r="JUJ119"/>
      <c r="JUK119"/>
      <c r="JUL119"/>
      <c r="JUM119"/>
      <c r="JUN119"/>
      <c r="JUO119"/>
      <c r="JUP119"/>
      <c r="JUQ119"/>
      <c r="JUR119"/>
      <c r="JUS119"/>
      <c r="JUT119"/>
      <c r="JUU119"/>
      <c r="JUV119"/>
      <c r="JUW119"/>
      <c r="JUX119"/>
      <c r="JUY119"/>
      <c r="JUZ119"/>
      <c r="JVA119"/>
      <c r="JVB119"/>
      <c r="JVC119"/>
      <c r="JVD119"/>
      <c r="JVE119"/>
      <c r="JVF119"/>
      <c r="JVG119"/>
      <c r="JVH119"/>
      <c r="JVI119"/>
      <c r="JVJ119"/>
      <c r="JVK119"/>
      <c r="JVL119"/>
      <c r="JVM119"/>
      <c r="JVN119"/>
      <c r="JVO119"/>
      <c r="JVP119"/>
      <c r="JVQ119"/>
      <c r="JVR119"/>
      <c r="JVS119"/>
      <c r="JVT119"/>
      <c r="JVU119"/>
      <c r="JVV119"/>
      <c r="JVW119"/>
      <c r="JVX119"/>
      <c r="JVY119"/>
      <c r="JVZ119"/>
      <c r="JWA119"/>
      <c r="JWB119"/>
      <c r="JWC119"/>
      <c r="JWD119"/>
      <c r="JWE119"/>
      <c r="JWF119"/>
      <c r="JWG119"/>
      <c r="JWH119"/>
      <c r="JWI119"/>
      <c r="JWJ119"/>
      <c r="JWK119"/>
      <c r="JWL119"/>
      <c r="JWM119"/>
      <c r="JWN119"/>
      <c r="JWO119"/>
      <c r="JWP119"/>
      <c r="JWQ119"/>
      <c r="JWR119"/>
      <c r="JWS119"/>
      <c r="JWT119"/>
      <c r="JWU119"/>
      <c r="JWV119"/>
      <c r="JWW119"/>
      <c r="JWX119"/>
      <c r="JWY119"/>
      <c r="JWZ119"/>
      <c r="JXA119"/>
      <c r="JXB119"/>
      <c r="JXC119"/>
      <c r="JXD119"/>
      <c r="JXE119"/>
      <c r="JXF119"/>
      <c r="JXG119"/>
      <c r="JXH119"/>
      <c r="JXI119"/>
      <c r="JXJ119"/>
      <c r="JXK119"/>
      <c r="JXL119"/>
      <c r="JXM119"/>
      <c r="JXN119"/>
      <c r="JXO119"/>
      <c r="JXP119"/>
      <c r="JXQ119"/>
      <c r="JXR119"/>
      <c r="JXS119"/>
      <c r="JXT119"/>
      <c r="JXU119"/>
      <c r="JXV119"/>
      <c r="JXW119"/>
      <c r="JXX119"/>
      <c r="JXY119"/>
      <c r="JXZ119"/>
      <c r="JYA119"/>
      <c r="JYB119"/>
      <c r="JYC119"/>
      <c r="JYD119"/>
      <c r="JYE119"/>
      <c r="JYF119"/>
      <c r="JYG119"/>
      <c r="JYH119"/>
      <c r="JYI119"/>
      <c r="JYJ119"/>
      <c r="JYK119"/>
      <c r="JYL119"/>
      <c r="JYM119"/>
      <c r="JYN119"/>
      <c r="JYO119"/>
      <c r="JYP119"/>
      <c r="JYQ119"/>
      <c r="JYR119"/>
      <c r="JYS119"/>
      <c r="JYT119"/>
      <c r="JYU119"/>
      <c r="JYV119"/>
      <c r="JYW119"/>
      <c r="JYX119"/>
      <c r="JYY119"/>
      <c r="JYZ119"/>
      <c r="JZA119"/>
      <c r="JZB119"/>
      <c r="JZC119"/>
      <c r="JZD119"/>
      <c r="JZE119"/>
      <c r="JZF119"/>
      <c r="JZG119"/>
      <c r="JZH119"/>
      <c r="JZI119"/>
      <c r="JZJ119"/>
      <c r="JZK119"/>
      <c r="JZL119"/>
      <c r="JZM119"/>
      <c r="JZN119"/>
      <c r="JZO119"/>
      <c r="JZP119"/>
      <c r="JZQ119"/>
      <c r="JZR119"/>
      <c r="JZS119"/>
      <c r="JZT119"/>
      <c r="JZU119"/>
      <c r="JZV119"/>
      <c r="JZW119"/>
      <c r="JZX119"/>
      <c r="JZY119"/>
      <c r="JZZ119"/>
      <c r="KAA119"/>
      <c r="KAB119"/>
      <c r="KAC119"/>
      <c r="KAD119"/>
      <c r="KAE119"/>
      <c r="KAF119"/>
      <c r="KAG119"/>
      <c r="KAH119"/>
      <c r="KAI119"/>
      <c r="KAJ119"/>
      <c r="KAK119"/>
      <c r="KAL119"/>
      <c r="KAM119"/>
      <c r="KAN119"/>
      <c r="KAO119"/>
      <c r="KAP119"/>
      <c r="KAQ119"/>
      <c r="KAR119"/>
      <c r="KAS119"/>
      <c r="KAT119"/>
      <c r="KAU119"/>
      <c r="KAV119"/>
      <c r="KAW119"/>
      <c r="KAX119"/>
      <c r="KAY119"/>
      <c r="KAZ119"/>
      <c r="KBA119"/>
      <c r="KBB119"/>
      <c r="KBC119"/>
      <c r="KBD119"/>
      <c r="KBE119"/>
      <c r="KBF119"/>
      <c r="KBG119"/>
      <c r="KBH119"/>
      <c r="KBI119"/>
      <c r="KBJ119"/>
      <c r="KBK119"/>
      <c r="KBL119"/>
      <c r="KBM119"/>
      <c r="KBN119"/>
      <c r="KBO119"/>
      <c r="KBP119"/>
      <c r="KBQ119"/>
      <c r="KBR119"/>
      <c r="KBS119"/>
      <c r="KBT119"/>
      <c r="KBU119"/>
      <c r="KBV119"/>
      <c r="KBW119"/>
      <c r="KBX119"/>
      <c r="KBY119"/>
      <c r="KBZ119"/>
      <c r="KCA119"/>
      <c r="KCB119"/>
      <c r="KCC119"/>
      <c r="KCD119"/>
      <c r="KCE119"/>
      <c r="KCF119"/>
      <c r="KCG119"/>
      <c r="KCH119"/>
      <c r="KCI119"/>
      <c r="KCJ119"/>
      <c r="KCK119"/>
      <c r="KCL119"/>
      <c r="KCM119"/>
      <c r="KCN119"/>
      <c r="KCO119"/>
      <c r="KCP119"/>
      <c r="KCQ119"/>
      <c r="KCR119"/>
      <c r="KCS119"/>
      <c r="KCT119"/>
      <c r="KCU119"/>
      <c r="KCV119"/>
      <c r="KCW119"/>
      <c r="KCX119"/>
      <c r="KCY119"/>
      <c r="KCZ119"/>
      <c r="KDA119"/>
      <c r="KDB119"/>
      <c r="KDC119"/>
      <c r="KDD119"/>
      <c r="KDE119"/>
      <c r="KDF119"/>
      <c r="KDG119"/>
      <c r="KDH119"/>
      <c r="KDI119"/>
      <c r="KDJ119"/>
      <c r="KDK119"/>
      <c r="KDL119"/>
      <c r="KDM119"/>
      <c r="KDN119"/>
      <c r="KDO119"/>
      <c r="KDP119"/>
      <c r="KDQ119"/>
      <c r="KDR119"/>
      <c r="KDS119"/>
      <c r="KDT119"/>
      <c r="KDU119"/>
      <c r="KDV119"/>
      <c r="KDW119"/>
      <c r="KDX119"/>
      <c r="KDY119"/>
      <c r="KDZ119"/>
      <c r="KEA119"/>
      <c r="KEB119"/>
      <c r="KEC119"/>
      <c r="KED119"/>
      <c r="KEE119"/>
      <c r="KEF119"/>
      <c r="KEG119"/>
      <c r="KEH119"/>
      <c r="KEI119"/>
      <c r="KEJ119"/>
      <c r="KEK119"/>
      <c r="KEL119"/>
      <c r="KEM119"/>
      <c r="KEN119"/>
      <c r="KEO119"/>
      <c r="KEP119"/>
      <c r="KEQ119"/>
      <c r="KER119"/>
      <c r="KES119"/>
      <c r="KET119"/>
      <c r="KEU119"/>
      <c r="KEV119"/>
      <c r="KEW119"/>
      <c r="KEX119"/>
      <c r="KEY119"/>
      <c r="KEZ119"/>
      <c r="KFA119"/>
      <c r="KFB119"/>
      <c r="KFC119"/>
      <c r="KFD119"/>
      <c r="KFE119"/>
      <c r="KFF119"/>
      <c r="KFG119"/>
      <c r="KFH119"/>
      <c r="KFI119"/>
      <c r="KFJ119"/>
      <c r="KFK119"/>
      <c r="KFL119"/>
      <c r="KFM119"/>
      <c r="KFN119"/>
      <c r="KFO119"/>
      <c r="KFP119"/>
      <c r="KFQ119"/>
      <c r="KFR119"/>
      <c r="KFS119"/>
      <c r="KFT119"/>
      <c r="KFU119"/>
      <c r="KFV119"/>
      <c r="KFW119"/>
      <c r="KFX119"/>
      <c r="KFY119"/>
      <c r="KFZ119"/>
      <c r="KGA119"/>
      <c r="KGB119"/>
      <c r="KGC119"/>
      <c r="KGD119"/>
      <c r="KGE119"/>
      <c r="KGF119"/>
      <c r="KGG119"/>
      <c r="KGH119"/>
      <c r="KGI119"/>
      <c r="KGJ119"/>
      <c r="KGK119"/>
      <c r="KGL119"/>
      <c r="KGM119"/>
      <c r="KGN119"/>
      <c r="KGO119"/>
      <c r="KGP119"/>
      <c r="KGQ119"/>
      <c r="KGR119"/>
      <c r="KGS119"/>
      <c r="KGT119"/>
      <c r="KGU119"/>
      <c r="KGV119"/>
      <c r="KGW119"/>
      <c r="KGX119"/>
      <c r="KGY119"/>
      <c r="KGZ119"/>
      <c r="KHA119"/>
      <c r="KHB119"/>
      <c r="KHC119"/>
      <c r="KHD119"/>
      <c r="KHE119"/>
      <c r="KHF119"/>
      <c r="KHG119"/>
      <c r="KHH119"/>
      <c r="KHI119"/>
      <c r="KHJ119"/>
      <c r="KHK119"/>
      <c r="KHL119"/>
      <c r="KHM119"/>
      <c r="KHN119"/>
      <c r="KHO119"/>
      <c r="KHP119"/>
      <c r="KHQ119"/>
      <c r="KHR119"/>
      <c r="KHS119"/>
      <c r="KHT119"/>
      <c r="KHU119"/>
      <c r="KHV119"/>
      <c r="KHW119"/>
      <c r="KHX119"/>
      <c r="KHY119"/>
      <c r="KHZ119"/>
      <c r="KIA119"/>
      <c r="KIB119"/>
      <c r="KIC119"/>
      <c r="KID119"/>
      <c r="KIE119"/>
      <c r="KIF119"/>
      <c r="KIG119"/>
      <c r="KIH119"/>
      <c r="KII119"/>
      <c r="KIJ119"/>
      <c r="KIK119"/>
      <c r="KIL119"/>
      <c r="KIM119"/>
      <c r="KIN119"/>
      <c r="KIO119"/>
      <c r="KIP119"/>
      <c r="KIQ119"/>
      <c r="KIR119"/>
      <c r="KIS119"/>
      <c r="KIT119"/>
      <c r="KIU119"/>
      <c r="KIV119"/>
      <c r="KIW119"/>
      <c r="KIX119"/>
      <c r="KIY119"/>
      <c r="KIZ119"/>
      <c r="KJA119"/>
      <c r="KJB119"/>
      <c r="KJC119"/>
      <c r="KJD119"/>
      <c r="KJE119"/>
      <c r="KJF119"/>
      <c r="KJG119"/>
      <c r="KJH119"/>
      <c r="KJI119"/>
      <c r="KJJ119"/>
      <c r="KJK119"/>
      <c r="KJL119"/>
      <c r="KJM119"/>
      <c r="KJN119"/>
      <c r="KJO119"/>
      <c r="KJP119"/>
      <c r="KJQ119"/>
      <c r="KJR119"/>
      <c r="KJS119"/>
      <c r="KJT119"/>
      <c r="KJU119"/>
      <c r="KJV119"/>
      <c r="KJW119"/>
      <c r="KJX119"/>
      <c r="KJY119"/>
      <c r="KJZ119"/>
      <c r="KKA119"/>
      <c r="KKB119"/>
      <c r="KKC119"/>
      <c r="KKD119"/>
      <c r="KKE119"/>
      <c r="KKF119"/>
      <c r="KKG119"/>
      <c r="KKH119"/>
      <c r="KKI119"/>
      <c r="KKJ119"/>
      <c r="KKK119"/>
      <c r="KKL119"/>
      <c r="KKM119"/>
      <c r="KKN119"/>
      <c r="KKO119"/>
      <c r="KKP119"/>
      <c r="KKQ119"/>
      <c r="KKR119"/>
      <c r="KKS119"/>
      <c r="KKT119"/>
      <c r="KKU119"/>
      <c r="KKV119"/>
      <c r="KKW119"/>
      <c r="KKX119"/>
      <c r="KKY119"/>
      <c r="KKZ119"/>
      <c r="KLA119"/>
      <c r="KLB119"/>
      <c r="KLC119"/>
      <c r="KLD119"/>
      <c r="KLE119"/>
      <c r="KLF119"/>
      <c r="KLG119"/>
      <c r="KLH119"/>
      <c r="KLI119"/>
      <c r="KLJ119"/>
      <c r="KLK119"/>
      <c r="KLL119"/>
      <c r="KLM119"/>
      <c r="KLN119"/>
      <c r="KLO119"/>
      <c r="KLP119"/>
      <c r="KLQ119"/>
      <c r="KLR119"/>
      <c r="KLS119"/>
      <c r="KLT119"/>
      <c r="KLU119"/>
      <c r="KLV119"/>
      <c r="KLW119"/>
      <c r="KLX119"/>
      <c r="KLY119"/>
      <c r="KLZ119"/>
      <c r="KMA119"/>
      <c r="KMB119"/>
      <c r="KMC119"/>
      <c r="KMD119"/>
      <c r="KME119"/>
      <c r="KMF119"/>
      <c r="KMG119"/>
      <c r="KMH119"/>
      <c r="KMI119"/>
      <c r="KMJ119"/>
      <c r="KMK119"/>
      <c r="KML119"/>
      <c r="KMM119"/>
      <c r="KMN119"/>
      <c r="KMO119"/>
      <c r="KMP119"/>
      <c r="KMQ119"/>
      <c r="KMR119"/>
      <c r="KMS119"/>
      <c r="KMT119"/>
      <c r="KMU119"/>
      <c r="KMV119"/>
      <c r="KMW119"/>
      <c r="KMX119"/>
      <c r="KMY119"/>
      <c r="KMZ119"/>
      <c r="KNA119"/>
      <c r="KNB119"/>
      <c r="KNC119"/>
      <c r="KND119"/>
      <c r="KNE119"/>
      <c r="KNF119"/>
      <c r="KNG119"/>
      <c r="KNH119"/>
      <c r="KNI119"/>
      <c r="KNJ119"/>
      <c r="KNK119"/>
      <c r="KNL119"/>
      <c r="KNM119"/>
      <c r="KNN119"/>
      <c r="KNO119"/>
      <c r="KNP119"/>
      <c r="KNQ119"/>
      <c r="KNR119"/>
      <c r="KNS119"/>
      <c r="KNT119"/>
      <c r="KNU119"/>
      <c r="KNV119"/>
      <c r="KNW119"/>
      <c r="KNX119"/>
      <c r="KNY119"/>
      <c r="KNZ119"/>
      <c r="KOA119"/>
      <c r="KOB119"/>
      <c r="KOC119"/>
      <c r="KOD119"/>
      <c r="KOE119"/>
      <c r="KOF119"/>
      <c r="KOG119"/>
      <c r="KOH119"/>
      <c r="KOI119"/>
      <c r="KOJ119"/>
      <c r="KOK119"/>
      <c r="KOL119"/>
      <c r="KOM119"/>
      <c r="KON119"/>
      <c r="KOO119"/>
      <c r="KOP119"/>
      <c r="KOQ119"/>
      <c r="KOR119"/>
      <c r="KOS119"/>
      <c r="KOT119"/>
      <c r="KOU119"/>
      <c r="KOV119"/>
      <c r="KOW119"/>
      <c r="KOX119"/>
      <c r="KOY119"/>
      <c r="KOZ119"/>
      <c r="KPA119"/>
      <c r="KPB119"/>
      <c r="KPC119"/>
      <c r="KPD119"/>
      <c r="KPE119"/>
      <c r="KPF119"/>
      <c r="KPG119"/>
      <c r="KPH119"/>
      <c r="KPI119"/>
      <c r="KPJ119"/>
      <c r="KPK119"/>
      <c r="KPL119"/>
      <c r="KPM119"/>
      <c r="KPN119"/>
      <c r="KPO119"/>
      <c r="KPP119"/>
      <c r="KPQ119"/>
      <c r="KPR119"/>
      <c r="KPS119"/>
      <c r="KPT119"/>
      <c r="KPU119"/>
      <c r="KPV119"/>
      <c r="KPW119"/>
      <c r="KPX119"/>
      <c r="KPY119"/>
      <c r="KPZ119"/>
      <c r="KQA119"/>
      <c r="KQB119"/>
      <c r="KQC119"/>
      <c r="KQD119"/>
      <c r="KQE119"/>
      <c r="KQF119"/>
      <c r="KQG119"/>
      <c r="KQH119"/>
      <c r="KQI119"/>
      <c r="KQJ119"/>
      <c r="KQK119"/>
      <c r="KQL119"/>
      <c r="KQM119"/>
      <c r="KQN119"/>
      <c r="KQO119"/>
      <c r="KQP119"/>
      <c r="KQQ119"/>
      <c r="KQR119"/>
      <c r="KQS119"/>
      <c r="KQT119"/>
      <c r="KQU119"/>
      <c r="KQV119"/>
      <c r="KQW119"/>
      <c r="KQX119"/>
      <c r="KQY119"/>
      <c r="KQZ119"/>
      <c r="KRA119"/>
      <c r="KRB119"/>
      <c r="KRC119"/>
      <c r="KRD119"/>
      <c r="KRE119"/>
      <c r="KRF119"/>
      <c r="KRG119"/>
      <c r="KRH119"/>
      <c r="KRI119"/>
      <c r="KRJ119"/>
      <c r="KRK119"/>
      <c r="KRL119"/>
      <c r="KRM119"/>
      <c r="KRN119"/>
      <c r="KRO119"/>
      <c r="KRP119"/>
      <c r="KRQ119"/>
      <c r="KRR119"/>
      <c r="KRS119"/>
      <c r="KRT119"/>
      <c r="KRU119"/>
      <c r="KRV119"/>
      <c r="KRW119"/>
      <c r="KRX119"/>
      <c r="KRY119"/>
      <c r="KRZ119"/>
      <c r="KSA119"/>
      <c r="KSB119"/>
      <c r="KSC119"/>
      <c r="KSD119"/>
      <c r="KSE119"/>
      <c r="KSF119"/>
      <c r="KSG119"/>
      <c r="KSH119"/>
      <c r="KSI119"/>
      <c r="KSJ119"/>
      <c r="KSK119"/>
      <c r="KSL119"/>
      <c r="KSM119"/>
      <c r="KSN119"/>
      <c r="KSO119"/>
      <c r="KSP119"/>
      <c r="KSQ119"/>
      <c r="KSR119"/>
      <c r="KSS119"/>
      <c r="KST119"/>
      <c r="KSU119"/>
      <c r="KSV119"/>
      <c r="KSW119"/>
      <c r="KSX119"/>
      <c r="KSY119"/>
      <c r="KSZ119"/>
      <c r="KTA119"/>
      <c r="KTB119"/>
      <c r="KTC119"/>
      <c r="KTD119"/>
      <c r="KTE119"/>
      <c r="KTF119"/>
      <c r="KTG119"/>
      <c r="KTH119"/>
      <c r="KTI119"/>
      <c r="KTJ119"/>
      <c r="KTK119"/>
      <c r="KTL119"/>
      <c r="KTM119"/>
      <c r="KTN119"/>
      <c r="KTO119"/>
      <c r="KTP119"/>
      <c r="KTQ119"/>
      <c r="KTR119"/>
      <c r="KTS119"/>
      <c r="KTT119"/>
      <c r="KTU119"/>
      <c r="KTV119"/>
      <c r="KTW119"/>
      <c r="KTX119"/>
      <c r="KTY119"/>
      <c r="KTZ119"/>
      <c r="KUA119"/>
      <c r="KUB119"/>
      <c r="KUC119"/>
      <c r="KUD119"/>
      <c r="KUE119"/>
      <c r="KUF119"/>
      <c r="KUG119"/>
      <c r="KUH119"/>
      <c r="KUI119"/>
      <c r="KUJ119"/>
      <c r="KUK119"/>
      <c r="KUL119"/>
      <c r="KUM119"/>
      <c r="KUN119"/>
      <c r="KUO119"/>
      <c r="KUP119"/>
      <c r="KUQ119"/>
      <c r="KUR119"/>
      <c r="KUS119"/>
      <c r="KUT119"/>
      <c r="KUU119"/>
      <c r="KUV119"/>
      <c r="KUW119"/>
      <c r="KUX119"/>
      <c r="KUY119"/>
      <c r="KUZ119"/>
      <c r="KVA119"/>
      <c r="KVB119"/>
      <c r="KVC119"/>
      <c r="KVD119"/>
      <c r="KVE119"/>
      <c r="KVF119"/>
      <c r="KVG119"/>
      <c r="KVH119"/>
      <c r="KVI119"/>
      <c r="KVJ119"/>
      <c r="KVK119"/>
      <c r="KVL119"/>
      <c r="KVM119"/>
      <c r="KVN119"/>
      <c r="KVO119"/>
      <c r="KVP119"/>
      <c r="KVQ119"/>
      <c r="KVR119"/>
      <c r="KVS119"/>
      <c r="KVT119"/>
      <c r="KVU119"/>
      <c r="KVV119"/>
      <c r="KVW119"/>
      <c r="KVX119"/>
      <c r="KVY119"/>
      <c r="KVZ119"/>
      <c r="KWA119"/>
      <c r="KWB119"/>
      <c r="KWC119"/>
      <c r="KWD119"/>
      <c r="KWE119"/>
      <c r="KWF119"/>
      <c r="KWG119"/>
      <c r="KWH119"/>
      <c r="KWI119"/>
      <c r="KWJ119"/>
      <c r="KWK119"/>
      <c r="KWL119"/>
      <c r="KWM119"/>
      <c r="KWN119"/>
      <c r="KWO119"/>
      <c r="KWP119"/>
      <c r="KWQ119"/>
      <c r="KWR119"/>
      <c r="KWS119"/>
      <c r="KWT119"/>
      <c r="KWU119"/>
      <c r="KWV119"/>
      <c r="KWW119"/>
      <c r="KWX119"/>
      <c r="KWY119"/>
      <c r="KWZ119"/>
      <c r="KXA119"/>
      <c r="KXB119"/>
      <c r="KXC119"/>
      <c r="KXD119"/>
      <c r="KXE119"/>
      <c r="KXF119"/>
      <c r="KXG119"/>
      <c r="KXH119"/>
      <c r="KXI119"/>
      <c r="KXJ119"/>
      <c r="KXK119"/>
      <c r="KXL119"/>
      <c r="KXM119"/>
      <c r="KXN119"/>
      <c r="KXO119"/>
      <c r="KXP119"/>
      <c r="KXQ119"/>
      <c r="KXR119"/>
      <c r="KXS119"/>
      <c r="KXT119"/>
      <c r="KXU119"/>
      <c r="KXV119"/>
      <c r="KXW119"/>
      <c r="KXX119"/>
      <c r="KXY119"/>
      <c r="KXZ119"/>
      <c r="KYA119"/>
      <c r="KYB119"/>
      <c r="KYC119"/>
      <c r="KYD119"/>
      <c r="KYE119"/>
      <c r="KYF119"/>
      <c r="KYG119"/>
      <c r="KYH119"/>
      <c r="KYI119"/>
      <c r="KYJ119"/>
      <c r="KYK119"/>
      <c r="KYL119"/>
      <c r="KYM119"/>
      <c r="KYN119"/>
      <c r="KYO119"/>
      <c r="KYP119"/>
      <c r="KYQ119"/>
      <c r="KYR119"/>
      <c r="KYS119"/>
      <c r="KYT119"/>
      <c r="KYU119"/>
      <c r="KYV119"/>
      <c r="KYW119"/>
      <c r="KYX119"/>
      <c r="KYY119"/>
      <c r="KYZ119"/>
      <c r="KZA119"/>
      <c r="KZB119"/>
      <c r="KZC119"/>
      <c r="KZD119"/>
      <c r="KZE119"/>
      <c r="KZF119"/>
      <c r="KZG119"/>
      <c r="KZH119"/>
      <c r="KZI119"/>
      <c r="KZJ119"/>
      <c r="KZK119"/>
      <c r="KZL119"/>
      <c r="KZM119"/>
      <c r="KZN119"/>
      <c r="KZO119"/>
      <c r="KZP119"/>
      <c r="KZQ119"/>
      <c r="KZR119"/>
      <c r="KZS119"/>
      <c r="KZT119"/>
      <c r="KZU119"/>
      <c r="KZV119"/>
      <c r="KZW119"/>
      <c r="KZX119"/>
      <c r="KZY119"/>
      <c r="KZZ119"/>
      <c r="LAA119"/>
      <c r="LAB119"/>
      <c r="LAC119"/>
      <c r="LAD119"/>
      <c r="LAE119"/>
      <c r="LAF119"/>
      <c r="LAG119"/>
      <c r="LAH119"/>
      <c r="LAI119"/>
      <c r="LAJ119"/>
      <c r="LAK119"/>
      <c r="LAL119"/>
      <c r="LAM119"/>
      <c r="LAN119"/>
      <c r="LAO119"/>
      <c r="LAP119"/>
      <c r="LAQ119"/>
      <c r="LAR119"/>
      <c r="LAS119"/>
      <c r="LAT119"/>
      <c r="LAU119"/>
      <c r="LAV119"/>
      <c r="LAW119"/>
      <c r="LAX119"/>
      <c r="LAY119"/>
      <c r="LAZ119"/>
      <c r="LBA119"/>
      <c r="LBB119"/>
      <c r="LBC119"/>
      <c r="LBD119"/>
      <c r="LBE119"/>
      <c r="LBF119"/>
      <c r="LBG119"/>
      <c r="LBH119"/>
      <c r="LBI119"/>
      <c r="LBJ119"/>
      <c r="LBK119"/>
      <c r="LBL119"/>
      <c r="LBM119"/>
      <c r="LBN119"/>
      <c r="LBO119"/>
      <c r="LBP119"/>
      <c r="LBQ119"/>
      <c r="LBR119"/>
      <c r="LBS119"/>
      <c r="LBT119"/>
      <c r="LBU119"/>
      <c r="LBV119"/>
      <c r="LBW119"/>
      <c r="LBX119"/>
      <c r="LBY119"/>
      <c r="LBZ119"/>
      <c r="LCA119"/>
      <c r="LCB119"/>
      <c r="LCC119"/>
      <c r="LCD119"/>
      <c r="LCE119"/>
      <c r="LCF119"/>
      <c r="LCG119"/>
      <c r="LCH119"/>
      <c r="LCI119"/>
      <c r="LCJ119"/>
      <c r="LCK119"/>
      <c r="LCL119"/>
      <c r="LCM119"/>
      <c r="LCN119"/>
      <c r="LCO119"/>
      <c r="LCP119"/>
      <c r="LCQ119"/>
      <c r="LCR119"/>
      <c r="LCS119"/>
      <c r="LCT119"/>
      <c r="LCU119"/>
      <c r="LCV119"/>
      <c r="LCW119"/>
      <c r="LCX119"/>
      <c r="LCY119"/>
      <c r="LCZ119"/>
      <c r="LDA119"/>
      <c r="LDB119"/>
      <c r="LDC119"/>
      <c r="LDD119"/>
      <c r="LDE119"/>
      <c r="LDF119"/>
      <c r="LDG119"/>
      <c r="LDH119"/>
      <c r="LDI119"/>
      <c r="LDJ119"/>
      <c r="LDK119"/>
      <c r="LDL119"/>
      <c r="LDM119"/>
      <c r="LDN119"/>
      <c r="LDO119"/>
      <c r="LDP119"/>
      <c r="LDQ119"/>
      <c r="LDR119"/>
      <c r="LDS119"/>
      <c r="LDT119"/>
      <c r="LDU119"/>
      <c r="LDV119"/>
      <c r="LDW119"/>
      <c r="LDX119"/>
      <c r="LDY119"/>
      <c r="LDZ119"/>
      <c r="LEA119"/>
      <c r="LEB119"/>
      <c r="LEC119"/>
      <c r="LED119"/>
      <c r="LEE119"/>
      <c r="LEF119"/>
      <c r="LEG119"/>
      <c r="LEH119"/>
      <c r="LEI119"/>
      <c r="LEJ119"/>
      <c r="LEK119"/>
      <c r="LEL119"/>
      <c r="LEM119"/>
      <c r="LEN119"/>
      <c r="LEO119"/>
      <c r="LEP119"/>
      <c r="LEQ119"/>
      <c r="LER119"/>
      <c r="LES119"/>
      <c r="LET119"/>
      <c r="LEU119"/>
      <c r="LEV119"/>
      <c r="LEW119"/>
      <c r="LEX119"/>
      <c r="LEY119"/>
      <c r="LEZ119"/>
      <c r="LFA119"/>
      <c r="LFB119"/>
      <c r="LFC119"/>
      <c r="LFD119"/>
      <c r="LFE119"/>
      <c r="LFF119"/>
      <c r="LFG119"/>
      <c r="LFH119"/>
      <c r="LFI119"/>
      <c r="LFJ119"/>
      <c r="LFK119"/>
      <c r="LFL119"/>
      <c r="LFM119"/>
      <c r="LFN119"/>
      <c r="LFO119"/>
      <c r="LFP119"/>
      <c r="LFQ119"/>
      <c r="LFR119"/>
      <c r="LFS119"/>
      <c r="LFT119"/>
      <c r="LFU119"/>
      <c r="LFV119"/>
      <c r="LFW119"/>
      <c r="LFX119"/>
      <c r="LFY119"/>
      <c r="LFZ119"/>
      <c r="LGA119"/>
      <c r="LGB119"/>
      <c r="LGC119"/>
      <c r="LGD119"/>
      <c r="LGE119"/>
      <c r="LGF119"/>
      <c r="LGG119"/>
      <c r="LGH119"/>
      <c r="LGI119"/>
      <c r="LGJ119"/>
      <c r="LGK119"/>
      <c r="LGL119"/>
      <c r="LGM119"/>
      <c r="LGN119"/>
      <c r="LGO119"/>
      <c r="LGP119"/>
      <c r="LGQ119"/>
      <c r="LGR119"/>
      <c r="LGS119"/>
      <c r="LGT119"/>
      <c r="LGU119"/>
      <c r="LGV119"/>
      <c r="LGW119"/>
      <c r="LGX119"/>
      <c r="LGY119"/>
      <c r="LGZ119"/>
      <c r="LHA119"/>
      <c r="LHB119"/>
      <c r="LHC119"/>
      <c r="LHD119"/>
      <c r="LHE119"/>
      <c r="LHF119"/>
      <c r="LHG119"/>
      <c r="LHH119"/>
      <c r="LHI119"/>
      <c r="LHJ119"/>
      <c r="LHK119"/>
      <c r="LHL119"/>
      <c r="LHM119"/>
      <c r="LHN119"/>
      <c r="LHO119"/>
      <c r="LHP119"/>
      <c r="LHQ119"/>
      <c r="LHR119"/>
      <c r="LHS119"/>
      <c r="LHT119"/>
      <c r="LHU119"/>
      <c r="LHV119"/>
      <c r="LHW119"/>
      <c r="LHX119"/>
      <c r="LHY119"/>
      <c r="LHZ119"/>
      <c r="LIA119"/>
      <c r="LIB119"/>
      <c r="LIC119"/>
      <c r="LID119"/>
      <c r="LIE119"/>
      <c r="LIF119"/>
      <c r="LIG119"/>
      <c r="LIH119"/>
      <c r="LII119"/>
      <c r="LIJ119"/>
      <c r="LIK119"/>
      <c r="LIL119"/>
      <c r="LIM119"/>
      <c r="LIN119"/>
      <c r="LIO119"/>
      <c r="LIP119"/>
      <c r="LIQ119"/>
      <c r="LIR119"/>
      <c r="LIS119"/>
      <c r="LIT119"/>
      <c r="LIU119"/>
      <c r="LIV119"/>
      <c r="LIW119"/>
      <c r="LIX119"/>
      <c r="LIY119"/>
      <c r="LIZ119"/>
      <c r="LJA119"/>
      <c r="LJB119"/>
      <c r="LJC119"/>
      <c r="LJD119"/>
      <c r="LJE119"/>
      <c r="LJF119"/>
      <c r="LJG119"/>
      <c r="LJH119"/>
      <c r="LJI119"/>
      <c r="LJJ119"/>
      <c r="LJK119"/>
      <c r="LJL119"/>
      <c r="LJM119"/>
      <c r="LJN119"/>
      <c r="LJO119"/>
      <c r="LJP119"/>
      <c r="LJQ119"/>
      <c r="LJR119"/>
      <c r="LJS119"/>
      <c r="LJT119"/>
      <c r="LJU119"/>
      <c r="LJV119"/>
      <c r="LJW119"/>
      <c r="LJX119"/>
      <c r="LJY119"/>
      <c r="LJZ119"/>
      <c r="LKA119"/>
      <c r="LKB119"/>
      <c r="LKC119"/>
      <c r="LKD119"/>
      <c r="LKE119"/>
      <c r="LKF119"/>
      <c r="LKG119"/>
      <c r="LKH119"/>
      <c r="LKI119"/>
      <c r="LKJ119"/>
      <c r="LKK119"/>
      <c r="LKL119"/>
      <c r="LKM119"/>
      <c r="LKN119"/>
      <c r="LKO119"/>
      <c r="LKP119"/>
      <c r="LKQ119"/>
      <c r="LKR119"/>
      <c r="LKS119"/>
      <c r="LKT119"/>
      <c r="LKU119"/>
      <c r="LKV119"/>
      <c r="LKW119"/>
      <c r="LKX119"/>
      <c r="LKY119"/>
      <c r="LKZ119"/>
      <c r="LLA119"/>
      <c r="LLB119"/>
      <c r="LLC119"/>
      <c r="LLD119"/>
      <c r="LLE119"/>
      <c r="LLF119"/>
      <c r="LLG119"/>
      <c r="LLH119"/>
      <c r="LLI119"/>
      <c r="LLJ119"/>
      <c r="LLK119"/>
      <c r="LLL119"/>
      <c r="LLM119"/>
      <c r="LLN119"/>
      <c r="LLO119"/>
      <c r="LLP119"/>
      <c r="LLQ119"/>
      <c r="LLR119"/>
      <c r="LLS119"/>
      <c r="LLT119"/>
      <c r="LLU119"/>
      <c r="LLV119"/>
      <c r="LLW119"/>
      <c r="LLX119"/>
      <c r="LLY119"/>
      <c r="LLZ119"/>
      <c r="LMA119"/>
      <c r="LMB119"/>
      <c r="LMC119"/>
      <c r="LMD119"/>
      <c r="LME119"/>
      <c r="LMF119"/>
      <c r="LMG119"/>
      <c r="LMH119"/>
      <c r="LMI119"/>
      <c r="LMJ119"/>
      <c r="LMK119"/>
      <c r="LML119"/>
      <c r="LMM119"/>
      <c r="LMN119"/>
      <c r="LMO119"/>
      <c r="LMP119"/>
      <c r="LMQ119"/>
      <c r="LMR119"/>
      <c r="LMS119"/>
      <c r="LMT119"/>
      <c r="LMU119"/>
      <c r="LMV119"/>
      <c r="LMW119"/>
      <c r="LMX119"/>
      <c r="LMY119"/>
      <c r="LMZ119"/>
      <c r="LNA119"/>
      <c r="LNB119"/>
      <c r="LNC119"/>
      <c r="LND119"/>
      <c r="LNE119"/>
      <c r="LNF119"/>
      <c r="LNG119"/>
      <c r="LNH119"/>
      <c r="LNI119"/>
      <c r="LNJ119"/>
      <c r="LNK119"/>
      <c r="LNL119"/>
      <c r="LNM119"/>
      <c r="LNN119"/>
      <c r="LNO119"/>
      <c r="LNP119"/>
      <c r="LNQ119"/>
      <c r="LNR119"/>
      <c r="LNS119"/>
      <c r="LNT119"/>
      <c r="LNU119"/>
      <c r="LNV119"/>
      <c r="LNW119"/>
      <c r="LNX119"/>
      <c r="LNY119"/>
      <c r="LNZ119"/>
      <c r="LOA119"/>
      <c r="LOB119"/>
      <c r="LOC119"/>
      <c r="LOD119"/>
      <c r="LOE119"/>
      <c r="LOF119"/>
      <c r="LOG119"/>
      <c r="LOH119"/>
      <c r="LOI119"/>
      <c r="LOJ119"/>
      <c r="LOK119"/>
      <c r="LOL119"/>
      <c r="LOM119"/>
      <c r="LON119"/>
      <c r="LOO119"/>
      <c r="LOP119"/>
      <c r="LOQ119"/>
      <c r="LOR119"/>
      <c r="LOS119"/>
      <c r="LOT119"/>
      <c r="LOU119"/>
      <c r="LOV119"/>
      <c r="LOW119"/>
      <c r="LOX119"/>
      <c r="LOY119"/>
      <c r="LOZ119"/>
      <c r="LPA119"/>
      <c r="LPB119"/>
      <c r="LPC119"/>
      <c r="LPD119"/>
      <c r="LPE119"/>
      <c r="LPF119"/>
      <c r="LPG119"/>
      <c r="LPH119"/>
      <c r="LPI119"/>
      <c r="LPJ119"/>
      <c r="LPK119"/>
      <c r="LPL119"/>
      <c r="LPM119"/>
      <c r="LPN119"/>
      <c r="LPO119"/>
      <c r="LPP119"/>
      <c r="LPQ119"/>
      <c r="LPR119"/>
      <c r="LPS119"/>
      <c r="LPT119"/>
      <c r="LPU119"/>
      <c r="LPV119"/>
      <c r="LPW119"/>
      <c r="LPX119"/>
      <c r="LPY119"/>
      <c r="LPZ119"/>
      <c r="LQA119"/>
      <c r="LQB119"/>
      <c r="LQC119"/>
      <c r="LQD119"/>
      <c r="LQE119"/>
      <c r="LQF119"/>
      <c r="LQG119"/>
      <c r="LQH119"/>
      <c r="LQI119"/>
      <c r="LQJ119"/>
      <c r="LQK119"/>
      <c r="LQL119"/>
      <c r="LQM119"/>
      <c r="LQN119"/>
      <c r="LQO119"/>
      <c r="LQP119"/>
      <c r="LQQ119"/>
      <c r="LQR119"/>
      <c r="LQS119"/>
      <c r="LQT119"/>
      <c r="LQU119"/>
      <c r="LQV119"/>
      <c r="LQW119"/>
      <c r="LQX119"/>
      <c r="LQY119"/>
      <c r="LQZ119"/>
      <c r="LRA119"/>
      <c r="LRB119"/>
      <c r="LRC119"/>
      <c r="LRD119"/>
      <c r="LRE119"/>
      <c r="LRF119"/>
      <c r="LRG119"/>
      <c r="LRH119"/>
      <c r="LRI119"/>
      <c r="LRJ119"/>
      <c r="LRK119"/>
      <c r="LRL119"/>
      <c r="LRM119"/>
      <c r="LRN119"/>
      <c r="LRO119"/>
      <c r="LRP119"/>
      <c r="LRQ119"/>
      <c r="LRR119"/>
      <c r="LRS119"/>
      <c r="LRT119"/>
      <c r="LRU119"/>
      <c r="LRV119"/>
      <c r="LRW119"/>
      <c r="LRX119"/>
      <c r="LRY119"/>
      <c r="LRZ119"/>
      <c r="LSA119"/>
      <c r="LSB119"/>
      <c r="LSC119"/>
      <c r="LSD119"/>
      <c r="LSE119"/>
      <c r="LSF119"/>
      <c r="LSG119"/>
      <c r="LSH119"/>
      <c r="LSI119"/>
      <c r="LSJ119"/>
      <c r="LSK119"/>
      <c r="LSL119"/>
      <c r="LSM119"/>
      <c r="LSN119"/>
      <c r="LSO119"/>
      <c r="LSP119"/>
      <c r="LSQ119"/>
      <c r="LSR119"/>
      <c r="LSS119"/>
      <c r="LST119"/>
      <c r="LSU119"/>
      <c r="LSV119"/>
      <c r="LSW119"/>
      <c r="LSX119"/>
      <c r="LSY119"/>
      <c r="LSZ119"/>
      <c r="LTA119"/>
      <c r="LTB119"/>
      <c r="LTC119"/>
      <c r="LTD119"/>
      <c r="LTE119"/>
      <c r="LTF119"/>
      <c r="LTG119"/>
      <c r="LTH119"/>
      <c r="LTI119"/>
      <c r="LTJ119"/>
      <c r="LTK119"/>
      <c r="LTL119"/>
      <c r="LTM119"/>
      <c r="LTN119"/>
      <c r="LTO119"/>
      <c r="LTP119"/>
      <c r="LTQ119"/>
      <c r="LTR119"/>
      <c r="LTS119"/>
      <c r="LTT119"/>
      <c r="LTU119"/>
      <c r="LTV119"/>
      <c r="LTW119"/>
      <c r="LTX119"/>
      <c r="LTY119"/>
      <c r="LTZ119"/>
      <c r="LUA119"/>
      <c r="LUB119"/>
      <c r="LUC119"/>
      <c r="LUD119"/>
      <c r="LUE119"/>
      <c r="LUF119"/>
      <c r="LUG119"/>
      <c r="LUH119"/>
      <c r="LUI119"/>
      <c r="LUJ119"/>
      <c r="LUK119"/>
      <c r="LUL119"/>
      <c r="LUM119"/>
      <c r="LUN119"/>
      <c r="LUO119"/>
      <c r="LUP119"/>
      <c r="LUQ119"/>
      <c r="LUR119"/>
      <c r="LUS119"/>
      <c r="LUT119"/>
      <c r="LUU119"/>
      <c r="LUV119"/>
      <c r="LUW119"/>
      <c r="LUX119"/>
      <c r="LUY119"/>
      <c r="LUZ119"/>
      <c r="LVA119"/>
      <c r="LVB119"/>
      <c r="LVC119"/>
      <c r="LVD119"/>
      <c r="LVE119"/>
      <c r="LVF119"/>
      <c r="LVG119"/>
      <c r="LVH119"/>
      <c r="LVI119"/>
      <c r="LVJ119"/>
      <c r="LVK119"/>
      <c r="LVL119"/>
      <c r="LVM119"/>
      <c r="LVN119"/>
      <c r="LVO119"/>
      <c r="LVP119"/>
      <c r="LVQ119"/>
      <c r="LVR119"/>
      <c r="LVS119"/>
      <c r="LVT119"/>
      <c r="LVU119"/>
      <c r="LVV119"/>
      <c r="LVW119"/>
      <c r="LVX119"/>
      <c r="LVY119"/>
      <c r="LVZ119"/>
      <c r="LWA119"/>
      <c r="LWB119"/>
      <c r="LWC119"/>
      <c r="LWD119"/>
      <c r="LWE119"/>
      <c r="LWF119"/>
      <c r="LWG119"/>
      <c r="LWH119"/>
      <c r="LWI119"/>
      <c r="LWJ119"/>
      <c r="LWK119"/>
      <c r="LWL119"/>
      <c r="LWM119"/>
      <c r="LWN119"/>
      <c r="LWO119"/>
      <c r="LWP119"/>
      <c r="LWQ119"/>
      <c r="LWR119"/>
      <c r="LWS119"/>
      <c r="LWT119"/>
      <c r="LWU119"/>
      <c r="LWV119"/>
      <c r="LWW119"/>
      <c r="LWX119"/>
      <c r="LWY119"/>
      <c r="LWZ119"/>
      <c r="LXA119"/>
      <c r="LXB119"/>
      <c r="LXC119"/>
      <c r="LXD119"/>
      <c r="LXE119"/>
      <c r="LXF119"/>
      <c r="LXG119"/>
      <c r="LXH119"/>
      <c r="LXI119"/>
      <c r="LXJ119"/>
      <c r="LXK119"/>
      <c r="LXL119"/>
      <c r="LXM119"/>
      <c r="LXN119"/>
      <c r="LXO119"/>
      <c r="LXP119"/>
      <c r="LXQ119"/>
      <c r="LXR119"/>
      <c r="LXS119"/>
      <c r="LXT119"/>
      <c r="LXU119"/>
      <c r="LXV119"/>
      <c r="LXW119"/>
      <c r="LXX119"/>
      <c r="LXY119"/>
      <c r="LXZ119"/>
      <c r="LYA119"/>
      <c r="LYB119"/>
      <c r="LYC119"/>
      <c r="LYD119"/>
      <c r="LYE119"/>
      <c r="LYF119"/>
      <c r="LYG119"/>
      <c r="LYH119"/>
      <c r="LYI119"/>
      <c r="LYJ119"/>
      <c r="LYK119"/>
      <c r="LYL119"/>
      <c r="LYM119"/>
      <c r="LYN119"/>
      <c r="LYO119"/>
      <c r="LYP119"/>
      <c r="LYQ119"/>
      <c r="LYR119"/>
      <c r="LYS119"/>
      <c r="LYT119"/>
      <c r="LYU119"/>
      <c r="LYV119"/>
      <c r="LYW119"/>
      <c r="LYX119"/>
      <c r="LYY119"/>
      <c r="LYZ119"/>
      <c r="LZA119"/>
      <c r="LZB119"/>
      <c r="LZC119"/>
      <c r="LZD119"/>
      <c r="LZE119"/>
      <c r="LZF119"/>
      <c r="LZG119"/>
      <c r="LZH119"/>
      <c r="LZI119"/>
      <c r="LZJ119"/>
      <c r="LZK119"/>
      <c r="LZL119"/>
      <c r="LZM119"/>
      <c r="LZN119"/>
      <c r="LZO119"/>
      <c r="LZP119"/>
      <c r="LZQ119"/>
      <c r="LZR119"/>
      <c r="LZS119"/>
      <c r="LZT119"/>
      <c r="LZU119"/>
      <c r="LZV119"/>
      <c r="LZW119"/>
      <c r="LZX119"/>
      <c r="LZY119"/>
      <c r="LZZ119"/>
      <c r="MAA119"/>
      <c r="MAB119"/>
      <c r="MAC119"/>
      <c r="MAD119"/>
      <c r="MAE119"/>
      <c r="MAF119"/>
      <c r="MAG119"/>
      <c r="MAH119"/>
      <c r="MAI119"/>
      <c r="MAJ119"/>
      <c r="MAK119"/>
      <c r="MAL119"/>
      <c r="MAM119"/>
      <c r="MAN119"/>
      <c r="MAO119"/>
      <c r="MAP119"/>
      <c r="MAQ119"/>
      <c r="MAR119"/>
      <c r="MAS119"/>
      <c r="MAT119"/>
      <c r="MAU119"/>
      <c r="MAV119"/>
      <c r="MAW119"/>
      <c r="MAX119"/>
      <c r="MAY119"/>
      <c r="MAZ119"/>
      <c r="MBA119"/>
      <c r="MBB119"/>
      <c r="MBC119"/>
      <c r="MBD119"/>
      <c r="MBE119"/>
      <c r="MBF119"/>
      <c r="MBG119"/>
      <c r="MBH119"/>
      <c r="MBI119"/>
      <c r="MBJ119"/>
      <c r="MBK119"/>
      <c r="MBL119"/>
      <c r="MBM119"/>
      <c r="MBN119"/>
      <c r="MBO119"/>
      <c r="MBP119"/>
      <c r="MBQ119"/>
      <c r="MBR119"/>
      <c r="MBS119"/>
      <c r="MBT119"/>
      <c r="MBU119"/>
      <c r="MBV119"/>
      <c r="MBW119"/>
      <c r="MBX119"/>
      <c r="MBY119"/>
      <c r="MBZ119"/>
      <c r="MCA119"/>
      <c r="MCB119"/>
      <c r="MCC119"/>
      <c r="MCD119"/>
      <c r="MCE119"/>
      <c r="MCF119"/>
      <c r="MCG119"/>
      <c r="MCH119"/>
      <c r="MCI119"/>
      <c r="MCJ119"/>
      <c r="MCK119"/>
      <c r="MCL119"/>
      <c r="MCM119"/>
      <c r="MCN119"/>
      <c r="MCO119"/>
      <c r="MCP119"/>
      <c r="MCQ119"/>
      <c r="MCR119"/>
      <c r="MCS119"/>
      <c r="MCT119"/>
      <c r="MCU119"/>
      <c r="MCV119"/>
      <c r="MCW119"/>
      <c r="MCX119"/>
      <c r="MCY119"/>
      <c r="MCZ119"/>
      <c r="MDA119"/>
      <c r="MDB119"/>
      <c r="MDC119"/>
      <c r="MDD119"/>
      <c r="MDE119"/>
      <c r="MDF119"/>
      <c r="MDG119"/>
      <c r="MDH119"/>
      <c r="MDI119"/>
      <c r="MDJ119"/>
      <c r="MDK119"/>
      <c r="MDL119"/>
      <c r="MDM119"/>
      <c r="MDN119"/>
      <c r="MDO119"/>
      <c r="MDP119"/>
      <c r="MDQ119"/>
      <c r="MDR119"/>
      <c r="MDS119"/>
      <c r="MDT119"/>
      <c r="MDU119"/>
      <c r="MDV119"/>
      <c r="MDW119"/>
      <c r="MDX119"/>
      <c r="MDY119"/>
      <c r="MDZ119"/>
      <c r="MEA119"/>
      <c r="MEB119"/>
      <c r="MEC119"/>
      <c r="MED119"/>
      <c r="MEE119"/>
      <c r="MEF119"/>
      <c r="MEG119"/>
      <c r="MEH119"/>
      <c r="MEI119"/>
      <c r="MEJ119"/>
      <c r="MEK119"/>
      <c r="MEL119"/>
      <c r="MEM119"/>
      <c r="MEN119"/>
      <c r="MEO119"/>
      <c r="MEP119"/>
      <c r="MEQ119"/>
      <c r="MER119"/>
      <c r="MES119"/>
      <c r="MET119"/>
      <c r="MEU119"/>
      <c r="MEV119"/>
      <c r="MEW119"/>
      <c r="MEX119"/>
      <c r="MEY119"/>
      <c r="MEZ119"/>
      <c r="MFA119"/>
      <c r="MFB119"/>
      <c r="MFC119"/>
      <c r="MFD119"/>
      <c r="MFE119"/>
      <c r="MFF119"/>
      <c r="MFG119"/>
      <c r="MFH119"/>
      <c r="MFI119"/>
      <c r="MFJ119"/>
      <c r="MFK119"/>
      <c r="MFL119"/>
      <c r="MFM119"/>
      <c r="MFN119"/>
      <c r="MFO119"/>
      <c r="MFP119"/>
      <c r="MFQ119"/>
      <c r="MFR119"/>
      <c r="MFS119"/>
      <c r="MFT119"/>
      <c r="MFU119"/>
      <c r="MFV119"/>
      <c r="MFW119"/>
      <c r="MFX119"/>
      <c r="MFY119"/>
      <c r="MFZ119"/>
      <c r="MGA119"/>
      <c r="MGB119"/>
      <c r="MGC119"/>
      <c r="MGD119"/>
      <c r="MGE119"/>
      <c r="MGF119"/>
      <c r="MGG119"/>
      <c r="MGH119"/>
      <c r="MGI119"/>
      <c r="MGJ119"/>
      <c r="MGK119"/>
      <c r="MGL119"/>
      <c r="MGM119"/>
      <c r="MGN119"/>
      <c r="MGO119"/>
      <c r="MGP119"/>
      <c r="MGQ119"/>
      <c r="MGR119"/>
      <c r="MGS119"/>
      <c r="MGT119"/>
      <c r="MGU119"/>
      <c r="MGV119"/>
      <c r="MGW119"/>
      <c r="MGX119"/>
      <c r="MGY119"/>
      <c r="MGZ119"/>
      <c r="MHA119"/>
      <c r="MHB119"/>
      <c r="MHC119"/>
      <c r="MHD119"/>
      <c r="MHE119"/>
      <c r="MHF119"/>
      <c r="MHG119"/>
      <c r="MHH119"/>
      <c r="MHI119"/>
      <c r="MHJ119"/>
      <c r="MHK119"/>
      <c r="MHL119"/>
      <c r="MHM119"/>
      <c r="MHN119"/>
      <c r="MHO119"/>
      <c r="MHP119"/>
      <c r="MHQ119"/>
      <c r="MHR119"/>
      <c r="MHS119"/>
      <c r="MHT119"/>
      <c r="MHU119"/>
      <c r="MHV119"/>
      <c r="MHW119"/>
      <c r="MHX119"/>
      <c r="MHY119"/>
      <c r="MHZ119"/>
      <c r="MIA119"/>
      <c r="MIB119"/>
      <c r="MIC119"/>
      <c r="MID119"/>
      <c r="MIE119"/>
      <c r="MIF119"/>
      <c r="MIG119"/>
      <c r="MIH119"/>
      <c r="MII119"/>
      <c r="MIJ119"/>
      <c r="MIK119"/>
      <c r="MIL119"/>
      <c r="MIM119"/>
      <c r="MIN119"/>
      <c r="MIO119"/>
      <c r="MIP119"/>
      <c r="MIQ119"/>
      <c r="MIR119"/>
      <c r="MIS119"/>
      <c r="MIT119"/>
      <c r="MIU119"/>
      <c r="MIV119"/>
      <c r="MIW119"/>
      <c r="MIX119"/>
      <c r="MIY119"/>
      <c r="MIZ119"/>
      <c r="MJA119"/>
      <c r="MJB119"/>
      <c r="MJC119"/>
      <c r="MJD119"/>
      <c r="MJE119"/>
      <c r="MJF119"/>
      <c r="MJG119"/>
      <c r="MJH119"/>
      <c r="MJI119"/>
      <c r="MJJ119"/>
      <c r="MJK119"/>
      <c r="MJL119"/>
      <c r="MJM119"/>
      <c r="MJN119"/>
      <c r="MJO119"/>
      <c r="MJP119"/>
      <c r="MJQ119"/>
      <c r="MJR119"/>
      <c r="MJS119"/>
      <c r="MJT119"/>
      <c r="MJU119"/>
      <c r="MJV119"/>
      <c r="MJW119"/>
      <c r="MJX119"/>
      <c r="MJY119"/>
      <c r="MJZ119"/>
      <c r="MKA119"/>
      <c r="MKB119"/>
      <c r="MKC119"/>
      <c r="MKD119"/>
      <c r="MKE119"/>
      <c r="MKF119"/>
      <c r="MKG119"/>
      <c r="MKH119"/>
      <c r="MKI119"/>
      <c r="MKJ119"/>
      <c r="MKK119"/>
      <c r="MKL119"/>
      <c r="MKM119"/>
      <c r="MKN119"/>
      <c r="MKO119"/>
      <c r="MKP119"/>
      <c r="MKQ119"/>
      <c r="MKR119"/>
      <c r="MKS119"/>
      <c r="MKT119"/>
      <c r="MKU119"/>
      <c r="MKV119"/>
      <c r="MKW119"/>
      <c r="MKX119"/>
      <c r="MKY119"/>
      <c r="MKZ119"/>
      <c r="MLA119"/>
      <c r="MLB119"/>
      <c r="MLC119"/>
      <c r="MLD119"/>
      <c r="MLE119"/>
      <c r="MLF119"/>
      <c r="MLG119"/>
      <c r="MLH119"/>
      <c r="MLI119"/>
      <c r="MLJ119"/>
      <c r="MLK119"/>
      <c r="MLL119"/>
      <c r="MLM119"/>
      <c r="MLN119"/>
      <c r="MLO119"/>
      <c r="MLP119"/>
      <c r="MLQ119"/>
      <c r="MLR119"/>
      <c r="MLS119"/>
      <c r="MLT119"/>
      <c r="MLU119"/>
      <c r="MLV119"/>
      <c r="MLW119"/>
      <c r="MLX119"/>
      <c r="MLY119"/>
      <c r="MLZ119"/>
      <c r="MMA119"/>
      <c r="MMB119"/>
      <c r="MMC119"/>
      <c r="MMD119"/>
      <c r="MME119"/>
      <c r="MMF119"/>
      <c r="MMG119"/>
      <c r="MMH119"/>
      <c r="MMI119"/>
      <c r="MMJ119"/>
      <c r="MMK119"/>
      <c r="MML119"/>
      <c r="MMM119"/>
      <c r="MMN119"/>
      <c r="MMO119"/>
      <c r="MMP119"/>
      <c r="MMQ119"/>
      <c r="MMR119"/>
      <c r="MMS119"/>
      <c r="MMT119"/>
      <c r="MMU119"/>
      <c r="MMV119"/>
      <c r="MMW119"/>
      <c r="MMX119"/>
      <c r="MMY119"/>
      <c r="MMZ119"/>
      <c r="MNA119"/>
      <c r="MNB119"/>
      <c r="MNC119"/>
      <c r="MND119"/>
      <c r="MNE119"/>
      <c r="MNF119"/>
      <c r="MNG119"/>
      <c r="MNH119"/>
      <c r="MNI119"/>
      <c r="MNJ119"/>
      <c r="MNK119"/>
      <c r="MNL119"/>
      <c r="MNM119"/>
      <c r="MNN119"/>
      <c r="MNO119"/>
      <c r="MNP119"/>
      <c r="MNQ119"/>
      <c r="MNR119"/>
      <c r="MNS119"/>
      <c r="MNT119"/>
      <c r="MNU119"/>
      <c r="MNV119"/>
      <c r="MNW119"/>
      <c r="MNX119"/>
      <c r="MNY119"/>
      <c r="MNZ119"/>
      <c r="MOA119"/>
      <c r="MOB119"/>
      <c r="MOC119"/>
      <c r="MOD119"/>
      <c r="MOE119"/>
      <c r="MOF119"/>
      <c r="MOG119"/>
      <c r="MOH119"/>
      <c r="MOI119"/>
      <c r="MOJ119"/>
      <c r="MOK119"/>
      <c r="MOL119"/>
      <c r="MOM119"/>
      <c r="MON119"/>
      <c r="MOO119"/>
      <c r="MOP119"/>
      <c r="MOQ119"/>
      <c r="MOR119"/>
      <c r="MOS119"/>
      <c r="MOT119"/>
      <c r="MOU119"/>
      <c r="MOV119"/>
      <c r="MOW119"/>
      <c r="MOX119"/>
      <c r="MOY119"/>
      <c r="MOZ119"/>
      <c r="MPA119"/>
      <c r="MPB119"/>
      <c r="MPC119"/>
      <c r="MPD119"/>
      <c r="MPE119"/>
      <c r="MPF119"/>
      <c r="MPG119"/>
      <c r="MPH119"/>
      <c r="MPI119"/>
      <c r="MPJ119"/>
      <c r="MPK119"/>
      <c r="MPL119"/>
      <c r="MPM119"/>
      <c r="MPN119"/>
      <c r="MPO119"/>
      <c r="MPP119"/>
      <c r="MPQ119"/>
      <c r="MPR119"/>
      <c r="MPS119"/>
      <c r="MPT119"/>
      <c r="MPU119"/>
      <c r="MPV119"/>
      <c r="MPW119"/>
      <c r="MPX119"/>
      <c r="MPY119"/>
      <c r="MPZ119"/>
      <c r="MQA119"/>
      <c r="MQB119"/>
      <c r="MQC119"/>
      <c r="MQD119"/>
      <c r="MQE119"/>
      <c r="MQF119"/>
      <c r="MQG119"/>
      <c r="MQH119"/>
      <c r="MQI119"/>
      <c r="MQJ119"/>
      <c r="MQK119"/>
      <c r="MQL119"/>
      <c r="MQM119"/>
      <c r="MQN119"/>
      <c r="MQO119"/>
      <c r="MQP119"/>
      <c r="MQQ119"/>
      <c r="MQR119"/>
      <c r="MQS119"/>
      <c r="MQT119"/>
      <c r="MQU119"/>
      <c r="MQV119"/>
      <c r="MQW119"/>
      <c r="MQX119"/>
      <c r="MQY119"/>
      <c r="MQZ119"/>
      <c r="MRA119"/>
      <c r="MRB119"/>
      <c r="MRC119"/>
      <c r="MRD119"/>
      <c r="MRE119"/>
      <c r="MRF119"/>
      <c r="MRG119"/>
      <c r="MRH119"/>
      <c r="MRI119"/>
      <c r="MRJ119"/>
      <c r="MRK119"/>
      <c r="MRL119"/>
      <c r="MRM119"/>
      <c r="MRN119"/>
      <c r="MRO119"/>
      <c r="MRP119"/>
      <c r="MRQ119"/>
      <c r="MRR119"/>
      <c r="MRS119"/>
      <c r="MRT119"/>
      <c r="MRU119"/>
      <c r="MRV119"/>
      <c r="MRW119"/>
      <c r="MRX119"/>
      <c r="MRY119"/>
      <c r="MRZ119"/>
      <c r="MSA119"/>
      <c r="MSB119"/>
      <c r="MSC119"/>
      <c r="MSD119"/>
      <c r="MSE119"/>
      <c r="MSF119"/>
      <c r="MSG119"/>
      <c r="MSH119"/>
      <c r="MSI119"/>
      <c r="MSJ119"/>
      <c r="MSK119"/>
      <c r="MSL119"/>
      <c r="MSM119"/>
      <c r="MSN119"/>
      <c r="MSO119"/>
      <c r="MSP119"/>
      <c r="MSQ119"/>
      <c r="MSR119"/>
      <c r="MSS119"/>
      <c r="MST119"/>
      <c r="MSU119"/>
      <c r="MSV119"/>
      <c r="MSW119"/>
      <c r="MSX119"/>
      <c r="MSY119"/>
      <c r="MSZ119"/>
      <c r="MTA119"/>
      <c r="MTB119"/>
      <c r="MTC119"/>
      <c r="MTD119"/>
      <c r="MTE119"/>
      <c r="MTF119"/>
      <c r="MTG119"/>
      <c r="MTH119"/>
      <c r="MTI119"/>
      <c r="MTJ119"/>
      <c r="MTK119"/>
      <c r="MTL119"/>
      <c r="MTM119"/>
      <c r="MTN119"/>
      <c r="MTO119"/>
      <c r="MTP119"/>
      <c r="MTQ119"/>
      <c r="MTR119"/>
      <c r="MTS119"/>
      <c r="MTT119"/>
      <c r="MTU119"/>
      <c r="MTV119"/>
      <c r="MTW119"/>
      <c r="MTX119"/>
      <c r="MTY119"/>
      <c r="MTZ119"/>
      <c r="MUA119"/>
      <c r="MUB119"/>
      <c r="MUC119"/>
      <c r="MUD119"/>
      <c r="MUE119"/>
      <c r="MUF119"/>
      <c r="MUG119"/>
      <c r="MUH119"/>
      <c r="MUI119"/>
      <c r="MUJ119"/>
      <c r="MUK119"/>
      <c r="MUL119"/>
      <c r="MUM119"/>
      <c r="MUN119"/>
      <c r="MUO119"/>
      <c r="MUP119"/>
      <c r="MUQ119"/>
      <c r="MUR119"/>
      <c r="MUS119"/>
      <c r="MUT119"/>
      <c r="MUU119"/>
      <c r="MUV119"/>
      <c r="MUW119"/>
      <c r="MUX119"/>
      <c r="MUY119"/>
      <c r="MUZ119"/>
      <c r="MVA119"/>
      <c r="MVB119"/>
      <c r="MVC119"/>
      <c r="MVD119"/>
      <c r="MVE119"/>
      <c r="MVF119"/>
      <c r="MVG119"/>
      <c r="MVH119"/>
      <c r="MVI119"/>
      <c r="MVJ119"/>
      <c r="MVK119"/>
      <c r="MVL119"/>
      <c r="MVM119"/>
      <c r="MVN119"/>
      <c r="MVO119"/>
      <c r="MVP119"/>
      <c r="MVQ119"/>
      <c r="MVR119"/>
      <c r="MVS119"/>
      <c r="MVT119"/>
      <c r="MVU119"/>
      <c r="MVV119"/>
      <c r="MVW119"/>
      <c r="MVX119"/>
      <c r="MVY119"/>
      <c r="MVZ119"/>
      <c r="MWA119"/>
      <c r="MWB119"/>
      <c r="MWC119"/>
      <c r="MWD119"/>
      <c r="MWE119"/>
      <c r="MWF119"/>
      <c r="MWG119"/>
      <c r="MWH119"/>
      <c r="MWI119"/>
      <c r="MWJ119"/>
      <c r="MWK119"/>
      <c r="MWL119"/>
      <c r="MWM119"/>
      <c r="MWN119"/>
      <c r="MWO119"/>
      <c r="MWP119"/>
      <c r="MWQ119"/>
      <c r="MWR119"/>
      <c r="MWS119"/>
      <c r="MWT119"/>
      <c r="MWU119"/>
      <c r="MWV119"/>
      <c r="MWW119"/>
      <c r="MWX119"/>
      <c r="MWY119"/>
      <c r="MWZ119"/>
      <c r="MXA119"/>
      <c r="MXB119"/>
      <c r="MXC119"/>
      <c r="MXD119"/>
      <c r="MXE119"/>
      <c r="MXF119"/>
      <c r="MXG119"/>
      <c r="MXH119"/>
      <c r="MXI119"/>
      <c r="MXJ119"/>
      <c r="MXK119"/>
      <c r="MXL119"/>
      <c r="MXM119"/>
      <c r="MXN119"/>
      <c r="MXO119"/>
      <c r="MXP119"/>
      <c r="MXQ119"/>
      <c r="MXR119"/>
      <c r="MXS119"/>
      <c r="MXT119"/>
      <c r="MXU119"/>
      <c r="MXV119"/>
      <c r="MXW119"/>
      <c r="MXX119"/>
      <c r="MXY119"/>
      <c r="MXZ119"/>
      <c r="MYA119"/>
      <c r="MYB119"/>
      <c r="MYC119"/>
      <c r="MYD119"/>
      <c r="MYE119"/>
      <c r="MYF119"/>
      <c r="MYG119"/>
      <c r="MYH119"/>
      <c r="MYI119"/>
      <c r="MYJ119"/>
      <c r="MYK119"/>
      <c r="MYL119"/>
      <c r="MYM119"/>
      <c r="MYN119"/>
      <c r="MYO119"/>
      <c r="MYP119"/>
      <c r="MYQ119"/>
      <c r="MYR119"/>
      <c r="MYS119"/>
      <c r="MYT119"/>
      <c r="MYU119"/>
      <c r="MYV119"/>
      <c r="MYW119"/>
      <c r="MYX119"/>
      <c r="MYY119"/>
      <c r="MYZ119"/>
      <c r="MZA119"/>
      <c r="MZB119"/>
      <c r="MZC119"/>
      <c r="MZD119"/>
      <c r="MZE119"/>
      <c r="MZF119"/>
      <c r="MZG119"/>
      <c r="MZH119"/>
      <c r="MZI119"/>
      <c r="MZJ119"/>
      <c r="MZK119"/>
      <c r="MZL119"/>
      <c r="MZM119"/>
      <c r="MZN119"/>
      <c r="MZO119"/>
      <c r="MZP119"/>
      <c r="MZQ119"/>
      <c r="MZR119"/>
      <c r="MZS119"/>
      <c r="MZT119"/>
      <c r="MZU119"/>
      <c r="MZV119"/>
      <c r="MZW119"/>
      <c r="MZX119"/>
      <c r="MZY119"/>
      <c r="MZZ119"/>
      <c r="NAA119"/>
      <c r="NAB119"/>
      <c r="NAC119"/>
      <c r="NAD119"/>
      <c r="NAE119"/>
      <c r="NAF119"/>
      <c r="NAG119"/>
      <c r="NAH119"/>
      <c r="NAI119"/>
      <c r="NAJ119"/>
      <c r="NAK119"/>
      <c r="NAL119"/>
      <c r="NAM119"/>
      <c r="NAN119"/>
      <c r="NAO119"/>
      <c r="NAP119"/>
      <c r="NAQ119"/>
      <c r="NAR119"/>
      <c r="NAS119"/>
      <c r="NAT119"/>
      <c r="NAU119"/>
      <c r="NAV119"/>
      <c r="NAW119"/>
      <c r="NAX119"/>
      <c r="NAY119"/>
      <c r="NAZ119"/>
      <c r="NBA119"/>
      <c r="NBB119"/>
      <c r="NBC119"/>
      <c r="NBD119"/>
      <c r="NBE119"/>
      <c r="NBF119"/>
      <c r="NBG119"/>
      <c r="NBH119"/>
      <c r="NBI119"/>
      <c r="NBJ119"/>
      <c r="NBK119"/>
      <c r="NBL119"/>
      <c r="NBM119"/>
      <c r="NBN119"/>
      <c r="NBO119"/>
      <c r="NBP119"/>
      <c r="NBQ119"/>
      <c r="NBR119"/>
      <c r="NBS119"/>
      <c r="NBT119"/>
      <c r="NBU119"/>
      <c r="NBV119"/>
      <c r="NBW119"/>
      <c r="NBX119"/>
      <c r="NBY119"/>
      <c r="NBZ119"/>
      <c r="NCA119"/>
      <c r="NCB119"/>
      <c r="NCC119"/>
      <c r="NCD119"/>
      <c r="NCE119"/>
      <c r="NCF119"/>
      <c r="NCG119"/>
      <c r="NCH119"/>
      <c r="NCI119"/>
      <c r="NCJ119"/>
      <c r="NCK119"/>
      <c r="NCL119"/>
      <c r="NCM119"/>
      <c r="NCN119"/>
      <c r="NCO119"/>
      <c r="NCP119"/>
      <c r="NCQ119"/>
      <c r="NCR119"/>
      <c r="NCS119"/>
      <c r="NCT119"/>
      <c r="NCU119"/>
      <c r="NCV119"/>
      <c r="NCW119"/>
      <c r="NCX119"/>
      <c r="NCY119"/>
      <c r="NCZ119"/>
      <c r="NDA119"/>
      <c r="NDB119"/>
      <c r="NDC119"/>
      <c r="NDD119"/>
      <c r="NDE119"/>
      <c r="NDF119"/>
      <c r="NDG119"/>
      <c r="NDH119"/>
      <c r="NDI119"/>
      <c r="NDJ119"/>
      <c r="NDK119"/>
      <c r="NDL119"/>
      <c r="NDM119"/>
      <c r="NDN119"/>
      <c r="NDO119"/>
      <c r="NDP119"/>
      <c r="NDQ119"/>
      <c r="NDR119"/>
      <c r="NDS119"/>
      <c r="NDT119"/>
      <c r="NDU119"/>
      <c r="NDV119"/>
      <c r="NDW119"/>
      <c r="NDX119"/>
      <c r="NDY119"/>
      <c r="NDZ119"/>
      <c r="NEA119"/>
      <c r="NEB119"/>
      <c r="NEC119"/>
      <c r="NED119"/>
      <c r="NEE119"/>
      <c r="NEF119"/>
      <c r="NEG119"/>
      <c r="NEH119"/>
      <c r="NEI119"/>
      <c r="NEJ119"/>
      <c r="NEK119"/>
      <c r="NEL119"/>
      <c r="NEM119"/>
      <c r="NEN119"/>
      <c r="NEO119"/>
      <c r="NEP119"/>
      <c r="NEQ119"/>
      <c r="NER119"/>
      <c r="NES119"/>
      <c r="NET119"/>
      <c r="NEU119"/>
      <c r="NEV119"/>
      <c r="NEW119"/>
      <c r="NEX119"/>
      <c r="NEY119"/>
      <c r="NEZ119"/>
      <c r="NFA119"/>
      <c r="NFB119"/>
      <c r="NFC119"/>
      <c r="NFD119"/>
      <c r="NFE119"/>
      <c r="NFF119"/>
      <c r="NFG119"/>
      <c r="NFH119"/>
      <c r="NFI119"/>
      <c r="NFJ119"/>
      <c r="NFK119"/>
      <c r="NFL119"/>
      <c r="NFM119"/>
      <c r="NFN119"/>
      <c r="NFO119"/>
      <c r="NFP119"/>
      <c r="NFQ119"/>
      <c r="NFR119"/>
      <c r="NFS119"/>
      <c r="NFT119"/>
      <c r="NFU119"/>
      <c r="NFV119"/>
      <c r="NFW119"/>
      <c r="NFX119"/>
      <c r="NFY119"/>
      <c r="NFZ119"/>
      <c r="NGA119"/>
      <c r="NGB119"/>
      <c r="NGC119"/>
      <c r="NGD119"/>
      <c r="NGE119"/>
      <c r="NGF119"/>
      <c r="NGG119"/>
      <c r="NGH119"/>
      <c r="NGI119"/>
      <c r="NGJ119"/>
      <c r="NGK119"/>
      <c r="NGL119"/>
      <c r="NGM119"/>
      <c r="NGN119"/>
      <c r="NGO119"/>
      <c r="NGP119"/>
      <c r="NGQ119"/>
      <c r="NGR119"/>
      <c r="NGS119"/>
      <c r="NGT119"/>
      <c r="NGU119"/>
      <c r="NGV119"/>
      <c r="NGW119"/>
      <c r="NGX119"/>
      <c r="NGY119"/>
      <c r="NGZ119"/>
      <c r="NHA119"/>
      <c r="NHB119"/>
      <c r="NHC119"/>
      <c r="NHD119"/>
      <c r="NHE119"/>
      <c r="NHF119"/>
      <c r="NHG119"/>
      <c r="NHH119"/>
      <c r="NHI119"/>
      <c r="NHJ119"/>
      <c r="NHK119"/>
      <c r="NHL119"/>
      <c r="NHM119"/>
      <c r="NHN119"/>
      <c r="NHO119"/>
      <c r="NHP119"/>
      <c r="NHQ119"/>
      <c r="NHR119"/>
      <c r="NHS119"/>
      <c r="NHT119"/>
      <c r="NHU119"/>
      <c r="NHV119"/>
      <c r="NHW119"/>
      <c r="NHX119"/>
      <c r="NHY119"/>
      <c r="NHZ119"/>
      <c r="NIA119"/>
      <c r="NIB119"/>
      <c r="NIC119"/>
      <c r="NID119"/>
      <c r="NIE119"/>
      <c r="NIF119"/>
      <c r="NIG119"/>
      <c r="NIH119"/>
      <c r="NII119"/>
      <c r="NIJ119"/>
      <c r="NIK119"/>
      <c r="NIL119"/>
      <c r="NIM119"/>
      <c r="NIN119"/>
      <c r="NIO119"/>
      <c r="NIP119"/>
      <c r="NIQ119"/>
      <c r="NIR119"/>
      <c r="NIS119"/>
      <c r="NIT119"/>
      <c r="NIU119"/>
      <c r="NIV119"/>
      <c r="NIW119"/>
      <c r="NIX119"/>
      <c r="NIY119"/>
      <c r="NIZ119"/>
      <c r="NJA119"/>
      <c r="NJB119"/>
      <c r="NJC119"/>
      <c r="NJD119"/>
      <c r="NJE119"/>
      <c r="NJF119"/>
      <c r="NJG119"/>
      <c r="NJH119"/>
      <c r="NJI119"/>
      <c r="NJJ119"/>
      <c r="NJK119"/>
      <c r="NJL119"/>
      <c r="NJM119"/>
      <c r="NJN119"/>
      <c r="NJO119"/>
      <c r="NJP119"/>
      <c r="NJQ119"/>
      <c r="NJR119"/>
      <c r="NJS119"/>
      <c r="NJT119"/>
      <c r="NJU119"/>
      <c r="NJV119"/>
      <c r="NJW119"/>
      <c r="NJX119"/>
      <c r="NJY119"/>
      <c r="NJZ119"/>
      <c r="NKA119"/>
      <c r="NKB119"/>
      <c r="NKC119"/>
      <c r="NKD119"/>
      <c r="NKE119"/>
      <c r="NKF119"/>
      <c r="NKG119"/>
      <c r="NKH119"/>
      <c r="NKI119"/>
      <c r="NKJ119"/>
      <c r="NKK119"/>
      <c r="NKL119"/>
      <c r="NKM119"/>
      <c r="NKN119"/>
      <c r="NKO119"/>
      <c r="NKP119"/>
      <c r="NKQ119"/>
      <c r="NKR119"/>
      <c r="NKS119"/>
      <c r="NKT119"/>
      <c r="NKU119"/>
      <c r="NKV119"/>
      <c r="NKW119"/>
      <c r="NKX119"/>
      <c r="NKY119"/>
      <c r="NKZ119"/>
      <c r="NLA119"/>
      <c r="NLB119"/>
      <c r="NLC119"/>
      <c r="NLD119"/>
      <c r="NLE119"/>
      <c r="NLF119"/>
      <c r="NLG119"/>
      <c r="NLH119"/>
      <c r="NLI119"/>
      <c r="NLJ119"/>
      <c r="NLK119"/>
      <c r="NLL119"/>
      <c r="NLM119"/>
      <c r="NLN119"/>
      <c r="NLO119"/>
      <c r="NLP119"/>
      <c r="NLQ119"/>
      <c r="NLR119"/>
      <c r="NLS119"/>
      <c r="NLT119"/>
      <c r="NLU119"/>
      <c r="NLV119"/>
      <c r="NLW119"/>
      <c r="NLX119"/>
      <c r="NLY119"/>
      <c r="NLZ119"/>
      <c r="NMA119"/>
      <c r="NMB119"/>
      <c r="NMC119"/>
      <c r="NMD119"/>
      <c r="NME119"/>
      <c r="NMF119"/>
      <c r="NMG119"/>
      <c r="NMH119"/>
      <c r="NMI119"/>
      <c r="NMJ119"/>
      <c r="NMK119"/>
      <c r="NML119"/>
      <c r="NMM119"/>
      <c r="NMN119"/>
      <c r="NMO119"/>
      <c r="NMP119"/>
      <c r="NMQ119"/>
      <c r="NMR119"/>
      <c r="NMS119"/>
      <c r="NMT119"/>
      <c r="NMU119"/>
      <c r="NMV119"/>
      <c r="NMW119"/>
      <c r="NMX119"/>
      <c r="NMY119"/>
      <c r="NMZ119"/>
      <c r="NNA119"/>
      <c r="NNB119"/>
      <c r="NNC119"/>
      <c r="NND119"/>
      <c r="NNE119"/>
      <c r="NNF119"/>
      <c r="NNG119"/>
      <c r="NNH119"/>
      <c r="NNI119"/>
      <c r="NNJ119"/>
      <c r="NNK119"/>
      <c r="NNL119"/>
      <c r="NNM119"/>
      <c r="NNN119"/>
      <c r="NNO119"/>
      <c r="NNP119"/>
      <c r="NNQ119"/>
      <c r="NNR119"/>
      <c r="NNS119"/>
      <c r="NNT119"/>
      <c r="NNU119"/>
      <c r="NNV119"/>
      <c r="NNW119"/>
      <c r="NNX119"/>
      <c r="NNY119"/>
      <c r="NNZ119"/>
      <c r="NOA119"/>
      <c r="NOB119"/>
      <c r="NOC119"/>
      <c r="NOD119"/>
      <c r="NOE119"/>
      <c r="NOF119"/>
      <c r="NOG119"/>
      <c r="NOH119"/>
      <c r="NOI119"/>
      <c r="NOJ119"/>
      <c r="NOK119"/>
      <c r="NOL119"/>
      <c r="NOM119"/>
      <c r="NON119"/>
      <c r="NOO119"/>
      <c r="NOP119"/>
      <c r="NOQ119"/>
      <c r="NOR119"/>
      <c r="NOS119"/>
      <c r="NOT119"/>
      <c r="NOU119"/>
      <c r="NOV119"/>
      <c r="NOW119"/>
      <c r="NOX119"/>
      <c r="NOY119"/>
      <c r="NOZ119"/>
      <c r="NPA119"/>
      <c r="NPB119"/>
      <c r="NPC119"/>
      <c r="NPD119"/>
      <c r="NPE119"/>
      <c r="NPF119"/>
      <c r="NPG119"/>
      <c r="NPH119"/>
      <c r="NPI119"/>
      <c r="NPJ119"/>
      <c r="NPK119"/>
      <c r="NPL119"/>
      <c r="NPM119"/>
      <c r="NPN119"/>
      <c r="NPO119"/>
      <c r="NPP119"/>
      <c r="NPQ119"/>
      <c r="NPR119"/>
      <c r="NPS119"/>
      <c r="NPT119"/>
      <c r="NPU119"/>
      <c r="NPV119"/>
      <c r="NPW119"/>
      <c r="NPX119"/>
      <c r="NPY119"/>
      <c r="NPZ119"/>
      <c r="NQA119"/>
      <c r="NQB119"/>
      <c r="NQC119"/>
      <c r="NQD119"/>
      <c r="NQE119"/>
      <c r="NQF119"/>
      <c r="NQG119"/>
      <c r="NQH119"/>
      <c r="NQI119"/>
      <c r="NQJ119"/>
      <c r="NQK119"/>
      <c r="NQL119"/>
      <c r="NQM119"/>
      <c r="NQN119"/>
      <c r="NQO119"/>
      <c r="NQP119"/>
      <c r="NQQ119"/>
      <c r="NQR119"/>
      <c r="NQS119"/>
      <c r="NQT119"/>
      <c r="NQU119"/>
      <c r="NQV119"/>
      <c r="NQW119"/>
      <c r="NQX119"/>
      <c r="NQY119"/>
      <c r="NQZ119"/>
      <c r="NRA119"/>
      <c r="NRB119"/>
      <c r="NRC119"/>
      <c r="NRD119"/>
      <c r="NRE119"/>
      <c r="NRF119"/>
      <c r="NRG119"/>
      <c r="NRH119"/>
      <c r="NRI119"/>
      <c r="NRJ119"/>
      <c r="NRK119"/>
      <c r="NRL119"/>
      <c r="NRM119"/>
      <c r="NRN119"/>
      <c r="NRO119"/>
      <c r="NRP119"/>
      <c r="NRQ119"/>
      <c r="NRR119"/>
      <c r="NRS119"/>
      <c r="NRT119"/>
      <c r="NRU119"/>
      <c r="NRV119"/>
      <c r="NRW119"/>
      <c r="NRX119"/>
      <c r="NRY119"/>
      <c r="NRZ119"/>
      <c r="NSA119"/>
      <c r="NSB119"/>
      <c r="NSC119"/>
      <c r="NSD119"/>
      <c r="NSE119"/>
      <c r="NSF119"/>
      <c r="NSG119"/>
      <c r="NSH119"/>
      <c r="NSI119"/>
      <c r="NSJ119"/>
      <c r="NSK119"/>
      <c r="NSL119"/>
      <c r="NSM119"/>
      <c r="NSN119"/>
      <c r="NSO119"/>
      <c r="NSP119"/>
      <c r="NSQ119"/>
      <c r="NSR119"/>
      <c r="NSS119"/>
      <c r="NST119"/>
      <c r="NSU119"/>
      <c r="NSV119"/>
      <c r="NSW119"/>
      <c r="NSX119"/>
      <c r="NSY119"/>
      <c r="NSZ119"/>
      <c r="NTA119"/>
      <c r="NTB119"/>
      <c r="NTC119"/>
      <c r="NTD119"/>
      <c r="NTE119"/>
      <c r="NTF119"/>
      <c r="NTG119"/>
      <c r="NTH119"/>
      <c r="NTI119"/>
      <c r="NTJ119"/>
      <c r="NTK119"/>
      <c r="NTL119"/>
      <c r="NTM119"/>
      <c r="NTN119"/>
      <c r="NTO119"/>
      <c r="NTP119"/>
      <c r="NTQ119"/>
      <c r="NTR119"/>
      <c r="NTS119"/>
      <c r="NTT119"/>
      <c r="NTU119"/>
      <c r="NTV119"/>
      <c r="NTW119"/>
      <c r="NTX119"/>
      <c r="NTY119"/>
      <c r="NTZ119"/>
      <c r="NUA119"/>
      <c r="NUB119"/>
      <c r="NUC119"/>
      <c r="NUD119"/>
      <c r="NUE119"/>
      <c r="NUF119"/>
      <c r="NUG119"/>
      <c r="NUH119"/>
      <c r="NUI119"/>
      <c r="NUJ119"/>
      <c r="NUK119"/>
      <c r="NUL119"/>
      <c r="NUM119"/>
      <c r="NUN119"/>
      <c r="NUO119"/>
      <c r="NUP119"/>
      <c r="NUQ119"/>
      <c r="NUR119"/>
      <c r="NUS119"/>
      <c r="NUT119"/>
      <c r="NUU119"/>
      <c r="NUV119"/>
      <c r="NUW119"/>
      <c r="NUX119"/>
      <c r="NUY119"/>
      <c r="NUZ119"/>
      <c r="NVA119"/>
      <c r="NVB119"/>
      <c r="NVC119"/>
      <c r="NVD119"/>
      <c r="NVE119"/>
      <c r="NVF119"/>
      <c r="NVG119"/>
      <c r="NVH119"/>
      <c r="NVI119"/>
      <c r="NVJ119"/>
      <c r="NVK119"/>
      <c r="NVL119"/>
      <c r="NVM119"/>
      <c r="NVN119"/>
      <c r="NVO119"/>
      <c r="NVP119"/>
      <c r="NVQ119"/>
      <c r="NVR119"/>
      <c r="NVS119"/>
      <c r="NVT119"/>
      <c r="NVU119"/>
      <c r="NVV119"/>
      <c r="NVW119"/>
      <c r="NVX119"/>
      <c r="NVY119"/>
      <c r="NVZ119"/>
      <c r="NWA119"/>
      <c r="NWB119"/>
      <c r="NWC119"/>
      <c r="NWD119"/>
      <c r="NWE119"/>
      <c r="NWF119"/>
      <c r="NWG119"/>
      <c r="NWH119"/>
      <c r="NWI119"/>
      <c r="NWJ119"/>
      <c r="NWK119"/>
      <c r="NWL119"/>
      <c r="NWM119"/>
      <c r="NWN119"/>
      <c r="NWO119"/>
      <c r="NWP119"/>
      <c r="NWQ119"/>
      <c r="NWR119"/>
      <c r="NWS119"/>
      <c r="NWT119"/>
      <c r="NWU119"/>
      <c r="NWV119"/>
      <c r="NWW119"/>
      <c r="NWX119"/>
      <c r="NWY119"/>
      <c r="NWZ119"/>
      <c r="NXA119"/>
      <c r="NXB119"/>
      <c r="NXC119"/>
      <c r="NXD119"/>
      <c r="NXE119"/>
      <c r="NXF119"/>
      <c r="NXG119"/>
      <c r="NXH119"/>
      <c r="NXI119"/>
      <c r="NXJ119"/>
      <c r="NXK119"/>
      <c r="NXL119"/>
      <c r="NXM119"/>
      <c r="NXN119"/>
      <c r="NXO119"/>
      <c r="NXP119"/>
      <c r="NXQ119"/>
      <c r="NXR119"/>
      <c r="NXS119"/>
      <c r="NXT119"/>
      <c r="NXU119"/>
      <c r="NXV119"/>
      <c r="NXW119"/>
      <c r="NXX119"/>
      <c r="NXY119"/>
      <c r="NXZ119"/>
      <c r="NYA119"/>
      <c r="NYB119"/>
      <c r="NYC119"/>
      <c r="NYD119"/>
      <c r="NYE119"/>
      <c r="NYF119"/>
      <c r="NYG119"/>
      <c r="NYH119"/>
      <c r="NYI119"/>
      <c r="NYJ119"/>
      <c r="NYK119"/>
      <c r="NYL119"/>
      <c r="NYM119"/>
      <c r="NYN119"/>
      <c r="NYO119"/>
      <c r="NYP119"/>
      <c r="NYQ119"/>
      <c r="NYR119"/>
      <c r="NYS119"/>
      <c r="NYT119"/>
      <c r="NYU119"/>
      <c r="NYV119"/>
      <c r="NYW119"/>
      <c r="NYX119"/>
      <c r="NYY119"/>
      <c r="NYZ119"/>
      <c r="NZA119"/>
      <c r="NZB119"/>
      <c r="NZC119"/>
      <c r="NZD119"/>
      <c r="NZE119"/>
      <c r="NZF119"/>
      <c r="NZG119"/>
      <c r="NZH119"/>
      <c r="NZI119"/>
      <c r="NZJ119"/>
      <c r="NZK119"/>
      <c r="NZL119"/>
      <c r="NZM119"/>
      <c r="NZN119"/>
      <c r="NZO119"/>
      <c r="NZP119"/>
      <c r="NZQ119"/>
      <c r="NZR119"/>
      <c r="NZS119"/>
      <c r="NZT119"/>
      <c r="NZU119"/>
      <c r="NZV119"/>
      <c r="NZW119"/>
      <c r="NZX119"/>
      <c r="NZY119"/>
      <c r="NZZ119"/>
      <c r="OAA119"/>
      <c r="OAB119"/>
      <c r="OAC119"/>
      <c r="OAD119"/>
      <c r="OAE119"/>
      <c r="OAF119"/>
      <c r="OAG119"/>
      <c r="OAH119"/>
      <c r="OAI119"/>
      <c r="OAJ119"/>
      <c r="OAK119"/>
      <c r="OAL119"/>
      <c r="OAM119"/>
      <c r="OAN119"/>
      <c r="OAO119"/>
      <c r="OAP119"/>
      <c r="OAQ119"/>
      <c r="OAR119"/>
      <c r="OAS119"/>
      <c r="OAT119"/>
      <c r="OAU119"/>
      <c r="OAV119"/>
      <c r="OAW119"/>
      <c r="OAX119"/>
      <c r="OAY119"/>
      <c r="OAZ119"/>
      <c r="OBA119"/>
      <c r="OBB119"/>
      <c r="OBC119"/>
      <c r="OBD119"/>
      <c r="OBE119"/>
      <c r="OBF119"/>
      <c r="OBG119"/>
      <c r="OBH119"/>
      <c r="OBI119"/>
      <c r="OBJ119"/>
      <c r="OBK119"/>
      <c r="OBL119"/>
      <c r="OBM119"/>
      <c r="OBN119"/>
      <c r="OBO119"/>
      <c r="OBP119"/>
      <c r="OBQ119"/>
      <c r="OBR119"/>
      <c r="OBS119"/>
      <c r="OBT119"/>
      <c r="OBU119"/>
      <c r="OBV119"/>
      <c r="OBW119"/>
      <c r="OBX119"/>
      <c r="OBY119"/>
      <c r="OBZ119"/>
      <c r="OCA119"/>
      <c r="OCB119"/>
      <c r="OCC119"/>
      <c r="OCD119"/>
      <c r="OCE119"/>
      <c r="OCF119"/>
      <c r="OCG119"/>
      <c r="OCH119"/>
      <c r="OCI119"/>
      <c r="OCJ119"/>
      <c r="OCK119"/>
      <c r="OCL119"/>
      <c r="OCM119"/>
      <c r="OCN119"/>
      <c r="OCO119"/>
      <c r="OCP119"/>
      <c r="OCQ119"/>
      <c r="OCR119"/>
      <c r="OCS119"/>
      <c r="OCT119"/>
      <c r="OCU119"/>
      <c r="OCV119"/>
      <c r="OCW119"/>
      <c r="OCX119"/>
      <c r="OCY119"/>
      <c r="OCZ119"/>
      <c r="ODA119"/>
      <c r="ODB119"/>
      <c r="ODC119"/>
      <c r="ODD119"/>
      <c r="ODE119"/>
      <c r="ODF119"/>
      <c r="ODG119"/>
      <c r="ODH119"/>
      <c r="ODI119"/>
      <c r="ODJ119"/>
      <c r="ODK119"/>
      <c r="ODL119"/>
      <c r="ODM119"/>
      <c r="ODN119"/>
      <c r="ODO119"/>
      <c r="ODP119"/>
      <c r="ODQ119"/>
      <c r="ODR119"/>
      <c r="ODS119"/>
      <c r="ODT119"/>
      <c r="ODU119"/>
      <c r="ODV119"/>
      <c r="ODW119"/>
      <c r="ODX119"/>
      <c r="ODY119"/>
      <c r="ODZ119"/>
      <c r="OEA119"/>
      <c r="OEB119"/>
      <c r="OEC119"/>
      <c r="OED119"/>
      <c r="OEE119"/>
      <c r="OEF119"/>
      <c r="OEG119"/>
      <c r="OEH119"/>
      <c r="OEI119"/>
      <c r="OEJ119"/>
      <c r="OEK119"/>
      <c r="OEL119"/>
      <c r="OEM119"/>
      <c r="OEN119"/>
      <c r="OEO119"/>
      <c r="OEP119"/>
      <c r="OEQ119"/>
      <c r="OER119"/>
      <c r="OES119"/>
      <c r="OET119"/>
      <c r="OEU119"/>
      <c r="OEV119"/>
      <c r="OEW119"/>
      <c r="OEX119"/>
      <c r="OEY119"/>
      <c r="OEZ119"/>
      <c r="OFA119"/>
      <c r="OFB119"/>
      <c r="OFC119"/>
      <c r="OFD119"/>
      <c r="OFE119"/>
      <c r="OFF119"/>
      <c r="OFG119"/>
      <c r="OFH119"/>
      <c r="OFI119"/>
      <c r="OFJ119"/>
      <c r="OFK119"/>
      <c r="OFL119"/>
      <c r="OFM119"/>
      <c r="OFN119"/>
      <c r="OFO119"/>
      <c r="OFP119"/>
      <c r="OFQ119"/>
      <c r="OFR119"/>
      <c r="OFS119"/>
      <c r="OFT119"/>
      <c r="OFU119"/>
      <c r="OFV119"/>
      <c r="OFW119"/>
      <c r="OFX119"/>
      <c r="OFY119"/>
      <c r="OFZ119"/>
      <c r="OGA119"/>
      <c r="OGB119"/>
      <c r="OGC119"/>
      <c r="OGD119"/>
      <c r="OGE119"/>
      <c r="OGF119"/>
      <c r="OGG119"/>
      <c r="OGH119"/>
      <c r="OGI119"/>
      <c r="OGJ119"/>
      <c r="OGK119"/>
      <c r="OGL119"/>
      <c r="OGM119"/>
      <c r="OGN119"/>
      <c r="OGO119"/>
      <c r="OGP119"/>
      <c r="OGQ119"/>
      <c r="OGR119"/>
      <c r="OGS119"/>
      <c r="OGT119"/>
      <c r="OGU119"/>
      <c r="OGV119"/>
      <c r="OGW119"/>
      <c r="OGX119"/>
      <c r="OGY119"/>
      <c r="OGZ119"/>
      <c r="OHA119"/>
      <c r="OHB119"/>
      <c r="OHC119"/>
      <c r="OHD119"/>
      <c r="OHE119"/>
      <c r="OHF119"/>
      <c r="OHG119"/>
      <c r="OHH119"/>
      <c r="OHI119"/>
      <c r="OHJ119"/>
      <c r="OHK119"/>
      <c r="OHL119"/>
      <c r="OHM119"/>
      <c r="OHN119"/>
      <c r="OHO119"/>
      <c r="OHP119"/>
      <c r="OHQ119"/>
      <c r="OHR119"/>
      <c r="OHS119"/>
      <c r="OHT119"/>
      <c r="OHU119"/>
      <c r="OHV119"/>
      <c r="OHW119"/>
      <c r="OHX119"/>
      <c r="OHY119"/>
      <c r="OHZ119"/>
      <c r="OIA119"/>
      <c r="OIB119"/>
      <c r="OIC119"/>
      <c r="OID119"/>
      <c r="OIE119"/>
      <c r="OIF119"/>
      <c r="OIG119"/>
      <c r="OIH119"/>
      <c r="OII119"/>
      <c r="OIJ119"/>
      <c r="OIK119"/>
      <c r="OIL119"/>
      <c r="OIM119"/>
      <c r="OIN119"/>
      <c r="OIO119"/>
      <c r="OIP119"/>
      <c r="OIQ119"/>
      <c r="OIR119"/>
      <c r="OIS119"/>
      <c r="OIT119"/>
      <c r="OIU119"/>
      <c r="OIV119"/>
      <c r="OIW119"/>
      <c r="OIX119"/>
      <c r="OIY119"/>
      <c r="OIZ119"/>
      <c r="OJA119"/>
      <c r="OJB119"/>
      <c r="OJC119"/>
      <c r="OJD119"/>
      <c r="OJE119"/>
      <c r="OJF119"/>
      <c r="OJG119"/>
      <c r="OJH119"/>
      <c r="OJI119"/>
      <c r="OJJ119"/>
      <c r="OJK119"/>
      <c r="OJL119"/>
      <c r="OJM119"/>
      <c r="OJN119"/>
      <c r="OJO119"/>
      <c r="OJP119"/>
      <c r="OJQ119"/>
      <c r="OJR119"/>
      <c r="OJS119"/>
      <c r="OJT119"/>
      <c r="OJU119"/>
      <c r="OJV119"/>
      <c r="OJW119"/>
      <c r="OJX119"/>
      <c r="OJY119"/>
      <c r="OJZ119"/>
      <c r="OKA119"/>
      <c r="OKB119"/>
      <c r="OKC119"/>
      <c r="OKD119"/>
      <c r="OKE119"/>
      <c r="OKF119"/>
      <c r="OKG119"/>
      <c r="OKH119"/>
      <c r="OKI119"/>
      <c r="OKJ119"/>
      <c r="OKK119"/>
      <c r="OKL119"/>
      <c r="OKM119"/>
      <c r="OKN119"/>
      <c r="OKO119"/>
      <c r="OKP119"/>
      <c r="OKQ119"/>
      <c r="OKR119"/>
      <c r="OKS119"/>
      <c r="OKT119"/>
      <c r="OKU119"/>
      <c r="OKV119"/>
      <c r="OKW119"/>
      <c r="OKX119"/>
      <c r="OKY119"/>
      <c r="OKZ119"/>
      <c r="OLA119"/>
      <c r="OLB119"/>
      <c r="OLC119"/>
      <c r="OLD119"/>
      <c r="OLE119"/>
      <c r="OLF119"/>
      <c r="OLG119"/>
      <c r="OLH119"/>
      <c r="OLI119"/>
      <c r="OLJ119"/>
      <c r="OLK119"/>
      <c r="OLL119"/>
      <c r="OLM119"/>
      <c r="OLN119"/>
      <c r="OLO119"/>
      <c r="OLP119"/>
      <c r="OLQ119"/>
      <c r="OLR119"/>
      <c r="OLS119"/>
      <c r="OLT119"/>
      <c r="OLU119"/>
      <c r="OLV119"/>
      <c r="OLW119"/>
      <c r="OLX119"/>
      <c r="OLY119"/>
      <c r="OLZ119"/>
      <c r="OMA119"/>
      <c r="OMB119"/>
      <c r="OMC119"/>
      <c r="OMD119"/>
      <c r="OME119"/>
      <c r="OMF119"/>
      <c r="OMG119"/>
      <c r="OMH119"/>
      <c r="OMI119"/>
      <c r="OMJ119"/>
      <c r="OMK119"/>
      <c r="OML119"/>
      <c r="OMM119"/>
      <c r="OMN119"/>
      <c r="OMO119"/>
      <c r="OMP119"/>
      <c r="OMQ119"/>
      <c r="OMR119"/>
      <c r="OMS119"/>
      <c r="OMT119"/>
      <c r="OMU119"/>
      <c r="OMV119"/>
      <c r="OMW119"/>
      <c r="OMX119"/>
      <c r="OMY119"/>
      <c r="OMZ119"/>
      <c r="ONA119"/>
      <c r="ONB119"/>
      <c r="ONC119"/>
      <c r="OND119"/>
      <c r="ONE119"/>
      <c r="ONF119"/>
      <c r="ONG119"/>
      <c r="ONH119"/>
      <c r="ONI119"/>
      <c r="ONJ119"/>
      <c r="ONK119"/>
      <c r="ONL119"/>
      <c r="ONM119"/>
      <c r="ONN119"/>
      <c r="ONO119"/>
      <c r="ONP119"/>
      <c r="ONQ119"/>
      <c r="ONR119"/>
      <c r="ONS119"/>
      <c r="ONT119"/>
      <c r="ONU119"/>
      <c r="ONV119"/>
      <c r="ONW119"/>
      <c r="ONX119"/>
      <c r="ONY119"/>
      <c r="ONZ119"/>
      <c r="OOA119"/>
      <c r="OOB119"/>
      <c r="OOC119"/>
      <c r="OOD119"/>
      <c r="OOE119"/>
      <c r="OOF119"/>
      <c r="OOG119"/>
      <c r="OOH119"/>
      <c r="OOI119"/>
      <c r="OOJ119"/>
      <c r="OOK119"/>
      <c r="OOL119"/>
      <c r="OOM119"/>
      <c r="OON119"/>
      <c r="OOO119"/>
      <c r="OOP119"/>
      <c r="OOQ119"/>
      <c r="OOR119"/>
      <c r="OOS119"/>
      <c r="OOT119"/>
      <c r="OOU119"/>
      <c r="OOV119"/>
      <c r="OOW119"/>
      <c r="OOX119"/>
      <c r="OOY119"/>
      <c r="OOZ119"/>
      <c r="OPA119"/>
      <c r="OPB119"/>
      <c r="OPC119"/>
      <c r="OPD119"/>
      <c r="OPE119"/>
      <c r="OPF119"/>
      <c r="OPG119"/>
      <c r="OPH119"/>
      <c r="OPI119"/>
      <c r="OPJ119"/>
      <c r="OPK119"/>
      <c r="OPL119"/>
      <c r="OPM119"/>
      <c r="OPN119"/>
      <c r="OPO119"/>
      <c r="OPP119"/>
      <c r="OPQ119"/>
      <c r="OPR119"/>
      <c r="OPS119"/>
      <c r="OPT119"/>
      <c r="OPU119"/>
      <c r="OPV119"/>
      <c r="OPW119"/>
      <c r="OPX119"/>
      <c r="OPY119"/>
      <c r="OPZ119"/>
      <c r="OQA119"/>
      <c r="OQB119"/>
      <c r="OQC119"/>
      <c r="OQD119"/>
      <c r="OQE119"/>
      <c r="OQF119"/>
      <c r="OQG119"/>
      <c r="OQH119"/>
      <c r="OQI119"/>
      <c r="OQJ119"/>
      <c r="OQK119"/>
      <c r="OQL119"/>
      <c r="OQM119"/>
      <c r="OQN119"/>
      <c r="OQO119"/>
      <c r="OQP119"/>
      <c r="OQQ119"/>
      <c r="OQR119"/>
      <c r="OQS119"/>
      <c r="OQT119"/>
      <c r="OQU119"/>
      <c r="OQV119"/>
      <c r="OQW119"/>
      <c r="OQX119"/>
      <c r="OQY119"/>
      <c r="OQZ119"/>
      <c r="ORA119"/>
      <c r="ORB119"/>
      <c r="ORC119"/>
      <c r="ORD119"/>
      <c r="ORE119"/>
      <c r="ORF119"/>
      <c r="ORG119"/>
      <c r="ORH119"/>
      <c r="ORI119"/>
      <c r="ORJ119"/>
      <c r="ORK119"/>
      <c r="ORL119"/>
      <c r="ORM119"/>
      <c r="ORN119"/>
      <c r="ORO119"/>
      <c r="ORP119"/>
      <c r="ORQ119"/>
      <c r="ORR119"/>
      <c r="ORS119"/>
      <c r="ORT119"/>
      <c r="ORU119"/>
      <c r="ORV119"/>
      <c r="ORW119"/>
      <c r="ORX119"/>
      <c r="ORY119"/>
      <c r="ORZ119"/>
      <c r="OSA119"/>
      <c r="OSB119"/>
      <c r="OSC119"/>
      <c r="OSD119"/>
      <c r="OSE119"/>
      <c r="OSF119"/>
      <c r="OSG119"/>
      <c r="OSH119"/>
      <c r="OSI119"/>
      <c r="OSJ119"/>
      <c r="OSK119"/>
      <c r="OSL119"/>
      <c r="OSM119"/>
      <c r="OSN119"/>
      <c r="OSO119"/>
      <c r="OSP119"/>
      <c r="OSQ119"/>
      <c r="OSR119"/>
      <c r="OSS119"/>
      <c r="OST119"/>
      <c r="OSU119"/>
      <c r="OSV119"/>
      <c r="OSW119"/>
      <c r="OSX119"/>
      <c r="OSY119"/>
      <c r="OSZ119"/>
      <c r="OTA119"/>
      <c r="OTB119"/>
      <c r="OTC119"/>
      <c r="OTD119"/>
      <c r="OTE119"/>
      <c r="OTF119"/>
      <c r="OTG119"/>
      <c r="OTH119"/>
      <c r="OTI119"/>
      <c r="OTJ119"/>
      <c r="OTK119"/>
      <c r="OTL119"/>
      <c r="OTM119"/>
      <c r="OTN119"/>
      <c r="OTO119"/>
      <c r="OTP119"/>
      <c r="OTQ119"/>
      <c r="OTR119"/>
      <c r="OTS119"/>
      <c r="OTT119"/>
      <c r="OTU119"/>
      <c r="OTV119"/>
      <c r="OTW119"/>
      <c r="OTX119"/>
      <c r="OTY119"/>
      <c r="OTZ119"/>
      <c r="OUA119"/>
      <c r="OUB119"/>
      <c r="OUC119"/>
      <c r="OUD119"/>
      <c r="OUE119"/>
      <c r="OUF119"/>
      <c r="OUG119"/>
      <c r="OUH119"/>
      <c r="OUI119"/>
      <c r="OUJ119"/>
      <c r="OUK119"/>
      <c r="OUL119"/>
      <c r="OUM119"/>
      <c r="OUN119"/>
      <c r="OUO119"/>
      <c r="OUP119"/>
      <c r="OUQ119"/>
      <c r="OUR119"/>
      <c r="OUS119"/>
      <c r="OUT119"/>
      <c r="OUU119"/>
      <c r="OUV119"/>
      <c r="OUW119"/>
      <c r="OUX119"/>
      <c r="OUY119"/>
      <c r="OUZ119"/>
      <c r="OVA119"/>
      <c r="OVB119"/>
      <c r="OVC119"/>
      <c r="OVD119"/>
      <c r="OVE119"/>
      <c r="OVF119"/>
      <c r="OVG119"/>
      <c r="OVH119"/>
      <c r="OVI119"/>
      <c r="OVJ119"/>
      <c r="OVK119"/>
      <c r="OVL119"/>
      <c r="OVM119"/>
      <c r="OVN119"/>
      <c r="OVO119"/>
      <c r="OVP119"/>
      <c r="OVQ119"/>
      <c r="OVR119"/>
      <c r="OVS119"/>
      <c r="OVT119"/>
      <c r="OVU119"/>
      <c r="OVV119"/>
      <c r="OVW119"/>
      <c r="OVX119"/>
      <c r="OVY119"/>
      <c r="OVZ119"/>
      <c r="OWA119"/>
      <c r="OWB119"/>
      <c r="OWC119"/>
      <c r="OWD119"/>
      <c r="OWE119"/>
      <c r="OWF119"/>
      <c r="OWG119"/>
      <c r="OWH119"/>
      <c r="OWI119"/>
      <c r="OWJ119"/>
      <c r="OWK119"/>
      <c r="OWL119"/>
      <c r="OWM119"/>
      <c r="OWN119"/>
      <c r="OWO119"/>
      <c r="OWP119"/>
      <c r="OWQ119"/>
      <c r="OWR119"/>
      <c r="OWS119"/>
      <c r="OWT119"/>
      <c r="OWU119"/>
      <c r="OWV119"/>
      <c r="OWW119"/>
      <c r="OWX119"/>
      <c r="OWY119"/>
      <c r="OWZ119"/>
      <c r="OXA119"/>
      <c r="OXB119"/>
      <c r="OXC119"/>
      <c r="OXD119"/>
      <c r="OXE119"/>
      <c r="OXF119"/>
      <c r="OXG119"/>
      <c r="OXH119"/>
      <c r="OXI119"/>
      <c r="OXJ119"/>
      <c r="OXK119"/>
      <c r="OXL119"/>
      <c r="OXM119"/>
      <c r="OXN119"/>
      <c r="OXO119"/>
      <c r="OXP119"/>
      <c r="OXQ119"/>
      <c r="OXR119"/>
      <c r="OXS119"/>
      <c r="OXT119"/>
      <c r="OXU119"/>
      <c r="OXV119"/>
      <c r="OXW119"/>
      <c r="OXX119"/>
      <c r="OXY119"/>
      <c r="OXZ119"/>
      <c r="OYA119"/>
      <c r="OYB119"/>
      <c r="OYC119"/>
      <c r="OYD119"/>
      <c r="OYE119"/>
      <c r="OYF119"/>
      <c r="OYG119"/>
      <c r="OYH119"/>
      <c r="OYI119"/>
      <c r="OYJ119"/>
      <c r="OYK119"/>
      <c r="OYL119"/>
      <c r="OYM119"/>
      <c r="OYN119"/>
      <c r="OYO119"/>
      <c r="OYP119"/>
      <c r="OYQ119"/>
      <c r="OYR119"/>
      <c r="OYS119"/>
      <c r="OYT119"/>
      <c r="OYU119"/>
      <c r="OYV119"/>
      <c r="OYW119"/>
      <c r="OYX119"/>
      <c r="OYY119"/>
      <c r="OYZ119"/>
      <c r="OZA119"/>
      <c r="OZB119"/>
      <c r="OZC119"/>
      <c r="OZD119"/>
      <c r="OZE119"/>
      <c r="OZF119"/>
      <c r="OZG119"/>
      <c r="OZH119"/>
      <c r="OZI119"/>
      <c r="OZJ119"/>
      <c r="OZK119"/>
      <c r="OZL119"/>
      <c r="OZM119"/>
      <c r="OZN119"/>
      <c r="OZO119"/>
      <c r="OZP119"/>
      <c r="OZQ119"/>
      <c r="OZR119"/>
      <c r="OZS119"/>
      <c r="OZT119"/>
      <c r="OZU119"/>
      <c r="OZV119"/>
      <c r="OZW119"/>
      <c r="OZX119"/>
      <c r="OZY119"/>
      <c r="OZZ119"/>
      <c r="PAA119"/>
      <c r="PAB119"/>
      <c r="PAC119"/>
      <c r="PAD119"/>
      <c r="PAE119"/>
      <c r="PAF119"/>
      <c r="PAG119"/>
      <c r="PAH119"/>
      <c r="PAI119"/>
      <c r="PAJ119"/>
      <c r="PAK119"/>
      <c r="PAL119"/>
      <c r="PAM119"/>
      <c r="PAN119"/>
      <c r="PAO119"/>
      <c r="PAP119"/>
      <c r="PAQ119"/>
      <c r="PAR119"/>
      <c r="PAS119"/>
      <c r="PAT119"/>
      <c r="PAU119"/>
      <c r="PAV119"/>
      <c r="PAW119"/>
      <c r="PAX119"/>
      <c r="PAY119"/>
      <c r="PAZ119"/>
      <c r="PBA119"/>
      <c r="PBB119"/>
      <c r="PBC119"/>
      <c r="PBD119"/>
      <c r="PBE119"/>
      <c r="PBF119"/>
      <c r="PBG119"/>
      <c r="PBH119"/>
      <c r="PBI119"/>
      <c r="PBJ119"/>
      <c r="PBK119"/>
      <c r="PBL119"/>
      <c r="PBM119"/>
      <c r="PBN119"/>
      <c r="PBO119"/>
      <c r="PBP119"/>
      <c r="PBQ119"/>
      <c r="PBR119"/>
      <c r="PBS119"/>
      <c r="PBT119"/>
      <c r="PBU119"/>
      <c r="PBV119"/>
      <c r="PBW119"/>
      <c r="PBX119"/>
      <c r="PBY119"/>
      <c r="PBZ119"/>
      <c r="PCA119"/>
      <c r="PCB119"/>
      <c r="PCC119"/>
      <c r="PCD119"/>
      <c r="PCE119"/>
      <c r="PCF119"/>
      <c r="PCG119"/>
      <c r="PCH119"/>
      <c r="PCI119"/>
      <c r="PCJ119"/>
      <c r="PCK119"/>
      <c r="PCL119"/>
      <c r="PCM119"/>
      <c r="PCN119"/>
      <c r="PCO119"/>
      <c r="PCP119"/>
      <c r="PCQ119"/>
      <c r="PCR119"/>
      <c r="PCS119"/>
      <c r="PCT119"/>
      <c r="PCU119"/>
      <c r="PCV119"/>
      <c r="PCW119"/>
      <c r="PCX119"/>
      <c r="PCY119"/>
      <c r="PCZ119"/>
      <c r="PDA119"/>
      <c r="PDB119"/>
      <c r="PDC119"/>
      <c r="PDD119"/>
      <c r="PDE119"/>
      <c r="PDF119"/>
      <c r="PDG119"/>
      <c r="PDH119"/>
      <c r="PDI119"/>
      <c r="PDJ119"/>
      <c r="PDK119"/>
      <c r="PDL119"/>
      <c r="PDM119"/>
      <c r="PDN119"/>
      <c r="PDO119"/>
      <c r="PDP119"/>
      <c r="PDQ119"/>
      <c r="PDR119"/>
      <c r="PDS119"/>
      <c r="PDT119"/>
      <c r="PDU119"/>
      <c r="PDV119"/>
      <c r="PDW119"/>
      <c r="PDX119"/>
      <c r="PDY119"/>
      <c r="PDZ119"/>
      <c r="PEA119"/>
      <c r="PEB119"/>
      <c r="PEC119"/>
      <c r="PED119"/>
      <c r="PEE119"/>
      <c r="PEF119"/>
      <c r="PEG119"/>
      <c r="PEH119"/>
      <c r="PEI119"/>
      <c r="PEJ119"/>
      <c r="PEK119"/>
      <c r="PEL119"/>
      <c r="PEM119"/>
      <c r="PEN119"/>
      <c r="PEO119"/>
      <c r="PEP119"/>
      <c r="PEQ119"/>
      <c r="PER119"/>
      <c r="PES119"/>
      <c r="PET119"/>
      <c r="PEU119"/>
      <c r="PEV119"/>
      <c r="PEW119"/>
      <c r="PEX119"/>
      <c r="PEY119"/>
      <c r="PEZ119"/>
      <c r="PFA119"/>
      <c r="PFB119"/>
      <c r="PFC119"/>
      <c r="PFD119"/>
      <c r="PFE119"/>
      <c r="PFF119"/>
      <c r="PFG119"/>
      <c r="PFH119"/>
      <c r="PFI119"/>
      <c r="PFJ119"/>
      <c r="PFK119"/>
      <c r="PFL119"/>
      <c r="PFM119"/>
      <c r="PFN119"/>
      <c r="PFO119"/>
      <c r="PFP119"/>
      <c r="PFQ119"/>
      <c r="PFR119"/>
      <c r="PFS119"/>
      <c r="PFT119"/>
      <c r="PFU119"/>
      <c r="PFV119"/>
      <c r="PFW119"/>
      <c r="PFX119"/>
      <c r="PFY119"/>
      <c r="PFZ119"/>
      <c r="PGA119"/>
      <c r="PGB119"/>
      <c r="PGC119"/>
      <c r="PGD119"/>
      <c r="PGE119"/>
      <c r="PGF119"/>
      <c r="PGG119"/>
      <c r="PGH119"/>
      <c r="PGI119"/>
      <c r="PGJ119"/>
      <c r="PGK119"/>
      <c r="PGL119"/>
      <c r="PGM119"/>
      <c r="PGN119"/>
      <c r="PGO119"/>
      <c r="PGP119"/>
      <c r="PGQ119"/>
      <c r="PGR119"/>
      <c r="PGS119"/>
      <c r="PGT119"/>
      <c r="PGU119"/>
      <c r="PGV119"/>
      <c r="PGW119"/>
      <c r="PGX119"/>
      <c r="PGY119"/>
      <c r="PGZ119"/>
      <c r="PHA119"/>
      <c r="PHB119"/>
      <c r="PHC119"/>
      <c r="PHD119"/>
      <c r="PHE119"/>
      <c r="PHF119"/>
      <c r="PHG119"/>
      <c r="PHH119"/>
      <c r="PHI119"/>
      <c r="PHJ119"/>
      <c r="PHK119"/>
      <c r="PHL119"/>
      <c r="PHM119"/>
      <c r="PHN119"/>
      <c r="PHO119"/>
      <c r="PHP119"/>
      <c r="PHQ119"/>
      <c r="PHR119"/>
      <c r="PHS119"/>
      <c r="PHT119"/>
      <c r="PHU119"/>
      <c r="PHV119"/>
      <c r="PHW119"/>
      <c r="PHX119"/>
      <c r="PHY119"/>
      <c r="PHZ119"/>
      <c r="PIA119"/>
      <c r="PIB119"/>
      <c r="PIC119"/>
      <c r="PID119"/>
      <c r="PIE119"/>
      <c r="PIF119"/>
      <c r="PIG119"/>
      <c r="PIH119"/>
      <c r="PII119"/>
      <c r="PIJ119"/>
      <c r="PIK119"/>
      <c r="PIL119"/>
      <c r="PIM119"/>
      <c r="PIN119"/>
      <c r="PIO119"/>
      <c r="PIP119"/>
      <c r="PIQ119"/>
      <c r="PIR119"/>
      <c r="PIS119"/>
      <c r="PIT119"/>
      <c r="PIU119"/>
      <c r="PIV119"/>
      <c r="PIW119"/>
      <c r="PIX119"/>
      <c r="PIY119"/>
      <c r="PIZ119"/>
      <c r="PJA119"/>
      <c r="PJB119"/>
      <c r="PJC119"/>
      <c r="PJD119"/>
      <c r="PJE119"/>
      <c r="PJF119"/>
      <c r="PJG119"/>
      <c r="PJH119"/>
      <c r="PJI119"/>
      <c r="PJJ119"/>
      <c r="PJK119"/>
      <c r="PJL119"/>
      <c r="PJM119"/>
      <c r="PJN119"/>
      <c r="PJO119"/>
      <c r="PJP119"/>
      <c r="PJQ119"/>
      <c r="PJR119"/>
      <c r="PJS119"/>
      <c r="PJT119"/>
      <c r="PJU119"/>
      <c r="PJV119"/>
      <c r="PJW119"/>
      <c r="PJX119"/>
      <c r="PJY119"/>
      <c r="PJZ119"/>
      <c r="PKA119"/>
      <c r="PKB119"/>
      <c r="PKC119"/>
      <c r="PKD119"/>
      <c r="PKE119"/>
      <c r="PKF119"/>
      <c r="PKG119"/>
      <c r="PKH119"/>
      <c r="PKI119"/>
      <c r="PKJ119"/>
      <c r="PKK119"/>
      <c r="PKL119"/>
      <c r="PKM119"/>
      <c r="PKN119"/>
      <c r="PKO119"/>
      <c r="PKP119"/>
      <c r="PKQ119"/>
      <c r="PKR119"/>
      <c r="PKS119"/>
      <c r="PKT119"/>
      <c r="PKU119"/>
      <c r="PKV119"/>
      <c r="PKW119"/>
      <c r="PKX119"/>
      <c r="PKY119"/>
      <c r="PKZ119"/>
      <c r="PLA119"/>
      <c r="PLB119"/>
      <c r="PLC119"/>
      <c r="PLD119"/>
      <c r="PLE119"/>
      <c r="PLF119"/>
      <c r="PLG119"/>
      <c r="PLH119"/>
      <c r="PLI119"/>
      <c r="PLJ119"/>
      <c r="PLK119"/>
      <c r="PLL119"/>
      <c r="PLM119"/>
      <c r="PLN119"/>
      <c r="PLO119"/>
      <c r="PLP119"/>
      <c r="PLQ119"/>
      <c r="PLR119"/>
      <c r="PLS119"/>
      <c r="PLT119"/>
      <c r="PLU119"/>
      <c r="PLV119"/>
      <c r="PLW119"/>
      <c r="PLX119"/>
      <c r="PLY119"/>
      <c r="PLZ119"/>
      <c r="PMA119"/>
      <c r="PMB119"/>
      <c r="PMC119"/>
      <c r="PMD119"/>
      <c r="PME119"/>
      <c r="PMF119"/>
      <c r="PMG119"/>
      <c r="PMH119"/>
      <c r="PMI119"/>
      <c r="PMJ119"/>
      <c r="PMK119"/>
      <c r="PML119"/>
      <c r="PMM119"/>
      <c r="PMN119"/>
      <c r="PMO119"/>
      <c r="PMP119"/>
      <c r="PMQ119"/>
      <c r="PMR119"/>
      <c r="PMS119"/>
      <c r="PMT119"/>
      <c r="PMU119"/>
      <c r="PMV119"/>
      <c r="PMW119"/>
      <c r="PMX119"/>
      <c r="PMY119"/>
      <c r="PMZ119"/>
      <c r="PNA119"/>
      <c r="PNB119"/>
      <c r="PNC119"/>
      <c r="PND119"/>
      <c r="PNE119"/>
      <c r="PNF119"/>
      <c r="PNG119"/>
      <c r="PNH119"/>
      <c r="PNI119"/>
      <c r="PNJ119"/>
      <c r="PNK119"/>
      <c r="PNL119"/>
      <c r="PNM119"/>
      <c r="PNN119"/>
      <c r="PNO119"/>
      <c r="PNP119"/>
      <c r="PNQ119"/>
      <c r="PNR119"/>
      <c r="PNS119"/>
      <c r="PNT119"/>
      <c r="PNU119"/>
      <c r="PNV119"/>
      <c r="PNW119"/>
      <c r="PNX119"/>
      <c r="PNY119"/>
      <c r="PNZ119"/>
      <c r="POA119"/>
      <c r="POB119"/>
      <c r="POC119"/>
      <c r="POD119"/>
      <c r="POE119"/>
      <c r="POF119"/>
      <c r="POG119"/>
      <c r="POH119"/>
      <c r="POI119"/>
      <c r="POJ119"/>
      <c r="POK119"/>
      <c r="POL119"/>
      <c r="POM119"/>
      <c r="PON119"/>
      <c r="POO119"/>
      <c r="POP119"/>
      <c r="POQ119"/>
      <c r="POR119"/>
      <c r="POS119"/>
      <c r="POT119"/>
      <c r="POU119"/>
      <c r="POV119"/>
      <c r="POW119"/>
      <c r="POX119"/>
      <c r="POY119"/>
      <c r="POZ119"/>
      <c r="PPA119"/>
      <c r="PPB119"/>
      <c r="PPC119"/>
      <c r="PPD119"/>
      <c r="PPE119"/>
      <c r="PPF119"/>
      <c r="PPG119"/>
      <c r="PPH119"/>
      <c r="PPI119"/>
      <c r="PPJ119"/>
      <c r="PPK119"/>
      <c r="PPL119"/>
      <c r="PPM119"/>
      <c r="PPN119"/>
      <c r="PPO119"/>
      <c r="PPP119"/>
      <c r="PPQ119"/>
      <c r="PPR119"/>
      <c r="PPS119"/>
      <c r="PPT119"/>
      <c r="PPU119"/>
      <c r="PPV119"/>
      <c r="PPW119"/>
      <c r="PPX119"/>
      <c r="PPY119"/>
      <c r="PPZ119"/>
      <c r="PQA119"/>
      <c r="PQB119"/>
      <c r="PQC119"/>
      <c r="PQD119"/>
      <c r="PQE119"/>
      <c r="PQF119"/>
      <c r="PQG119"/>
      <c r="PQH119"/>
      <c r="PQI119"/>
      <c r="PQJ119"/>
      <c r="PQK119"/>
      <c r="PQL119"/>
      <c r="PQM119"/>
      <c r="PQN119"/>
      <c r="PQO119"/>
      <c r="PQP119"/>
      <c r="PQQ119"/>
      <c r="PQR119"/>
      <c r="PQS119"/>
      <c r="PQT119"/>
      <c r="PQU119"/>
      <c r="PQV119"/>
      <c r="PQW119"/>
      <c r="PQX119"/>
      <c r="PQY119"/>
      <c r="PQZ119"/>
      <c r="PRA119"/>
      <c r="PRB119"/>
      <c r="PRC119"/>
      <c r="PRD119"/>
      <c r="PRE119"/>
      <c r="PRF119"/>
      <c r="PRG119"/>
      <c r="PRH119"/>
      <c r="PRI119"/>
      <c r="PRJ119"/>
      <c r="PRK119"/>
      <c r="PRL119"/>
      <c r="PRM119"/>
      <c r="PRN119"/>
      <c r="PRO119"/>
      <c r="PRP119"/>
      <c r="PRQ119"/>
      <c r="PRR119"/>
      <c r="PRS119"/>
      <c r="PRT119"/>
      <c r="PRU119"/>
      <c r="PRV119"/>
      <c r="PRW119"/>
      <c r="PRX119"/>
      <c r="PRY119"/>
      <c r="PRZ119"/>
      <c r="PSA119"/>
      <c r="PSB119"/>
      <c r="PSC119"/>
      <c r="PSD119"/>
      <c r="PSE119"/>
      <c r="PSF119"/>
      <c r="PSG119"/>
      <c r="PSH119"/>
      <c r="PSI119"/>
      <c r="PSJ119"/>
      <c r="PSK119"/>
      <c r="PSL119"/>
      <c r="PSM119"/>
      <c r="PSN119"/>
      <c r="PSO119"/>
      <c r="PSP119"/>
      <c r="PSQ119"/>
      <c r="PSR119"/>
      <c r="PSS119"/>
      <c r="PST119"/>
      <c r="PSU119"/>
      <c r="PSV119"/>
      <c r="PSW119"/>
      <c r="PSX119"/>
      <c r="PSY119"/>
      <c r="PSZ119"/>
      <c r="PTA119"/>
      <c r="PTB119"/>
      <c r="PTC119"/>
      <c r="PTD119"/>
      <c r="PTE119"/>
      <c r="PTF119"/>
      <c r="PTG119"/>
      <c r="PTH119"/>
      <c r="PTI119"/>
      <c r="PTJ119"/>
      <c r="PTK119"/>
      <c r="PTL119"/>
      <c r="PTM119"/>
      <c r="PTN119"/>
      <c r="PTO119"/>
      <c r="PTP119"/>
      <c r="PTQ119"/>
      <c r="PTR119"/>
      <c r="PTS119"/>
      <c r="PTT119"/>
      <c r="PTU119"/>
      <c r="PTV119"/>
      <c r="PTW119"/>
      <c r="PTX119"/>
      <c r="PTY119"/>
      <c r="PTZ119"/>
      <c r="PUA119"/>
      <c r="PUB119"/>
      <c r="PUC119"/>
      <c r="PUD119"/>
      <c r="PUE119"/>
      <c r="PUF119"/>
      <c r="PUG119"/>
      <c r="PUH119"/>
      <c r="PUI119"/>
      <c r="PUJ119"/>
      <c r="PUK119"/>
      <c r="PUL119"/>
      <c r="PUM119"/>
      <c r="PUN119"/>
      <c r="PUO119"/>
      <c r="PUP119"/>
      <c r="PUQ119"/>
      <c r="PUR119"/>
      <c r="PUS119"/>
      <c r="PUT119"/>
      <c r="PUU119"/>
      <c r="PUV119"/>
      <c r="PUW119"/>
      <c r="PUX119"/>
      <c r="PUY119"/>
      <c r="PUZ119"/>
      <c r="PVA119"/>
      <c r="PVB119"/>
      <c r="PVC119"/>
      <c r="PVD119"/>
      <c r="PVE119"/>
      <c r="PVF119"/>
      <c r="PVG119"/>
      <c r="PVH119"/>
      <c r="PVI119"/>
      <c r="PVJ119"/>
      <c r="PVK119"/>
      <c r="PVL119"/>
      <c r="PVM119"/>
      <c r="PVN119"/>
      <c r="PVO119"/>
      <c r="PVP119"/>
      <c r="PVQ119"/>
      <c r="PVR119"/>
      <c r="PVS119"/>
      <c r="PVT119"/>
      <c r="PVU119"/>
      <c r="PVV119"/>
      <c r="PVW119"/>
      <c r="PVX119"/>
      <c r="PVY119"/>
      <c r="PVZ119"/>
      <c r="PWA119"/>
      <c r="PWB119"/>
      <c r="PWC119"/>
      <c r="PWD119"/>
      <c r="PWE119"/>
      <c r="PWF119"/>
      <c r="PWG119"/>
      <c r="PWH119"/>
      <c r="PWI119"/>
      <c r="PWJ119"/>
      <c r="PWK119"/>
      <c r="PWL119"/>
      <c r="PWM119"/>
      <c r="PWN119"/>
      <c r="PWO119"/>
      <c r="PWP119"/>
      <c r="PWQ119"/>
      <c r="PWR119"/>
      <c r="PWS119"/>
      <c r="PWT119"/>
      <c r="PWU119"/>
      <c r="PWV119"/>
      <c r="PWW119"/>
      <c r="PWX119"/>
      <c r="PWY119"/>
      <c r="PWZ119"/>
      <c r="PXA119"/>
      <c r="PXB119"/>
      <c r="PXC119"/>
      <c r="PXD119"/>
      <c r="PXE119"/>
      <c r="PXF119"/>
      <c r="PXG119"/>
      <c r="PXH119"/>
      <c r="PXI119"/>
      <c r="PXJ119"/>
      <c r="PXK119"/>
      <c r="PXL119"/>
      <c r="PXM119"/>
      <c r="PXN119"/>
      <c r="PXO119"/>
      <c r="PXP119"/>
      <c r="PXQ119"/>
      <c r="PXR119"/>
      <c r="PXS119"/>
      <c r="PXT119"/>
      <c r="PXU119"/>
      <c r="PXV119"/>
      <c r="PXW119"/>
      <c r="PXX119"/>
      <c r="PXY119"/>
      <c r="PXZ119"/>
      <c r="PYA119"/>
      <c r="PYB119"/>
      <c r="PYC119"/>
      <c r="PYD119"/>
      <c r="PYE119"/>
      <c r="PYF119"/>
      <c r="PYG119"/>
      <c r="PYH119"/>
      <c r="PYI119"/>
      <c r="PYJ119"/>
      <c r="PYK119"/>
      <c r="PYL119"/>
      <c r="PYM119"/>
      <c r="PYN119"/>
      <c r="PYO119"/>
      <c r="PYP119"/>
      <c r="PYQ119"/>
      <c r="PYR119"/>
      <c r="PYS119"/>
      <c r="PYT119"/>
      <c r="PYU119"/>
      <c r="PYV119"/>
      <c r="PYW119"/>
      <c r="PYX119"/>
      <c r="PYY119"/>
      <c r="PYZ119"/>
      <c r="PZA119"/>
      <c r="PZB119"/>
      <c r="PZC119"/>
      <c r="PZD119"/>
      <c r="PZE119"/>
      <c r="PZF119"/>
      <c r="PZG119"/>
      <c r="PZH119"/>
      <c r="PZI119"/>
      <c r="PZJ119"/>
      <c r="PZK119"/>
      <c r="PZL119"/>
      <c r="PZM119"/>
      <c r="PZN119"/>
      <c r="PZO119"/>
      <c r="PZP119"/>
      <c r="PZQ119"/>
      <c r="PZR119"/>
      <c r="PZS119"/>
      <c r="PZT119"/>
      <c r="PZU119"/>
      <c r="PZV119"/>
      <c r="PZW119"/>
      <c r="PZX119"/>
      <c r="PZY119"/>
      <c r="PZZ119"/>
      <c r="QAA119"/>
      <c r="QAB119"/>
      <c r="QAC119"/>
      <c r="QAD119"/>
      <c r="QAE119"/>
      <c r="QAF119"/>
      <c r="QAG119"/>
      <c r="QAH119"/>
      <c r="QAI119"/>
      <c r="QAJ119"/>
      <c r="QAK119"/>
      <c r="QAL119"/>
      <c r="QAM119"/>
      <c r="QAN119"/>
      <c r="QAO119"/>
      <c r="QAP119"/>
      <c r="QAQ119"/>
      <c r="QAR119"/>
      <c r="QAS119"/>
      <c r="QAT119"/>
      <c r="QAU119"/>
      <c r="QAV119"/>
      <c r="QAW119"/>
      <c r="QAX119"/>
      <c r="QAY119"/>
      <c r="QAZ119"/>
      <c r="QBA119"/>
      <c r="QBB119"/>
      <c r="QBC119"/>
      <c r="QBD119"/>
      <c r="QBE119"/>
      <c r="QBF119"/>
      <c r="QBG119"/>
      <c r="QBH119"/>
      <c r="QBI119"/>
      <c r="QBJ119"/>
      <c r="QBK119"/>
      <c r="QBL119"/>
      <c r="QBM119"/>
      <c r="QBN119"/>
      <c r="QBO119"/>
      <c r="QBP119"/>
      <c r="QBQ119"/>
      <c r="QBR119"/>
      <c r="QBS119"/>
      <c r="QBT119"/>
      <c r="QBU119"/>
      <c r="QBV119"/>
      <c r="QBW119"/>
      <c r="QBX119"/>
      <c r="QBY119"/>
      <c r="QBZ119"/>
      <c r="QCA119"/>
      <c r="QCB119"/>
      <c r="QCC119"/>
      <c r="QCD119"/>
      <c r="QCE119"/>
      <c r="QCF119"/>
      <c r="QCG119"/>
      <c r="QCH119"/>
      <c r="QCI119"/>
      <c r="QCJ119"/>
      <c r="QCK119"/>
      <c r="QCL119"/>
      <c r="QCM119"/>
      <c r="QCN119"/>
      <c r="QCO119"/>
      <c r="QCP119"/>
      <c r="QCQ119"/>
      <c r="QCR119"/>
      <c r="QCS119"/>
      <c r="QCT119"/>
      <c r="QCU119"/>
      <c r="QCV119"/>
      <c r="QCW119"/>
      <c r="QCX119"/>
      <c r="QCY119"/>
      <c r="QCZ119"/>
      <c r="QDA119"/>
      <c r="QDB119"/>
      <c r="QDC119"/>
      <c r="QDD119"/>
      <c r="QDE119"/>
      <c r="QDF119"/>
      <c r="QDG119"/>
      <c r="QDH119"/>
      <c r="QDI119"/>
      <c r="QDJ119"/>
      <c r="QDK119"/>
      <c r="QDL119"/>
      <c r="QDM119"/>
      <c r="QDN119"/>
      <c r="QDO119"/>
      <c r="QDP119"/>
      <c r="QDQ119"/>
      <c r="QDR119"/>
      <c r="QDS119"/>
      <c r="QDT119"/>
      <c r="QDU119"/>
      <c r="QDV119"/>
      <c r="QDW119"/>
      <c r="QDX119"/>
      <c r="QDY119"/>
      <c r="QDZ119"/>
      <c r="QEA119"/>
      <c r="QEB119"/>
      <c r="QEC119"/>
      <c r="QED119"/>
      <c r="QEE119"/>
      <c r="QEF119"/>
      <c r="QEG119"/>
      <c r="QEH119"/>
      <c r="QEI119"/>
      <c r="QEJ119"/>
      <c r="QEK119"/>
      <c r="QEL119"/>
      <c r="QEM119"/>
      <c r="QEN119"/>
      <c r="QEO119"/>
      <c r="QEP119"/>
      <c r="QEQ119"/>
      <c r="QER119"/>
      <c r="QES119"/>
      <c r="QET119"/>
      <c r="QEU119"/>
      <c r="QEV119"/>
      <c r="QEW119"/>
      <c r="QEX119"/>
      <c r="QEY119"/>
      <c r="QEZ119"/>
      <c r="QFA119"/>
      <c r="QFB119"/>
      <c r="QFC119"/>
      <c r="QFD119"/>
      <c r="QFE119"/>
      <c r="QFF119"/>
      <c r="QFG119"/>
      <c r="QFH119"/>
      <c r="QFI119"/>
      <c r="QFJ119"/>
      <c r="QFK119"/>
      <c r="QFL119"/>
      <c r="QFM119"/>
      <c r="QFN119"/>
      <c r="QFO119"/>
      <c r="QFP119"/>
      <c r="QFQ119"/>
      <c r="QFR119"/>
      <c r="QFS119"/>
      <c r="QFT119"/>
      <c r="QFU119"/>
      <c r="QFV119"/>
      <c r="QFW119"/>
      <c r="QFX119"/>
      <c r="QFY119"/>
      <c r="QFZ119"/>
      <c r="QGA119"/>
      <c r="QGB119"/>
      <c r="QGC119"/>
      <c r="QGD119"/>
      <c r="QGE119"/>
      <c r="QGF119"/>
      <c r="QGG119"/>
      <c r="QGH119"/>
      <c r="QGI119"/>
      <c r="QGJ119"/>
      <c r="QGK119"/>
      <c r="QGL119"/>
      <c r="QGM119"/>
      <c r="QGN119"/>
      <c r="QGO119"/>
      <c r="QGP119"/>
      <c r="QGQ119"/>
      <c r="QGR119"/>
      <c r="QGS119"/>
      <c r="QGT119"/>
      <c r="QGU119"/>
      <c r="QGV119"/>
      <c r="QGW119"/>
      <c r="QGX119"/>
      <c r="QGY119"/>
      <c r="QGZ119"/>
      <c r="QHA119"/>
      <c r="QHB119"/>
      <c r="QHC119"/>
      <c r="QHD119"/>
      <c r="QHE119"/>
      <c r="QHF119"/>
      <c r="QHG119"/>
      <c r="QHH119"/>
      <c r="QHI119"/>
      <c r="QHJ119"/>
      <c r="QHK119"/>
      <c r="QHL119"/>
      <c r="QHM119"/>
      <c r="QHN119"/>
      <c r="QHO119"/>
      <c r="QHP119"/>
      <c r="QHQ119"/>
      <c r="QHR119"/>
      <c r="QHS119"/>
      <c r="QHT119"/>
      <c r="QHU119"/>
      <c r="QHV119"/>
      <c r="QHW119"/>
      <c r="QHX119"/>
      <c r="QHY119"/>
      <c r="QHZ119"/>
      <c r="QIA119"/>
      <c r="QIB119"/>
      <c r="QIC119"/>
      <c r="QID119"/>
      <c r="QIE119"/>
      <c r="QIF119"/>
      <c r="QIG119"/>
      <c r="QIH119"/>
      <c r="QII119"/>
      <c r="QIJ119"/>
      <c r="QIK119"/>
      <c r="QIL119"/>
      <c r="QIM119"/>
      <c r="QIN119"/>
      <c r="QIO119"/>
      <c r="QIP119"/>
      <c r="QIQ119"/>
      <c r="QIR119"/>
      <c r="QIS119"/>
      <c r="QIT119"/>
      <c r="QIU119"/>
      <c r="QIV119"/>
      <c r="QIW119"/>
      <c r="QIX119"/>
      <c r="QIY119"/>
      <c r="QIZ119"/>
      <c r="QJA119"/>
      <c r="QJB119"/>
      <c r="QJC119"/>
      <c r="QJD119"/>
      <c r="QJE119"/>
      <c r="QJF119"/>
      <c r="QJG119"/>
      <c r="QJH119"/>
      <c r="QJI119"/>
      <c r="QJJ119"/>
      <c r="QJK119"/>
      <c r="QJL119"/>
      <c r="QJM119"/>
      <c r="QJN119"/>
      <c r="QJO119"/>
      <c r="QJP119"/>
      <c r="QJQ119"/>
      <c r="QJR119"/>
      <c r="QJS119"/>
      <c r="QJT119"/>
      <c r="QJU119"/>
      <c r="QJV119"/>
      <c r="QJW119"/>
      <c r="QJX119"/>
      <c r="QJY119"/>
      <c r="QJZ119"/>
      <c r="QKA119"/>
      <c r="QKB119"/>
      <c r="QKC119"/>
      <c r="QKD119"/>
      <c r="QKE119"/>
      <c r="QKF119"/>
      <c r="QKG119"/>
      <c r="QKH119"/>
      <c r="QKI119"/>
      <c r="QKJ119"/>
      <c r="QKK119"/>
      <c r="QKL119"/>
      <c r="QKM119"/>
      <c r="QKN119"/>
      <c r="QKO119"/>
      <c r="QKP119"/>
      <c r="QKQ119"/>
      <c r="QKR119"/>
      <c r="QKS119"/>
      <c r="QKT119"/>
      <c r="QKU119"/>
      <c r="QKV119"/>
      <c r="QKW119"/>
      <c r="QKX119"/>
      <c r="QKY119"/>
      <c r="QKZ119"/>
      <c r="QLA119"/>
      <c r="QLB119"/>
      <c r="QLC119"/>
      <c r="QLD119"/>
      <c r="QLE119"/>
      <c r="QLF119"/>
      <c r="QLG119"/>
      <c r="QLH119"/>
      <c r="QLI119"/>
      <c r="QLJ119"/>
      <c r="QLK119"/>
      <c r="QLL119"/>
      <c r="QLM119"/>
      <c r="QLN119"/>
      <c r="QLO119"/>
      <c r="QLP119"/>
      <c r="QLQ119"/>
      <c r="QLR119"/>
      <c r="QLS119"/>
      <c r="QLT119"/>
      <c r="QLU119"/>
      <c r="QLV119"/>
      <c r="QLW119"/>
      <c r="QLX119"/>
      <c r="QLY119"/>
      <c r="QLZ119"/>
      <c r="QMA119"/>
      <c r="QMB119"/>
      <c r="QMC119"/>
      <c r="QMD119"/>
      <c r="QME119"/>
      <c r="QMF119"/>
      <c r="QMG119"/>
      <c r="QMH119"/>
      <c r="QMI119"/>
      <c r="QMJ119"/>
      <c r="QMK119"/>
      <c r="QML119"/>
      <c r="QMM119"/>
      <c r="QMN119"/>
      <c r="QMO119"/>
      <c r="QMP119"/>
      <c r="QMQ119"/>
      <c r="QMR119"/>
      <c r="QMS119"/>
      <c r="QMT119"/>
      <c r="QMU119"/>
      <c r="QMV119"/>
      <c r="QMW119"/>
      <c r="QMX119"/>
      <c r="QMY119"/>
      <c r="QMZ119"/>
      <c r="QNA119"/>
      <c r="QNB119"/>
      <c r="QNC119"/>
      <c r="QND119"/>
      <c r="QNE119"/>
      <c r="QNF119"/>
      <c r="QNG119"/>
      <c r="QNH119"/>
      <c r="QNI119"/>
      <c r="QNJ119"/>
      <c r="QNK119"/>
      <c r="QNL119"/>
      <c r="QNM119"/>
      <c r="QNN119"/>
      <c r="QNO119"/>
      <c r="QNP119"/>
      <c r="QNQ119"/>
      <c r="QNR119"/>
      <c r="QNS119"/>
      <c r="QNT119"/>
      <c r="QNU119"/>
      <c r="QNV119"/>
      <c r="QNW119"/>
      <c r="QNX119"/>
      <c r="QNY119"/>
      <c r="QNZ119"/>
      <c r="QOA119"/>
      <c r="QOB119"/>
      <c r="QOC119"/>
      <c r="QOD119"/>
      <c r="QOE119"/>
      <c r="QOF119"/>
      <c r="QOG119"/>
      <c r="QOH119"/>
      <c r="QOI119"/>
      <c r="QOJ119"/>
      <c r="QOK119"/>
      <c r="QOL119"/>
      <c r="QOM119"/>
      <c r="QON119"/>
      <c r="QOO119"/>
      <c r="QOP119"/>
      <c r="QOQ119"/>
      <c r="QOR119"/>
      <c r="QOS119"/>
      <c r="QOT119"/>
      <c r="QOU119"/>
      <c r="QOV119"/>
      <c r="QOW119"/>
      <c r="QOX119"/>
      <c r="QOY119"/>
      <c r="QOZ119"/>
      <c r="QPA119"/>
      <c r="QPB119"/>
      <c r="QPC119"/>
      <c r="QPD119"/>
      <c r="QPE119"/>
      <c r="QPF119"/>
      <c r="QPG119"/>
      <c r="QPH119"/>
      <c r="QPI119"/>
      <c r="QPJ119"/>
      <c r="QPK119"/>
      <c r="QPL119"/>
      <c r="QPM119"/>
      <c r="QPN119"/>
      <c r="QPO119"/>
      <c r="QPP119"/>
      <c r="QPQ119"/>
      <c r="QPR119"/>
      <c r="QPS119"/>
      <c r="QPT119"/>
      <c r="QPU119"/>
      <c r="QPV119"/>
      <c r="QPW119"/>
      <c r="QPX119"/>
      <c r="QPY119"/>
      <c r="QPZ119"/>
      <c r="QQA119"/>
      <c r="QQB119"/>
      <c r="QQC119"/>
      <c r="QQD119"/>
      <c r="QQE119"/>
      <c r="QQF119"/>
      <c r="QQG119"/>
      <c r="QQH119"/>
      <c r="QQI119"/>
      <c r="QQJ119"/>
      <c r="QQK119"/>
      <c r="QQL119"/>
      <c r="QQM119"/>
      <c r="QQN119"/>
      <c r="QQO119"/>
      <c r="QQP119"/>
      <c r="QQQ119"/>
      <c r="QQR119"/>
      <c r="QQS119"/>
      <c r="QQT119"/>
      <c r="QQU119"/>
      <c r="QQV119"/>
      <c r="QQW119"/>
      <c r="QQX119"/>
      <c r="QQY119"/>
      <c r="QQZ119"/>
      <c r="QRA119"/>
      <c r="QRB119"/>
      <c r="QRC119"/>
      <c r="QRD119"/>
      <c r="QRE119"/>
      <c r="QRF119"/>
      <c r="QRG119"/>
      <c r="QRH119"/>
      <c r="QRI119"/>
      <c r="QRJ119"/>
      <c r="QRK119"/>
      <c r="QRL119"/>
      <c r="QRM119"/>
      <c r="QRN119"/>
      <c r="QRO119"/>
      <c r="QRP119"/>
      <c r="QRQ119"/>
      <c r="QRR119"/>
      <c r="QRS119"/>
      <c r="QRT119"/>
      <c r="QRU119"/>
      <c r="QRV119"/>
      <c r="QRW119"/>
      <c r="QRX119"/>
      <c r="QRY119"/>
      <c r="QRZ119"/>
      <c r="QSA119"/>
      <c r="QSB119"/>
      <c r="QSC119"/>
      <c r="QSD119"/>
      <c r="QSE119"/>
      <c r="QSF119"/>
      <c r="QSG119"/>
      <c r="QSH119"/>
      <c r="QSI119"/>
      <c r="QSJ119"/>
      <c r="QSK119"/>
      <c r="QSL119"/>
      <c r="QSM119"/>
      <c r="QSN119"/>
      <c r="QSO119"/>
      <c r="QSP119"/>
      <c r="QSQ119"/>
      <c r="QSR119"/>
      <c r="QSS119"/>
      <c r="QST119"/>
      <c r="QSU119"/>
      <c r="QSV119"/>
      <c r="QSW119"/>
      <c r="QSX119"/>
      <c r="QSY119"/>
      <c r="QSZ119"/>
      <c r="QTA119"/>
      <c r="QTB119"/>
      <c r="QTC119"/>
      <c r="QTD119"/>
      <c r="QTE119"/>
      <c r="QTF119"/>
      <c r="QTG119"/>
      <c r="QTH119"/>
      <c r="QTI119"/>
      <c r="QTJ119"/>
      <c r="QTK119"/>
      <c r="QTL119"/>
      <c r="QTM119"/>
      <c r="QTN119"/>
      <c r="QTO119"/>
      <c r="QTP119"/>
      <c r="QTQ119"/>
      <c r="QTR119"/>
      <c r="QTS119"/>
      <c r="QTT119"/>
      <c r="QTU119"/>
      <c r="QTV119"/>
      <c r="QTW119"/>
      <c r="QTX119"/>
      <c r="QTY119"/>
      <c r="QTZ119"/>
      <c r="QUA119"/>
      <c r="QUB119"/>
      <c r="QUC119"/>
      <c r="QUD119"/>
      <c r="QUE119"/>
      <c r="QUF119"/>
      <c r="QUG119"/>
      <c r="QUH119"/>
      <c r="QUI119"/>
      <c r="QUJ119"/>
      <c r="QUK119"/>
      <c r="QUL119"/>
      <c r="QUM119"/>
      <c r="QUN119"/>
      <c r="QUO119"/>
      <c r="QUP119"/>
      <c r="QUQ119"/>
      <c r="QUR119"/>
      <c r="QUS119"/>
      <c r="QUT119"/>
      <c r="QUU119"/>
      <c r="QUV119"/>
      <c r="QUW119"/>
      <c r="QUX119"/>
      <c r="QUY119"/>
      <c r="QUZ119"/>
      <c r="QVA119"/>
      <c r="QVB119"/>
      <c r="QVC119"/>
      <c r="QVD119"/>
      <c r="QVE119"/>
      <c r="QVF119"/>
      <c r="QVG119"/>
      <c r="QVH119"/>
      <c r="QVI119"/>
      <c r="QVJ119"/>
      <c r="QVK119"/>
      <c r="QVL119"/>
      <c r="QVM119"/>
      <c r="QVN119"/>
      <c r="QVO119"/>
      <c r="QVP119"/>
      <c r="QVQ119"/>
      <c r="QVR119"/>
      <c r="QVS119"/>
      <c r="QVT119"/>
      <c r="QVU119"/>
      <c r="QVV119"/>
      <c r="QVW119"/>
      <c r="QVX119"/>
      <c r="QVY119"/>
      <c r="QVZ119"/>
      <c r="QWA119"/>
      <c r="QWB119"/>
      <c r="QWC119"/>
      <c r="QWD119"/>
      <c r="QWE119"/>
      <c r="QWF119"/>
      <c r="QWG119"/>
      <c r="QWH119"/>
      <c r="QWI119"/>
      <c r="QWJ119"/>
      <c r="QWK119"/>
      <c r="QWL119"/>
      <c r="QWM119"/>
      <c r="QWN119"/>
      <c r="QWO119"/>
      <c r="QWP119"/>
      <c r="QWQ119"/>
      <c r="QWR119"/>
      <c r="QWS119"/>
      <c r="QWT119"/>
      <c r="QWU119"/>
      <c r="QWV119"/>
      <c r="QWW119"/>
      <c r="QWX119"/>
      <c r="QWY119"/>
      <c r="QWZ119"/>
      <c r="QXA119"/>
      <c r="QXB119"/>
      <c r="QXC119"/>
      <c r="QXD119"/>
      <c r="QXE119"/>
      <c r="QXF119"/>
      <c r="QXG119"/>
      <c r="QXH119"/>
      <c r="QXI119"/>
      <c r="QXJ119"/>
      <c r="QXK119"/>
      <c r="QXL119"/>
      <c r="QXM119"/>
      <c r="QXN119"/>
      <c r="QXO119"/>
      <c r="QXP119"/>
      <c r="QXQ119"/>
      <c r="QXR119"/>
      <c r="QXS119"/>
      <c r="QXT119"/>
      <c r="QXU119"/>
      <c r="QXV119"/>
      <c r="QXW119"/>
      <c r="QXX119"/>
      <c r="QXY119"/>
      <c r="QXZ119"/>
      <c r="QYA119"/>
      <c r="QYB119"/>
      <c r="QYC119"/>
      <c r="QYD119"/>
      <c r="QYE119"/>
      <c r="QYF119"/>
      <c r="QYG119"/>
      <c r="QYH119"/>
      <c r="QYI119"/>
      <c r="QYJ119"/>
      <c r="QYK119"/>
      <c r="QYL119"/>
      <c r="QYM119"/>
      <c r="QYN119"/>
      <c r="QYO119"/>
      <c r="QYP119"/>
      <c r="QYQ119"/>
      <c r="QYR119"/>
      <c r="QYS119"/>
      <c r="QYT119"/>
      <c r="QYU119"/>
      <c r="QYV119"/>
      <c r="QYW119"/>
      <c r="QYX119"/>
      <c r="QYY119"/>
      <c r="QYZ119"/>
      <c r="QZA119"/>
      <c r="QZB119"/>
      <c r="QZC119"/>
      <c r="QZD119"/>
      <c r="QZE119"/>
      <c r="QZF119"/>
      <c r="QZG119"/>
      <c r="QZH119"/>
      <c r="QZI119"/>
      <c r="QZJ119"/>
      <c r="QZK119"/>
      <c r="QZL119"/>
      <c r="QZM119"/>
      <c r="QZN119"/>
      <c r="QZO119"/>
      <c r="QZP119"/>
      <c r="QZQ119"/>
      <c r="QZR119"/>
      <c r="QZS119"/>
      <c r="QZT119"/>
      <c r="QZU119"/>
      <c r="QZV119"/>
      <c r="QZW119"/>
      <c r="QZX119"/>
      <c r="QZY119"/>
      <c r="QZZ119"/>
      <c r="RAA119"/>
      <c r="RAB119"/>
      <c r="RAC119"/>
      <c r="RAD119"/>
      <c r="RAE119"/>
      <c r="RAF119"/>
      <c r="RAG119"/>
      <c r="RAH119"/>
      <c r="RAI119"/>
      <c r="RAJ119"/>
      <c r="RAK119"/>
      <c r="RAL119"/>
      <c r="RAM119"/>
      <c r="RAN119"/>
      <c r="RAO119"/>
      <c r="RAP119"/>
      <c r="RAQ119"/>
      <c r="RAR119"/>
      <c r="RAS119"/>
      <c r="RAT119"/>
      <c r="RAU119"/>
      <c r="RAV119"/>
      <c r="RAW119"/>
      <c r="RAX119"/>
      <c r="RAY119"/>
      <c r="RAZ119"/>
      <c r="RBA119"/>
      <c r="RBB119"/>
      <c r="RBC119"/>
      <c r="RBD119"/>
      <c r="RBE119"/>
      <c r="RBF119"/>
      <c r="RBG119"/>
      <c r="RBH119"/>
      <c r="RBI119"/>
      <c r="RBJ119"/>
      <c r="RBK119"/>
      <c r="RBL119"/>
      <c r="RBM119"/>
      <c r="RBN119"/>
      <c r="RBO119"/>
      <c r="RBP119"/>
      <c r="RBQ119"/>
      <c r="RBR119"/>
      <c r="RBS119"/>
      <c r="RBT119"/>
      <c r="RBU119"/>
      <c r="RBV119"/>
      <c r="RBW119"/>
      <c r="RBX119"/>
      <c r="RBY119"/>
      <c r="RBZ119"/>
      <c r="RCA119"/>
      <c r="RCB119"/>
      <c r="RCC119"/>
      <c r="RCD119"/>
      <c r="RCE119"/>
      <c r="RCF119"/>
      <c r="RCG119"/>
      <c r="RCH119"/>
      <c r="RCI119"/>
      <c r="RCJ119"/>
      <c r="RCK119"/>
      <c r="RCL119"/>
      <c r="RCM119"/>
      <c r="RCN119"/>
      <c r="RCO119"/>
      <c r="RCP119"/>
      <c r="RCQ119"/>
      <c r="RCR119"/>
      <c r="RCS119"/>
      <c r="RCT119"/>
      <c r="RCU119"/>
      <c r="RCV119"/>
      <c r="RCW119"/>
      <c r="RCX119"/>
      <c r="RCY119"/>
      <c r="RCZ119"/>
      <c r="RDA119"/>
      <c r="RDB119"/>
      <c r="RDC119"/>
      <c r="RDD119"/>
      <c r="RDE119"/>
      <c r="RDF119"/>
      <c r="RDG119"/>
      <c r="RDH119"/>
      <c r="RDI119"/>
      <c r="RDJ119"/>
      <c r="RDK119"/>
      <c r="RDL119"/>
      <c r="RDM119"/>
      <c r="RDN119"/>
      <c r="RDO119"/>
      <c r="RDP119"/>
      <c r="RDQ119"/>
      <c r="RDR119"/>
      <c r="RDS119"/>
      <c r="RDT119"/>
      <c r="RDU119"/>
      <c r="RDV119"/>
      <c r="RDW119"/>
      <c r="RDX119"/>
      <c r="RDY119"/>
      <c r="RDZ119"/>
      <c r="REA119"/>
      <c r="REB119"/>
      <c r="REC119"/>
      <c r="RED119"/>
      <c r="REE119"/>
      <c r="REF119"/>
      <c r="REG119"/>
      <c r="REH119"/>
      <c r="REI119"/>
      <c r="REJ119"/>
      <c r="REK119"/>
      <c r="REL119"/>
      <c r="REM119"/>
      <c r="REN119"/>
      <c r="REO119"/>
      <c r="REP119"/>
      <c r="REQ119"/>
      <c r="RER119"/>
      <c r="RES119"/>
      <c r="RET119"/>
      <c r="REU119"/>
      <c r="REV119"/>
      <c r="REW119"/>
      <c r="REX119"/>
      <c r="REY119"/>
      <c r="REZ119"/>
      <c r="RFA119"/>
      <c r="RFB119"/>
      <c r="RFC119"/>
      <c r="RFD119"/>
      <c r="RFE119"/>
      <c r="RFF119"/>
      <c r="RFG119"/>
      <c r="RFH119"/>
      <c r="RFI119"/>
      <c r="RFJ119"/>
      <c r="RFK119"/>
      <c r="RFL119"/>
      <c r="RFM119"/>
      <c r="RFN119"/>
      <c r="RFO119"/>
      <c r="RFP119"/>
      <c r="RFQ119"/>
      <c r="RFR119"/>
      <c r="RFS119"/>
      <c r="RFT119"/>
      <c r="RFU119"/>
      <c r="RFV119"/>
      <c r="RFW119"/>
      <c r="RFX119"/>
      <c r="RFY119"/>
      <c r="RFZ119"/>
      <c r="RGA119"/>
      <c r="RGB119"/>
      <c r="RGC119"/>
      <c r="RGD119"/>
      <c r="RGE119"/>
      <c r="RGF119"/>
      <c r="RGG119"/>
      <c r="RGH119"/>
      <c r="RGI119"/>
      <c r="RGJ119"/>
      <c r="RGK119"/>
      <c r="RGL119"/>
      <c r="RGM119"/>
      <c r="RGN119"/>
      <c r="RGO119"/>
      <c r="RGP119"/>
      <c r="RGQ119"/>
      <c r="RGR119"/>
      <c r="RGS119"/>
      <c r="RGT119"/>
      <c r="RGU119"/>
      <c r="RGV119"/>
      <c r="RGW119"/>
      <c r="RGX119"/>
      <c r="RGY119"/>
      <c r="RGZ119"/>
      <c r="RHA119"/>
      <c r="RHB119"/>
      <c r="RHC119"/>
      <c r="RHD119"/>
      <c r="RHE119"/>
      <c r="RHF119"/>
      <c r="RHG119"/>
      <c r="RHH119"/>
      <c r="RHI119"/>
      <c r="RHJ119"/>
      <c r="RHK119"/>
      <c r="RHL119"/>
      <c r="RHM119"/>
      <c r="RHN119"/>
      <c r="RHO119"/>
      <c r="RHP119"/>
      <c r="RHQ119"/>
      <c r="RHR119"/>
      <c r="RHS119"/>
      <c r="RHT119"/>
      <c r="RHU119"/>
      <c r="RHV119"/>
      <c r="RHW119"/>
      <c r="RHX119"/>
      <c r="RHY119"/>
      <c r="RHZ119"/>
      <c r="RIA119"/>
      <c r="RIB119"/>
      <c r="RIC119"/>
      <c r="RID119"/>
      <c r="RIE119"/>
      <c r="RIF119"/>
      <c r="RIG119"/>
      <c r="RIH119"/>
      <c r="RII119"/>
      <c r="RIJ119"/>
      <c r="RIK119"/>
      <c r="RIL119"/>
      <c r="RIM119"/>
      <c r="RIN119"/>
      <c r="RIO119"/>
      <c r="RIP119"/>
      <c r="RIQ119"/>
      <c r="RIR119"/>
      <c r="RIS119"/>
      <c r="RIT119"/>
      <c r="RIU119"/>
      <c r="RIV119"/>
      <c r="RIW119"/>
      <c r="RIX119"/>
      <c r="RIY119"/>
      <c r="RIZ119"/>
      <c r="RJA119"/>
      <c r="RJB119"/>
      <c r="RJC119"/>
      <c r="RJD119"/>
      <c r="RJE119"/>
      <c r="RJF119"/>
      <c r="RJG119"/>
      <c r="RJH119"/>
      <c r="RJI119"/>
      <c r="RJJ119"/>
      <c r="RJK119"/>
      <c r="RJL119"/>
      <c r="RJM119"/>
      <c r="RJN119"/>
      <c r="RJO119"/>
      <c r="RJP119"/>
      <c r="RJQ119"/>
      <c r="RJR119"/>
      <c r="RJS119"/>
      <c r="RJT119"/>
      <c r="RJU119"/>
      <c r="RJV119"/>
      <c r="RJW119"/>
      <c r="RJX119"/>
      <c r="RJY119"/>
      <c r="RJZ119"/>
      <c r="RKA119"/>
      <c r="RKB119"/>
      <c r="RKC119"/>
      <c r="RKD119"/>
      <c r="RKE119"/>
      <c r="RKF119"/>
      <c r="RKG119"/>
      <c r="RKH119"/>
      <c r="RKI119"/>
      <c r="RKJ119"/>
      <c r="RKK119"/>
      <c r="RKL119"/>
      <c r="RKM119"/>
      <c r="RKN119"/>
      <c r="RKO119"/>
      <c r="RKP119"/>
      <c r="RKQ119"/>
      <c r="RKR119"/>
      <c r="RKS119"/>
      <c r="RKT119"/>
      <c r="RKU119"/>
      <c r="RKV119"/>
      <c r="RKW119"/>
      <c r="RKX119"/>
      <c r="RKY119"/>
      <c r="RKZ119"/>
      <c r="RLA119"/>
      <c r="RLB119"/>
      <c r="RLC119"/>
      <c r="RLD119"/>
      <c r="RLE119"/>
      <c r="RLF119"/>
      <c r="RLG119"/>
      <c r="RLH119"/>
      <c r="RLI119"/>
      <c r="RLJ119"/>
      <c r="RLK119"/>
      <c r="RLL119"/>
      <c r="RLM119"/>
      <c r="RLN119"/>
      <c r="RLO119"/>
      <c r="RLP119"/>
      <c r="RLQ119"/>
      <c r="RLR119"/>
      <c r="RLS119"/>
      <c r="RLT119"/>
      <c r="RLU119"/>
      <c r="RLV119"/>
      <c r="RLW119"/>
      <c r="RLX119"/>
      <c r="RLY119"/>
      <c r="RLZ119"/>
      <c r="RMA119"/>
      <c r="RMB119"/>
      <c r="RMC119"/>
      <c r="RMD119"/>
      <c r="RME119"/>
      <c r="RMF119"/>
      <c r="RMG119"/>
      <c r="RMH119"/>
      <c r="RMI119"/>
      <c r="RMJ119"/>
      <c r="RMK119"/>
      <c r="RML119"/>
      <c r="RMM119"/>
      <c r="RMN119"/>
      <c r="RMO119"/>
      <c r="RMP119"/>
      <c r="RMQ119"/>
      <c r="RMR119"/>
      <c r="RMS119"/>
      <c r="RMT119"/>
      <c r="RMU119"/>
      <c r="RMV119"/>
      <c r="RMW119"/>
      <c r="RMX119"/>
      <c r="RMY119"/>
      <c r="RMZ119"/>
      <c r="RNA119"/>
      <c r="RNB119"/>
      <c r="RNC119"/>
      <c r="RND119"/>
      <c r="RNE119"/>
      <c r="RNF119"/>
      <c r="RNG119"/>
      <c r="RNH119"/>
      <c r="RNI119"/>
      <c r="RNJ119"/>
      <c r="RNK119"/>
      <c r="RNL119"/>
      <c r="RNM119"/>
      <c r="RNN119"/>
      <c r="RNO119"/>
      <c r="RNP119"/>
      <c r="RNQ119"/>
      <c r="RNR119"/>
      <c r="RNS119"/>
      <c r="RNT119"/>
      <c r="RNU119"/>
      <c r="RNV119"/>
      <c r="RNW119"/>
      <c r="RNX119"/>
      <c r="RNY119"/>
      <c r="RNZ119"/>
      <c r="ROA119"/>
      <c r="ROB119"/>
      <c r="ROC119"/>
      <c r="ROD119"/>
      <c r="ROE119"/>
      <c r="ROF119"/>
      <c r="ROG119"/>
      <c r="ROH119"/>
      <c r="ROI119"/>
      <c r="ROJ119"/>
      <c r="ROK119"/>
      <c r="ROL119"/>
      <c r="ROM119"/>
      <c r="RON119"/>
      <c r="ROO119"/>
      <c r="ROP119"/>
      <c r="ROQ119"/>
      <c r="ROR119"/>
      <c r="ROS119"/>
      <c r="ROT119"/>
      <c r="ROU119"/>
      <c r="ROV119"/>
      <c r="ROW119"/>
      <c r="ROX119"/>
      <c r="ROY119"/>
      <c r="ROZ119"/>
      <c r="RPA119"/>
      <c r="RPB119"/>
      <c r="RPC119"/>
      <c r="RPD119"/>
      <c r="RPE119"/>
      <c r="RPF119"/>
      <c r="RPG119"/>
      <c r="RPH119"/>
      <c r="RPI119"/>
      <c r="RPJ119"/>
      <c r="RPK119"/>
      <c r="RPL119"/>
      <c r="RPM119"/>
      <c r="RPN119"/>
      <c r="RPO119"/>
      <c r="RPP119"/>
      <c r="RPQ119"/>
      <c r="RPR119"/>
      <c r="RPS119"/>
      <c r="RPT119"/>
      <c r="RPU119"/>
      <c r="RPV119"/>
      <c r="RPW119"/>
      <c r="RPX119"/>
      <c r="RPY119"/>
      <c r="RPZ119"/>
      <c r="RQA119"/>
      <c r="RQB119"/>
      <c r="RQC119"/>
      <c r="RQD119"/>
      <c r="RQE119"/>
      <c r="RQF119"/>
      <c r="RQG119"/>
      <c r="RQH119"/>
      <c r="RQI119"/>
      <c r="RQJ119"/>
      <c r="RQK119"/>
      <c r="RQL119"/>
      <c r="RQM119"/>
      <c r="RQN119"/>
      <c r="RQO119"/>
      <c r="RQP119"/>
      <c r="RQQ119"/>
      <c r="RQR119"/>
      <c r="RQS119"/>
      <c r="RQT119"/>
      <c r="RQU119"/>
      <c r="RQV119"/>
      <c r="RQW119"/>
      <c r="RQX119"/>
      <c r="RQY119"/>
      <c r="RQZ119"/>
      <c r="RRA119"/>
      <c r="RRB119"/>
      <c r="RRC119"/>
      <c r="RRD119"/>
      <c r="RRE119"/>
      <c r="RRF119"/>
      <c r="RRG119"/>
      <c r="RRH119"/>
      <c r="RRI119"/>
      <c r="RRJ119"/>
      <c r="RRK119"/>
      <c r="RRL119"/>
      <c r="RRM119"/>
      <c r="RRN119"/>
      <c r="RRO119"/>
      <c r="RRP119"/>
      <c r="RRQ119"/>
      <c r="RRR119"/>
      <c r="RRS119"/>
      <c r="RRT119"/>
      <c r="RRU119"/>
      <c r="RRV119"/>
      <c r="RRW119"/>
      <c r="RRX119"/>
      <c r="RRY119"/>
      <c r="RRZ119"/>
      <c r="RSA119"/>
      <c r="RSB119"/>
      <c r="RSC119"/>
      <c r="RSD119"/>
      <c r="RSE119"/>
      <c r="RSF119"/>
      <c r="RSG119"/>
      <c r="RSH119"/>
      <c r="RSI119"/>
      <c r="RSJ119"/>
      <c r="RSK119"/>
      <c r="RSL119"/>
      <c r="RSM119"/>
      <c r="RSN119"/>
      <c r="RSO119"/>
      <c r="RSP119"/>
      <c r="RSQ119"/>
      <c r="RSR119"/>
      <c r="RSS119"/>
      <c r="RST119"/>
      <c r="RSU119"/>
      <c r="RSV119"/>
      <c r="RSW119"/>
      <c r="RSX119"/>
      <c r="RSY119"/>
      <c r="RSZ119"/>
      <c r="RTA119"/>
      <c r="RTB119"/>
      <c r="RTC119"/>
      <c r="RTD119"/>
      <c r="RTE119"/>
      <c r="RTF119"/>
      <c r="RTG119"/>
      <c r="RTH119"/>
      <c r="RTI119"/>
      <c r="RTJ119"/>
      <c r="RTK119"/>
      <c r="RTL119"/>
      <c r="RTM119"/>
      <c r="RTN119"/>
      <c r="RTO119"/>
      <c r="RTP119"/>
      <c r="RTQ119"/>
      <c r="RTR119"/>
      <c r="RTS119"/>
      <c r="RTT119"/>
      <c r="RTU119"/>
      <c r="RTV119"/>
      <c r="RTW119"/>
      <c r="RTX119"/>
      <c r="RTY119"/>
      <c r="RTZ119"/>
      <c r="RUA119"/>
      <c r="RUB119"/>
      <c r="RUC119"/>
      <c r="RUD119"/>
      <c r="RUE119"/>
      <c r="RUF119"/>
      <c r="RUG119"/>
      <c r="RUH119"/>
      <c r="RUI119"/>
      <c r="RUJ119"/>
      <c r="RUK119"/>
      <c r="RUL119"/>
      <c r="RUM119"/>
      <c r="RUN119"/>
      <c r="RUO119"/>
      <c r="RUP119"/>
      <c r="RUQ119"/>
      <c r="RUR119"/>
      <c r="RUS119"/>
      <c r="RUT119"/>
      <c r="RUU119"/>
      <c r="RUV119"/>
      <c r="RUW119"/>
      <c r="RUX119"/>
      <c r="RUY119"/>
      <c r="RUZ119"/>
      <c r="RVA119"/>
      <c r="RVB119"/>
      <c r="RVC119"/>
      <c r="RVD119"/>
      <c r="RVE119"/>
      <c r="RVF119"/>
      <c r="RVG119"/>
      <c r="RVH119"/>
      <c r="RVI119"/>
      <c r="RVJ119"/>
      <c r="RVK119"/>
      <c r="RVL119"/>
      <c r="RVM119"/>
      <c r="RVN119"/>
      <c r="RVO119"/>
      <c r="RVP119"/>
      <c r="RVQ119"/>
      <c r="RVR119"/>
      <c r="RVS119"/>
      <c r="RVT119"/>
      <c r="RVU119"/>
      <c r="RVV119"/>
      <c r="RVW119"/>
      <c r="RVX119"/>
      <c r="RVY119"/>
      <c r="RVZ119"/>
      <c r="RWA119"/>
      <c r="RWB119"/>
      <c r="RWC119"/>
      <c r="RWD119"/>
      <c r="RWE119"/>
      <c r="RWF119"/>
      <c r="RWG119"/>
      <c r="RWH119"/>
      <c r="RWI119"/>
      <c r="RWJ119"/>
      <c r="RWK119"/>
      <c r="RWL119"/>
      <c r="RWM119"/>
      <c r="RWN119"/>
      <c r="RWO119"/>
      <c r="RWP119"/>
      <c r="RWQ119"/>
      <c r="RWR119"/>
      <c r="RWS119"/>
      <c r="RWT119"/>
      <c r="RWU119"/>
      <c r="RWV119"/>
      <c r="RWW119"/>
      <c r="RWX119"/>
      <c r="RWY119"/>
      <c r="RWZ119"/>
      <c r="RXA119"/>
      <c r="RXB119"/>
      <c r="RXC119"/>
      <c r="RXD119"/>
      <c r="RXE119"/>
      <c r="RXF119"/>
      <c r="RXG119"/>
      <c r="RXH119"/>
      <c r="RXI119"/>
      <c r="RXJ119"/>
      <c r="RXK119"/>
      <c r="RXL119"/>
      <c r="RXM119"/>
      <c r="RXN119"/>
      <c r="RXO119"/>
      <c r="RXP119"/>
      <c r="RXQ119"/>
      <c r="RXR119"/>
      <c r="RXS119"/>
      <c r="RXT119"/>
      <c r="RXU119"/>
      <c r="RXV119"/>
      <c r="RXW119"/>
      <c r="RXX119"/>
      <c r="RXY119"/>
      <c r="RXZ119"/>
      <c r="RYA119"/>
      <c r="RYB119"/>
      <c r="RYC119"/>
      <c r="RYD119"/>
      <c r="RYE119"/>
      <c r="RYF119"/>
      <c r="RYG119"/>
      <c r="RYH119"/>
      <c r="RYI119"/>
      <c r="RYJ119"/>
      <c r="RYK119"/>
      <c r="RYL119"/>
      <c r="RYM119"/>
      <c r="RYN119"/>
      <c r="RYO119"/>
      <c r="RYP119"/>
      <c r="RYQ119"/>
      <c r="RYR119"/>
      <c r="RYS119"/>
      <c r="RYT119"/>
      <c r="RYU119"/>
      <c r="RYV119"/>
      <c r="RYW119"/>
      <c r="RYX119"/>
      <c r="RYY119"/>
      <c r="RYZ119"/>
      <c r="RZA119"/>
      <c r="RZB119"/>
      <c r="RZC119"/>
      <c r="RZD119"/>
      <c r="RZE119"/>
      <c r="RZF119"/>
      <c r="RZG119"/>
      <c r="RZH119"/>
      <c r="RZI119"/>
      <c r="RZJ119"/>
      <c r="RZK119"/>
      <c r="RZL119"/>
      <c r="RZM119"/>
      <c r="RZN119"/>
      <c r="RZO119"/>
      <c r="RZP119"/>
      <c r="RZQ119"/>
      <c r="RZR119"/>
      <c r="RZS119"/>
      <c r="RZT119"/>
      <c r="RZU119"/>
      <c r="RZV119"/>
      <c r="RZW119"/>
      <c r="RZX119"/>
      <c r="RZY119"/>
      <c r="RZZ119"/>
      <c r="SAA119"/>
      <c r="SAB119"/>
      <c r="SAC119"/>
      <c r="SAD119"/>
      <c r="SAE119"/>
      <c r="SAF119"/>
      <c r="SAG119"/>
      <c r="SAH119"/>
      <c r="SAI119"/>
      <c r="SAJ119"/>
      <c r="SAK119"/>
      <c r="SAL119"/>
      <c r="SAM119"/>
      <c r="SAN119"/>
      <c r="SAO119"/>
      <c r="SAP119"/>
      <c r="SAQ119"/>
      <c r="SAR119"/>
      <c r="SAS119"/>
      <c r="SAT119"/>
      <c r="SAU119"/>
      <c r="SAV119"/>
      <c r="SAW119"/>
      <c r="SAX119"/>
      <c r="SAY119"/>
      <c r="SAZ119"/>
      <c r="SBA119"/>
      <c r="SBB119"/>
      <c r="SBC119"/>
      <c r="SBD119"/>
      <c r="SBE119"/>
      <c r="SBF119"/>
      <c r="SBG119"/>
      <c r="SBH119"/>
      <c r="SBI119"/>
      <c r="SBJ119"/>
      <c r="SBK119"/>
      <c r="SBL119"/>
      <c r="SBM119"/>
      <c r="SBN119"/>
      <c r="SBO119"/>
      <c r="SBP119"/>
      <c r="SBQ119"/>
      <c r="SBR119"/>
      <c r="SBS119"/>
      <c r="SBT119"/>
      <c r="SBU119"/>
      <c r="SBV119"/>
      <c r="SBW119"/>
      <c r="SBX119"/>
      <c r="SBY119"/>
      <c r="SBZ119"/>
      <c r="SCA119"/>
      <c r="SCB119"/>
      <c r="SCC119"/>
      <c r="SCD119"/>
      <c r="SCE119"/>
      <c r="SCF119"/>
      <c r="SCG119"/>
      <c r="SCH119"/>
      <c r="SCI119"/>
      <c r="SCJ119"/>
      <c r="SCK119"/>
      <c r="SCL119"/>
      <c r="SCM119"/>
      <c r="SCN119"/>
      <c r="SCO119"/>
      <c r="SCP119"/>
      <c r="SCQ119"/>
      <c r="SCR119"/>
      <c r="SCS119"/>
      <c r="SCT119"/>
      <c r="SCU119"/>
      <c r="SCV119"/>
      <c r="SCW119"/>
      <c r="SCX119"/>
      <c r="SCY119"/>
      <c r="SCZ119"/>
      <c r="SDA119"/>
      <c r="SDB119"/>
      <c r="SDC119"/>
      <c r="SDD119"/>
      <c r="SDE119"/>
      <c r="SDF119"/>
      <c r="SDG119"/>
      <c r="SDH119"/>
      <c r="SDI119"/>
      <c r="SDJ119"/>
      <c r="SDK119"/>
      <c r="SDL119"/>
      <c r="SDM119"/>
      <c r="SDN119"/>
      <c r="SDO119"/>
      <c r="SDP119"/>
      <c r="SDQ119"/>
      <c r="SDR119"/>
      <c r="SDS119"/>
      <c r="SDT119"/>
      <c r="SDU119"/>
      <c r="SDV119"/>
      <c r="SDW119"/>
      <c r="SDX119"/>
      <c r="SDY119"/>
      <c r="SDZ119"/>
      <c r="SEA119"/>
      <c r="SEB119"/>
      <c r="SEC119"/>
      <c r="SED119"/>
      <c r="SEE119"/>
      <c r="SEF119"/>
      <c r="SEG119"/>
      <c r="SEH119"/>
      <c r="SEI119"/>
      <c r="SEJ119"/>
      <c r="SEK119"/>
      <c r="SEL119"/>
      <c r="SEM119"/>
      <c r="SEN119"/>
      <c r="SEO119"/>
      <c r="SEP119"/>
      <c r="SEQ119"/>
      <c r="SER119"/>
      <c r="SES119"/>
      <c r="SET119"/>
      <c r="SEU119"/>
      <c r="SEV119"/>
      <c r="SEW119"/>
      <c r="SEX119"/>
      <c r="SEY119"/>
      <c r="SEZ119"/>
      <c r="SFA119"/>
      <c r="SFB119"/>
      <c r="SFC119"/>
      <c r="SFD119"/>
      <c r="SFE119"/>
      <c r="SFF119"/>
      <c r="SFG119"/>
      <c r="SFH119"/>
      <c r="SFI119"/>
      <c r="SFJ119"/>
      <c r="SFK119"/>
      <c r="SFL119"/>
      <c r="SFM119"/>
      <c r="SFN119"/>
      <c r="SFO119"/>
      <c r="SFP119"/>
      <c r="SFQ119"/>
      <c r="SFR119"/>
      <c r="SFS119"/>
      <c r="SFT119"/>
      <c r="SFU119"/>
      <c r="SFV119"/>
      <c r="SFW119"/>
      <c r="SFX119"/>
      <c r="SFY119"/>
      <c r="SFZ119"/>
      <c r="SGA119"/>
      <c r="SGB119"/>
      <c r="SGC119"/>
      <c r="SGD119"/>
      <c r="SGE119"/>
      <c r="SGF119"/>
      <c r="SGG119"/>
      <c r="SGH119"/>
      <c r="SGI119"/>
      <c r="SGJ119"/>
      <c r="SGK119"/>
      <c r="SGL119"/>
      <c r="SGM119"/>
      <c r="SGN119"/>
      <c r="SGO119"/>
      <c r="SGP119"/>
      <c r="SGQ119"/>
      <c r="SGR119"/>
      <c r="SGS119"/>
      <c r="SGT119"/>
      <c r="SGU119"/>
      <c r="SGV119"/>
      <c r="SGW119"/>
      <c r="SGX119"/>
      <c r="SGY119"/>
      <c r="SGZ119"/>
      <c r="SHA119"/>
      <c r="SHB119"/>
      <c r="SHC119"/>
      <c r="SHD119"/>
      <c r="SHE119"/>
      <c r="SHF119"/>
      <c r="SHG119"/>
      <c r="SHH119"/>
      <c r="SHI119"/>
      <c r="SHJ119"/>
      <c r="SHK119"/>
      <c r="SHL119"/>
      <c r="SHM119"/>
      <c r="SHN119"/>
      <c r="SHO119"/>
      <c r="SHP119"/>
      <c r="SHQ119"/>
      <c r="SHR119"/>
      <c r="SHS119"/>
      <c r="SHT119"/>
      <c r="SHU119"/>
      <c r="SHV119"/>
      <c r="SHW119"/>
      <c r="SHX119"/>
      <c r="SHY119"/>
      <c r="SHZ119"/>
      <c r="SIA119"/>
      <c r="SIB119"/>
      <c r="SIC119"/>
      <c r="SID119"/>
      <c r="SIE119"/>
      <c r="SIF119"/>
      <c r="SIG119"/>
      <c r="SIH119"/>
      <c r="SII119"/>
      <c r="SIJ119"/>
      <c r="SIK119"/>
      <c r="SIL119"/>
      <c r="SIM119"/>
      <c r="SIN119"/>
      <c r="SIO119"/>
      <c r="SIP119"/>
      <c r="SIQ119"/>
      <c r="SIR119"/>
      <c r="SIS119"/>
      <c r="SIT119"/>
      <c r="SIU119"/>
      <c r="SIV119"/>
      <c r="SIW119"/>
      <c r="SIX119"/>
      <c r="SIY119"/>
      <c r="SIZ119"/>
      <c r="SJA119"/>
      <c r="SJB119"/>
      <c r="SJC119"/>
      <c r="SJD119"/>
      <c r="SJE119"/>
      <c r="SJF119"/>
      <c r="SJG119"/>
      <c r="SJH119"/>
      <c r="SJI119"/>
      <c r="SJJ119"/>
      <c r="SJK119"/>
      <c r="SJL119"/>
      <c r="SJM119"/>
      <c r="SJN119"/>
      <c r="SJO119"/>
      <c r="SJP119"/>
      <c r="SJQ119"/>
      <c r="SJR119"/>
      <c r="SJS119"/>
      <c r="SJT119"/>
      <c r="SJU119"/>
      <c r="SJV119"/>
      <c r="SJW119"/>
      <c r="SJX119"/>
      <c r="SJY119"/>
      <c r="SJZ119"/>
      <c r="SKA119"/>
      <c r="SKB119"/>
      <c r="SKC119"/>
      <c r="SKD119"/>
      <c r="SKE119"/>
      <c r="SKF119"/>
      <c r="SKG119"/>
      <c r="SKH119"/>
      <c r="SKI119"/>
      <c r="SKJ119"/>
      <c r="SKK119"/>
      <c r="SKL119"/>
      <c r="SKM119"/>
      <c r="SKN119"/>
      <c r="SKO119"/>
      <c r="SKP119"/>
      <c r="SKQ119"/>
      <c r="SKR119"/>
      <c r="SKS119"/>
      <c r="SKT119"/>
      <c r="SKU119"/>
      <c r="SKV119"/>
      <c r="SKW119"/>
      <c r="SKX119"/>
      <c r="SKY119"/>
      <c r="SKZ119"/>
      <c r="SLA119"/>
      <c r="SLB119"/>
      <c r="SLC119"/>
      <c r="SLD119"/>
      <c r="SLE119"/>
      <c r="SLF119"/>
      <c r="SLG119"/>
      <c r="SLH119"/>
      <c r="SLI119"/>
      <c r="SLJ119"/>
      <c r="SLK119"/>
      <c r="SLL119"/>
      <c r="SLM119"/>
      <c r="SLN119"/>
      <c r="SLO119"/>
      <c r="SLP119"/>
      <c r="SLQ119"/>
      <c r="SLR119"/>
      <c r="SLS119"/>
      <c r="SLT119"/>
      <c r="SLU119"/>
      <c r="SLV119"/>
      <c r="SLW119"/>
      <c r="SLX119"/>
      <c r="SLY119"/>
      <c r="SLZ119"/>
      <c r="SMA119"/>
      <c r="SMB119"/>
      <c r="SMC119"/>
      <c r="SMD119"/>
      <c r="SME119"/>
      <c r="SMF119"/>
      <c r="SMG119"/>
      <c r="SMH119"/>
      <c r="SMI119"/>
      <c r="SMJ119"/>
      <c r="SMK119"/>
      <c r="SML119"/>
      <c r="SMM119"/>
      <c r="SMN119"/>
      <c r="SMO119"/>
      <c r="SMP119"/>
      <c r="SMQ119"/>
      <c r="SMR119"/>
      <c r="SMS119"/>
      <c r="SMT119"/>
      <c r="SMU119"/>
      <c r="SMV119"/>
      <c r="SMW119"/>
      <c r="SMX119"/>
      <c r="SMY119"/>
      <c r="SMZ119"/>
      <c r="SNA119"/>
      <c r="SNB119"/>
      <c r="SNC119"/>
      <c r="SND119"/>
      <c r="SNE119"/>
      <c r="SNF119"/>
      <c r="SNG119"/>
      <c r="SNH119"/>
      <c r="SNI119"/>
      <c r="SNJ119"/>
      <c r="SNK119"/>
      <c r="SNL119"/>
      <c r="SNM119"/>
      <c r="SNN119"/>
      <c r="SNO119"/>
      <c r="SNP119"/>
      <c r="SNQ119"/>
      <c r="SNR119"/>
      <c r="SNS119"/>
      <c r="SNT119"/>
      <c r="SNU119"/>
      <c r="SNV119"/>
      <c r="SNW119"/>
      <c r="SNX119"/>
      <c r="SNY119"/>
      <c r="SNZ119"/>
      <c r="SOA119"/>
      <c r="SOB119"/>
      <c r="SOC119"/>
      <c r="SOD119"/>
      <c r="SOE119"/>
      <c r="SOF119"/>
      <c r="SOG119"/>
      <c r="SOH119"/>
      <c r="SOI119"/>
      <c r="SOJ119"/>
      <c r="SOK119"/>
      <c r="SOL119"/>
      <c r="SOM119"/>
      <c r="SON119"/>
      <c r="SOO119"/>
      <c r="SOP119"/>
      <c r="SOQ119"/>
      <c r="SOR119"/>
      <c r="SOS119"/>
      <c r="SOT119"/>
      <c r="SOU119"/>
      <c r="SOV119"/>
      <c r="SOW119"/>
      <c r="SOX119"/>
      <c r="SOY119"/>
      <c r="SOZ119"/>
      <c r="SPA119"/>
      <c r="SPB119"/>
      <c r="SPC119"/>
      <c r="SPD119"/>
      <c r="SPE119"/>
      <c r="SPF119"/>
      <c r="SPG119"/>
      <c r="SPH119"/>
      <c r="SPI119"/>
      <c r="SPJ119"/>
      <c r="SPK119"/>
      <c r="SPL119"/>
      <c r="SPM119"/>
      <c r="SPN119"/>
      <c r="SPO119"/>
      <c r="SPP119"/>
      <c r="SPQ119"/>
      <c r="SPR119"/>
      <c r="SPS119"/>
      <c r="SPT119"/>
      <c r="SPU119"/>
      <c r="SPV119"/>
      <c r="SPW119"/>
      <c r="SPX119"/>
      <c r="SPY119"/>
      <c r="SPZ119"/>
      <c r="SQA119"/>
      <c r="SQB119"/>
      <c r="SQC119"/>
      <c r="SQD119"/>
      <c r="SQE119"/>
      <c r="SQF119"/>
      <c r="SQG119"/>
      <c r="SQH119"/>
      <c r="SQI119"/>
      <c r="SQJ119"/>
      <c r="SQK119"/>
      <c r="SQL119"/>
      <c r="SQM119"/>
      <c r="SQN119"/>
      <c r="SQO119"/>
      <c r="SQP119"/>
      <c r="SQQ119"/>
      <c r="SQR119"/>
      <c r="SQS119"/>
      <c r="SQT119"/>
      <c r="SQU119"/>
      <c r="SQV119"/>
      <c r="SQW119"/>
      <c r="SQX119"/>
      <c r="SQY119"/>
      <c r="SQZ119"/>
      <c r="SRA119"/>
      <c r="SRB119"/>
      <c r="SRC119"/>
      <c r="SRD119"/>
      <c r="SRE119"/>
      <c r="SRF119"/>
      <c r="SRG119"/>
      <c r="SRH119"/>
      <c r="SRI119"/>
      <c r="SRJ119"/>
      <c r="SRK119"/>
      <c r="SRL119"/>
      <c r="SRM119"/>
      <c r="SRN119"/>
      <c r="SRO119"/>
      <c r="SRP119"/>
      <c r="SRQ119"/>
      <c r="SRR119"/>
      <c r="SRS119"/>
      <c r="SRT119"/>
      <c r="SRU119"/>
      <c r="SRV119"/>
      <c r="SRW119"/>
      <c r="SRX119"/>
      <c r="SRY119"/>
      <c r="SRZ119"/>
      <c r="SSA119"/>
      <c r="SSB119"/>
      <c r="SSC119"/>
      <c r="SSD119"/>
      <c r="SSE119"/>
      <c r="SSF119"/>
      <c r="SSG119"/>
      <c r="SSH119"/>
      <c r="SSI119"/>
      <c r="SSJ119"/>
      <c r="SSK119"/>
      <c r="SSL119"/>
      <c r="SSM119"/>
      <c r="SSN119"/>
      <c r="SSO119"/>
      <c r="SSP119"/>
      <c r="SSQ119"/>
      <c r="SSR119"/>
      <c r="SSS119"/>
      <c r="SST119"/>
      <c r="SSU119"/>
      <c r="SSV119"/>
      <c r="SSW119"/>
      <c r="SSX119"/>
      <c r="SSY119"/>
      <c r="SSZ119"/>
      <c r="STA119"/>
      <c r="STB119"/>
      <c r="STC119"/>
      <c r="STD119"/>
      <c r="STE119"/>
      <c r="STF119"/>
      <c r="STG119"/>
      <c r="STH119"/>
      <c r="STI119"/>
      <c r="STJ119"/>
      <c r="STK119"/>
      <c r="STL119"/>
      <c r="STM119"/>
      <c r="STN119"/>
      <c r="STO119"/>
      <c r="STP119"/>
      <c r="STQ119"/>
      <c r="STR119"/>
      <c r="STS119"/>
      <c r="STT119"/>
      <c r="STU119"/>
      <c r="STV119"/>
      <c r="STW119"/>
      <c r="STX119"/>
      <c r="STY119"/>
      <c r="STZ119"/>
      <c r="SUA119"/>
      <c r="SUB119"/>
      <c r="SUC119"/>
      <c r="SUD119"/>
      <c r="SUE119"/>
      <c r="SUF119"/>
      <c r="SUG119"/>
      <c r="SUH119"/>
      <c r="SUI119"/>
      <c r="SUJ119"/>
      <c r="SUK119"/>
      <c r="SUL119"/>
      <c r="SUM119"/>
      <c r="SUN119"/>
      <c r="SUO119"/>
      <c r="SUP119"/>
      <c r="SUQ119"/>
      <c r="SUR119"/>
      <c r="SUS119"/>
      <c r="SUT119"/>
      <c r="SUU119"/>
      <c r="SUV119"/>
      <c r="SUW119"/>
      <c r="SUX119"/>
      <c r="SUY119"/>
      <c r="SUZ119"/>
      <c r="SVA119"/>
      <c r="SVB119"/>
      <c r="SVC119"/>
      <c r="SVD119"/>
      <c r="SVE119"/>
      <c r="SVF119"/>
      <c r="SVG119"/>
      <c r="SVH119"/>
      <c r="SVI119"/>
      <c r="SVJ119"/>
      <c r="SVK119"/>
      <c r="SVL119"/>
      <c r="SVM119"/>
      <c r="SVN119"/>
      <c r="SVO119"/>
      <c r="SVP119"/>
      <c r="SVQ119"/>
      <c r="SVR119"/>
      <c r="SVS119"/>
      <c r="SVT119"/>
      <c r="SVU119"/>
      <c r="SVV119"/>
      <c r="SVW119"/>
      <c r="SVX119"/>
      <c r="SVY119"/>
      <c r="SVZ119"/>
      <c r="SWA119"/>
      <c r="SWB119"/>
      <c r="SWC119"/>
      <c r="SWD119"/>
      <c r="SWE119"/>
      <c r="SWF119"/>
      <c r="SWG119"/>
      <c r="SWH119"/>
      <c r="SWI119"/>
      <c r="SWJ119"/>
      <c r="SWK119"/>
      <c r="SWL119"/>
      <c r="SWM119"/>
      <c r="SWN119"/>
      <c r="SWO119"/>
      <c r="SWP119"/>
      <c r="SWQ119"/>
      <c r="SWR119"/>
      <c r="SWS119"/>
      <c r="SWT119"/>
      <c r="SWU119"/>
      <c r="SWV119"/>
      <c r="SWW119"/>
      <c r="SWX119"/>
      <c r="SWY119"/>
      <c r="SWZ119"/>
      <c r="SXA119"/>
      <c r="SXB119"/>
      <c r="SXC119"/>
      <c r="SXD119"/>
      <c r="SXE119"/>
      <c r="SXF119"/>
      <c r="SXG119"/>
      <c r="SXH119"/>
      <c r="SXI119"/>
      <c r="SXJ119"/>
      <c r="SXK119"/>
      <c r="SXL119"/>
      <c r="SXM119"/>
      <c r="SXN119"/>
      <c r="SXO119"/>
      <c r="SXP119"/>
      <c r="SXQ119"/>
      <c r="SXR119"/>
      <c r="SXS119"/>
      <c r="SXT119"/>
      <c r="SXU119"/>
      <c r="SXV119"/>
      <c r="SXW119"/>
      <c r="SXX119"/>
      <c r="SXY119"/>
      <c r="SXZ119"/>
      <c r="SYA119"/>
      <c r="SYB119"/>
      <c r="SYC119"/>
      <c r="SYD119"/>
      <c r="SYE119"/>
      <c r="SYF119"/>
      <c r="SYG119"/>
      <c r="SYH119"/>
      <c r="SYI119"/>
      <c r="SYJ119"/>
      <c r="SYK119"/>
      <c r="SYL119"/>
      <c r="SYM119"/>
      <c r="SYN119"/>
      <c r="SYO119"/>
      <c r="SYP119"/>
      <c r="SYQ119"/>
      <c r="SYR119"/>
      <c r="SYS119"/>
      <c r="SYT119"/>
      <c r="SYU119"/>
      <c r="SYV119"/>
      <c r="SYW119"/>
      <c r="SYX119"/>
      <c r="SYY119"/>
      <c r="SYZ119"/>
      <c r="SZA119"/>
      <c r="SZB119"/>
      <c r="SZC119"/>
      <c r="SZD119"/>
      <c r="SZE119"/>
      <c r="SZF119"/>
      <c r="SZG119"/>
      <c r="SZH119"/>
      <c r="SZI119"/>
      <c r="SZJ119"/>
      <c r="SZK119"/>
      <c r="SZL119"/>
      <c r="SZM119"/>
      <c r="SZN119"/>
      <c r="SZO119"/>
      <c r="SZP119"/>
      <c r="SZQ119"/>
      <c r="SZR119"/>
      <c r="SZS119"/>
      <c r="SZT119"/>
      <c r="SZU119"/>
      <c r="SZV119"/>
      <c r="SZW119"/>
      <c r="SZX119"/>
      <c r="SZY119"/>
      <c r="SZZ119"/>
      <c r="TAA119"/>
      <c r="TAB119"/>
      <c r="TAC119"/>
      <c r="TAD119"/>
      <c r="TAE119"/>
      <c r="TAF119"/>
      <c r="TAG119"/>
      <c r="TAH119"/>
      <c r="TAI119"/>
      <c r="TAJ119"/>
      <c r="TAK119"/>
      <c r="TAL119"/>
      <c r="TAM119"/>
      <c r="TAN119"/>
      <c r="TAO119"/>
      <c r="TAP119"/>
      <c r="TAQ119"/>
      <c r="TAR119"/>
      <c r="TAS119"/>
      <c r="TAT119"/>
      <c r="TAU119"/>
      <c r="TAV119"/>
      <c r="TAW119"/>
      <c r="TAX119"/>
      <c r="TAY119"/>
      <c r="TAZ119"/>
      <c r="TBA119"/>
      <c r="TBB119"/>
      <c r="TBC119"/>
      <c r="TBD119"/>
      <c r="TBE119"/>
      <c r="TBF119"/>
      <c r="TBG119"/>
      <c r="TBH119"/>
      <c r="TBI119"/>
      <c r="TBJ119"/>
      <c r="TBK119"/>
      <c r="TBL119"/>
      <c r="TBM119"/>
      <c r="TBN119"/>
      <c r="TBO119"/>
      <c r="TBP119"/>
      <c r="TBQ119"/>
      <c r="TBR119"/>
      <c r="TBS119"/>
      <c r="TBT119"/>
      <c r="TBU119"/>
      <c r="TBV119"/>
      <c r="TBW119"/>
      <c r="TBX119"/>
      <c r="TBY119"/>
      <c r="TBZ119"/>
      <c r="TCA119"/>
      <c r="TCB119"/>
      <c r="TCC119"/>
      <c r="TCD119"/>
      <c r="TCE119"/>
      <c r="TCF119"/>
      <c r="TCG119"/>
      <c r="TCH119"/>
      <c r="TCI119"/>
      <c r="TCJ119"/>
      <c r="TCK119"/>
      <c r="TCL119"/>
      <c r="TCM119"/>
      <c r="TCN119"/>
      <c r="TCO119"/>
      <c r="TCP119"/>
      <c r="TCQ119"/>
      <c r="TCR119"/>
      <c r="TCS119"/>
      <c r="TCT119"/>
      <c r="TCU119"/>
      <c r="TCV119"/>
      <c r="TCW119"/>
      <c r="TCX119"/>
      <c r="TCY119"/>
      <c r="TCZ119"/>
      <c r="TDA119"/>
      <c r="TDB119"/>
      <c r="TDC119"/>
      <c r="TDD119"/>
      <c r="TDE119"/>
      <c r="TDF119"/>
      <c r="TDG119"/>
      <c r="TDH119"/>
      <c r="TDI119"/>
      <c r="TDJ119"/>
      <c r="TDK119"/>
      <c r="TDL119"/>
      <c r="TDM119"/>
      <c r="TDN119"/>
      <c r="TDO119"/>
      <c r="TDP119"/>
      <c r="TDQ119"/>
      <c r="TDR119"/>
      <c r="TDS119"/>
      <c r="TDT119"/>
      <c r="TDU119"/>
      <c r="TDV119"/>
      <c r="TDW119"/>
      <c r="TDX119"/>
      <c r="TDY119"/>
      <c r="TDZ119"/>
      <c r="TEA119"/>
      <c r="TEB119"/>
      <c r="TEC119"/>
      <c r="TED119"/>
      <c r="TEE119"/>
      <c r="TEF119"/>
      <c r="TEG119"/>
      <c r="TEH119"/>
      <c r="TEI119"/>
      <c r="TEJ119"/>
      <c r="TEK119"/>
      <c r="TEL119"/>
      <c r="TEM119"/>
      <c r="TEN119"/>
      <c r="TEO119"/>
      <c r="TEP119"/>
      <c r="TEQ119"/>
      <c r="TER119"/>
      <c r="TES119"/>
      <c r="TET119"/>
      <c r="TEU119"/>
      <c r="TEV119"/>
      <c r="TEW119"/>
      <c r="TEX119"/>
      <c r="TEY119"/>
      <c r="TEZ119"/>
      <c r="TFA119"/>
      <c r="TFB119"/>
      <c r="TFC119"/>
      <c r="TFD119"/>
      <c r="TFE119"/>
      <c r="TFF119"/>
      <c r="TFG119"/>
      <c r="TFH119"/>
      <c r="TFI119"/>
      <c r="TFJ119"/>
      <c r="TFK119"/>
      <c r="TFL119"/>
      <c r="TFM119"/>
      <c r="TFN119"/>
      <c r="TFO119"/>
      <c r="TFP119"/>
      <c r="TFQ119"/>
      <c r="TFR119"/>
      <c r="TFS119"/>
      <c r="TFT119"/>
      <c r="TFU119"/>
      <c r="TFV119"/>
      <c r="TFW119"/>
      <c r="TFX119"/>
      <c r="TFY119"/>
      <c r="TFZ119"/>
      <c r="TGA119"/>
      <c r="TGB119"/>
      <c r="TGC119"/>
      <c r="TGD119"/>
      <c r="TGE119"/>
      <c r="TGF119"/>
      <c r="TGG119"/>
      <c r="TGH119"/>
      <c r="TGI119"/>
      <c r="TGJ119"/>
      <c r="TGK119"/>
      <c r="TGL119"/>
      <c r="TGM119"/>
      <c r="TGN119"/>
      <c r="TGO119"/>
      <c r="TGP119"/>
      <c r="TGQ119"/>
      <c r="TGR119"/>
      <c r="TGS119"/>
      <c r="TGT119"/>
      <c r="TGU119"/>
      <c r="TGV119"/>
      <c r="TGW119"/>
      <c r="TGX119"/>
      <c r="TGY119"/>
      <c r="TGZ119"/>
      <c r="THA119"/>
      <c r="THB119"/>
      <c r="THC119"/>
      <c r="THD119"/>
      <c r="THE119"/>
      <c r="THF119"/>
      <c r="THG119"/>
      <c r="THH119"/>
      <c r="THI119"/>
      <c r="THJ119"/>
      <c r="THK119"/>
      <c r="THL119"/>
      <c r="THM119"/>
      <c r="THN119"/>
      <c r="THO119"/>
      <c r="THP119"/>
      <c r="THQ119"/>
      <c r="THR119"/>
      <c r="THS119"/>
      <c r="THT119"/>
      <c r="THU119"/>
      <c r="THV119"/>
      <c r="THW119"/>
      <c r="THX119"/>
      <c r="THY119"/>
      <c r="THZ119"/>
      <c r="TIA119"/>
      <c r="TIB119"/>
      <c r="TIC119"/>
      <c r="TID119"/>
      <c r="TIE119"/>
      <c r="TIF119"/>
      <c r="TIG119"/>
      <c r="TIH119"/>
      <c r="TII119"/>
      <c r="TIJ119"/>
      <c r="TIK119"/>
      <c r="TIL119"/>
      <c r="TIM119"/>
      <c r="TIN119"/>
      <c r="TIO119"/>
      <c r="TIP119"/>
      <c r="TIQ119"/>
      <c r="TIR119"/>
      <c r="TIS119"/>
      <c r="TIT119"/>
      <c r="TIU119"/>
      <c r="TIV119"/>
      <c r="TIW119"/>
      <c r="TIX119"/>
      <c r="TIY119"/>
      <c r="TIZ119"/>
      <c r="TJA119"/>
      <c r="TJB119"/>
      <c r="TJC119"/>
      <c r="TJD119"/>
      <c r="TJE119"/>
      <c r="TJF119"/>
      <c r="TJG119"/>
      <c r="TJH119"/>
      <c r="TJI119"/>
      <c r="TJJ119"/>
      <c r="TJK119"/>
      <c r="TJL119"/>
      <c r="TJM119"/>
      <c r="TJN119"/>
      <c r="TJO119"/>
      <c r="TJP119"/>
      <c r="TJQ119"/>
      <c r="TJR119"/>
      <c r="TJS119"/>
      <c r="TJT119"/>
      <c r="TJU119"/>
      <c r="TJV119"/>
      <c r="TJW119"/>
      <c r="TJX119"/>
      <c r="TJY119"/>
      <c r="TJZ119"/>
      <c r="TKA119"/>
      <c r="TKB119"/>
      <c r="TKC119"/>
      <c r="TKD119"/>
      <c r="TKE119"/>
      <c r="TKF119"/>
      <c r="TKG119"/>
      <c r="TKH119"/>
      <c r="TKI119"/>
      <c r="TKJ119"/>
      <c r="TKK119"/>
      <c r="TKL119"/>
      <c r="TKM119"/>
      <c r="TKN119"/>
      <c r="TKO119"/>
      <c r="TKP119"/>
      <c r="TKQ119"/>
      <c r="TKR119"/>
      <c r="TKS119"/>
      <c r="TKT119"/>
      <c r="TKU119"/>
      <c r="TKV119"/>
      <c r="TKW119"/>
      <c r="TKX119"/>
      <c r="TKY119"/>
      <c r="TKZ119"/>
      <c r="TLA119"/>
      <c r="TLB119"/>
      <c r="TLC119"/>
      <c r="TLD119"/>
      <c r="TLE119"/>
      <c r="TLF119"/>
      <c r="TLG119"/>
      <c r="TLH119"/>
      <c r="TLI119"/>
      <c r="TLJ119"/>
      <c r="TLK119"/>
      <c r="TLL119"/>
      <c r="TLM119"/>
      <c r="TLN119"/>
      <c r="TLO119"/>
      <c r="TLP119"/>
      <c r="TLQ119"/>
      <c r="TLR119"/>
      <c r="TLS119"/>
      <c r="TLT119"/>
      <c r="TLU119"/>
      <c r="TLV119"/>
      <c r="TLW119"/>
      <c r="TLX119"/>
      <c r="TLY119"/>
      <c r="TLZ119"/>
      <c r="TMA119"/>
      <c r="TMB119"/>
      <c r="TMC119"/>
      <c r="TMD119"/>
      <c r="TME119"/>
      <c r="TMF119"/>
      <c r="TMG119"/>
      <c r="TMH119"/>
      <c r="TMI119"/>
      <c r="TMJ119"/>
      <c r="TMK119"/>
      <c r="TML119"/>
      <c r="TMM119"/>
      <c r="TMN119"/>
      <c r="TMO119"/>
      <c r="TMP119"/>
      <c r="TMQ119"/>
      <c r="TMR119"/>
      <c r="TMS119"/>
      <c r="TMT119"/>
      <c r="TMU119"/>
      <c r="TMV119"/>
      <c r="TMW119"/>
      <c r="TMX119"/>
      <c r="TMY119"/>
      <c r="TMZ119"/>
      <c r="TNA119"/>
      <c r="TNB119"/>
      <c r="TNC119"/>
      <c r="TND119"/>
      <c r="TNE119"/>
      <c r="TNF119"/>
      <c r="TNG119"/>
      <c r="TNH119"/>
      <c r="TNI119"/>
      <c r="TNJ119"/>
      <c r="TNK119"/>
      <c r="TNL119"/>
      <c r="TNM119"/>
      <c r="TNN119"/>
      <c r="TNO119"/>
      <c r="TNP119"/>
      <c r="TNQ119"/>
      <c r="TNR119"/>
      <c r="TNS119"/>
      <c r="TNT119"/>
      <c r="TNU119"/>
      <c r="TNV119"/>
      <c r="TNW119"/>
      <c r="TNX119"/>
      <c r="TNY119"/>
      <c r="TNZ119"/>
      <c r="TOA119"/>
      <c r="TOB119"/>
      <c r="TOC119"/>
      <c r="TOD119"/>
      <c r="TOE119"/>
      <c r="TOF119"/>
      <c r="TOG119"/>
      <c r="TOH119"/>
      <c r="TOI119"/>
      <c r="TOJ119"/>
      <c r="TOK119"/>
      <c r="TOL119"/>
      <c r="TOM119"/>
      <c r="TON119"/>
      <c r="TOO119"/>
      <c r="TOP119"/>
      <c r="TOQ119"/>
      <c r="TOR119"/>
      <c r="TOS119"/>
      <c r="TOT119"/>
      <c r="TOU119"/>
      <c r="TOV119"/>
      <c r="TOW119"/>
      <c r="TOX119"/>
      <c r="TOY119"/>
      <c r="TOZ119"/>
      <c r="TPA119"/>
      <c r="TPB119"/>
      <c r="TPC119"/>
      <c r="TPD119"/>
      <c r="TPE119"/>
      <c r="TPF119"/>
      <c r="TPG119"/>
      <c r="TPH119"/>
      <c r="TPI119"/>
      <c r="TPJ119"/>
      <c r="TPK119"/>
      <c r="TPL119"/>
      <c r="TPM119"/>
      <c r="TPN119"/>
      <c r="TPO119"/>
      <c r="TPP119"/>
      <c r="TPQ119"/>
      <c r="TPR119"/>
      <c r="TPS119"/>
      <c r="TPT119"/>
      <c r="TPU119"/>
      <c r="TPV119"/>
      <c r="TPW119"/>
      <c r="TPX119"/>
      <c r="TPY119"/>
      <c r="TPZ119"/>
      <c r="TQA119"/>
      <c r="TQB119"/>
      <c r="TQC119"/>
      <c r="TQD119"/>
      <c r="TQE119"/>
      <c r="TQF119"/>
      <c r="TQG119"/>
      <c r="TQH119"/>
      <c r="TQI119"/>
      <c r="TQJ119"/>
      <c r="TQK119"/>
      <c r="TQL119"/>
      <c r="TQM119"/>
      <c r="TQN119"/>
      <c r="TQO119"/>
      <c r="TQP119"/>
      <c r="TQQ119"/>
      <c r="TQR119"/>
      <c r="TQS119"/>
      <c r="TQT119"/>
      <c r="TQU119"/>
      <c r="TQV119"/>
      <c r="TQW119"/>
      <c r="TQX119"/>
      <c r="TQY119"/>
      <c r="TQZ119"/>
      <c r="TRA119"/>
      <c r="TRB119"/>
      <c r="TRC119"/>
      <c r="TRD119"/>
      <c r="TRE119"/>
      <c r="TRF119"/>
      <c r="TRG119"/>
      <c r="TRH119"/>
      <c r="TRI119"/>
      <c r="TRJ119"/>
      <c r="TRK119"/>
      <c r="TRL119"/>
      <c r="TRM119"/>
      <c r="TRN119"/>
      <c r="TRO119"/>
      <c r="TRP119"/>
      <c r="TRQ119"/>
      <c r="TRR119"/>
      <c r="TRS119"/>
      <c r="TRT119"/>
      <c r="TRU119"/>
      <c r="TRV119"/>
      <c r="TRW119"/>
      <c r="TRX119"/>
      <c r="TRY119"/>
      <c r="TRZ119"/>
      <c r="TSA119"/>
      <c r="TSB119"/>
      <c r="TSC119"/>
      <c r="TSD119"/>
      <c r="TSE119"/>
      <c r="TSF119"/>
      <c r="TSG119"/>
      <c r="TSH119"/>
      <c r="TSI119"/>
      <c r="TSJ119"/>
      <c r="TSK119"/>
      <c r="TSL119"/>
      <c r="TSM119"/>
      <c r="TSN119"/>
      <c r="TSO119"/>
      <c r="TSP119"/>
      <c r="TSQ119"/>
      <c r="TSR119"/>
      <c r="TSS119"/>
      <c r="TST119"/>
      <c r="TSU119"/>
      <c r="TSV119"/>
      <c r="TSW119"/>
      <c r="TSX119"/>
      <c r="TSY119"/>
      <c r="TSZ119"/>
      <c r="TTA119"/>
      <c r="TTB119"/>
      <c r="TTC119"/>
      <c r="TTD119"/>
      <c r="TTE119"/>
      <c r="TTF119"/>
      <c r="TTG119"/>
      <c r="TTH119"/>
      <c r="TTI119"/>
      <c r="TTJ119"/>
      <c r="TTK119"/>
      <c r="TTL119"/>
      <c r="TTM119"/>
      <c r="TTN119"/>
      <c r="TTO119"/>
      <c r="TTP119"/>
      <c r="TTQ119"/>
      <c r="TTR119"/>
      <c r="TTS119"/>
      <c r="TTT119"/>
      <c r="TTU119"/>
      <c r="TTV119"/>
      <c r="TTW119"/>
      <c r="TTX119"/>
      <c r="TTY119"/>
      <c r="TTZ119"/>
      <c r="TUA119"/>
      <c r="TUB119"/>
      <c r="TUC119"/>
      <c r="TUD119"/>
      <c r="TUE119"/>
      <c r="TUF119"/>
      <c r="TUG119"/>
      <c r="TUH119"/>
      <c r="TUI119"/>
      <c r="TUJ119"/>
      <c r="TUK119"/>
      <c r="TUL119"/>
      <c r="TUM119"/>
      <c r="TUN119"/>
      <c r="TUO119"/>
      <c r="TUP119"/>
      <c r="TUQ119"/>
      <c r="TUR119"/>
      <c r="TUS119"/>
      <c r="TUT119"/>
      <c r="TUU119"/>
      <c r="TUV119"/>
      <c r="TUW119"/>
      <c r="TUX119"/>
      <c r="TUY119"/>
      <c r="TUZ119"/>
      <c r="TVA119"/>
      <c r="TVB119"/>
      <c r="TVC119"/>
      <c r="TVD119"/>
      <c r="TVE119"/>
      <c r="TVF119"/>
      <c r="TVG119"/>
      <c r="TVH119"/>
      <c r="TVI119"/>
      <c r="TVJ119"/>
      <c r="TVK119"/>
      <c r="TVL119"/>
      <c r="TVM119"/>
      <c r="TVN119"/>
      <c r="TVO119"/>
      <c r="TVP119"/>
      <c r="TVQ119"/>
      <c r="TVR119"/>
      <c r="TVS119"/>
      <c r="TVT119"/>
      <c r="TVU119"/>
      <c r="TVV119"/>
      <c r="TVW119"/>
      <c r="TVX119"/>
      <c r="TVY119"/>
      <c r="TVZ119"/>
      <c r="TWA119"/>
      <c r="TWB119"/>
      <c r="TWC119"/>
      <c r="TWD119"/>
      <c r="TWE119"/>
      <c r="TWF119"/>
      <c r="TWG119"/>
      <c r="TWH119"/>
      <c r="TWI119"/>
      <c r="TWJ119"/>
      <c r="TWK119"/>
      <c r="TWL119"/>
      <c r="TWM119"/>
      <c r="TWN119"/>
      <c r="TWO119"/>
      <c r="TWP119"/>
      <c r="TWQ119"/>
      <c r="TWR119"/>
      <c r="TWS119"/>
      <c r="TWT119"/>
      <c r="TWU119"/>
      <c r="TWV119"/>
      <c r="TWW119"/>
      <c r="TWX119"/>
      <c r="TWY119"/>
      <c r="TWZ119"/>
      <c r="TXA119"/>
      <c r="TXB119"/>
      <c r="TXC119"/>
      <c r="TXD119"/>
      <c r="TXE119"/>
      <c r="TXF119"/>
      <c r="TXG119"/>
      <c r="TXH119"/>
      <c r="TXI119"/>
      <c r="TXJ119"/>
      <c r="TXK119"/>
      <c r="TXL119"/>
      <c r="TXM119"/>
      <c r="TXN119"/>
      <c r="TXO119"/>
      <c r="TXP119"/>
      <c r="TXQ119"/>
      <c r="TXR119"/>
      <c r="TXS119"/>
      <c r="TXT119"/>
      <c r="TXU119"/>
      <c r="TXV119"/>
      <c r="TXW119"/>
      <c r="TXX119"/>
      <c r="TXY119"/>
      <c r="TXZ119"/>
      <c r="TYA119"/>
      <c r="TYB119"/>
      <c r="TYC119"/>
      <c r="TYD119"/>
      <c r="TYE119"/>
      <c r="TYF119"/>
      <c r="TYG119"/>
      <c r="TYH119"/>
      <c r="TYI119"/>
      <c r="TYJ119"/>
      <c r="TYK119"/>
      <c r="TYL119"/>
      <c r="TYM119"/>
      <c r="TYN119"/>
      <c r="TYO119"/>
      <c r="TYP119"/>
      <c r="TYQ119"/>
      <c r="TYR119"/>
      <c r="TYS119"/>
      <c r="TYT119"/>
      <c r="TYU119"/>
      <c r="TYV119"/>
      <c r="TYW119"/>
      <c r="TYX119"/>
      <c r="TYY119"/>
      <c r="TYZ119"/>
      <c r="TZA119"/>
      <c r="TZB119"/>
      <c r="TZC119"/>
      <c r="TZD119"/>
      <c r="TZE119"/>
      <c r="TZF119"/>
      <c r="TZG119"/>
      <c r="TZH119"/>
      <c r="TZI119"/>
      <c r="TZJ119"/>
      <c r="TZK119"/>
      <c r="TZL119"/>
      <c r="TZM119"/>
      <c r="TZN119"/>
      <c r="TZO119"/>
      <c r="TZP119"/>
      <c r="TZQ119"/>
      <c r="TZR119"/>
      <c r="TZS119"/>
      <c r="TZT119"/>
      <c r="TZU119"/>
      <c r="TZV119"/>
      <c r="TZW119"/>
      <c r="TZX119"/>
      <c r="TZY119"/>
      <c r="TZZ119"/>
      <c r="UAA119"/>
      <c r="UAB119"/>
      <c r="UAC119"/>
      <c r="UAD119"/>
      <c r="UAE119"/>
      <c r="UAF119"/>
      <c r="UAG119"/>
      <c r="UAH119"/>
      <c r="UAI119"/>
      <c r="UAJ119"/>
      <c r="UAK119"/>
      <c r="UAL119"/>
      <c r="UAM119"/>
      <c r="UAN119"/>
      <c r="UAO119"/>
      <c r="UAP119"/>
      <c r="UAQ119"/>
      <c r="UAR119"/>
      <c r="UAS119"/>
      <c r="UAT119"/>
      <c r="UAU119"/>
      <c r="UAV119"/>
      <c r="UAW119"/>
      <c r="UAX119"/>
      <c r="UAY119"/>
      <c r="UAZ119"/>
      <c r="UBA119"/>
      <c r="UBB119"/>
      <c r="UBC119"/>
      <c r="UBD119"/>
      <c r="UBE119"/>
      <c r="UBF119"/>
      <c r="UBG119"/>
      <c r="UBH119"/>
      <c r="UBI119"/>
      <c r="UBJ119"/>
      <c r="UBK119"/>
      <c r="UBL119"/>
      <c r="UBM119"/>
      <c r="UBN119"/>
      <c r="UBO119"/>
      <c r="UBP119"/>
      <c r="UBQ119"/>
      <c r="UBR119"/>
      <c r="UBS119"/>
      <c r="UBT119"/>
      <c r="UBU119"/>
      <c r="UBV119"/>
      <c r="UBW119"/>
      <c r="UBX119"/>
      <c r="UBY119"/>
      <c r="UBZ119"/>
      <c r="UCA119"/>
      <c r="UCB119"/>
      <c r="UCC119"/>
      <c r="UCD119"/>
      <c r="UCE119"/>
      <c r="UCF119"/>
      <c r="UCG119"/>
      <c r="UCH119"/>
      <c r="UCI119"/>
      <c r="UCJ119"/>
      <c r="UCK119"/>
      <c r="UCL119"/>
      <c r="UCM119"/>
      <c r="UCN119"/>
      <c r="UCO119"/>
      <c r="UCP119"/>
      <c r="UCQ119"/>
      <c r="UCR119"/>
      <c r="UCS119"/>
      <c r="UCT119"/>
      <c r="UCU119"/>
      <c r="UCV119"/>
      <c r="UCW119"/>
      <c r="UCX119"/>
      <c r="UCY119"/>
      <c r="UCZ119"/>
      <c r="UDA119"/>
      <c r="UDB119"/>
      <c r="UDC119"/>
      <c r="UDD119"/>
      <c r="UDE119"/>
      <c r="UDF119"/>
      <c r="UDG119"/>
      <c r="UDH119"/>
      <c r="UDI119"/>
      <c r="UDJ119"/>
      <c r="UDK119"/>
      <c r="UDL119"/>
      <c r="UDM119"/>
      <c r="UDN119"/>
      <c r="UDO119"/>
      <c r="UDP119"/>
      <c r="UDQ119"/>
      <c r="UDR119"/>
      <c r="UDS119"/>
      <c r="UDT119"/>
      <c r="UDU119"/>
      <c r="UDV119"/>
      <c r="UDW119"/>
      <c r="UDX119"/>
      <c r="UDY119"/>
      <c r="UDZ119"/>
      <c r="UEA119"/>
      <c r="UEB119"/>
      <c r="UEC119"/>
      <c r="UED119"/>
      <c r="UEE119"/>
      <c r="UEF119"/>
      <c r="UEG119"/>
      <c r="UEH119"/>
      <c r="UEI119"/>
      <c r="UEJ119"/>
      <c r="UEK119"/>
      <c r="UEL119"/>
      <c r="UEM119"/>
      <c r="UEN119"/>
      <c r="UEO119"/>
      <c r="UEP119"/>
      <c r="UEQ119"/>
      <c r="UER119"/>
      <c r="UES119"/>
      <c r="UET119"/>
      <c r="UEU119"/>
      <c r="UEV119"/>
      <c r="UEW119"/>
      <c r="UEX119"/>
      <c r="UEY119"/>
      <c r="UEZ119"/>
      <c r="UFA119"/>
      <c r="UFB119"/>
      <c r="UFC119"/>
      <c r="UFD119"/>
      <c r="UFE119"/>
      <c r="UFF119"/>
      <c r="UFG119"/>
      <c r="UFH119"/>
      <c r="UFI119"/>
      <c r="UFJ119"/>
      <c r="UFK119"/>
      <c r="UFL119"/>
      <c r="UFM119"/>
      <c r="UFN119"/>
      <c r="UFO119"/>
      <c r="UFP119"/>
      <c r="UFQ119"/>
      <c r="UFR119"/>
      <c r="UFS119"/>
      <c r="UFT119"/>
      <c r="UFU119"/>
      <c r="UFV119"/>
      <c r="UFW119"/>
      <c r="UFX119"/>
      <c r="UFY119"/>
      <c r="UFZ119"/>
      <c r="UGA119"/>
      <c r="UGB119"/>
      <c r="UGC119"/>
      <c r="UGD119"/>
      <c r="UGE119"/>
      <c r="UGF119"/>
      <c r="UGG119"/>
      <c r="UGH119"/>
      <c r="UGI119"/>
      <c r="UGJ119"/>
      <c r="UGK119"/>
      <c r="UGL119"/>
      <c r="UGM119"/>
      <c r="UGN119"/>
      <c r="UGO119"/>
      <c r="UGP119"/>
      <c r="UGQ119"/>
      <c r="UGR119"/>
      <c r="UGS119"/>
      <c r="UGT119"/>
      <c r="UGU119"/>
      <c r="UGV119"/>
      <c r="UGW119"/>
      <c r="UGX119"/>
      <c r="UGY119"/>
      <c r="UGZ119"/>
      <c r="UHA119"/>
      <c r="UHB119"/>
      <c r="UHC119"/>
      <c r="UHD119"/>
      <c r="UHE119"/>
      <c r="UHF119"/>
      <c r="UHG119"/>
      <c r="UHH119"/>
      <c r="UHI119"/>
      <c r="UHJ119"/>
      <c r="UHK119"/>
      <c r="UHL119"/>
      <c r="UHM119"/>
      <c r="UHN119"/>
      <c r="UHO119"/>
      <c r="UHP119"/>
      <c r="UHQ119"/>
      <c r="UHR119"/>
      <c r="UHS119"/>
      <c r="UHT119"/>
      <c r="UHU119"/>
      <c r="UHV119"/>
      <c r="UHW119"/>
      <c r="UHX119"/>
      <c r="UHY119"/>
      <c r="UHZ119"/>
      <c r="UIA119"/>
      <c r="UIB119"/>
      <c r="UIC119"/>
      <c r="UID119"/>
      <c r="UIE119"/>
      <c r="UIF119"/>
      <c r="UIG119"/>
      <c r="UIH119"/>
      <c r="UII119"/>
      <c r="UIJ119"/>
      <c r="UIK119"/>
      <c r="UIL119"/>
      <c r="UIM119"/>
      <c r="UIN119"/>
      <c r="UIO119"/>
      <c r="UIP119"/>
      <c r="UIQ119"/>
      <c r="UIR119"/>
      <c r="UIS119"/>
      <c r="UIT119"/>
      <c r="UIU119"/>
      <c r="UIV119"/>
      <c r="UIW119"/>
      <c r="UIX119"/>
      <c r="UIY119"/>
      <c r="UIZ119"/>
      <c r="UJA119"/>
      <c r="UJB119"/>
      <c r="UJC119"/>
      <c r="UJD119"/>
      <c r="UJE119"/>
      <c r="UJF119"/>
      <c r="UJG119"/>
      <c r="UJH119"/>
      <c r="UJI119"/>
      <c r="UJJ119"/>
      <c r="UJK119"/>
      <c r="UJL119"/>
      <c r="UJM119"/>
      <c r="UJN119"/>
      <c r="UJO119"/>
      <c r="UJP119"/>
      <c r="UJQ119"/>
      <c r="UJR119"/>
      <c r="UJS119"/>
      <c r="UJT119"/>
      <c r="UJU119"/>
      <c r="UJV119"/>
      <c r="UJW119"/>
      <c r="UJX119"/>
      <c r="UJY119"/>
      <c r="UJZ119"/>
      <c r="UKA119"/>
      <c r="UKB119"/>
      <c r="UKC119"/>
      <c r="UKD119"/>
      <c r="UKE119"/>
      <c r="UKF119"/>
      <c r="UKG119"/>
      <c r="UKH119"/>
      <c r="UKI119"/>
      <c r="UKJ119"/>
      <c r="UKK119"/>
      <c r="UKL119"/>
      <c r="UKM119"/>
      <c r="UKN119"/>
      <c r="UKO119"/>
      <c r="UKP119"/>
      <c r="UKQ119"/>
      <c r="UKR119"/>
      <c r="UKS119"/>
      <c r="UKT119"/>
      <c r="UKU119"/>
      <c r="UKV119"/>
      <c r="UKW119"/>
      <c r="UKX119"/>
      <c r="UKY119"/>
      <c r="UKZ119"/>
      <c r="ULA119"/>
      <c r="ULB119"/>
      <c r="ULC119"/>
      <c r="ULD119"/>
      <c r="ULE119"/>
      <c r="ULF119"/>
      <c r="ULG119"/>
      <c r="ULH119"/>
      <c r="ULI119"/>
      <c r="ULJ119"/>
      <c r="ULK119"/>
      <c r="ULL119"/>
      <c r="ULM119"/>
      <c r="ULN119"/>
      <c r="ULO119"/>
      <c r="ULP119"/>
      <c r="ULQ119"/>
      <c r="ULR119"/>
      <c r="ULS119"/>
      <c r="ULT119"/>
      <c r="ULU119"/>
      <c r="ULV119"/>
      <c r="ULW119"/>
      <c r="ULX119"/>
      <c r="ULY119"/>
      <c r="ULZ119"/>
      <c r="UMA119"/>
      <c r="UMB119"/>
      <c r="UMC119"/>
      <c r="UMD119"/>
      <c r="UME119"/>
      <c r="UMF119"/>
      <c r="UMG119"/>
      <c r="UMH119"/>
      <c r="UMI119"/>
      <c r="UMJ119"/>
      <c r="UMK119"/>
      <c r="UML119"/>
      <c r="UMM119"/>
      <c r="UMN119"/>
      <c r="UMO119"/>
      <c r="UMP119"/>
      <c r="UMQ119"/>
      <c r="UMR119"/>
      <c r="UMS119"/>
      <c r="UMT119"/>
      <c r="UMU119"/>
      <c r="UMV119"/>
      <c r="UMW119"/>
      <c r="UMX119"/>
      <c r="UMY119"/>
      <c r="UMZ119"/>
      <c r="UNA119"/>
      <c r="UNB119"/>
      <c r="UNC119"/>
      <c r="UND119"/>
      <c r="UNE119"/>
      <c r="UNF119"/>
      <c r="UNG119"/>
      <c r="UNH119"/>
      <c r="UNI119"/>
      <c r="UNJ119"/>
      <c r="UNK119"/>
      <c r="UNL119"/>
      <c r="UNM119"/>
      <c r="UNN119"/>
      <c r="UNO119"/>
      <c r="UNP119"/>
      <c r="UNQ119"/>
      <c r="UNR119"/>
      <c r="UNS119"/>
      <c r="UNT119"/>
      <c r="UNU119"/>
      <c r="UNV119"/>
      <c r="UNW119"/>
      <c r="UNX119"/>
      <c r="UNY119"/>
      <c r="UNZ119"/>
      <c r="UOA119"/>
      <c r="UOB119"/>
      <c r="UOC119"/>
      <c r="UOD119"/>
      <c r="UOE119"/>
      <c r="UOF119"/>
      <c r="UOG119"/>
      <c r="UOH119"/>
      <c r="UOI119"/>
      <c r="UOJ119"/>
      <c r="UOK119"/>
      <c r="UOL119"/>
      <c r="UOM119"/>
      <c r="UON119"/>
      <c r="UOO119"/>
      <c r="UOP119"/>
      <c r="UOQ119"/>
      <c r="UOR119"/>
      <c r="UOS119"/>
      <c r="UOT119"/>
      <c r="UOU119"/>
      <c r="UOV119"/>
      <c r="UOW119"/>
      <c r="UOX119"/>
      <c r="UOY119"/>
      <c r="UOZ119"/>
      <c r="UPA119"/>
      <c r="UPB119"/>
      <c r="UPC119"/>
      <c r="UPD119"/>
      <c r="UPE119"/>
      <c r="UPF119"/>
      <c r="UPG119"/>
      <c r="UPH119"/>
      <c r="UPI119"/>
      <c r="UPJ119"/>
      <c r="UPK119"/>
      <c r="UPL119"/>
      <c r="UPM119"/>
      <c r="UPN119"/>
      <c r="UPO119"/>
      <c r="UPP119"/>
      <c r="UPQ119"/>
      <c r="UPR119"/>
      <c r="UPS119"/>
      <c r="UPT119"/>
      <c r="UPU119"/>
      <c r="UPV119"/>
      <c r="UPW119"/>
      <c r="UPX119"/>
      <c r="UPY119"/>
      <c r="UPZ119"/>
      <c r="UQA119"/>
      <c r="UQB119"/>
      <c r="UQC119"/>
      <c r="UQD119"/>
      <c r="UQE119"/>
      <c r="UQF119"/>
      <c r="UQG119"/>
      <c r="UQH119"/>
      <c r="UQI119"/>
      <c r="UQJ119"/>
      <c r="UQK119"/>
      <c r="UQL119"/>
      <c r="UQM119"/>
      <c r="UQN119"/>
      <c r="UQO119"/>
      <c r="UQP119"/>
      <c r="UQQ119"/>
      <c r="UQR119"/>
      <c r="UQS119"/>
      <c r="UQT119"/>
      <c r="UQU119"/>
      <c r="UQV119"/>
      <c r="UQW119"/>
      <c r="UQX119"/>
      <c r="UQY119"/>
      <c r="UQZ119"/>
      <c r="URA119"/>
      <c r="URB119"/>
      <c r="URC119"/>
      <c r="URD119"/>
      <c r="URE119"/>
      <c r="URF119"/>
      <c r="URG119"/>
      <c r="URH119"/>
      <c r="URI119"/>
      <c r="URJ119"/>
      <c r="URK119"/>
      <c r="URL119"/>
      <c r="URM119"/>
      <c r="URN119"/>
      <c r="URO119"/>
      <c r="URP119"/>
      <c r="URQ119"/>
      <c r="URR119"/>
      <c r="URS119"/>
      <c r="URT119"/>
      <c r="URU119"/>
      <c r="URV119"/>
      <c r="URW119"/>
      <c r="URX119"/>
      <c r="URY119"/>
      <c r="URZ119"/>
      <c r="USA119"/>
      <c r="USB119"/>
      <c r="USC119"/>
      <c r="USD119"/>
      <c r="USE119"/>
      <c r="USF119"/>
      <c r="USG119"/>
      <c r="USH119"/>
      <c r="USI119"/>
      <c r="USJ119"/>
      <c r="USK119"/>
      <c r="USL119"/>
      <c r="USM119"/>
      <c r="USN119"/>
      <c r="USO119"/>
      <c r="USP119"/>
      <c r="USQ119"/>
      <c r="USR119"/>
      <c r="USS119"/>
      <c r="UST119"/>
      <c r="USU119"/>
      <c r="USV119"/>
      <c r="USW119"/>
      <c r="USX119"/>
      <c r="USY119"/>
      <c r="USZ119"/>
      <c r="UTA119"/>
      <c r="UTB119"/>
      <c r="UTC119"/>
      <c r="UTD119"/>
      <c r="UTE119"/>
      <c r="UTF119"/>
      <c r="UTG119"/>
      <c r="UTH119"/>
      <c r="UTI119"/>
      <c r="UTJ119"/>
      <c r="UTK119"/>
      <c r="UTL119"/>
      <c r="UTM119"/>
      <c r="UTN119"/>
      <c r="UTO119"/>
      <c r="UTP119"/>
      <c r="UTQ119"/>
      <c r="UTR119"/>
      <c r="UTS119"/>
      <c r="UTT119"/>
      <c r="UTU119"/>
      <c r="UTV119"/>
      <c r="UTW119"/>
      <c r="UTX119"/>
      <c r="UTY119"/>
      <c r="UTZ119"/>
      <c r="UUA119"/>
      <c r="UUB119"/>
      <c r="UUC119"/>
      <c r="UUD119"/>
      <c r="UUE119"/>
      <c r="UUF119"/>
      <c r="UUG119"/>
      <c r="UUH119"/>
      <c r="UUI119"/>
      <c r="UUJ119"/>
      <c r="UUK119"/>
      <c r="UUL119"/>
      <c r="UUM119"/>
      <c r="UUN119"/>
      <c r="UUO119"/>
      <c r="UUP119"/>
      <c r="UUQ119"/>
      <c r="UUR119"/>
      <c r="UUS119"/>
      <c r="UUT119"/>
      <c r="UUU119"/>
      <c r="UUV119"/>
      <c r="UUW119"/>
      <c r="UUX119"/>
      <c r="UUY119"/>
      <c r="UUZ119"/>
      <c r="UVA119"/>
      <c r="UVB119"/>
      <c r="UVC119"/>
      <c r="UVD119"/>
      <c r="UVE119"/>
      <c r="UVF119"/>
      <c r="UVG119"/>
      <c r="UVH119"/>
      <c r="UVI119"/>
      <c r="UVJ119"/>
      <c r="UVK119"/>
      <c r="UVL119"/>
      <c r="UVM119"/>
      <c r="UVN119"/>
      <c r="UVO119"/>
      <c r="UVP119"/>
      <c r="UVQ119"/>
      <c r="UVR119"/>
      <c r="UVS119"/>
      <c r="UVT119"/>
      <c r="UVU119"/>
      <c r="UVV119"/>
      <c r="UVW119"/>
      <c r="UVX119"/>
      <c r="UVY119"/>
      <c r="UVZ119"/>
      <c r="UWA119"/>
      <c r="UWB119"/>
      <c r="UWC119"/>
      <c r="UWD119"/>
      <c r="UWE119"/>
      <c r="UWF119"/>
      <c r="UWG119"/>
      <c r="UWH119"/>
      <c r="UWI119"/>
      <c r="UWJ119"/>
      <c r="UWK119"/>
      <c r="UWL119"/>
      <c r="UWM119"/>
      <c r="UWN119"/>
      <c r="UWO119"/>
      <c r="UWP119"/>
      <c r="UWQ119"/>
      <c r="UWR119"/>
      <c r="UWS119"/>
      <c r="UWT119"/>
      <c r="UWU119"/>
      <c r="UWV119"/>
      <c r="UWW119"/>
      <c r="UWX119"/>
      <c r="UWY119"/>
      <c r="UWZ119"/>
      <c r="UXA119"/>
      <c r="UXB119"/>
      <c r="UXC119"/>
      <c r="UXD119"/>
      <c r="UXE119"/>
      <c r="UXF119"/>
      <c r="UXG119"/>
      <c r="UXH119"/>
      <c r="UXI119"/>
      <c r="UXJ119"/>
      <c r="UXK119"/>
      <c r="UXL119"/>
      <c r="UXM119"/>
      <c r="UXN119"/>
      <c r="UXO119"/>
      <c r="UXP119"/>
      <c r="UXQ119"/>
      <c r="UXR119"/>
      <c r="UXS119"/>
      <c r="UXT119"/>
      <c r="UXU119"/>
      <c r="UXV119"/>
      <c r="UXW119"/>
      <c r="UXX119"/>
      <c r="UXY119"/>
      <c r="UXZ119"/>
      <c r="UYA119"/>
      <c r="UYB119"/>
      <c r="UYC119"/>
      <c r="UYD119"/>
      <c r="UYE119"/>
      <c r="UYF119"/>
      <c r="UYG119"/>
      <c r="UYH119"/>
      <c r="UYI119"/>
      <c r="UYJ119"/>
      <c r="UYK119"/>
      <c r="UYL119"/>
      <c r="UYM119"/>
      <c r="UYN119"/>
      <c r="UYO119"/>
      <c r="UYP119"/>
      <c r="UYQ119"/>
      <c r="UYR119"/>
      <c r="UYS119"/>
      <c r="UYT119"/>
      <c r="UYU119"/>
      <c r="UYV119"/>
      <c r="UYW119"/>
      <c r="UYX119"/>
      <c r="UYY119"/>
      <c r="UYZ119"/>
      <c r="UZA119"/>
      <c r="UZB119"/>
      <c r="UZC119"/>
      <c r="UZD119"/>
      <c r="UZE119"/>
      <c r="UZF119"/>
      <c r="UZG119"/>
      <c r="UZH119"/>
      <c r="UZI119"/>
      <c r="UZJ119"/>
      <c r="UZK119"/>
      <c r="UZL119"/>
      <c r="UZM119"/>
      <c r="UZN119"/>
      <c r="UZO119"/>
      <c r="UZP119"/>
      <c r="UZQ119"/>
      <c r="UZR119"/>
      <c r="UZS119"/>
      <c r="UZT119"/>
      <c r="UZU119"/>
      <c r="UZV119"/>
      <c r="UZW119"/>
      <c r="UZX119"/>
      <c r="UZY119"/>
      <c r="UZZ119"/>
      <c r="VAA119"/>
      <c r="VAB119"/>
      <c r="VAC119"/>
      <c r="VAD119"/>
      <c r="VAE119"/>
      <c r="VAF119"/>
      <c r="VAG119"/>
      <c r="VAH119"/>
      <c r="VAI119"/>
      <c r="VAJ119"/>
      <c r="VAK119"/>
      <c r="VAL119"/>
      <c r="VAM119"/>
      <c r="VAN119"/>
      <c r="VAO119"/>
      <c r="VAP119"/>
      <c r="VAQ119"/>
      <c r="VAR119"/>
      <c r="VAS119"/>
      <c r="VAT119"/>
      <c r="VAU119"/>
      <c r="VAV119"/>
      <c r="VAW119"/>
      <c r="VAX119"/>
      <c r="VAY119"/>
      <c r="VAZ119"/>
      <c r="VBA119"/>
      <c r="VBB119"/>
      <c r="VBC119"/>
      <c r="VBD119"/>
      <c r="VBE119"/>
      <c r="VBF119"/>
      <c r="VBG119"/>
      <c r="VBH119"/>
      <c r="VBI119"/>
      <c r="VBJ119"/>
      <c r="VBK119"/>
      <c r="VBL119"/>
      <c r="VBM119"/>
      <c r="VBN119"/>
      <c r="VBO119"/>
      <c r="VBP119"/>
      <c r="VBQ119"/>
      <c r="VBR119"/>
      <c r="VBS119"/>
      <c r="VBT119"/>
      <c r="VBU119"/>
      <c r="VBV119"/>
      <c r="VBW119"/>
      <c r="VBX119"/>
      <c r="VBY119"/>
      <c r="VBZ119"/>
      <c r="VCA119"/>
      <c r="VCB119"/>
      <c r="VCC119"/>
      <c r="VCD119"/>
      <c r="VCE119"/>
      <c r="VCF119"/>
      <c r="VCG119"/>
      <c r="VCH119"/>
      <c r="VCI119"/>
      <c r="VCJ119"/>
      <c r="VCK119"/>
      <c r="VCL119"/>
      <c r="VCM119"/>
      <c r="VCN119"/>
      <c r="VCO119"/>
      <c r="VCP119"/>
      <c r="VCQ119"/>
      <c r="VCR119"/>
      <c r="VCS119"/>
      <c r="VCT119"/>
      <c r="VCU119"/>
      <c r="VCV119"/>
      <c r="VCW119"/>
      <c r="VCX119"/>
      <c r="VCY119"/>
      <c r="VCZ119"/>
      <c r="VDA119"/>
      <c r="VDB119"/>
      <c r="VDC119"/>
      <c r="VDD119"/>
      <c r="VDE119"/>
      <c r="VDF119"/>
      <c r="VDG119"/>
      <c r="VDH119"/>
      <c r="VDI119"/>
      <c r="VDJ119"/>
      <c r="VDK119"/>
      <c r="VDL119"/>
      <c r="VDM119"/>
      <c r="VDN119"/>
      <c r="VDO119"/>
      <c r="VDP119"/>
      <c r="VDQ119"/>
      <c r="VDR119"/>
      <c r="VDS119"/>
      <c r="VDT119"/>
      <c r="VDU119"/>
      <c r="VDV119"/>
      <c r="VDW119"/>
      <c r="VDX119"/>
      <c r="VDY119"/>
      <c r="VDZ119"/>
      <c r="VEA119"/>
      <c r="VEB119"/>
      <c r="VEC119"/>
      <c r="VED119"/>
      <c r="VEE119"/>
      <c r="VEF119"/>
      <c r="VEG119"/>
      <c r="VEH119"/>
      <c r="VEI119"/>
      <c r="VEJ119"/>
      <c r="VEK119"/>
      <c r="VEL119"/>
      <c r="VEM119"/>
      <c r="VEN119"/>
      <c r="VEO119"/>
      <c r="VEP119"/>
      <c r="VEQ119"/>
      <c r="VER119"/>
      <c r="VES119"/>
      <c r="VET119"/>
      <c r="VEU119"/>
      <c r="VEV119"/>
      <c r="VEW119"/>
      <c r="VEX119"/>
      <c r="VEY119"/>
      <c r="VEZ119"/>
      <c r="VFA119"/>
      <c r="VFB119"/>
      <c r="VFC119"/>
      <c r="VFD119"/>
      <c r="VFE119"/>
      <c r="VFF119"/>
      <c r="VFG119"/>
      <c r="VFH119"/>
      <c r="VFI119"/>
      <c r="VFJ119"/>
      <c r="VFK119"/>
      <c r="VFL119"/>
      <c r="VFM119"/>
      <c r="VFN119"/>
      <c r="VFO119"/>
      <c r="VFP119"/>
      <c r="VFQ119"/>
      <c r="VFR119"/>
      <c r="VFS119"/>
      <c r="VFT119"/>
      <c r="VFU119"/>
      <c r="VFV119"/>
      <c r="VFW119"/>
      <c r="VFX119"/>
      <c r="VFY119"/>
      <c r="VFZ119"/>
      <c r="VGA119"/>
      <c r="VGB119"/>
      <c r="VGC119"/>
      <c r="VGD119"/>
      <c r="VGE119"/>
      <c r="VGF119"/>
      <c r="VGG119"/>
      <c r="VGH119"/>
      <c r="VGI119"/>
      <c r="VGJ119"/>
      <c r="VGK119"/>
      <c r="VGL119"/>
      <c r="VGM119"/>
      <c r="VGN119"/>
      <c r="VGO119"/>
      <c r="VGP119"/>
      <c r="VGQ119"/>
      <c r="VGR119"/>
      <c r="VGS119"/>
      <c r="VGT119"/>
      <c r="VGU119"/>
      <c r="VGV119"/>
      <c r="VGW119"/>
      <c r="VGX119"/>
      <c r="VGY119"/>
      <c r="VGZ119"/>
      <c r="VHA119"/>
      <c r="VHB119"/>
      <c r="VHC119"/>
      <c r="VHD119"/>
      <c r="VHE119"/>
      <c r="VHF119"/>
      <c r="VHG119"/>
      <c r="VHH119"/>
      <c r="VHI119"/>
      <c r="VHJ119"/>
      <c r="VHK119"/>
      <c r="VHL119"/>
      <c r="VHM119"/>
      <c r="VHN119"/>
      <c r="VHO119"/>
      <c r="VHP119"/>
      <c r="VHQ119"/>
      <c r="VHR119"/>
      <c r="VHS119"/>
      <c r="VHT119"/>
      <c r="VHU119"/>
      <c r="VHV119"/>
      <c r="VHW119"/>
      <c r="VHX119"/>
      <c r="VHY119"/>
      <c r="VHZ119"/>
      <c r="VIA119"/>
      <c r="VIB119"/>
      <c r="VIC119"/>
      <c r="VID119"/>
      <c r="VIE119"/>
      <c r="VIF119"/>
      <c r="VIG119"/>
      <c r="VIH119"/>
      <c r="VII119"/>
      <c r="VIJ119"/>
      <c r="VIK119"/>
      <c r="VIL119"/>
      <c r="VIM119"/>
      <c r="VIN119"/>
      <c r="VIO119"/>
      <c r="VIP119"/>
      <c r="VIQ119"/>
      <c r="VIR119"/>
      <c r="VIS119"/>
      <c r="VIT119"/>
      <c r="VIU119"/>
      <c r="VIV119"/>
      <c r="VIW119"/>
      <c r="VIX119"/>
      <c r="VIY119"/>
      <c r="VIZ119"/>
      <c r="VJA119"/>
      <c r="VJB119"/>
      <c r="VJC119"/>
      <c r="VJD119"/>
      <c r="VJE119"/>
      <c r="VJF119"/>
      <c r="VJG119"/>
      <c r="VJH119"/>
      <c r="VJI119"/>
      <c r="VJJ119"/>
      <c r="VJK119"/>
      <c r="VJL119"/>
      <c r="VJM119"/>
      <c r="VJN119"/>
      <c r="VJO119"/>
      <c r="VJP119"/>
      <c r="VJQ119"/>
      <c r="VJR119"/>
      <c r="VJS119"/>
      <c r="VJT119"/>
      <c r="VJU119"/>
      <c r="VJV119"/>
      <c r="VJW119"/>
      <c r="VJX119"/>
      <c r="VJY119"/>
      <c r="VJZ119"/>
      <c r="VKA119"/>
      <c r="VKB119"/>
      <c r="VKC119"/>
      <c r="VKD119"/>
      <c r="VKE119"/>
      <c r="VKF119"/>
      <c r="VKG119"/>
      <c r="VKH119"/>
      <c r="VKI119"/>
      <c r="VKJ119"/>
      <c r="VKK119"/>
      <c r="VKL119"/>
      <c r="VKM119"/>
      <c r="VKN119"/>
      <c r="VKO119"/>
      <c r="VKP119"/>
      <c r="VKQ119"/>
      <c r="VKR119"/>
      <c r="VKS119"/>
      <c r="VKT119"/>
      <c r="VKU119"/>
      <c r="VKV119"/>
      <c r="VKW119"/>
      <c r="VKX119"/>
      <c r="VKY119"/>
      <c r="VKZ119"/>
      <c r="VLA119"/>
      <c r="VLB119"/>
      <c r="VLC119"/>
      <c r="VLD119"/>
      <c r="VLE119"/>
      <c r="VLF119"/>
      <c r="VLG119"/>
      <c r="VLH119"/>
      <c r="VLI119"/>
      <c r="VLJ119"/>
      <c r="VLK119"/>
      <c r="VLL119"/>
      <c r="VLM119"/>
      <c r="VLN119"/>
      <c r="VLO119"/>
      <c r="VLP119"/>
      <c r="VLQ119"/>
      <c r="VLR119"/>
      <c r="VLS119"/>
      <c r="VLT119"/>
      <c r="VLU119"/>
      <c r="VLV119"/>
      <c r="VLW119"/>
      <c r="VLX119"/>
      <c r="VLY119"/>
      <c r="VLZ119"/>
      <c r="VMA119"/>
      <c r="VMB119"/>
      <c r="VMC119"/>
      <c r="VMD119"/>
      <c r="VME119"/>
      <c r="VMF119"/>
      <c r="VMG119"/>
      <c r="VMH119"/>
      <c r="VMI119"/>
      <c r="VMJ119"/>
      <c r="VMK119"/>
      <c r="VML119"/>
      <c r="VMM119"/>
      <c r="VMN119"/>
      <c r="VMO119"/>
      <c r="VMP119"/>
      <c r="VMQ119"/>
      <c r="VMR119"/>
      <c r="VMS119"/>
      <c r="VMT119"/>
      <c r="VMU119"/>
      <c r="VMV119"/>
      <c r="VMW119"/>
      <c r="VMX119"/>
      <c r="VMY119"/>
      <c r="VMZ119"/>
      <c r="VNA119"/>
      <c r="VNB119"/>
      <c r="VNC119"/>
      <c r="VND119"/>
      <c r="VNE119"/>
      <c r="VNF119"/>
      <c r="VNG119"/>
      <c r="VNH119"/>
      <c r="VNI119"/>
      <c r="VNJ119"/>
      <c r="VNK119"/>
      <c r="VNL119"/>
      <c r="VNM119"/>
      <c r="VNN119"/>
      <c r="VNO119"/>
      <c r="VNP119"/>
      <c r="VNQ119"/>
      <c r="VNR119"/>
      <c r="VNS119"/>
      <c r="VNT119"/>
      <c r="VNU119"/>
      <c r="VNV119"/>
      <c r="VNW119"/>
      <c r="VNX119"/>
      <c r="VNY119"/>
      <c r="VNZ119"/>
      <c r="VOA119"/>
      <c r="VOB119"/>
      <c r="VOC119"/>
      <c r="VOD119"/>
      <c r="VOE119"/>
      <c r="VOF119"/>
      <c r="VOG119"/>
      <c r="VOH119"/>
      <c r="VOI119"/>
      <c r="VOJ119"/>
      <c r="VOK119"/>
      <c r="VOL119"/>
      <c r="VOM119"/>
      <c r="VON119"/>
      <c r="VOO119"/>
      <c r="VOP119"/>
      <c r="VOQ119"/>
      <c r="VOR119"/>
      <c r="VOS119"/>
      <c r="VOT119"/>
      <c r="VOU119"/>
      <c r="VOV119"/>
      <c r="VOW119"/>
      <c r="VOX119"/>
      <c r="VOY119"/>
      <c r="VOZ119"/>
      <c r="VPA119"/>
      <c r="VPB119"/>
      <c r="VPC119"/>
      <c r="VPD119"/>
      <c r="VPE119"/>
      <c r="VPF119"/>
      <c r="VPG119"/>
      <c r="VPH119"/>
      <c r="VPI119"/>
      <c r="VPJ119"/>
      <c r="VPK119"/>
      <c r="VPL119"/>
      <c r="VPM119"/>
      <c r="VPN119"/>
      <c r="VPO119"/>
      <c r="VPP119"/>
      <c r="VPQ119"/>
      <c r="VPR119"/>
      <c r="VPS119"/>
      <c r="VPT119"/>
      <c r="VPU119"/>
      <c r="VPV119"/>
      <c r="VPW119"/>
      <c r="VPX119"/>
      <c r="VPY119"/>
      <c r="VPZ119"/>
      <c r="VQA119"/>
      <c r="VQB119"/>
      <c r="VQC119"/>
      <c r="VQD119"/>
      <c r="VQE119"/>
      <c r="VQF119"/>
      <c r="VQG119"/>
      <c r="VQH119"/>
      <c r="VQI119"/>
      <c r="VQJ119"/>
      <c r="VQK119"/>
      <c r="VQL119"/>
      <c r="VQM119"/>
      <c r="VQN119"/>
      <c r="VQO119"/>
      <c r="VQP119"/>
      <c r="VQQ119"/>
      <c r="VQR119"/>
      <c r="VQS119"/>
      <c r="VQT119"/>
      <c r="VQU119"/>
      <c r="VQV119"/>
      <c r="VQW119"/>
      <c r="VQX119"/>
      <c r="VQY119"/>
      <c r="VQZ119"/>
      <c r="VRA119"/>
      <c r="VRB119"/>
      <c r="VRC119"/>
      <c r="VRD119"/>
      <c r="VRE119"/>
      <c r="VRF119"/>
      <c r="VRG119"/>
      <c r="VRH119"/>
      <c r="VRI119"/>
      <c r="VRJ119"/>
      <c r="VRK119"/>
      <c r="VRL119"/>
      <c r="VRM119"/>
      <c r="VRN119"/>
      <c r="VRO119"/>
      <c r="VRP119"/>
      <c r="VRQ119"/>
      <c r="VRR119"/>
      <c r="VRS119"/>
      <c r="VRT119"/>
      <c r="VRU119"/>
      <c r="VRV119"/>
      <c r="VRW119"/>
      <c r="VRX119"/>
      <c r="VRY119"/>
      <c r="VRZ119"/>
      <c r="VSA119"/>
      <c r="VSB119"/>
      <c r="VSC119"/>
      <c r="VSD119"/>
      <c r="VSE119"/>
      <c r="VSF119"/>
      <c r="VSG119"/>
      <c r="VSH119"/>
      <c r="VSI119"/>
      <c r="VSJ119"/>
      <c r="VSK119"/>
      <c r="VSL119"/>
      <c r="VSM119"/>
      <c r="VSN119"/>
      <c r="VSO119"/>
      <c r="VSP119"/>
      <c r="VSQ119"/>
      <c r="VSR119"/>
      <c r="VSS119"/>
      <c r="VST119"/>
      <c r="VSU119"/>
      <c r="VSV119"/>
      <c r="VSW119"/>
      <c r="VSX119"/>
      <c r="VSY119"/>
      <c r="VSZ119"/>
      <c r="VTA119"/>
      <c r="VTB119"/>
      <c r="VTC119"/>
      <c r="VTD119"/>
      <c r="VTE119"/>
      <c r="VTF119"/>
      <c r="VTG119"/>
      <c r="VTH119"/>
      <c r="VTI119"/>
      <c r="VTJ119"/>
      <c r="VTK119"/>
      <c r="VTL119"/>
      <c r="VTM119"/>
      <c r="VTN119"/>
      <c r="VTO119"/>
      <c r="VTP119"/>
      <c r="VTQ119"/>
      <c r="VTR119"/>
      <c r="VTS119"/>
      <c r="VTT119"/>
      <c r="VTU119"/>
      <c r="VTV119"/>
      <c r="VTW119"/>
      <c r="VTX119"/>
      <c r="VTY119"/>
      <c r="VTZ119"/>
      <c r="VUA119"/>
      <c r="VUB119"/>
      <c r="VUC119"/>
      <c r="VUD119"/>
      <c r="VUE119"/>
      <c r="VUF119"/>
      <c r="VUG119"/>
      <c r="VUH119"/>
      <c r="VUI119"/>
      <c r="VUJ119"/>
      <c r="VUK119"/>
      <c r="VUL119"/>
      <c r="VUM119"/>
      <c r="VUN119"/>
      <c r="VUO119"/>
      <c r="VUP119"/>
      <c r="VUQ119"/>
      <c r="VUR119"/>
      <c r="VUS119"/>
      <c r="VUT119"/>
      <c r="VUU119"/>
      <c r="VUV119"/>
      <c r="VUW119"/>
      <c r="VUX119"/>
      <c r="VUY119"/>
      <c r="VUZ119"/>
      <c r="VVA119"/>
      <c r="VVB119"/>
      <c r="VVC119"/>
      <c r="VVD119"/>
      <c r="VVE119"/>
      <c r="VVF119"/>
      <c r="VVG119"/>
      <c r="VVH119"/>
      <c r="VVI119"/>
      <c r="VVJ119"/>
      <c r="VVK119"/>
      <c r="VVL119"/>
      <c r="VVM119"/>
      <c r="VVN119"/>
      <c r="VVO119"/>
      <c r="VVP119"/>
      <c r="VVQ119"/>
      <c r="VVR119"/>
      <c r="VVS119"/>
      <c r="VVT119"/>
      <c r="VVU119"/>
      <c r="VVV119"/>
      <c r="VVW119"/>
      <c r="VVX119"/>
      <c r="VVY119"/>
      <c r="VVZ119"/>
      <c r="VWA119"/>
      <c r="VWB119"/>
      <c r="VWC119"/>
      <c r="VWD119"/>
      <c r="VWE119"/>
      <c r="VWF119"/>
      <c r="VWG119"/>
      <c r="VWH119"/>
      <c r="VWI119"/>
      <c r="VWJ119"/>
      <c r="VWK119"/>
      <c r="VWL119"/>
      <c r="VWM119"/>
      <c r="VWN119"/>
      <c r="VWO119"/>
      <c r="VWP119"/>
      <c r="VWQ119"/>
      <c r="VWR119"/>
      <c r="VWS119"/>
      <c r="VWT119"/>
      <c r="VWU119"/>
      <c r="VWV119"/>
      <c r="VWW119"/>
      <c r="VWX119"/>
      <c r="VWY119"/>
      <c r="VWZ119"/>
      <c r="VXA119"/>
      <c r="VXB119"/>
      <c r="VXC119"/>
      <c r="VXD119"/>
      <c r="VXE119"/>
      <c r="VXF119"/>
      <c r="VXG119"/>
      <c r="VXH119"/>
      <c r="VXI119"/>
      <c r="VXJ119"/>
      <c r="VXK119"/>
      <c r="VXL119"/>
      <c r="VXM119"/>
      <c r="VXN119"/>
      <c r="VXO119"/>
      <c r="VXP119"/>
      <c r="VXQ119"/>
      <c r="VXR119"/>
      <c r="VXS119"/>
      <c r="VXT119"/>
      <c r="VXU119"/>
      <c r="VXV119"/>
      <c r="VXW119"/>
      <c r="VXX119"/>
      <c r="VXY119"/>
      <c r="VXZ119"/>
      <c r="VYA119"/>
      <c r="VYB119"/>
      <c r="VYC119"/>
      <c r="VYD119"/>
      <c r="VYE119"/>
      <c r="VYF119"/>
      <c r="VYG119"/>
      <c r="VYH119"/>
      <c r="VYI119"/>
      <c r="VYJ119"/>
      <c r="VYK119"/>
      <c r="VYL119"/>
      <c r="VYM119"/>
      <c r="VYN119"/>
      <c r="VYO119"/>
      <c r="VYP119"/>
      <c r="VYQ119"/>
      <c r="VYR119"/>
      <c r="VYS119"/>
      <c r="VYT119"/>
      <c r="VYU119"/>
      <c r="VYV119"/>
      <c r="VYW119"/>
      <c r="VYX119"/>
      <c r="VYY119"/>
      <c r="VYZ119"/>
      <c r="VZA119"/>
      <c r="VZB119"/>
      <c r="VZC119"/>
      <c r="VZD119"/>
      <c r="VZE119"/>
      <c r="VZF119"/>
      <c r="VZG119"/>
      <c r="VZH119"/>
      <c r="VZI119"/>
      <c r="VZJ119"/>
      <c r="VZK119"/>
      <c r="VZL119"/>
      <c r="VZM119"/>
      <c r="VZN119"/>
      <c r="VZO119"/>
      <c r="VZP119"/>
      <c r="VZQ119"/>
      <c r="VZR119"/>
      <c r="VZS119"/>
      <c r="VZT119"/>
      <c r="VZU119"/>
      <c r="VZV119"/>
      <c r="VZW119"/>
      <c r="VZX119"/>
      <c r="VZY119"/>
      <c r="VZZ119"/>
      <c r="WAA119"/>
      <c r="WAB119"/>
      <c r="WAC119"/>
      <c r="WAD119"/>
      <c r="WAE119"/>
      <c r="WAF119"/>
      <c r="WAG119"/>
      <c r="WAH119"/>
      <c r="WAI119"/>
      <c r="WAJ119"/>
      <c r="WAK119"/>
      <c r="WAL119"/>
      <c r="WAM119"/>
      <c r="WAN119"/>
      <c r="WAO119"/>
      <c r="WAP119"/>
      <c r="WAQ119"/>
      <c r="WAR119"/>
      <c r="WAS119"/>
      <c r="WAT119"/>
      <c r="WAU119"/>
      <c r="WAV119"/>
      <c r="WAW119"/>
      <c r="WAX119"/>
      <c r="WAY119"/>
      <c r="WAZ119"/>
      <c r="WBA119"/>
      <c r="WBB119"/>
      <c r="WBC119"/>
      <c r="WBD119"/>
      <c r="WBE119"/>
      <c r="WBF119"/>
      <c r="WBG119"/>
      <c r="WBH119"/>
      <c r="WBI119"/>
      <c r="WBJ119"/>
      <c r="WBK119"/>
      <c r="WBL119"/>
      <c r="WBM119"/>
      <c r="WBN119"/>
      <c r="WBO119"/>
      <c r="WBP119"/>
      <c r="WBQ119"/>
      <c r="WBR119"/>
      <c r="WBS119"/>
      <c r="WBT119"/>
      <c r="WBU119"/>
      <c r="WBV119"/>
      <c r="WBW119"/>
      <c r="WBX119"/>
      <c r="WBY119"/>
      <c r="WBZ119"/>
      <c r="WCA119"/>
      <c r="WCB119"/>
      <c r="WCC119"/>
      <c r="WCD119"/>
      <c r="WCE119"/>
      <c r="WCF119"/>
      <c r="WCG119"/>
      <c r="WCH119"/>
      <c r="WCI119"/>
      <c r="WCJ119"/>
      <c r="WCK119"/>
      <c r="WCL119"/>
      <c r="WCM119"/>
      <c r="WCN119"/>
      <c r="WCO119"/>
      <c r="WCP119"/>
      <c r="WCQ119"/>
      <c r="WCR119"/>
      <c r="WCS119"/>
      <c r="WCT119"/>
      <c r="WCU119"/>
      <c r="WCV119"/>
      <c r="WCW119"/>
      <c r="WCX119"/>
      <c r="WCY119"/>
      <c r="WCZ119"/>
      <c r="WDA119"/>
      <c r="WDB119"/>
      <c r="WDC119"/>
      <c r="WDD119"/>
      <c r="WDE119"/>
      <c r="WDF119"/>
      <c r="WDG119"/>
      <c r="WDH119"/>
      <c r="WDI119"/>
      <c r="WDJ119"/>
      <c r="WDK119"/>
      <c r="WDL119"/>
      <c r="WDM119"/>
      <c r="WDN119"/>
      <c r="WDO119"/>
      <c r="WDP119"/>
      <c r="WDQ119"/>
      <c r="WDR119"/>
      <c r="WDS119"/>
      <c r="WDT119"/>
      <c r="WDU119"/>
      <c r="WDV119"/>
      <c r="WDW119"/>
      <c r="WDX119"/>
      <c r="WDY119"/>
      <c r="WDZ119"/>
      <c r="WEA119"/>
      <c r="WEB119"/>
      <c r="WEC119"/>
      <c r="WED119"/>
      <c r="WEE119"/>
      <c r="WEF119"/>
      <c r="WEG119"/>
      <c r="WEH119"/>
      <c r="WEI119"/>
      <c r="WEJ119"/>
      <c r="WEK119"/>
      <c r="WEL119"/>
      <c r="WEM119"/>
      <c r="WEN119"/>
      <c r="WEO119"/>
      <c r="WEP119"/>
      <c r="WEQ119"/>
      <c r="WER119"/>
      <c r="WES119"/>
      <c r="WET119"/>
      <c r="WEU119"/>
      <c r="WEV119"/>
      <c r="WEW119"/>
      <c r="WEX119"/>
      <c r="WEY119"/>
      <c r="WEZ119"/>
      <c r="WFA119"/>
      <c r="WFB119"/>
      <c r="WFC119"/>
      <c r="WFD119"/>
      <c r="WFE119"/>
      <c r="WFF119"/>
      <c r="WFG119"/>
      <c r="WFH119"/>
      <c r="WFI119"/>
      <c r="WFJ119"/>
      <c r="WFK119"/>
      <c r="WFL119"/>
      <c r="WFM119"/>
      <c r="WFN119"/>
      <c r="WFO119"/>
      <c r="WFP119"/>
      <c r="WFQ119"/>
      <c r="WFR119"/>
      <c r="WFS119"/>
      <c r="WFT119"/>
      <c r="WFU119"/>
      <c r="WFV119"/>
      <c r="WFW119"/>
      <c r="WFX119"/>
      <c r="WFY119"/>
      <c r="WFZ119"/>
      <c r="WGA119"/>
      <c r="WGB119"/>
      <c r="WGC119"/>
      <c r="WGD119"/>
      <c r="WGE119"/>
      <c r="WGF119"/>
      <c r="WGG119"/>
      <c r="WGH119"/>
      <c r="WGI119"/>
      <c r="WGJ119"/>
      <c r="WGK119"/>
      <c r="WGL119"/>
      <c r="WGM119"/>
      <c r="WGN119"/>
      <c r="WGO119"/>
      <c r="WGP119"/>
      <c r="WGQ119"/>
      <c r="WGR119"/>
      <c r="WGS119"/>
      <c r="WGT119"/>
      <c r="WGU119"/>
      <c r="WGV119"/>
      <c r="WGW119"/>
      <c r="WGX119"/>
      <c r="WGY119"/>
      <c r="WGZ119"/>
      <c r="WHA119"/>
      <c r="WHB119"/>
      <c r="WHC119"/>
      <c r="WHD119"/>
      <c r="WHE119"/>
      <c r="WHF119"/>
      <c r="WHG119"/>
      <c r="WHH119"/>
      <c r="WHI119"/>
      <c r="WHJ119"/>
      <c r="WHK119"/>
      <c r="WHL119"/>
      <c r="WHM119"/>
      <c r="WHN119"/>
      <c r="WHO119"/>
      <c r="WHP119"/>
      <c r="WHQ119"/>
      <c r="WHR119"/>
      <c r="WHS119"/>
      <c r="WHT119"/>
      <c r="WHU119"/>
      <c r="WHV119"/>
      <c r="WHW119"/>
      <c r="WHX119"/>
      <c r="WHY119"/>
      <c r="WHZ119"/>
      <c r="WIA119"/>
      <c r="WIB119"/>
      <c r="WIC119"/>
      <c r="WID119"/>
      <c r="WIE119"/>
      <c r="WIF119"/>
      <c r="WIG119"/>
      <c r="WIH119"/>
      <c r="WII119"/>
      <c r="WIJ119"/>
      <c r="WIK119"/>
      <c r="WIL119"/>
      <c r="WIM119"/>
      <c r="WIN119"/>
      <c r="WIO119"/>
      <c r="WIP119"/>
      <c r="WIQ119"/>
      <c r="WIR119"/>
      <c r="WIS119"/>
      <c r="WIT119"/>
      <c r="WIU119"/>
      <c r="WIV119"/>
      <c r="WIW119"/>
      <c r="WIX119"/>
      <c r="WIY119"/>
      <c r="WIZ119"/>
      <c r="WJA119"/>
      <c r="WJB119"/>
      <c r="WJC119"/>
      <c r="WJD119"/>
      <c r="WJE119"/>
      <c r="WJF119"/>
      <c r="WJG119"/>
      <c r="WJH119"/>
      <c r="WJI119"/>
      <c r="WJJ119"/>
      <c r="WJK119"/>
      <c r="WJL119"/>
      <c r="WJM119"/>
      <c r="WJN119"/>
      <c r="WJO119"/>
      <c r="WJP119"/>
      <c r="WJQ119"/>
      <c r="WJR119"/>
      <c r="WJS119"/>
      <c r="WJT119"/>
      <c r="WJU119"/>
      <c r="WJV119"/>
      <c r="WJW119"/>
      <c r="WJX119"/>
      <c r="WJY119"/>
      <c r="WJZ119"/>
      <c r="WKA119"/>
      <c r="WKB119"/>
      <c r="WKC119"/>
      <c r="WKD119"/>
      <c r="WKE119"/>
      <c r="WKF119"/>
      <c r="WKG119"/>
      <c r="WKH119"/>
      <c r="WKI119"/>
      <c r="WKJ119"/>
      <c r="WKK119"/>
      <c r="WKL119"/>
      <c r="WKM119"/>
      <c r="WKN119"/>
      <c r="WKO119"/>
      <c r="WKP119"/>
      <c r="WKQ119"/>
      <c r="WKR119"/>
      <c r="WKS119"/>
      <c r="WKT119"/>
      <c r="WKU119"/>
      <c r="WKV119"/>
      <c r="WKW119"/>
      <c r="WKX119"/>
      <c r="WKY119"/>
      <c r="WKZ119"/>
      <c r="WLA119"/>
      <c r="WLB119"/>
      <c r="WLC119"/>
      <c r="WLD119"/>
      <c r="WLE119"/>
      <c r="WLF119"/>
      <c r="WLG119"/>
      <c r="WLH119"/>
      <c r="WLI119"/>
      <c r="WLJ119"/>
      <c r="WLK119"/>
      <c r="WLL119"/>
      <c r="WLM119"/>
      <c r="WLN119"/>
      <c r="WLO119"/>
      <c r="WLP119"/>
      <c r="WLQ119"/>
      <c r="WLR119"/>
      <c r="WLS119"/>
      <c r="WLT119"/>
      <c r="WLU119"/>
      <c r="WLV119"/>
      <c r="WLW119"/>
      <c r="WLX119"/>
      <c r="WLY119"/>
      <c r="WLZ119"/>
      <c r="WMA119"/>
      <c r="WMB119"/>
      <c r="WMC119"/>
      <c r="WMD119"/>
      <c r="WME119"/>
      <c r="WMF119"/>
      <c r="WMG119"/>
      <c r="WMH119"/>
      <c r="WMI119"/>
      <c r="WMJ119"/>
      <c r="WMK119"/>
      <c r="WML119"/>
      <c r="WMM119"/>
      <c r="WMN119"/>
      <c r="WMO119"/>
      <c r="WMP119"/>
      <c r="WMQ119"/>
      <c r="WMR119"/>
      <c r="WMS119"/>
      <c r="WMT119"/>
      <c r="WMU119"/>
      <c r="WMV119"/>
      <c r="WMW119"/>
      <c r="WMX119"/>
      <c r="WMY119"/>
      <c r="WMZ119"/>
      <c r="WNA119"/>
      <c r="WNB119"/>
      <c r="WNC119"/>
      <c r="WND119"/>
      <c r="WNE119"/>
      <c r="WNF119"/>
      <c r="WNG119"/>
      <c r="WNH119"/>
      <c r="WNI119"/>
      <c r="WNJ119"/>
      <c r="WNK119"/>
      <c r="WNL119"/>
      <c r="WNM119"/>
      <c r="WNN119"/>
      <c r="WNO119"/>
      <c r="WNP119"/>
      <c r="WNQ119"/>
      <c r="WNR119"/>
      <c r="WNS119"/>
      <c r="WNT119"/>
      <c r="WNU119"/>
      <c r="WNV119"/>
      <c r="WNW119"/>
      <c r="WNX119"/>
      <c r="WNY119"/>
      <c r="WNZ119"/>
      <c r="WOA119"/>
      <c r="WOB119"/>
      <c r="WOC119"/>
      <c r="WOD119"/>
      <c r="WOE119"/>
      <c r="WOF119"/>
      <c r="WOG119"/>
      <c r="WOH119"/>
      <c r="WOI119"/>
      <c r="WOJ119"/>
      <c r="WOK119"/>
      <c r="WOL119"/>
      <c r="WOM119"/>
      <c r="WON119"/>
      <c r="WOO119"/>
      <c r="WOP119"/>
      <c r="WOQ119"/>
      <c r="WOR119"/>
      <c r="WOS119"/>
      <c r="WOT119"/>
      <c r="WOU119"/>
      <c r="WOV119"/>
      <c r="WOW119"/>
      <c r="WOX119"/>
      <c r="WOY119"/>
      <c r="WOZ119"/>
      <c r="WPA119"/>
      <c r="WPB119"/>
      <c r="WPC119"/>
      <c r="WPD119"/>
      <c r="WPE119"/>
      <c r="WPF119"/>
      <c r="WPG119"/>
      <c r="WPH119"/>
      <c r="WPI119"/>
      <c r="WPJ119"/>
      <c r="WPK119"/>
      <c r="WPL119"/>
      <c r="WPM119"/>
      <c r="WPN119"/>
      <c r="WPO119"/>
      <c r="WPP119"/>
      <c r="WPQ119"/>
      <c r="WPR119"/>
      <c r="WPS119"/>
      <c r="WPT119"/>
      <c r="WPU119"/>
      <c r="WPV119"/>
      <c r="WPW119"/>
      <c r="WPX119"/>
      <c r="WPY119"/>
      <c r="WPZ119"/>
      <c r="WQA119"/>
      <c r="WQB119"/>
      <c r="WQC119"/>
      <c r="WQD119"/>
      <c r="WQE119"/>
      <c r="WQF119"/>
      <c r="WQG119"/>
      <c r="WQH119"/>
      <c r="WQI119"/>
      <c r="WQJ119"/>
      <c r="WQK119"/>
      <c r="WQL119"/>
      <c r="WQM119"/>
      <c r="WQN119"/>
      <c r="WQO119"/>
      <c r="WQP119"/>
      <c r="WQQ119"/>
      <c r="WQR119"/>
      <c r="WQS119"/>
      <c r="WQT119"/>
      <c r="WQU119"/>
      <c r="WQV119"/>
      <c r="WQW119"/>
      <c r="WQX119"/>
      <c r="WQY119"/>
      <c r="WQZ119"/>
      <c r="WRA119"/>
      <c r="WRB119"/>
      <c r="WRC119"/>
      <c r="WRD119"/>
      <c r="WRE119"/>
      <c r="WRF119"/>
      <c r="WRG119"/>
      <c r="WRH119"/>
      <c r="WRI119"/>
      <c r="WRJ119"/>
      <c r="WRK119"/>
      <c r="WRL119"/>
      <c r="WRM119"/>
      <c r="WRN119"/>
      <c r="WRO119"/>
      <c r="WRP119"/>
      <c r="WRQ119"/>
      <c r="WRR119"/>
      <c r="WRS119"/>
      <c r="WRT119"/>
      <c r="WRU119"/>
      <c r="WRV119"/>
      <c r="WRW119"/>
      <c r="WRX119"/>
      <c r="WRY119"/>
      <c r="WRZ119"/>
      <c r="WSA119"/>
      <c r="WSB119"/>
      <c r="WSC119"/>
      <c r="WSD119"/>
      <c r="WSE119"/>
      <c r="WSF119"/>
      <c r="WSG119"/>
      <c r="WSH119"/>
      <c r="WSI119"/>
      <c r="WSJ119"/>
      <c r="WSK119"/>
      <c r="WSL119"/>
      <c r="WSM119"/>
      <c r="WSN119"/>
      <c r="WSO119"/>
      <c r="WSP119"/>
      <c r="WSQ119"/>
      <c r="WSR119"/>
      <c r="WSS119"/>
      <c r="WST119"/>
      <c r="WSU119"/>
      <c r="WSV119"/>
      <c r="WSW119"/>
      <c r="WSX119"/>
      <c r="WSY119"/>
      <c r="WSZ119"/>
      <c r="WTA119"/>
      <c r="WTB119"/>
      <c r="WTC119"/>
      <c r="WTD119"/>
      <c r="WTE119"/>
      <c r="WTF119"/>
      <c r="WTG119"/>
      <c r="WTH119"/>
      <c r="WTI119"/>
      <c r="WTJ119"/>
      <c r="WTK119"/>
      <c r="WTL119"/>
      <c r="WTM119"/>
      <c r="WTN119"/>
      <c r="WTO119"/>
      <c r="WTP119"/>
      <c r="WTQ119"/>
      <c r="WTR119"/>
      <c r="WTS119"/>
      <c r="WTT119"/>
      <c r="WTU119"/>
      <c r="WTV119"/>
      <c r="WTW119"/>
      <c r="WTX119"/>
      <c r="WTY119"/>
      <c r="WTZ119"/>
      <c r="WUA119"/>
      <c r="WUB119"/>
      <c r="WUC119"/>
      <c r="WUD119"/>
      <c r="WUE119"/>
      <c r="WUF119"/>
      <c r="WUG119"/>
      <c r="WUH119"/>
      <c r="WUI119"/>
      <c r="WUJ119"/>
      <c r="WUK119"/>
      <c r="WUL119"/>
      <c r="WUM119"/>
      <c r="WUN119"/>
      <c r="WUO119"/>
      <c r="WUP119"/>
      <c r="WUQ119"/>
      <c r="WUR119"/>
      <c r="WUS119"/>
      <c r="WUT119"/>
      <c r="WUU119"/>
      <c r="WUV119"/>
      <c r="WUW119"/>
      <c r="WUX119"/>
      <c r="WUY119"/>
      <c r="WUZ119"/>
      <c r="WVA119"/>
      <c r="WVB119"/>
      <c r="WVC119"/>
      <c r="WVD119"/>
      <c r="WVE119"/>
      <c r="WVF119"/>
      <c r="WVG119"/>
      <c r="WVH119"/>
      <c r="WVI119"/>
      <c r="WVJ119"/>
      <c r="WVK119"/>
      <c r="WVL119"/>
      <c r="WVM119"/>
      <c r="WVN119"/>
      <c r="WVO119"/>
      <c r="WVP119"/>
      <c r="WVQ119"/>
      <c r="WVR119"/>
      <c r="WVS119"/>
      <c r="WVT119"/>
      <c r="WVU119"/>
      <c r="WVV119"/>
      <c r="WVW119"/>
      <c r="WVX119"/>
      <c r="WVY119"/>
      <c r="WVZ119"/>
      <c r="WWA119"/>
      <c r="WWB119"/>
      <c r="WWC119"/>
      <c r="WWD119"/>
      <c r="WWE119"/>
      <c r="WWF119"/>
      <c r="WWG119"/>
      <c r="WWH119"/>
      <c r="WWI119"/>
      <c r="WWJ119"/>
      <c r="WWK119"/>
      <c r="WWL119"/>
      <c r="WWM119"/>
      <c r="WWN119"/>
      <c r="WWO119"/>
      <c r="WWP119"/>
      <c r="WWQ119"/>
      <c r="WWR119"/>
      <c r="WWS119"/>
      <c r="WWT119"/>
      <c r="WWU119"/>
      <c r="WWV119"/>
      <c r="WWW119"/>
      <c r="WWX119"/>
      <c r="WWY119"/>
      <c r="WWZ119"/>
      <c r="WXA119"/>
      <c r="WXB119"/>
      <c r="WXC119"/>
      <c r="WXD119"/>
      <c r="WXE119"/>
      <c r="WXF119"/>
      <c r="WXG119"/>
      <c r="WXH119"/>
      <c r="WXI119"/>
      <c r="WXJ119"/>
      <c r="WXK119"/>
      <c r="WXL119"/>
      <c r="WXM119"/>
      <c r="WXN119"/>
      <c r="WXO119"/>
      <c r="WXP119"/>
      <c r="WXQ119"/>
      <c r="WXR119"/>
      <c r="WXS119"/>
      <c r="WXT119"/>
      <c r="WXU119"/>
      <c r="WXV119"/>
      <c r="WXW119"/>
      <c r="WXX119"/>
      <c r="WXY119"/>
      <c r="WXZ119"/>
      <c r="WYA119"/>
      <c r="WYB119"/>
      <c r="WYC119"/>
      <c r="WYD119"/>
      <c r="WYE119"/>
      <c r="WYF119"/>
      <c r="WYG119"/>
      <c r="WYH119"/>
      <c r="WYI119"/>
      <c r="WYJ119"/>
      <c r="WYK119"/>
      <c r="WYL119"/>
      <c r="WYM119"/>
      <c r="WYN119"/>
      <c r="WYO119"/>
      <c r="WYP119"/>
      <c r="WYQ119"/>
      <c r="WYR119"/>
      <c r="WYS119"/>
      <c r="WYT119"/>
      <c r="WYU119"/>
      <c r="WYV119"/>
      <c r="WYW119"/>
      <c r="WYX119"/>
      <c r="WYY119"/>
      <c r="WYZ119"/>
      <c r="WZA119"/>
      <c r="WZB119"/>
      <c r="WZC119"/>
      <c r="WZD119"/>
      <c r="WZE119"/>
      <c r="WZF119"/>
      <c r="WZG119"/>
      <c r="WZH119"/>
      <c r="WZI119"/>
      <c r="WZJ119"/>
      <c r="WZK119"/>
      <c r="WZL119"/>
      <c r="WZM119"/>
      <c r="WZN119"/>
      <c r="WZO119"/>
      <c r="WZP119"/>
      <c r="WZQ119"/>
      <c r="WZR119"/>
      <c r="WZS119"/>
      <c r="WZT119"/>
      <c r="WZU119"/>
      <c r="WZV119"/>
      <c r="WZW119"/>
      <c r="WZX119"/>
      <c r="WZY119"/>
      <c r="WZZ119"/>
      <c r="XAA119"/>
      <c r="XAB119"/>
      <c r="XAC119"/>
      <c r="XAD119"/>
      <c r="XAE119"/>
      <c r="XAF119"/>
      <c r="XAG119"/>
      <c r="XAH119"/>
      <c r="XAI119"/>
      <c r="XAJ119"/>
      <c r="XAK119"/>
      <c r="XAL119"/>
      <c r="XAM119"/>
      <c r="XAN119"/>
      <c r="XAO119"/>
      <c r="XAP119"/>
      <c r="XAQ119"/>
      <c r="XAR119"/>
      <c r="XAS119"/>
      <c r="XAT119"/>
      <c r="XAU119"/>
      <c r="XAV119"/>
      <c r="XAW119"/>
      <c r="XAX119"/>
      <c r="XAY119"/>
      <c r="XAZ119"/>
      <c r="XBA119"/>
      <c r="XBB119"/>
      <c r="XBC119"/>
      <c r="XBD119"/>
      <c r="XBE119"/>
      <c r="XBF119"/>
      <c r="XBG119"/>
      <c r="XBH119"/>
      <c r="XBI119"/>
      <c r="XBJ119"/>
      <c r="XBK119"/>
      <c r="XBL119"/>
      <c r="XBM119"/>
      <c r="XBN119"/>
      <c r="XBO119"/>
      <c r="XBP119"/>
      <c r="XBQ119"/>
      <c r="XBR119"/>
      <c r="XBS119"/>
      <c r="XBT119"/>
      <c r="XBU119"/>
      <c r="XBV119"/>
      <c r="XBW119"/>
      <c r="XBX119"/>
      <c r="XBY119"/>
      <c r="XBZ119"/>
      <c r="XCA119"/>
      <c r="XCB119"/>
      <c r="XCC119"/>
      <c r="XCD119"/>
      <c r="XCE119"/>
      <c r="XCF119"/>
      <c r="XCG119"/>
      <c r="XCH119"/>
      <c r="XCI119"/>
      <c r="XCJ119"/>
      <c r="XCK119"/>
      <c r="XCL119"/>
      <c r="XCM119"/>
      <c r="XCN119"/>
      <c r="XCO119"/>
      <c r="XCP119"/>
      <c r="XCQ119"/>
      <c r="XCR119"/>
      <c r="XCS119"/>
      <c r="XCT119"/>
      <c r="XCU119"/>
      <c r="XCV119"/>
      <c r="XCW119"/>
      <c r="XCX119"/>
      <c r="XCY119"/>
      <c r="XCZ119"/>
      <c r="XDA119"/>
      <c r="XDB119"/>
      <c r="XDC119"/>
      <c r="XDD119"/>
      <c r="XDE119"/>
      <c r="XDF119"/>
      <c r="XDG119"/>
      <c r="XDH119"/>
      <c r="XDI119"/>
      <c r="XDJ119"/>
      <c r="XDK119"/>
      <c r="XDL119"/>
      <c r="XDM119"/>
      <c r="XDN119"/>
      <c r="XDO119"/>
      <c r="XDP119"/>
      <c r="XDQ119"/>
      <c r="XDR119"/>
      <c r="XDS119"/>
      <c r="XDT119"/>
      <c r="XDU119"/>
      <c r="XDV119"/>
      <c r="XDW119"/>
      <c r="XDX119"/>
      <c r="XDY119"/>
      <c r="XDZ119"/>
      <c r="XEA119"/>
      <c r="XEB119"/>
      <c r="XEC119"/>
      <c r="XED119"/>
      <c r="XEE119"/>
      <c r="XEF119"/>
      <c r="XEG119"/>
      <c r="XEH119"/>
      <c r="XEI119"/>
      <c r="XEJ119"/>
      <c r="XEK119"/>
      <c r="XEL119"/>
      <c r="XEM119"/>
      <c r="XEN119"/>
      <c r="XEO119"/>
      <c r="XEP119"/>
      <c r="XEQ119"/>
    </row>
    <row r="121" spans="1:16371" x14ac:dyDescent="0.25">
      <c r="A121" s="2" t="s">
        <v>1739</v>
      </c>
      <c r="B121" s="2"/>
      <c r="C121" s="2"/>
      <c r="D121" s="2"/>
    </row>
    <row r="122" spans="1:16371" ht="15.75" outlineLevel="1" thickBot="1" x14ac:dyDescent="0.3">
      <c r="A122" s="27" t="s">
        <v>3</v>
      </c>
      <c r="B122" s="27" t="s">
        <v>4</v>
      </c>
      <c r="C122" s="27" t="s">
        <v>5</v>
      </c>
      <c r="D122" s="27" t="s">
        <v>18</v>
      </c>
    </row>
    <row r="123" spans="1:16371" ht="15.75" outlineLevel="1" thickBot="1" x14ac:dyDescent="0.3">
      <c r="A123" s="32" t="s">
        <v>2064</v>
      </c>
      <c r="B123" s="238"/>
      <c r="C123" s="32" t="s">
        <v>36</v>
      </c>
      <c r="D123" s="32" t="s">
        <v>21</v>
      </c>
      <c r="E123" s="52" t="e">
        <f t="shared" ref="E123:E147" si="1">B123/SUM($B$123:$B$147)</f>
        <v>#DIV/0!</v>
      </c>
    </row>
    <row r="124" spans="1:16371" ht="15.75" outlineLevel="1" thickBot="1" x14ac:dyDescent="0.3">
      <c r="A124" s="32" t="s">
        <v>2065</v>
      </c>
      <c r="B124" s="238"/>
      <c r="E124" s="52" t="e">
        <f t="shared" si="1"/>
        <v>#DIV/0!</v>
      </c>
    </row>
    <row r="125" spans="1:16371" ht="15.75" outlineLevel="1" thickBot="1" x14ac:dyDescent="0.3">
      <c r="A125" s="32" t="s">
        <v>2066</v>
      </c>
      <c r="B125" s="238"/>
      <c r="E125" s="52" t="e">
        <f t="shared" si="1"/>
        <v>#DIV/0!</v>
      </c>
    </row>
    <row r="126" spans="1:16371" ht="15.75" outlineLevel="1" thickBot="1" x14ac:dyDescent="0.3">
      <c r="A126" s="32" t="s">
        <v>2067</v>
      </c>
      <c r="B126" s="238"/>
      <c r="E126" s="52" t="e">
        <f t="shared" si="1"/>
        <v>#DIV/0!</v>
      </c>
    </row>
    <row r="127" spans="1:16371" ht="15.75" outlineLevel="1" thickBot="1" x14ac:dyDescent="0.3">
      <c r="A127" s="32" t="s">
        <v>2068</v>
      </c>
      <c r="B127" s="238"/>
      <c r="E127" s="52" t="e">
        <f t="shared" si="1"/>
        <v>#DIV/0!</v>
      </c>
    </row>
    <row r="128" spans="1:16371" ht="15.75" outlineLevel="1" thickBot="1" x14ac:dyDescent="0.3">
      <c r="A128" s="32" t="s">
        <v>2069</v>
      </c>
      <c r="B128" s="238"/>
      <c r="E128" s="52" t="e">
        <f t="shared" si="1"/>
        <v>#DIV/0!</v>
      </c>
    </row>
    <row r="129" spans="1:5" ht="15.75" outlineLevel="1" thickBot="1" x14ac:dyDescent="0.3">
      <c r="A129" s="32" t="s">
        <v>2070</v>
      </c>
      <c r="B129" s="238"/>
      <c r="E129" s="52" t="e">
        <f t="shared" si="1"/>
        <v>#DIV/0!</v>
      </c>
    </row>
    <row r="130" spans="1:5" ht="15.75" outlineLevel="1" thickBot="1" x14ac:dyDescent="0.3">
      <c r="A130" s="32" t="s">
        <v>2071</v>
      </c>
      <c r="B130" s="238"/>
      <c r="E130" s="52" t="e">
        <f t="shared" si="1"/>
        <v>#DIV/0!</v>
      </c>
    </row>
    <row r="131" spans="1:5" ht="15.75" outlineLevel="1" thickBot="1" x14ac:dyDescent="0.3">
      <c r="A131" s="32" t="s">
        <v>2072</v>
      </c>
      <c r="B131" s="238"/>
      <c r="E131" s="52" t="e">
        <f t="shared" si="1"/>
        <v>#DIV/0!</v>
      </c>
    </row>
    <row r="132" spans="1:5" ht="15.75" outlineLevel="1" thickBot="1" x14ac:dyDescent="0.3">
      <c r="A132" s="32" t="s">
        <v>2073</v>
      </c>
      <c r="B132" s="238"/>
      <c r="E132" s="52" t="e">
        <f t="shared" si="1"/>
        <v>#DIV/0!</v>
      </c>
    </row>
    <row r="133" spans="1:5" ht="15.75" outlineLevel="1" thickBot="1" x14ac:dyDescent="0.3">
      <c r="A133" s="32" t="s">
        <v>2074</v>
      </c>
      <c r="B133" s="238"/>
      <c r="E133" s="52" t="e">
        <f t="shared" si="1"/>
        <v>#DIV/0!</v>
      </c>
    </row>
    <row r="134" spans="1:5" ht="15.75" outlineLevel="1" thickBot="1" x14ac:dyDescent="0.3">
      <c r="A134" s="32" t="s">
        <v>2075</v>
      </c>
      <c r="B134" s="238"/>
      <c r="E134" s="52" t="e">
        <f t="shared" si="1"/>
        <v>#DIV/0!</v>
      </c>
    </row>
    <row r="135" spans="1:5" ht="15.75" outlineLevel="1" thickBot="1" x14ac:dyDescent="0.3">
      <c r="A135" s="32" t="s">
        <v>2076</v>
      </c>
      <c r="B135" s="238"/>
      <c r="E135" s="52" t="e">
        <f t="shared" si="1"/>
        <v>#DIV/0!</v>
      </c>
    </row>
    <row r="136" spans="1:5" ht="15.75" outlineLevel="1" thickBot="1" x14ac:dyDescent="0.3">
      <c r="A136" s="32" t="s">
        <v>2077</v>
      </c>
      <c r="B136" s="238"/>
      <c r="E136" s="52" t="e">
        <f t="shared" si="1"/>
        <v>#DIV/0!</v>
      </c>
    </row>
    <row r="137" spans="1:5" ht="15.75" outlineLevel="1" thickBot="1" x14ac:dyDescent="0.3">
      <c r="A137" s="32" t="s">
        <v>2078</v>
      </c>
      <c r="B137" s="238"/>
      <c r="E137" s="52" t="e">
        <f t="shared" si="1"/>
        <v>#DIV/0!</v>
      </c>
    </row>
    <row r="138" spans="1:5" ht="15.75" outlineLevel="1" thickBot="1" x14ac:dyDescent="0.3">
      <c r="A138" s="32" t="s">
        <v>2079</v>
      </c>
      <c r="B138" s="238"/>
      <c r="E138" s="52" t="e">
        <f t="shared" si="1"/>
        <v>#DIV/0!</v>
      </c>
    </row>
    <row r="139" spans="1:5" ht="15.75" outlineLevel="1" thickBot="1" x14ac:dyDescent="0.3">
      <c r="A139" s="32" t="s">
        <v>2080</v>
      </c>
      <c r="B139" s="238"/>
      <c r="E139" s="52" t="e">
        <f t="shared" si="1"/>
        <v>#DIV/0!</v>
      </c>
    </row>
    <row r="140" spans="1:5" ht="15.75" outlineLevel="1" thickBot="1" x14ac:dyDescent="0.3">
      <c r="A140" s="32" t="s">
        <v>2081</v>
      </c>
      <c r="B140" s="238"/>
      <c r="E140" s="52" t="e">
        <f t="shared" si="1"/>
        <v>#DIV/0!</v>
      </c>
    </row>
    <row r="141" spans="1:5" ht="15.75" outlineLevel="1" thickBot="1" x14ac:dyDescent="0.3">
      <c r="A141" s="32" t="s">
        <v>2082</v>
      </c>
      <c r="B141" s="238"/>
      <c r="E141" s="52" t="e">
        <f t="shared" si="1"/>
        <v>#DIV/0!</v>
      </c>
    </row>
    <row r="142" spans="1:5" ht="15.75" outlineLevel="1" thickBot="1" x14ac:dyDescent="0.3">
      <c r="A142" s="32" t="s">
        <v>2083</v>
      </c>
      <c r="B142" s="238"/>
      <c r="E142" s="52" t="e">
        <f t="shared" si="1"/>
        <v>#DIV/0!</v>
      </c>
    </row>
    <row r="143" spans="1:5" ht="15.75" outlineLevel="1" thickBot="1" x14ac:dyDescent="0.3">
      <c r="A143" s="32" t="s">
        <v>2084</v>
      </c>
      <c r="B143" s="238"/>
      <c r="E143" s="52" t="e">
        <f t="shared" si="1"/>
        <v>#DIV/0!</v>
      </c>
    </row>
    <row r="144" spans="1:5" ht="15.75" outlineLevel="1" thickBot="1" x14ac:dyDescent="0.3">
      <c r="A144" s="32" t="s">
        <v>2085</v>
      </c>
      <c r="B144" s="238"/>
      <c r="E144" s="52" t="e">
        <f t="shared" si="1"/>
        <v>#DIV/0!</v>
      </c>
    </row>
    <row r="145" spans="1:10" ht="15.75" outlineLevel="1" thickBot="1" x14ac:dyDescent="0.3">
      <c r="A145" s="32" t="s">
        <v>2086</v>
      </c>
      <c r="B145" s="238"/>
      <c r="E145" s="52" t="e">
        <f t="shared" si="1"/>
        <v>#DIV/0!</v>
      </c>
    </row>
    <row r="146" spans="1:10" ht="15.75" outlineLevel="1" thickBot="1" x14ac:dyDescent="0.3">
      <c r="A146" s="32" t="s">
        <v>2087</v>
      </c>
      <c r="B146" s="238"/>
      <c r="E146" s="52" t="e">
        <f t="shared" si="1"/>
        <v>#DIV/0!</v>
      </c>
    </row>
    <row r="147" spans="1:10" ht="15.75" outlineLevel="1" thickBot="1" x14ac:dyDescent="0.3">
      <c r="A147" s="32" t="s">
        <v>2088</v>
      </c>
      <c r="B147" s="238"/>
      <c r="E147" s="52" t="e">
        <f t="shared" si="1"/>
        <v>#DIV/0!</v>
      </c>
    </row>
    <row r="148" spans="1:10" outlineLevel="1" x14ac:dyDescent="0.25">
      <c r="A148" s="32" t="s">
        <v>1740</v>
      </c>
      <c r="B148" s="238"/>
      <c r="C148" s="32" t="s">
        <v>20</v>
      </c>
      <c r="D148" s="32" t="s">
        <v>21</v>
      </c>
      <c r="E148" s="137"/>
    </row>
    <row r="150" spans="1:10" x14ac:dyDescent="0.25">
      <c r="A150" s="2" t="s">
        <v>1780</v>
      </c>
      <c r="B150" s="2"/>
      <c r="C150" s="2"/>
      <c r="D150" s="2"/>
      <c r="E150" s="2"/>
      <c r="F150" s="2"/>
      <c r="G150" s="2"/>
    </row>
    <row r="151" spans="1:10" ht="15.75" thickBot="1" x14ac:dyDescent="0.3">
      <c r="A151" s="55"/>
    </row>
    <row r="152" spans="1:10" ht="15.75" thickBot="1" x14ac:dyDescent="0.3">
      <c r="A152" s="56"/>
      <c r="C152" s="4" t="s">
        <v>37</v>
      </c>
      <c r="D152" s="3"/>
      <c r="E152" s="3"/>
      <c r="F152" s="3"/>
      <c r="G152" s="3"/>
      <c r="H152" s="3"/>
      <c r="I152" s="3"/>
      <c r="J152" s="1"/>
    </row>
    <row r="153" spans="1:10" ht="15.75" thickBot="1" x14ac:dyDescent="0.3">
      <c r="A153" s="44" t="s">
        <v>38</v>
      </c>
      <c r="B153" s="44" t="s">
        <v>39</v>
      </c>
      <c r="C153" s="70" t="s">
        <v>40</v>
      </c>
      <c r="D153" s="71" t="s">
        <v>41</v>
      </c>
      <c r="E153" s="71" t="s">
        <v>42</v>
      </c>
      <c r="F153" s="71" t="s">
        <v>43</v>
      </c>
      <c r="G153" s="71" t="s">
        <v>44</v>
      </c>
      <c r="H153" s="71" t="s">
        <v>45</v>
      </c>
      <c r="I153" s="71" t="s">
        <v>46</v>
      </c>
      <c r="J153" s="72" t="s">
        <v>47</v>
      </c>
    </row>
    <row r="154" spans="1:10" x14ac:dyDescent="0.25">
      <c r="A154" s="132"/>
      <c r="B154" s="110"/>
      <c r="C154" s="59"/>
      <c r="D154" s="58"/>
      <c r="E154" s="58"/>
      <c r="F154" s="58"/>
      <c r="G154" s="58"/>
      <c r="H154" s="58"/>
      <c r="I154" s="58"/>
      <c r="J154" s="60"/>
    </row>
    <row r="155" spans="1:10" x14ac:dyDescent="0.25">
      <c r="A155" s="61"/>
      <c r="B155" s="130"/>
      <c r="C155" s="62"/>
      <c r="D155" s="63"/>
      <c r="E155" s="63"/>
      <c r="F155" s="63"/>
      <c r="G155" s="63"/>
      <c r="H155" s="63"/>
      <c r="I155" s="63"/>
      <c r="J155" s="64"/>
    </row>
    <row r="156" spans="1:10" x14ac:dyDescent="0.25">
      <c r="A156" s="61"/>
      <c r="B156" s="130"/>
      <c r="C156" s="62"/>
      <c r="D156" s="63"/>
      <c r="E156" s="63"/>
      <c r="F156" s="63"/>
      <c r="G156" s="63"/>
      <c r="H156" s="63"/>
      <c r="I156" s="63"/>
      <c r="J156" s="64"/>
    </row>
    <row r="157" spans="1:10" x14ac:dyDescent="0.25">
      <c r="A157" s="61"/>
      <c r="B157" s="130"/>
      <c r="C157" s="62"/>
      <c r="D157" s="63"/>
      <c r="E157" s="63"/>
      <c r="F157" s="63"/>
      <c r="G157" s="63"/>
      <c r="H157" s="63"/>
      <c r="I157" s="63"/>
      <c r="J157" s="64"/>
    </row>
    <row r="158" spans="1:10" x14ac:dyDescent="0.25">
      <c r="A158" s="61"/>
      <c r="B158" s="130"/>
      <c r="C158" s="62"/>
      <c r="D158" s="63"/>
      <c r="E158" s="63"/>
      <c r="F158" s="63"/>
      <c r="G158" s="63"/>
      <c r="H158" s="63"/>
      <c r="I158" s="63"/>
      <c r="J158" s="64"/>
    </row>
    <row r="159" spans="1:10" x14ac:dyDescent="0.25">
      <c r="A159" s="61"/>
      <c r="B159" s="130"/>
      <c r="C159" s="62"/>
      <c r="D159" s="63"/>
      <c r="E159" s="63"/>
      <c r="F159" s="63"/>
      <c r="G159" s="63"/>
      <c r="H159" s="63"/>
      <c r="I159" s="63"/>
      <c r="J159" s="64"/>
    </row>
    <row r="160" spans="1:10" x14ac:dyDescent="0.25">
      <c r="A160" s="61"/>
      <c r="B160" s="130"/>
      <c r="C160" s="62"/>
      <c r="D160" s="63"/>
      <c r="E160" s="63"/>
      <c r="F160" s="63"/>
      <c r="G160" s="63"/>
      <c r="H160" s="63"/>
      <c r="I160" s="63"/>
      <c r="J160" s="64"/>
    </row>
    <row r="161" spans="1:10" x14ac:dyDescent="0.25">
      <c r="A161" s="61"/>
      <c r="B161" s="130"/>
      <c r="C161" s="62"/>
      <c r="D161" s="63"/>
      <c r="E161" s="63"/>
      <c r="F161" s="63"/>
      <c r="G161" s="63"/>
      <c r="H161" s="63"/>
      <c r="I161" s="63"/>
      <c r="J161" s="64"/>
    </row>
    <row r="162" spans="1:10" x14ac:dyDescent="0.25">
      <c r="A162" s="61"/>
      <c r="B162" s="130"/>
      <c r="C162" s="62"/>
      <c r="D162" s="63"/>
      <c r="E162" s="63"/>
      <c r="F162" s="63"/>
      <c r="G162" s="63"/>
      <c r="H162" s="63"/>
      <c r="I162" s="63"/>
      <c r="J162" s="64"/>
    </row>
    <row r="163" spans="1:10" x14ac:dyDescent="0.25">
      <c r="A163" s="61"/>
      <c r="B163" s="130"/>
      <c r="C163" s="62"/>
      <c r="D163" s="63"/>
      <c r="E163" s="63"/>
      <c r="F163" s="63"/>
      <c r="G163" s="63"/>
      <c r="H163" s="63"/>
      <c r="I163" s="63"/>
      <c r="J163" s="64"/>
    </row>
    <row r="164" spans="1:10" x14ac:dyDescent="0.25">
      <c r="A164" s="61"/>
      <c r="B164" s="130"/>
      <c r="C164" s="62"/>
      <c r="D164" s="63"/>
      <c r="E164" s="63"/>
      <c r="F164" s="63"/>
      <c r="G164" s="63"/>
      <c r="H164" s="63"/>
      <c r="I164" s="63"/>
      <c r="J164" s="64"/>
    </row>
    <row r="165" spans="1:10" x14ac:dyDescent="0.25">
      <c r="A165" s="61"/>
      <c r="B165" s="130"/>
      <c r="C165" s="62"/>
      <c r="D165" s="63"/>
      <c r="E165" s="63"/>
      <c r="F165" s="63"/>
      <c r="G165" s="63"/>
      <c r="H165" s="63"/>
      <c r="I165" s="63"/>
      <c r="J165" s="64"/>
    </row>
    <row r="166" spans="1:10" x14ac:dyDescent="0.25">
      <c r="A166" s="61"/>
      <c r="B166" s="130"/>
      <c r="C166" s="62"/>
      <c r="D166" s="63"/>
      <c r="E166" s="63"/>
      <c r="F166" s="63"/>
      <c r="G166" s="63"/>
      <c r="H166" s="63"/>
      <c r="I166" s="63"/>
      <c r="J166" s="64"/>
    </row>
    <row r="167" spans="1:10" x14ac:dyDescent="0.25">
      <c r="A167" s="61"/>
      <c r="B167" s="130"/>
      <c r="C167" s="62"/>
      <c r="D167" s="63"/>
      <c r="E167" s="63"/>
      <c r="F167" s="63"/>
      <c r="G167" s="63"/>
      <c r="H167" s="63"/>
      <c r="I167" s="63"/>
      <c r="J167" s="64"/>
    </row>
    <row r="168" spans="1:10" x14ac:dyDescent="0.25">
      <c r="A168" s="61"/>
      <c r="B168" s="130"/>
      <c r="C168" s="62"/>
      <c r="D168" s="63"/>
      <c r="E168" s="63"/>
      <c r="F168" s="63"/>
      <c r="G168" s="63"/>
      <c r="H168" s="63"/>
      <c r="I168" s="63"/>
      <c r="J168" s="64"/>
    </row>
    <row r="169" spans="1:10" x14ac:dyDescent="0.25">
      <c r="A169" s="61"/>
      <c r="B169" s="130"/>
      <c r="C169" s="62"/>
      <c r="D169" s="63"/>
      <c r="E169" s="63"/>
      <c r="F169" s="63"/>
      <c r="G169" s="63"/>
      <c r="H169" s="63"/>
      <c r="I169" s="63"/>
      <c r="J169" s="64"/>
    </row>
    <row r="170" spans="1:10" x14ac:dyDescent="0.25">
      <c r="A170" s="61"/>
      <c r="B170" s="130"/>
      <c r="C170" s="62"/>
      <c r="D170" s="63"/>
      <c r="E170" s="63"/>
      <c r="F170" s="63"/>
      <c r="G170" s="63"/>
      <c r="H170" s="63"/>
      <c r="I170" s="63"/>
      <c r="J170" s="64"/>
    </row>
    <row r="171" spans="1:10" x14ac:dyDescent="0.25">
      <c r="A171" s="61"/>
      <c r="B171" s="130"/>
      <c r="C171" s="62"/>
      <c r="D171" s="63"/>
      <c r="E171" s="63"/>
      <c r="F171" s="63"/>
      <c r="G171" s="63"/>
      <c r="H171" s="63"/>
      <c r="I171" s="63"/>
      <c r="J171" s="64"/>
    </row>
    <row r="172" spans="1:10" x14ac:dyDescent="0.25">
      <c r="A172" s="61"/>
      <c r="B172" s="130"/>
      <c r="C172" s="62"/>
      <c r="D172" s="63"/>
      <c r="E172" s="63"/>
      <c r="F172" s="63"/>
      <c r="G172" s="63"/>
      <c r="H172" s="63"/>
      <c r="I172" s="63"/>
      <c r="J172" s="64"/>
    </row>
    <row r="173" spans="1:10" x14ac:dyDescent="0.25">
      <c r="A173" s="61"/>
      <c r="B173" s="130"/>
      <c r="C173" s="62"/>
      <c r="D173" s="63"/>
      <c r="E173" s="63"/>
      <c r="F173" s="63"/>
      <c r="G173" s="63"/>
      <c r="H173" s="63"/>
      <c r="I173" s="63"/>
      <c r="J173" s="64"/>
    </row>
    <row r="174" spans="1:10" x14ac:dyDescent="0.25">
      <c r="A174" s="61"/>
      <c r="B174" s="130"/>
      <c r="C174" s="62"/>
      <c r="D174" s="63"/>
      <c r="E174" s="63"/>
      <c r="F174" s="63"/>
      <c r="G174" s="63"/>
      <c r="H174" s="63"/>
      <c r="I174" s="63"/>
      <c r="J174" s="64"/>
    </row>
    <row r="175" spans="1:10" x14ac:dyDescent="0.25">
      <c r="A175" s="61"/>
      <c r="B175" s="130"/>
      <c r="C175" s="62"/>
      <c r="D175" s="63"/>
      <c r="E175" s="63"/>
      <c r="F175" s="63"/>
      <c r="G175" s="63"/>
      <c r="H175" s="63"/>
      <c r="I175" s="63"/>
      <c r="J175" s="64"/>
    </row>
    <row r="176" spans="1:10" x14ac:dyDescent="0.25">
      <c r="A176" s="61"/>
      <c r="B176" s="130"/>
      <c r="C176" s="62"/>
      <c r="D176" s="63"/>
      <c r="E176" s="63"/>
      <c r="F176" s="63"/>
      <c r="G176" s="63"/>
      <c r="H176" s="63"/>
      <c r="I176" s="63"/>
      <c r="J176" s="64"/>
    </row>
    <row r="177" spans="1:15" x14ac:dyDescent="0.25">
      <c r="A177" s="61"/>
      <c r="B177" s="130"/>
      <c r="C177" s="62"/>
      <c r="D177" s="63"/>
      <c r="E177" s="63"/>
      <c r="F177" s="63"/>
      <c r="G177" s="63"/>
      <c r="H177" s="63"/>
      <c r="I177" s="63"/>
      <c r="J177" s="64"/>
    </row>
    <row r="178" spans="1:15" x14ac:dyDescent="0.25">
      <c r="A178" s="61"/>
      <c r="B178" s="130"/>
      <c r="C178" s="62"/>
      <c r="D178" s="63"/>
      <c r="E178" s="63"/>
      <c r="F178" s="63"/>
      <c r="G178" s="63"/>
      <c r="H178" s="63"/>
      <c r="I178" s="63"/>
      <c r="J178" s="64"/>
    </row>
    <row r="179" spans="1:15" ht="15.75" thickBot="1" x14ac:dyDescent="0.3">
      <c r="A179" s="65"/>
      <c r="B179" s="131"/>
      <c r="C179" s="66"/>
      <c r="D179" s="67"/>
      <c r="E179" s="67"/>
      <c r="F179" s="67"/>
      <c r="G179" s="67"/>
      <c r="H179" s="67"/>
      <c r="I179" s="67"/>
      <c r="J179" s="68"/>
    </row>
    <row r="180" spans="1:15" ht="15.75" thickBot="1" x14ac:dyDescent="0.3">
      <c r="A180" s="125" t="s">
        <v>48</v>
      </c>
      <c r="B180" s="126">
        <f t="shared" ref="B180" si="2">SUM(B154:B179)</f>
        <v>0</v>
      </c>
      <c r="C180" s="127">
        <f>SUMPRODUCT(B154:B179,C154:C179)</f>
        <v>0</v>
      </c>
      <c r="D180" s="127">
        <f>SUMPRODUCT(B154:B179,D154:D179)</f>
        <v>0</v>
      </c>
      <c r="E180" s="127">
        <f>SUMPRODUCT(B154:B179,E154:E179)</f>
        <v>0</v>
      </c>
      <c r="F180" s="127">
        <f>SUMPRODUCT(B154:B179,F154:F179)</f>
        <v>0</v>
      </c>
      <c r="G180" s="127">
        <f>SUMPRODUCT(B154:B179,G154:G179)</f>
        <v>0</v>
      </c>
      <c r="H180" s="128">
        <f>SUMPRODUCT(B154:B179,H154:H179)</f>
        <v>0</v>
      </c>
      <c r="I180" s="128">
        <f>SUMPRODUCT(B154:B179,I154:I179)</f>
        <v>0</v>
      </c>
      <c r="J180" s="129">
        <f>SUMPRODUCT(B154:B179,J154:J179)</f>
        <v>0</v>
      </c>
    </row>
    <row r="182" spans="1:15" ht="15.75" x14ac:dyDescent="0.25">
      <c r="A182" s="69" t="s">
        <v>49</v>
      </c>
    </row>
    <row r="183" spans="1:15" ht="15.75" outlineLevel="1" thickBot="1" x14ac:dyDescent="0.3">
      <c r="A183" s="55" t="s">
        <v>50</v>
      </c>
    </row>
    <row r="184" spans="1:15" s="214" customFormat="1" ht="45.75" outlineLevel="1" thickBot="1" x14ac:dyDescent="0.3">
      <c r="A184" s="125" t="s">
        <v>51</v>
      </c>
      <c r="B184" s="210" t="s">
        <v>52</v>
      </c>
      <c r="C184" s="209" t="s">
        <v>39</v>
      </c>
      <c r="D184" s="210" t="s">
        <v>53</v>
      </c>
      <c r="E184" s="210" t="s">
        <v>54</v>
      </c>
      <c r="F184" s="210" t="s">
        <v>55</v>
      </c>
      <c r="G184" s="210" t="s">
        <v>56</v>
      </c>
      <c r="H184" s="211" t="s">
        <v>57</v>
      </c>
      <c r="I184" s="211" t="s">
        <v>58</v>
      </c>
      <c r="J184" s="219" t="s">
        <v>59</v>
      </c>
      <c r="K184" s="219" t="s">
        <v>60</v>
      </c>
      <c r="L184" s="220" t="s">
        <v>61</v>
      </c>
      <c r="M184" s="213"/>
      <c r="N184" s="240" t="str">
        <f>IF(ISBLANK(D184),IF(ISBLANK(E184),"",E184),D184)</f>
        <v>Caudal Nominal [L/min]</v>
      </c>
      <c r="O184" s="213"/>
    </row>
    <row r="185" spans="1:15" outlineLevel="1" x14ac:dyDescent="0.25">
      <c r="A185" s="73"/>
      <c r="B185" s="74"/>
      <c r="C185" s="74"/>
      <c r="D185" s="74"/>
      <c r="E185" s="74"/>
      <c r="F185" s="75"/>
      <c r="G185" s="76"/>
      <c r="H185" s="76"/>
      <c r="I185" s="76"/>
      <c r="J185" s="76"/>
      <c r="K185" s="76"/>
      <c r="L185" s="104"/>
      <c r="N185" s="213" t="str">
        <f t="shared" ref="N185:N387" si="3">IF(ISBLANK(D185),IF(ISBLANK(E185),"",E185),D185)</f>
        <v/>
      </c>
    </row>
    <row r="186" spans="1:15" outlineLevel="1" x14ac:dyDescent="0.25">
      <c r="A186" s="118"/>
      <c r="B186" s="119"/>
      <c r="C186" s="119"/>
      <c r="D186" s="119"/>
      <c r="E186" s="119"/>
      <c r="F186" s="120"/>
      <c r="G186" s="121"/>
      <c r="H186" s="121"/>
      <c r="I186" s="121"/>
      <c r="J186" s="121"/>
      <c r="K186" s="121"/>
      <c r="L186" s="104"/>
      <c r="N186" s="213" t="str">
        <f t="shared" si="3"/>
        <v/>
      </c>
    </row>
    <row r="187" spans="1:15" outlineLevel="1" x14ac:dyDescent="0.25">
      <c r="A187" s="118"/>
      <c r="B187" s="119"/>
      <c r="C187" s="119"/>
      <c r="D187" s="119"/>
      <c r="E187" s="119"/>
      <c r="F187" s="120"/>
      <c r="G187" s="121"/>
      <c r="H187" s="121"/>
      <c r="I187" s="121"/>
      <c r="J187" s="121"/>
      <c r="K187" s="121"/>
      <c r="L187" s="104"/>
      <c r="N187" s="213" t="str">
        <f t="shared" si="3"/>
        <v/>
      </c>
    </row>
    <row r="188" spans="1:15" outlineLevel="1" x14ac:dyDescent="0.25">
      <c r="A188" s="118"/>
      <c r="B188" s="119"/>
      <c r="C188" s="119"/>
      <c r="D188" s="119"/>
      <c r="E188" s="119"/>
      <c r="F188" s="120"/>
      <c r="G188" s="121"/>
      <c r="H188" s="121"/>
      <c r="I188" s="121"/>
      <c r="J188" s="121"/>
      <c r="K188" s="121"/>
      <c r="L188" s="104"/>
      <c r="N188" s="213" t="str">
        <f t="shared" ref="N188:N348" si="4">IF(ISBLANK(D188),IF(ISBLANK(E188),"",E188),D188)</f>
        <v/>
      </c>
    </row>
    <row r="189" spans="1:15" outlineLevel="1" x14ac:dyDescent="0.25">
      <c r="A189" s="118"/>
      <c r="B189" s="119"/>
      <c r="C189" s="119"/>
      <c r="D189" s="119"/>
      <c r="E189" s="119"/>
      <c r="F189" s="120"/>
      <c r="G189" s="121"/>
      <c r="H189" s="121"/>
      <c r="I189" s="121"/>
      <c r="J189" s="121"/>
      <c r="K189" s="121"/>
      <c r="L189" s="104"/>
      <c r="N189" s="213" t="str">
        <f t="shared" si="4"/>
        <v/>
      </c>
    </row>
    <row r="190" spans="1:15" outlineLevel="1" x14ac:dyDescent="0.25">
      <c r="A190" s="118"/>
      <c r="B190" s="119"/>
      <c r="C190" s="119"/>
      <c r="D190" s="119"/>
      <c r="E190" s="119"/>
      <c r="F190" s="120"/>
      <c r="G190" s="121"/>
      <c r="H190" s="121"/>
      <c r="I190" s="121"/>
      <c r="J190" s="121"/>
      <c r="K190" s="121"/>
      <c r="L190" s="104"/>
      <c r="N190" s="213" t="str">
        <f t="shared" si="4"/>
        <v/>
      </c>
    </row>
    <row r="191" spans="1:15" outlineLevel="1" x14ac:dyDescent="0.25">
      <c r="A191" s="118"/>
      <c r="B191" s="119"/>
      <c r="C191" s="119"/>
      <c r="D191" s="119"/>
      <c r="E191" s="119"/>
      <c r="F191" s="120"/>
      <c r="G191" s="121"/>
      <c r="H191" s="121"/>
      <c r="I191" s="121"/>
      <c r="J191" s="121"/>
      <c r="K191" s="121"/>
      <c r="L191" s="104"/>
      <c r="N191" s="213" t="str">
        <f t="shared" si="4"/>
        <v/>
      </c>
    </row>
    <row r="192" spans="1:15" outlineLevel="1" x14ac:dyDescent="0.25">
      <c r="A192" s="118"/>
      <c r="B192" s="119"/>
      <c r="C192" s="119"/>
      <c r="D192" s="119"/>
      <c r="E192" s="119"/>
      <c r="F192" s="120"/>
      <c r="G192" s="121"/>
      <c r="H192" s="121"/>
      <c r="I192" s="121"/>
      <c r="J192" s="121"/>
      <c r="K192" s="121"/>
      <c r="L192" s="104"/>
      <c r="N192" s="213" t="str">
        <f t="shared" si="4"/>
        <v/>
      </c>
    </row>
    <row r="193" spans="1:14" outlineLevel="1" x14ac:dyDescent="0.25">
      <c r="A193" s="118"/>
      <c r="B193" s="119"/>
      <c r="C193" s="119"/>
      <c r="D193" s="119"/>
      <c r="E193" s="119"/>
      <c r="F193" s="120"/>
      <c r="G193" s="121"/>
      <c r="H193" s="121"/>
      <c r="I193" s="121"/>
      <c r="J193" s="121"/>
      <c r="K193" s="121"/>
      <c r="L193" s="104"/>
      <c r="N193" s="213" t="str">
        <f t="shared" si="4"/>
        <v/>
      </c>
    </row>
    <row r="194" spans="1:14" outlineLevel="1" x14ac:dyDescent="0.25">
      <c r="A194" s="118"/>
      <c r="B194" s="119"/>
      <c r="C194" s="119"/>
      <c r="D194" s="119"/>
      <c r="E194" s="119"/>
      <c r="F194" s="120"/>
      <c r="G194" s="121"/>
      <c r="H194" s="121"/>
      <c r="I194" s="121"/>
      <c r="J194" s="121"/>
      <c r="K194" s="121"/>
      <c r="L194" s="104"/>
      <c r="N194" s="213" t="str">
        <f t="shared" si="4"/>
        <v/>
      </c>
    </row>
    <row r="195" spans="1:14" outlineLevel="1" x14ac:dyDescent="0.25">
      <c r="A195" s="118"/>
      <c r="B195" s="119"/>
      <c r="C195" s="119"/>
      <c r="D195" s="119"/>
      <c r="E195" s="119"/>
      <c r="F195" s="120"/>
      <c r="G195" s="121"/>
      <c r="H195" s="121"/>
      <c r="I195" s="121"/>
      <c r="J195" s="121"/>
      <c r="K195" s="121"/>
      <c r="L195" s="104"/>
      <c r="N195" s="213" t="str">
        <f t="shared" si="4"/>
        <v/>
      </c>
    </row>
    <row r="196" spans="1:14" outlineLevel="1" x14ac:dyDescent="0.25">
      <c r="A196" s="118"/>
      <c r="B196" s="119"/>
      <c r="C196" s="119"/>
      <c r="D196" s="119"/>
      <c r="E196" s="119"/>
      <c r="F196" s="120"/>
      <c r="G196" s="121"/>
      <c r="H196" s="121"/>
      <c r="I196" s="121"/>
      <c r="J196" s="121"/>
      <c r="K196" s="121"/>
      <c r="L196" s="104"/>
      <c r="N196" s="213" t="str">
        <f t="shared" si="4"/>
        <v/>
      </c>
    </row>
    <row r="197" spans="1:14" outlineLevel="1" x14ac:dyDescent="0.25">
      <c r="A197" s="118"/>
      <c r="B197" s="119"/>
      <c r="C197" s="119"/>
      <c r="D197" s="119"/>
      <c r="E197" s="119"/>
      <c r="F197" s="120"/>
      <c r="G197" s="121"/>
      <c r="H197" s="121"/>
      <c r="I197" s="121"/>
      <c r="J197" s="121"/>
      <c r="K197" s="121"/>
      <c r="L197" s="104"/>
      <c r="N197" s="213" t="str">
        <f t="shared" si="4"/>
        <v/>
      </c>
    </row>
    <row r="198" spans="1:14" outlineLevel="1" x14ac:dyDescent="0.25">
      <c r="A198" s="118"/>
      <c r="B198" s="119"/>
      <c r="C198" s="119"/>
      <c r="D198" s="119"/>
      <c r="E198" s="119"/>
      <c r="F198" s="120"/>
      <c r="G198" s="121"/>
      <c r="H198" s="121"/>
      <c r="I198" s="121"/>
      <c r="J198" s="121"/>
      <c r="K198" s="121"/>
      <c r="L198" s="104"/>
      <c r="N198" s="213" t="str">
        <f t="shared" si="4"/>
        <v/>
      </c>
    </row>
    <row r="199" spans="1:14" outlineLevel="1" x14ac:dyDescent="0.25">
      <c r="A199" s="118"/>
      <c r="B199" s="119"/>
      <c r="C199" s="119"/>
      <c r="D199" s="119"/>
      <c r="E199" s="119"/>
      <c r="F199" s="120"/>
      <c r="G199" s="121"/>
      <c r="H199" s="121"/>
      <c r="I199" s="121"/>
      <c r="J199" s="121"/>
      <c r="K199" s="121"/>
      <c r="L199" s="104"/>
      <c r="N199" s="213" t="str">
        <f t="shared" si="4"/>
        <v/>
      </c>
    </row>
    <row r="200" spans="1:14" outlineLevel="1" x14ac:dyDescent="0.25">
      <c r="A200" s="118"/>
      <c r="B200" s="119"/>
      <c r="C200" s="119"/>
      <c r="D200" s="119"/>
      <c r="E200" s="119"/>
      <c r="F200" s="120"/>
      <c r="G200" s="121"/>
      <c r="H200" s="121"/>
      <c r="I200" s="121"/>
      <c r="J200" s="121"/>
      <c r="K200" s="121"/>
      <c r="L200" s="104"/>
      <c r="N200" s="213" t="str">
        <f t="shared" ref="N200:N228" si="5">IF(ISBLANK(D200),IF(ISBLANK(E200),"",E200),D200)</f>
        <v/>
      </c>
    </row>
    <row r="201" spans="1:14" outlineLevel="1" x14ac:dyDescent="0.25">
      <c r="A201" s="118"/>
      <c r="B201" s="119"/>
      <c r="C201" s="119"/>
      <c r="D201" s="119"/>
      <c r="E201" s="119"/>
      <c r="F201" s="120"/>
      <c r="G201" s="121"/>
      <c r="H201" s="121"/>
      <c r="I201" s="121"/>
      <c r="J201" s="121"/>
      <c r="K201" s="121"/>
      <c r="L201" s="104"/>
      <c r="N201" s="213" t="str">
        <f t="shared" si="5"/>
        <v/>
      </c>
    </row>
    <row r="202" spans="1:14" outlineLevel="1" x14ac:dyDescent="0.25">
      <c r="A202" s="118"/>
      <c r="B202" s="119"/>
      <c r="C202" s="119"/>
      <c r="D202" s="119"/>
      <c r="E202" s="119"/>
      <c r="F202" s="120"/>
      <c r="G202" s="121"/>
      <c r="H202" s="121"/>
      <c r="I202" s="121"/>
      <c r="J202" s="121"/>
      <c r="K202" s="121"/>
      <c r="L202" s="104"/>
      <c r="N202" s="213" t="str">
        <f t="shared" si="5"/>
        <v/>
      </c>
    </row>
    <row r="203" spans="1:14" outlineLevel="1" x14ac:dyDescent="0.25">
      <c r="A203" s="118"/>
      <c r="B203" s="119"/>
      <c r="C203" s="119"/>
      <c r="D203" s="119"/>
      <c r="E203" s="119"/>
      <c r="F203" s="120"/>
      <c r="G203" s="121"/>
      <c r="H203" s="121"/>
      <c r="I203" s="121"/>
      <c r="J203" s="121"/>
      <c r="K203" s="121"/>
      <c r="L203" s="104"/>
      <c r="N203" s="213" t="str">
        <f t="shared" si="5"/>
        <v/>
      </c>
    </row>
    <row r="204" spans="1:14" outlineLevel="1" x14ac:dyDescent="0.25">
      <c r="A204" s="118"/>
      <c r="B204" s="119"/>
      <c r="C204" s="119"/>
      <c r="D204" s="119"/>
      <c r="E204" s="119"/>
      <c r="F204" s="120"/>
      <c r="G204" s="121"/>
      <c r="H204" s="121"/>
      <c r="I204" s="121"/>
      <c r="J204" s="121"/>
      <c r="K204" s="121"/>
      <c r="L204" s="104"/>
      <c r="N204" s="213" t="str">
        <f t="shared" si="5"/>
        <v/>
      </c>
    </row>
    <row r="205" spans="1:14" outlineLevel="1" x14ac:dyDescent="0.25">
      <c r="A205" s="118"/>
      <c r="B205" s="119"/>
      <c r="C205" s="119"/>
      <c r="D205" s="119"/>
      <c r="E205" s="119"/>
      <c r="F205" s="120"/>
      <c r="G205" s="121"/>
      <c r="H205" s="121"/>
      <c r="I205" s="121"/>
      <c r="J205" s="121"/>
      <c r="K205" s="121"/>
      <c r="L205" s="104"/>
      <c r="N205" s="213" t="str">
        <f t="shared" si="5"/>
        <v/>
      </c>
    </row>
    <row r="206" spans="1:14" outlineLevel="1" x14ac:dyDescent="0.25">
      <c r="A206" s="118"/>
      <c r="B206" s="119"/>
      <c r="C206" s="119"/>
      <c r="D206" s="119"/>
      <c r="E206" s="119"/>
      <c r="F206" s="120"/>
      <c r="G206" s="121"/>
      <c r="H206" s="121"/>
      <c r="I206" s="121"/>
      <c r="J206" s="121"/>
      <c r="K206" s="121"/>
      <c r="L206" s="104"/>
      <c r="N206" s="213" t="str">
        <f t="shared" si="5"/>
        <v/>
      </c>
    </row>
    <row r="207" spans="1:14" outlineLevel="1" x14ac:dyDescent="0.25">
      <c r="A207" s="118"/>
      <c r="B207" s="119"/>
      <c r="C207" s="119"/>
      <c r="D207" s="119"/>
      <c r="E207" s="119"/>
      <c r="F207" s="120"/>
      <c r="G207" s="121"/>
      <c r="H207" s="121"/>
      <c r="I207" s="121"/>
      <c r="J207" s="121"/>
      <c r="K207" s="121"/>
      <c r="L207" s="104"/>
      <c r="N207" s="213" t="str">
        <f t="shared" si="5"/>
        <v/>
      </c>
    </row>
    <row r="208" spans="1:14" outlineLevel="1" x14ac:dyDescent="0.25">
      <c r="A208" s="118"/>
      <c r="B208" s="119"/>
      <c r="C208" s="119"/>
      <c r="D208" s="119"/>
      <c r="E208" s="119"/>
      <c r="F208" s="120"/>
      <c r="G208" s="121"/>
      <c r="H208" s="121"/>
      <c r="I208" s="121"/>
      <c r="J208" s="121"/>
      <c r="K208" s="121"/>
      <c r="L208" s="104"/>
      <c r="N208" s="213" t="str">
        <f t="shared" si="5"/>
        <v/>
      </c>
    </row>
    <row r="209" spans="1:14" outlineLevel="1" x14ac:dyDescent="0.25">
      <c r="A209" s="118"/>
      <c r="B209" s="119"/>
      <c r="C209" s="119"/>
      <c r="D209" s="119"/>
      <c r="E209" s="119"/>
      <c r="F209" s="120"/>
      <c r="G209" s="121"/>
      <c r="H209" s="121"/>
      <c r="I209" s="121"/>
      <c r="J209" s="121"/>
      <c r="K209" s="121"/>
      <c r="L209" s="104"/>
      <c r="N209" s="213" t="str">
        <f t="shared" si="5"/>
        <v/>
      </c>
    </row>
    <row r="210" spans="1:14" outlineLevel="1" x14ac:dyDescent="0.25">
      <c r="A210" s="118"/>
      <c r="B210" s="119"/>
      <c r="C210" s="119"/>
      <c r="D210" s="119"/>
      <c r="E210" s="119"/>
      <c r="F210" s="120"/>
      <c r="G210" s="121"/>
      <c r="H210" s="121"/>
      <c r="I210" s="121"/>
      <c r="J210" s="121"/>
      <c r="K210" s="121"/>
      <c r="L210" s="104"/>
      <c r="N210" s="213" t="str">
        <f t="shared" si="5"/>
        <v/>
      </c>
    </row>
    <row r="211" spans="1:14" outlineLevel="1" x14ac:dyDescent="0.25">
      <c r="A211" s="118"/>
      <c r="B211" s="119"/>
      <c r="C211" s="119"/>
      <c r="D211" s="119"/>
      <c r="E211" s="119"/>
      <c r="F211" s="120"/>
      <c r="G211" s="121"/>
      <c r="H211" s="121"/>
      <c r="I211" s="121"/>
      <c r="J211" s="121"/>
      <c r="K211" s="121"/>
      <c r="L211" s="104"/>
      <c r="N211" s="213" t="str">
        <f t="shared" si="5"/>
        <v/>
      </c>
    </row>
    <row r="212" spans="1:14" outlineLevel="1" x14ac:dyDescent="0.25">
      <c r="A212" s="118"/>
      <c r="B212" s="119"/>
      <c r="C212" s="119"/>
      <c r="D212" s="119"/>
      <c r="E212" s="119"/>
      <c r="F212" s="120"/>
      <c r="G212" s="121"/>
      <c r="H212" s="121"/>
      <c r="I212" s="121"/>
      <c r="J212" s="121"/>
      <c r="K212" s="121"/>
      <c r="L212" s="104"/>
      <c r="N212" s="213" t="str">
        <f t="shared" si="5"/>
        <v/>
      </c>
    </row>
    <row r="213" spans="1:14" outlineLevel="1" x14ac:dyDescent="0.25">
      <c r="A213" s="118"/>
      <c r="B213" s="119"/>
      <c r="C213" s="119"/>
      <c r="D213" s="119"/>
      <c r="E213" s="119"/>
      <c r="F213" s="120"/>
      <c r="G213" s="121"/>
      <c r="H213" s="121"/>
      <c r="I213" s="121"/>
      <c r="J213" s="121"/>
      <c r="K213" s="121"/>
      <c r="L213" s="104"/>
      <c r="N213" s="213" t="str">
        <f t="shared" si="5"/>
        <v/>
      </c>
    </row>
    <row r="214" spans="1:14" outlineLevel="1" x14ac:dyDescent="0.25">
      <c r="A214" s="118"/>
      <c r="B214" s="119"/>
      <c r="C214" s="119"/>
      <c r="D214" s="119"/>
      <c r="E214" s="119"/>
      <c r="F214" s="120"/>
      <c r="G214" s="121"/>
      <c r="H214" s="121"/>
      <c r="I214" s="121"/>
      <c r="J214" s="121"/>
      <c r="K214" s="121"/>
      <c r="L214" s="104"/>
      <c r="N214" s="213" t="str">
        <f t="shared" si="5"/>
        <v/>
      </c>
    </row>
    <row r="215" spans="1:14" outlineLevel="1" x14ac:dyDescent="0.25">
      <c r="A215" s="118"/>
      <c r="B215" s="119"/>
      <c r="C215" s="119"/>
      <c r="D215" s="119"/>
      <c r="E215" s="119"/>
      <c r="F215" s="120"/>
      <c r="G215" s="121"/>
      <c r="H215" s="121"/>
      <c r="I215" s="121"/>
      <c r="J215" s="121"/>
      <c r="K215" s="121"/>
      <c r="L215" s="104"/>
      <c r="N215" s="213" t="str">
        <f t="shared" si="5"/>
        <v/>
      </c>
    </row>
    <row r="216" spans="1:14" outlineLevel="1" x14ac:dyDescent="0.25">
      <c r="A216" s="118"/>
      <c r="B216" s="119"/>
      <c r="C216" s="119"/>
      <c r="D216" s="119"/>
      <c r="E216" s="119"/>
      <c r="F216" s="120"/>
      <c r="G216" s="121"/>
      <c r="H216" s="121"/>
      <c r="I216" s="121"/>
      <c r="J216" s="121"/>
      <c r="K216" s="121"/>
      <c r="L216" s="104"/>
      <c r="N216" s="213" t="str">
        <f t="shared" si="5"/>
        <v/>
      </c>
    </row>
    <row r="217" spans="1:14" outlineLevel="1" x14ac:dyDescent="0.25">
      <c r="A217" s="118"/>
      <c r="B217" s="119"/>
      <c r="C217" s="119"/>
      <c r="D217" s="119"/>
      <c r="E217" s="119"/>
      <c r="F217" s="120"/>
      <c r="G217" s="121"/>
      <c r="H217" s="121"/>
      <c r="I217" s="121"/>
      <c r="J217" s="121"/>
      <c r="K217" s="121"/>
      <c r="L217" s="104"/>
      <c r="N217" s="213" t="str">
        <f t="shared" si="5"/>
        <v/>
      </c>
    </row>
    <row r="218" spans="1:14" outlineLevel="1" x14ac:dyDescent="0.25">
      <c r="A218" s="118"/>
      <c r="B218" s="119"/>
      <c r="C218" s="119"/>
      <c r="D218" s="119"/>
      <c r="E218" s="119"/>
      <c r="F218" s="120"/>
      <c r="G218" s="121"/>
      <c r="H218" s="121"/>
      <c r="I218" s="121"/>
      <c r="J218" s="121"/>
      <c r="K218" s="121"/>
      <c r="L218" s="104"/>
      <c r="N218" s="213" t="str">
        <f t="shared" si="5"/>
        <v/>
      </c>
    </row>
    <row r="219" spans="1:14" outlineLevel="1" x14ac:dyDescent="0.25">
      <c r="A219" s="118"/>
      <c r="B219" s="119"/>
      <c r="C219" s="119"/>
      <c r="D219" s="119"/>
      <c r="E219" s="119"/>
      <c r="F219" s="120"/>
      <c r="G219" s="121"/>
      <c r="H219" s="121"/>
      <c r="I219" s="121"/>
      <c r="J219" s="121"/>
      <c r="K219" s="121"/>
      <c r="L219" s="104"/>
      <c r="N219" s="213" t="str">
        <f t="shared" si="5"/>
        <v/>
      </c>
    </row>
    <row r="220" spans="1:14" outlineLevel="1" x14ac:dyDescent="0.25">
      <c r="A220" s="118"/>
      <c r="B220" s="119"/>
      <c r="C220" s="119"/>
      <c r="D220" s="119"/>
      <c r="E220" s="119"/>
      <c r="F220" s="120"/>
      <c r="G220" s="121"/>
      <c r="H220" s="121"/>
      <c r="I220" s="121"/>
      <c r="J220" s="121"/>
      <c r="K220" s="121"/>
      <c r="L220" s="104"/>
      <c r="N220" s="213" t="str">
        <f t="shared" si="5"/>
        <v/>
      </c>
    </row>
    <row r="221" spans="1:14" outlineLevel="1" x14ac:dyDescent="0.25">
      <c r="A221" s="118"/>
      <c r="B221" s="119"/>
      <c r="C221" s="119"/>
      <c r="D221" s="119"/>
      <c r="E221" s="119"/>
      <c r="F221" s="120"/>
      <c r="G221" s="121"/>
      <c r="H221" s="121"/>
      <c r="I221" s="121"/>
      <c r="J221" s="121"/>
      <c r="K221" s="121"/>
      <c r="L221" s="104"/>
      <c r="N221" s="213" t="str">
        <f t="shared" si="5"/>
        <v/>
      </c>
    </row>
    <row r="222" spans="1:14" outlineLevel="1" x14ac:dyDescent="0.25">
      <c r="A222" s="118"/>
      <c r="B222" s="119"/>
      <c r="C222" s="119"/>
      <c r="D222" s="119"/>
      <c r="E222" s="119"/>
      <c r="F222" s="120"/>
      <c r="G222" s="121"/>
      <c r="H222" s="121"/>
      <c r="I222" s="121"/>
      <c r="J222" s="121"/>
      <c r="K222" s="121"/>
      <c r="L222" s="104"/>
      <c r="N222" s="213" t="str">
        <f t="shared" si="5"/>
        <v/>
      </c>
    </row>
    <row r="223" spans="1:14" outlineLevel="1" x14ac:dyDescent="0.25">
      <c r="A223" s="118"/>
      <c r="B223" s="119"/>
      <c r="C223" s="119"/>
      <c r="D223" s="119"/>
      <c r="E223" s="119"/>
      <c r="F223" s="120"/>
      <c r="G223" s="121"/>
      <c r="H223" s="121"/>
      <c r="I223" s="121"/>
      <c r="J223" s="121"/>
      <c r="K223" s="121"/>
      <c r="L223" s="104"/>
      <c r="N223" s="213" t="str">
        <f t="shared" si="5"/>
        <v/>
      </c>
    </row>
    <row r="224" spans="1:14" outlineLevel="1" x14ac:dyDescent="0.25">
      <c r="A224" s="118"/>
      <c r="B224" s="119"/>
      <c r="C224" s="119"/>
      <c r="D224" s="119"/>
      <c r="E224" s="119"/>
      <c r="F224" s="120"/>
      <c r="G224" s="121"/>
      <c r="H224" s="121"/>
      <c r="I224" s="121"/>
      <c r="J224" s="121"/>
      <c r="K224" s="121"/>
      <c r="L224" s="104"/>
      <c r="N224" s="213" t="str">
        <f t="shared" si="5"/>
        <v/>
      </c>
    </row>
    <row r="225" spans="1:14" outlineLevel="1" x14ac:dyDescent="0.25">
      <c r="A225" s="118"/>
      <c r="B225" s="119"/>
      <c r="C225" s="119"/>
      <c r="D225" s="119"/>
      <c r="E225" s="119"/>
      <c r="F225" s="120"/>
      <c r="G225" s="121"/>
      <c r="H225" s="121"/>
      <c r="I225" s="121"/>
      <c r="J225" s="121"/>
      <c r="K225" s="121"/>
      <c r="L225" s="104"/>
      <c r="N225" s="213" t="str">
        <f t="shared" si="5"/>
        <v/>
      </c>
    </row>
    <row r="226" spans="1:14" outlineLevel="1" x14ac:dyDescent="0.25">
      <c r="A226" s="118"/>
      <c r="B226" s="119"/>
      <c r="C226" s="119"/>
      <c r="D226" s="119"/>
      <c r="E226" s="119"/>
      <c r="F226" s="120"/>
      <c r="G226" s="121"/>
      <c r="H226" s="121"/>
      <c r="I226" s="121"/>
      <c r="J226" s="121"/>
      <c r="K226" s="121"/>
      <c r="L226" s="104"/>
      <c r="N226" s="213" t="str">
        <f t="shared" si="5"/>
        <v/>
      </c>
    </row>
    <row r="227" spans="1:14" outlineLevel="1" x14ac:dyDescent="0.25">
      <c r="A227" s="118"/>
      <c r="B227" s="119"/>
      <c r="C227" s="119"/>
      <c r="D227" s="119"/>
      <c r="E227" s="119"/>
      <c r="F227" s="120"/>
      <c r="G227" s="121"/>
      <c r="H227" s="121"/>
      <c r="I227" s="121"/>
      <c r="J227" s="121"/>
      <c r="K227" s="121"/>
      <c r="L227" s="104"/>
      <c r="N227" s="213" t="str">
        <f t="shared" si="5"/>
        <v/>
      </c>
    </row>
    <row r="228" spans="1:14" outlineLevel="1" x14ac:dyDescent="0.25">
      <c r="A228" s="118"/>
      <c r="B228" s="119"/>
      <c r="C228" s="119"/>
      <c r="D228" s="119"/>
      <c r="E228" s="119"/>
      <c r="F228" s="120"/>
      <c r="G228" s="121"/>
      <c r="H228" s="121"/>
      <c r="I228" s="121"/>
      <c r="J228" s="121"/>
      <c r="K228" s="121"/>
      <c r="L228" s="104"/>
      <c r="N228" s="213" t="str">
        <f t="shared" si="5"/>
        <v/>
      </c>
    </row>
    <row r="229" spans="1:14" outlineLevel="1" x14ac:dyDescent="0.25">
      <c r="A229" s="118"/>
      <c r="B229" s="119"/>
      <c r="C229" s="119"/>
      <c r="D229" s="119"/>
      <c r="E229" s="119"/>
      <c r="F229" s="120"/>
      <c r="G229" s="121"/>
      <c r="H229" s="121"/>
      <c r="I229" s="121"/>
      <c r="J229" s="121"/>
      <c r="K229" s="121"/>
      <c r="L229" s="104"/>
      <c r="N229" s="213" t="str">
        <f t="shared" si="4"/>
        <v/>
      </c>
    </row>
    <row r="230" spans="1:14" outlineLevel="1" x14ac:dyDescent="0.25">
      <c r="A230" s="118"/>
      <c r="B230" s="119"/>
      <c r="C230" s="119"/>
      <c r="D230" s="119"/>
      <c r="E230" s="119"/>
      <c r="F230" s="120"/>
      <c r="G230" s="121"/>
      <c r="H230" s="121"/>
      <c r="I230" s="121"/>
      <c r="J230" s="121"/>
      <c r="K230" s="121"/>
      <c r="L230" s="104"/>
      <c r="N230" s="213" t="str">
        <f t="shared" si="4"/>
        <v/>
      </c>
    </row>
    <row r="231" spans="1:14" outlineLevel="1" x14ac:dyDescent="0.25">
      <c r="A231" s="118"/>
      <c r="B231" s="119"/>
      <c r="C231" s="119"/>
      <c r="D231" s="119"/>
      <c r="E231" s="119"/>
      <c r="F231" s="120"/>
      <c r="G231" s="121"/>
      <c r="H231" s="121"/>
      <c r="I231" s="121"/>
      <c r="J231" s="121"/>
      <c r="K231" s="121"/>
      <c r="L231" s="104"/>
      <c r="N231" s="213" t="str">
        <f t="shared" si="4"/>
        <v/>
      </c>
    </row>
    <row r="232" spans="1:14" outlineLevel="1" x14ac:dyDescent="0.25">
      <c r="A232" s="118"/>
      <c r="B232" s="119"/>
      <c r="C232" s="119"/>
      <c r="D232" s="119"/>
      <c r="E232" s="119"/>
      <c r="F232" s="120"/>
      <c r="G232" s="121"/>
      <c r="H232" s="121"/>
      <c r="I232" s="121"/>
      <c r="J232" s="121"/>
      <c r="K232" s="121"/>
      <c r="L232" s="104"/>
      <c r="N232" s="213" t="str">
        <f t="shared" si="4"/>
        <v/>
      </c>
    </row>
    <row r="233" spans="1:14" outlineLevel="1" x14ac:dyDescent="0.25">
      <c r="A233" s="118"/>
      <c r="B233" s="119"/>
      <c r="C233" s="119"/>
      <c r="D233" s="119"/>
      <c r="E233" s="119"/>
      <c r="F233" s="120"/>
      <c r="G233" s="121"/>
      <c r="H233" s="121"/>
      <c r="I233" s="121"/>
      <c r="J233" s="121"/>
      <c r="K233" s="121"/>
      <c r="L233" s="104"/>
      <c r="N233" s="213" t="str">
        <f t="shared" si="4"/>
        <v/>
      </c>
    </row>
    <row r="234" spans="1:14" outlineLevel="1" x14ac:dyDescent="0.25">
      <c r="A234" s="118"/>
      <c r="B234" s="119"/>
      <c r="C234" s="119"/>
      <c r="D234" s="119"/>
      <c r="E234" s="119"/>
      <c r="F234" s="120"/>
      <c r="G234" s="121"/>
      <c r="H234" s="121"/>
      <c r="I234" s="121"/>
      <c r="J234" s="121"/>
      <c r="K234" s="121"/>
      <c r="L234" s="104"/>
      <c r="N234" s="213" t="str">
        <f t="shared" si="4"/>
        <v/>
      </c>
    </row>
    <row r="235" spans="1:14" outlineLevel="1" x14ac:dyDescent="0.25">
      <c r="A235" s="118"/>
      <c r="B235" s="119"/>
      <c r="C235" s="119"/>
      <c r="D235" s="119"/>
      <c r="E235" s="119"/>
      <c r="F235" s="120"/>
      <c r="G235" s="121"/>
      <c r="H235" s="121"/>
      <c r="I235" s="121"/>
      <c r="J235" s="121"/>
      <c r="K235" s="121"/>
      <c r="L235" s="104"/>
      <c r="N235" s="213" t="str">
        <f t="shared" si="4"/>
        <v/>
      </c>
    </row>
    <row r="236" spans="1:14" outlineLevel="1" x14ac:dyDescent="0.25">
      <c r="A236" s="118"/>
      <c r="B236" s="119"/>
      <c r="C236" s="119"/>
      <c r="D236" s="119"/>
      <c r="E236" s="119"/>
      <c r="F236" s="120"/>
      <c r="G236" s="121"/>
      <c r="H236" s="121"/>
      <c r="I236" s="121"/>
      <c r="J236" s="121"/>
      <c r="K236" s="121"/>
      <c r="L236" s="104"/>
      <c r="N236" s="213" t="str">
        <f t="shared" si="4"/>
        <v/>
      </c>
    </row>
    <row r="237" spans="1:14" outlineLevel="1" x14ac:dyDescent="0.25">
      <c r="A237" s="118"/>
      <c r="B237" s="119"/>
      <c r="C237" s="119"/>
      <c r="D237" s="119"/>
      <c r="E237" s="119"/>
      <c r="F237" s="120"/>
      <c r="G237" s="121"/>
      <c r="H237" s="121"/>
      <c r="I237" s="121"/>
      <c r="J237" s="121"/>
      <c r="K237" s="121"/>
      <c r="L237" s="104"/>
      <c r="N237" s="213" t="str">
        <f t="shared" si="4"/>
        <v/>
      </c>
    </row>
    <row r="238" spans="1:14" outlineLevel="1" x14ac:dyDescent="0.25">
      <c r="A238" s="118"/>
      <c r="B238" s="119"/>
      <c r="C238" s="119"/>
      <c r="D238" s="119"/>
      <c r="E238" s="119"/>
      <c r="F238" s="120"/>
      <c r="G238" s="121"/>
      <c r="H238" s="121"/>
      <c r="I238" s="121"/>
      <c r="J238" s="121"/>
      <c r="K238" s="121"/>
      <c r="L238" s="104"/>
      <c r="N238" s="213" t="str">
        <f t="shared" si="4"/>
        <v/>
      </c>
    </row>
    <row r="239" spans="1:14" outlineLevel="1" x14ac:dyDescent="0.25">
      <c r="A239" s="118"/>
      <c r="B239" s="119"/>
      <c r="C239" s="119"/>
      <c r="D239" s="119"/>
      <c r="E239" s="119"/>
      <c r="F239" s="120"/>
      <c r="G239" s="121"/>
      <c r="H239" s="121"/>
      <c r="I239" s="121"/>
      <c r="J239" s="121"/>
      <c r="K239" s="121"/>
      <c r="L239" s="104"/>
      <c r="N239" s="213" t="str">
        <f t="shared" si="4"/>
        <v/>
      </c>
    </row>
    <row r="240" spans="1:14" outlineLevel="1" x14ac:dyDescent="0.25">
      <c r="A240" s="118"/>
      <c r="B240" s="119"/>
      <c r="C240" s="119"/>
      <c r="D240" s="119"/>
      <c r="E240" s="119"/>
      <c r="F240" s="120"/>
      <c r="G240" s="121"/>
      <c r="H240" s="121"/>
      <c r="I240" s="121"/>
      <c r="J240" s="121"/>
      <c r="K240" s="121"/>
      <c r="L240" s="104"/>
      <c r="N240" s="213" t="str">
        <f t="shared" si="4"/>
        <v/>
      </c>
    </row>
    <row r="241" spans="1:14" outlineLevel="1" x14ac:dyDescent="0.25">
      <c r="A241" s="118"/>
      <c r="B241" s="119"/>
      <c r="C241" s="119"/>
      <c r="D241" s="119"/>
      <c r="E241" s="119"/>
      <c r="F241" s="120"/>
      <c r="G241" s="121"/>
      <c r="H241" s="121"/>
      <c r="I241" s="121"/>
      <c r="J241" s="121"/>
      <c r="K241" s="121"/>
      <c r="L241" s="104"/>
      <c r="N241" s="213" t="str">
        <f t="shared" si="4"/>
        <v/>
      </c>
    </row>
    <row r="242" spans="1:14" outlineLevel="1" x14ac:dyDescent="0.25">
      <c r="A242" s="118"/>
      <c r="B242" s="119"/>
      <c r="C242" s="119"/>
      <c r="D242" s="119"/>
      <c r="E242" s="119"/>
      <c r="F242" s="120"/>
      <c r="G242" s="121"/>
      <c r="H242" s="121"/>
      <c r="I242" s="121"/>
      <c r="J242" s="121"/>
      <c r="K242" s="121"/>
      <c r="L242" s="104"/>
      <c r="N242" s="213" t="str">
        <f t="shared" si="4"/>
        <v/>
      </c>
    </row>
    <row r="243" spans="1:14" outlineLevel="1" x14ac:dyDescent="0.25">
      <c r="A243" s="118"/>
      <c r="B243" s="119"/>
      <c r="C243" s="119"/>
      <c r="D243" s="119"/>
      <c r="E243" s="119"/>
      <c r="F243" s="120"/>
      <c r="G243" s="121"/>
      <c r="H243" s="121"/>
      <c r="I243" s="121"/>
      <c r="J243" s="121"/>
      <c r="K243" s="121"/>
      <c r="L243" s="104"/>
      <c r="N243" s="213" t="str">
        <f t="shared" si="4"/>
        <v/>
      </c>
    </row>
    <row r="244" spans="1:14" outlineLevel="1" x14ac:dyDescent="0.25">
      <c r="A244" s="118"/>
      <c r="B244" s="119"/>
      <c r="C244" s="119"/>
      <c r="D244" s="119"/>
      <c r="E244" s="119"/>
      <c r="F244" s="120"/>
      <c r="G244" s="121"/>
      <c r="H244" s="121"/>
      <c r="I244" s="121"/>
      <c r="J244" s="121"/>
      <c r="K244" s="121"/>
      <c r="L244" s="104"/>
      <c r="N244" s="213" t="str">
        <f t="shared" si="4"/>
        <v/>
      </c>
    </row>
    <row r="245" spans="1:14" outlineLevel="1" x14ac:dyDescent="0.25">
      <c r="A245" s="118"/>
      <c r="B245" s="119"/>
      <c r="C245" s="119"/>
      <c r="D245" s="119"/>
      <c r="E245" s="119"/>
      <c r="F245" s="120"/>
      <c r="G245" s="121"/>
      <c r="H245" s="121"/>
      <c r="I245" s="121"/>
      <c r="J245" s="121"/>
      <c r="K245" s="121"/>
      <c r="L245" s="104"/>
      <c r="N245" s="213" t="str">
        <f t="shared" si="4"/>
        <v/>
      </c>
    </row>
    <row r="246" spans="1:14" outlineLevel="1" x14ac:dyDescent="0.25">
      <c r="A246" s="118"/>
      <c r="B246" s="119"/>
      <c r="C246" s="119"/>
      <c r="D246" s="119"/>
      <c r="E246" s="119"/>
      <c r="F246" s="120"/>
      <c r="G246" s="121"/>
      <c r="H246" s="121"/>
      <c r="I246" s="121"/>
      <c r="J246" s="121"/>
      <c r="K246" s="121"/>
      <c r="L246" s="104"/>
      <c r="N246" s="213" t="str">
        <f t="shared" si="4"/>
        <v/>
      </c>
    </row>
    <row r="247" spans="1:14" outlineLevel="1" x14ac:dyDescent="0.25">
      <c r="A247" s="118"/>
      <c r="B247" s="119"/>
      <c r="C247" s="119"/>
      <c r="D247" s="119"/>
      <c r="E247" s="119"/>
      <c r="F247" s="120"/>
      <c r="G247" s="121"/>
      <c r="H247" s="121"/>
      <c r="I247" s="121"/>
      <c r="J247" s="121"/>
      <c r="K247" s="121"/>
      <c r="L247" s="104"/>
      <c r="N247" s="213" t="str">
        <f t="shared" si="4"/>
        <v/>
      </c>
    </row>
    <row r="248" spans="1:14" outlineLevel="1" x14ac:dyDescent="0.25">
      <c r="A248" s="118"/>
      <c r="B248" s="119"/>
      <c r="C248" s="119"/>
      <c r="D248" s="119"/>
      <c r="E248" s="119"/>
      <c r="F248" s="120"/>
      <c r="G248" s="121"/>
      <c r="H248" s="121"/>
      <c r="I248" s="121"/>
      <c r="J248" s="121"/>
      <c r="K248" s="121"/>
      <c r="L248" s="104"/>
      <c r="N248" s="213" t="str">
        <f t="shared" si="4"/>
        <v/>
      </c>
    </row>
    <row r="249" spans="1:14" outlineLevel="1" x14ac:dyDescent="0.25">
      <c r="A249" s="118"/>
      <c r="B249" s="119"/>
      <c r="C249" s="119"/>
      <c r="D249" s="119"/>
      <c r="E249" s="119"/>
      <c r="F249" s="120"/>
      <c r="G249" s="121"/>
      <c r="H249" s="121"/>
      <c r="I249" s="121"/>
      <c r="J249" s="121"/>
      <c r="K249" s="121"/>
      <c r="L249" s="104"/>
      <c r="N249" s="213" t="str">
        <f t="shared" si="4"/>
        <v/>
      </c>
    </row>
    <row r="250" spans="1:14" outlineLevel="1" x14ac:dyDescent="0.25">
      <c r="A250" s="118"/>
      <c r="B250" s="119"/>
      <c r="C250" s="119"/>
      <c r="D250" s="119"/>
      <c r="E250" s="119"/>
      <c r="F250" s="120"/>
      <c r="G250" s="121"/>
      <c r="H250" s="121"/>
      <c r="I250" s="121"/>
      <c r="J250" s="121"/>
      <c r="K250" s="121"/>
      <c r="L250" s="104"/>
      <c r="N250" s="213" t="str">
        <f t="shared" si="4"/>
        <v/>
      </c>
    </row>
    <row r="251" spans="1:14" outlineLevel="1" x14ac:dyDescent="0.25">
      <c r="A251" s="118"/>
      <c r="B251" s="119"/>
      <c r="C251" s="119"/>
      <c r="D251" s="119"/>
      <c r="E251" s="119"/>
      <c r="F251" s="120"/>
      <c r="G251" s="121"/>
      <c r="H251" s="121"/>
      <c r="I251" s="121"/>
      <c r="J251" s="121"/>
      <c r="K251" s="121"/>
      <c r="L251" s="104"/>
      <c r="N251" s="213" t="str">
        <f t="shared" si="4"/>
        <v/>
      </c>
    </row>
    <row r="252" spans="1:14" outlineLevel="1" x14ac:dyDescent="0.25">
      <c r="A252" s="118"/>
      <c r="B252" s="119"/>
      <c r="C252" s="119"/>
      <c r="D252" s="119"/>
      <c r="E252" s="119"/>
      <c r="F252" s="120"/>
      <c r="G252" s="121"/>
      <c r="H252" s="121"/>
      <c r="I252" s="121"/>
      <c r="J252" s="121"/>
      <c r="K252" s="121"/>
      <c r="L252" s="104"/>
      <c r="N252" s="213" t="str">
        <f t="shared" si="4"/>
        <v/>
      </c>
    </row>
    <row r="253" spans="1:14" outlineLevel="1" x14ac:dyDescent="0.25">
      <c r="A253" s="118"/>
      <c r="B253" s="119"/>
      <c r="C253" s="119"/>
      <c r="D253" s="119"/>
      <c r="E253" s="119"/>
      <c r="F253" s="120"/>
      <c r="G253" s="121"/>
      <c r="H253" s="121"/>
      <c r="I253" s="121"/>
      <c r="J253" s="121"/>
      <c r="K253" s="121"/>
      <c r="L253" s="104"/>
      <c r="N253" s="213" t="str">
        <f t="shared" si="4"/>
        <v/>
      </c>
    </row>
    <row r="254" spans="1:14" outlineLevel="1" x14ac:dyDescent="0.25">
      <c r="A254" s="118"/>
      <c r="B254" s="119"/>
      <c r="C254" s="119"/>
      <c r="D254" s="119"/>
      <c r="E254" s="119"/>
      <c r="F254" s="120"/>
      <c r="G254" s="121"/>
      <c r="H254" s="121"/>
      <c r="I254" s="121"/>
      <c r="J254" s="121"/>
      <c r="K254" s="121"/>
      <c r="L254" s="104"/>
      <c r="N254" s="213" t="str">
        <f t="shared" si="4"/>
        <v/>
      </c>
    </row>
    <row r="255" spans="1:14" outlineLevel="1" x14ac:dyDescent="0.25">
      <c r="A255" s="118"/>
      <c r="B255" s="119"/>
      <c r="C255" s="119"/>
      <c r="D255" s="119"/>
      <c r="E255" s="119"/>
      <c r="F255" s="120"/>
      <c r="G255" s="121"/>
      <c r="H255" s="121"/>
      <c r="I255" s="121"/>
      <c r="J255" s="121"/>
      <c r="K255" s="121"/>
      <c r="L255" s="104"/>
      <c r="N255" s="213" t="str">
        <f t="shared" si="4"/>
        <v/>
      </c>
    </row>
    <row r="256" spans="1:14" outlineLevel="1" x14ac:dyDescent="0.25">
      <c r="A256" s="118"/>
      <c r="B256" s="119"/>
      <c r="C256" s="119"/>
      <c r="D256" s="119"/>
      <c r="E256" s="119"/>
      <c r="F256" s="120"/>
      <c r="G256" s="121"/>
      <c r="H256" s="121"/>
      <c r="I256" s="121"/>
      <c r="J256" s="121"/>
      <c r="K256" s="121"/>
      <c r="L256" s="104"/>
      <c r="N256" s="213" t="str">
        <f t="shared" si="4"/>
        <v/>
      </c>
    </row>
    <row r="257" spans="1:14" outlineLevel="1" x14ac:dyDescent="0.25">
      <c r="A257" s="118"/>
      <c r="B257" s="119"/>
      <c r="C257" s="119"/>
      <c r="D257" s="119"/>
      <c r="E257" s="119"/>
      <c r="F257" s="120"/>
      <c r="G257" s="121"/>
      <c r="H257" s="121"/>
      <c r="I257" s="121"/>
      <c r="J257" s="121"/>
      <c r="K257" s="121"/>
      <c r="L257" s="104"/>
      <c r="N257" s="213" t="str">
        <f t="shared" si="4"/>
        <v/>
      </c>
    </row>
    <row r="258" spans="1:14" outlineLevel="1" x14ac:dyDescent="0.25">
      <c r="A258" s="118"/>
      <c r="B258" s="119"/>
      <c r="C258" s="119"/>
      <c r="D258" s="119"/>
      <c r="E258" s="119"/>
      <c r="F258" s="120"/>
      <c r="G258" s="121"/>
      <c r="H258" s="121"/>
      <c r="I258" s="121"/>
      <c r="J258" s="121"/>
      <c r="K258" s="121"/>
      <c r="L258" s="104"/>
      <c r="N258" s="213" t="str">
        <f t="shared" si="4"/>
        <v/>
      </c>
    </row>
    <row r="259" spans="1:14" outlineLevel="1" x14ac:dyDescent="0.25">
      <c r="A259" s="118"/>
      <c r="B259" s="119"/>
      <c r="C259" s="119"/>
      <c r="D259" s="119"/>
      <c r="E259" s="119"/>
      <c r="F259" s="120"/>
      <c r="G259" s="121"/>
      <c r="H259" s="121"/>
      <c r="I259" s="121"/>
      <c r="J259" s="121"/>
      <c r="K259" s="121"/>
      <c r="L259" s="104"/>
      <c r="N259" s="213" t="str">
        <f t="shared" si="4"/>
        <v/>
      </c>
    </row>
    <row r="260" spans="1:14" outlineLevel="1" x14ac:dyDescent="0.25">
      <c r="A260" s="118"/>
      <c r="B260" s="119"/>
      <c r="C260" s="119"/>
      <c r="D260" s="119"/>
      <c r="E260" s="119"/>
      <c r="F260" s="120"/>
      <c r="G260" s="121"/>
      <c r="H260" s="121"/>
      <c r="I260" s="121"/>
      <c r="J260" s="121"/>
      <c r="K260" s="121"/>
      <c r="L260" s="104"/>
      <c r="N260" s="213" t="str">
        <f t="shared" si="4"/>
        <v/>
      </c>
    </row>
    <row r="261" spans="1:14" outlineLevel="1" x14ac:dyDescent="0.25">
      <c r="A261" s="118"/>
      <c r="B261" s="119"/>
      <c r="C261" s="119"/>
      <c r="D261" s="119"/>
      <c r="E261" s="119"/>
      <c r="F261" s="120"/>
      <c r="G261" s="121"/>
      <c r="H261" s="121"/>
      <c r="I261" s="121"/>
      <c r="J261" s="121"/>
      <c r="K261" s="121"/>
      <c r="L261" s="104"/>
      <c r="N261" s="213" t="str">
        <f t="shared" si="4"/>
        <v/>
      </c>
    </row>
    <row r="262" spans="1:14" outlineLevel="1" x14ac:dyDescent="0.25">
      <c r="A262" s="118"/>
      <c r="B262" s="119"/>
      <c r="C262" s="119"/>
      <c r="D262" s="119"/>
      <c r="E262" s="119"/>
      <c r="F262" s="120"/>
      <c r="G262" s="121"/>
      <c r="H262" s="121"/>
      <c r="I262" s="121"/>
      <c r="J262" s="121"/>
      <c r="K262" s="121"/>
      <c r="L262" s="104"/>
      <c r="N262" s="213" t="str">
        <f t="shared" si="4"/>
        <v/>
      </c>
    </row>
    <row r="263" spans="1:14" outlineLevel="1" x14ac:dyDescent="0.25">
      <c r="A263" s="118"/>
      <c r="B263" s="119"/>
      <c r="C263" s="119"/>
      <c r="D263" s="119"/>
      <c r="E263" s="119"/>
      <c r="F263" s="120"/>
      <c r="G263" s="121"/>
      <c r="H263" s="121"/>
      <c r="I263" s="121"/>
      <c r="J263" s="121"/>
      <c r="K263" s="121"/>
      <c r="L263" s="104"/>
      <c r="N263" s="213" t="str">
        <f t="shared" si="4"/>
        <v/>
      </c>
    </row>
    <row r="264" spans="1:14" outlineLevel="1" x14ac:dyDescent="0.25">
      <c r="A264" s="118"/>
      <c r="B264" s="119"/>
      <c r="C264" s="119"/>
      <c r="D264" s="119"/>
      <c r="E264" s="119"/>
      <c r="F264" s="120"/>
      <c r="G264" s="121"/>
      <c r="H264" s="121"/>
      <c r="I264" s="121"/>
      <c r="J264" s="121"/>
      <c r="K264" s="121"/>
      <c r="L264" s="104"/>
      <c r="N264" s="213" t="str">
        <f t="shared" si="4"/>
        <v/>
      </c>
    </row>
    <row r="265" spans="1:14" outlineLevel="1" x14ac:dyDescent="0.25">
      <c r="A265" s="118"/>
      <c r="B265" s="119"/>
      <c r="C265" s="119"/>
      <c r="D265" s="119"/>
      <c r="E265" s="119"/>
      <c r="F265" s="120"/>
      <c r="G265" s="121"/>
      <c r="H265" s="121"/>
      <c r="I265" s="121"/>
      <c r="J265" s="121"/>
      <c r="K265" s="121"/>
      <c r="L265" s="104"/>
      <c r="N265" s="213" t="str">
        <f t="shared" si="4"/>
        <v/>
      </c>
    </row>
    <row r="266" spans="1:14" outlineLevel="1" x14ac:dyDescent="0.25">
      <c r="A266" s="118"/>
      <c r="B266" s="119"/>
      <c r="C266" s="119"/>
      <c r="D266" s="119"/>
      <c r="E266" s="119"/>
      <c r="F266" s="120"/>
      <c r="G266" s="121"/>
      <c r="H266" s="121"/>
      <c r="I266" s="121"/>
      <c r="J266" s="121"/>
      <c r="K266" s="121"/>
      <c r="L266" s="104"/>
      <c r="N266" s="213" t="str">
        <f t="shared" si="4"/>
        <v/>
      </c>
    </row>
    <row r="267" spans="1:14" outlineLevel="1" x14ac:dyDescent="0.25">
      <c r="A267" s="118"/>
      <c r="B267" s="119"/>
      <c r="C267" s="119"/>
      <c r="D267" s="119"/>
      <c r="E267" s="119"/>
      <c r="F267" s="120"/>
      <c r="G267" s="121"/>
      <c r="H267" s="121"/>
      <c r="I267" s="121"/>
      <c r="J267" s="121"/>
      <c r="K267" s="121"/>
      <c r="L267" s="104"/>
      <c r="N267" s="213" t="str">
        <f t="shared" si="4"/>
        <v/>
      </c>
    </row>
    <row r="268" spans="1:14" outlineLevel="1" x14ac:dyDescent="0.25">
      <c r="A268" s="118"/>
      <c r="B268" s="119"/>
      <c r="C268" s="119"/>
      <c r="D268" s="119"/>
      <c r="E268" s="119"/>
      <c r="F268" s="120"/>
      <c r="G268" s="121"/>
      <c r="H268" s="121"/>
      <c r="I268" s="121"/>
      <c r="J268" s="121"/>
      <c r="K268" s="121"/>
      <c r="L268" s="104"/>
      <c r="N268" s="213" t="str">
        <f t="shared" si="4"/>
        <v/>
      </c>
    </row>
    <row r="269" spans="1:14" outlineLevel="1" x14ac:dyDescent="0.25">
      <c r="A269" s="118"/>
      <c r="B269" s="119"/>
      <c r="C269" s="119"/>
      <c r="D269" s="119"/>
      <c r="E269" s="119"/>
      <c r="F269" s="120"/>
      <c r="G269" s="121"/>
      <c r="H269" s="121"/>
      <c r="I269" s="121"/>
      <c r="J269" s="121"/>
      <c r="K269" s="121"/>
      <c r="L269" s="104"/>
      <c r="N269" s="213" t="str">
        <f t="shared" si="4"/>
        <v/>
      </c>
    </row>
    <row r="270" spans="1:14" outlineLevel="1" x14ac:dyDescent="0.25">
      <c r="A270" s="118"/>
      <c r="B270" s="119"/>
      <c r="C270" s="119"/>
      <c r="D270" s="119"/>
      <c r="E270" s="119"/>
      <c r="F270" s="120"/>
      <c r="G270" s="121"/>
      <c r="H270" s="121"/>
      <c r="I270" s="121"/>
      <c r="J270" s="121"/>
      <c r="K270" s="121"/>
      <c r="L270" s="104"/>
      <c r="N270" s="213" t="str">
        <f t="shared" si="4"/>
        <v/>
      </c>
    </row>
    <row r="271" spans="1:14" outlineLevel="1" x14ac:dyDescent="0.25">
      <c r="A271" s="118"/>
      <c r="B271" s="119"/>
      <c r="C271" s="119"/>
      <c r="D271" s="119"/>
      <c r="E271" s="119"/>
      <c r="F271" s="120"/>
      <c r="G271" s="121"/>
      <c r="H271" s="121"/>
      <c r="I271" s="121"/>
      <c r="J271" s="121"/>
      <c r="K271" s="121"/>
      <c r="L271" s="104"/>
      <c r="N271" s="213" t="str">
        <f t="shared" si="4"/>
        <v/>
      </c>
    </row>
    <row r="272" spans="1:14" outlineLevel="1" x14ac:dyDescent="0.25">
      <c r="A272" s="118"/>
      <c r="B272" s="119"/>
      <c r="C272" s="119"/>
      <c r="D272" s="119"/>
      <c r="E272" s="119"/>
      <c r="F272" s="120"/>
      <c r="G272" s="121"/>
      <c r="H272" s="121"/>
      <c r="I272" s="121"/>
      <c r="J272" s="121"/>
      <c r="K272" s="121"/>
      <c r="L272" s="104"/>
      <c r="N272" s="213" t="str">
        <f t="shared" si="4"/>
        <v/>
      </c>
    </row>
    <row r="273" spans="1:14" outlineLevel="1" x14ac:dyDescent="0.25">
      <c r="A273" s="118"/>
      <c r="B273" s="119"/>
      <c r="C273" s="119"/>
      <c r="D273" s="119"/>
      <c r="E273" s="119"/>
      <c r="F273" s="120"/>
      <c r="G273" s="121"/>
      <c r="H273" s="121"/>
      <c r="I273" s="121"/>
      <c r="J273" s="121"/>
      <c r="K273" s="121"/>
      <c r="L273" s="104"/>
      <c r="N273" s="213" t="str">
        <f t="shared" si="4"/>
        <v/>
      </c>
    </row>
    <row r="274" spans="1:14" outlineLevel="1" x14ac:dyDescent="0.25">
      <c r="A274" s="118"/>
      <c r="B274" s="119"/>
      <c r="C274" s="119"/>
      <c r="D274" s="119"/>
      <c r="E274" s="119"/>
      <c r="F274" s="120"/>
      <c r="G274" s="121"/>
      <c r="H274" s="121"/>
      <c r="I274" s="121"/>
      <c r="J274" s="121"/>
      <c r="K274" s="121"/>
      <c r="L274" s="104"/>
      <c r="N274" s="213" t="str">
        <f t="shared" si="4"/>
        <v/>
      </c>
    </row>
    <row r="275" spans="1:14" outlineLevel="1" x14ac:dyDescent="0.25">
      <c r="A275" s="118"/>
      <c r="B275" s="119"/>
      <c r="C275" s="119"/>
      <c r="D275" s="119"/>
      <c r="E275" s="119"/>
      <c r="F275" s="120"/>
      <c r="G275" s="121"/>
      <c r="H275" s="121"/>
      <c r="I275" s="121"/>
      <c r="J275" s="121"/>
      <c r="K275" s="121"/>
      <c r="L275" s="104"/>
      <c r="N275" s="213" t="str">
        <f t="shared" si="4"/>
        <v/>
      </c>
    </row>
    <row r="276" spans="1:14" outlineLevel="1" x14ac:dyDescent="0.25">
      <c r="A276" s="118"/>
      <c r="B276" s="119"/>
      <c r="C276" s="119"/>
      <c r="D276" s="119"/>
      <c r="E276" s="119"/>
      <c r="F276" s="120"/>
      <c r="G276" s="121"/>
      <c r="H276" s="121"/>
      <c r="I276" s="121"/>
      <c r="J276" s="121"/>
      <c r="K276" s="121"/>
      <c r="L276" s="104"/>
      <c r="N276" s="213" t="str">
        <f t="shared" si="4"/>
        <v/>
      </c>
    </row>
    <row r="277" spans="1:14" outlineLevel="1" x14ac:dyDescent="0.25">
      <c r="A277" s="118"/>
      <c r="B277" s="119"/>
      <c r="C277" s="119"/>
      <c r="D277" s="119"/>
      <c r="E277" s="119"/>
      <c r="F277" s="120"/>
      <c r="G277" s="121"/>
      <c r="H277" s="121"/>
      <c r="I277" s="121"/>
      <c r="J277" s="121"/>
      <c r="K277" s="121"/>
      <c r="L277" s="104"/>
      <c r="N277" s="213" t="str">
        <f t="shared" si="4"/>
        <v/>
      </c>
    </row>
    <row r="278" spans="1:14" outlineLevel="1" x14ac:dyDescent="0.25">
      <c r="A278" s="118"/>
      <c r="B278" s="119"/>
      <c r="C278" s="119"/>
      <c r="D278" s="119"/>
      <c r="E278" s="119"/>
      <c r="F278" s="120"/>
      <c r="G278" s="121"/>
      <c r="H278" s="121"/>
      <c r="I278" s="121"/>
      <c r="J278" s="121"/>
      <c r="K278" s="121"/>
      <c r="L278" s="104"/>
      <c r="N278" s="213" t="str">
        <f t="shared" si="4"/>
        <v/>
      </c>
    </row>
    <row r="279" spans="1:14" outlineLevel="1" x14ac:dyDescent="0.25">
      <c r="A279" s="118"/>
      <c r="B279" s="119"/>
      <c r="C279" s="119"/>
      <c r="D279" s="119"/>
      <c r="E279" s="119"/>
      <c r="F279" s="120"/>
      <c r="G279" s="121"/>
      <c r="H279" s="121"/>
      <c r="I279" s="121"/>
      <c r="J279" s="121"/>
      <c r="K279" s="121"/>
      <c r="L279" s="104"/>
      <c r="N279" s="213" t="str">
        <f t="shared" si="4"/>
        <v/>
      </c>
    </row>
    <row r="280" spans="1:14" outlineLevel="1" x14ac:dyDescent="0.25">
      <c r="A280" s="118"/>
      <c r="B280" s="119"/>
      <c r="C280" s="119"/>
      <c r="D280" s="119"/>
      <c r="E280" s="119"/>
      <c r="F280" s="120"/>
      <c r="G280" s="121"/>
      <c r="H280" s="121"/>
      <c r="I280" s="121"/>
      <c r="J280" s="121"/>
      <c r="K280" s="121"/>
      <c r="L280" s="104"/>
      <c r="N280" s="213" t="str">
        <f t="shared" si="4"/>
        <v/>
      </c>
    </row>
    <row r="281" spans="1:14" outlineLevel="1" x14ac:dyDescent="0.25">
      <c r="A281" s="118"/>
      <c r="B281" s="119"/>
      <c r="C281" s="119"/>
      <c r="D281" s="119"/>
      <c r="E281" s="119"/>
      <c r="F281" s="120"/>
      <c r="G281" s="121"/>
      <c r="H281" s="121"/>
      <c r="I281" s="121"/>
      <c r="J281" s="121"/>
      <c r="K281" s="121"/>
      <c r="L281" s="104"/>
      <c r="N281" s="213" t="str">
        <f t="shared" si="4"/>
        <v/>
      </c>
    </row>
    <row r="282" spans="1:14" outlineLevel="1" x14ac:dyDescent="0.25">
      <c r="A282" s="118"/>
      <c r="B282" s="119"/>
      <c r="C282" s="119"/>
      <c r="D282" s="119"/>
      <c r="E282" s="119"/>
      <c r="F282" s="120"/>
      <c r="G282" s="121"/>
      <c r="H282" s="121"/>
      <c r="I282" s="121"/>
      <c r="J282" s="121"/>
      <c r="K282" s="121"/>
      <c r="L282" s="104"/>
      <c r="N282" s="213" t="str">
        <f t="shared" si="4"/>
        <v/>
      </c>
    </row>
    <row r="283" spans="1:14" outlineLevel="1" x14ac:dyDescent="0.25">
      <c r="A283" s="118"/>
      <c r="B283" s="119"/>
      <c r="C283" s="119"/>
      <c r="D283" s="119"/>
      <c r="E283" s="119"/>
      <c r="F283" s="120"/>
      <c r="G283" s="121"/>
      <c r="H283" s="121"/>
      <c r="I283" s="121"/>
      <c r="J283" s="121"/>
      <c r="K283" s="121"/>
      <c r="L283" s="104"/>
      <c r="N283" s="213" t="str">
        <f t="shared" si="4"/>
        <v/>
      </c>
    </row>
    <row r="284" spans="1:14" outlineLevel="1" x14ac:dyDescent="0.25">
      <c r="A284" s="118"/>
      <c r="B284" s="119"/>
      <c r="C284" s="119"/>
      <c r="D284" s="119"/>
      <c r="E284" s="119"/>
      <c r="F284" s="120"/>
      <c r="G284" s="121"/>
      <c r="H284" s="121"/>
      <c r="I284" s="121"/>
      <c r="J284" s="121"/>
      <c r="K284" s="121"/>
      <c r="L284" s="104"/>
      <c r="N284" s="213" t="str">
        <f t="shared" si="4"/>
        <v/>
      </c>
    </row>
    <row r="285" spans="1:14" outlineLevel="1" x14ac:dyDescent="0.25">
      <c r="A285" s="118"/>
      <c r="B285" s="119"/>
      <c r="C285" s="119"/>
      <c r="D285" s="119"/>
      <c r="E285" s="119"/>
      <c r="F285" s="120"/>
      <c r="G285" s="121"/>
      <c r="H285" s="121"/>
      <c r="I285" s="121"/>
      <c r="J285" s="121"/>
      <c r="K285" s="121"/>
      <c r="L285" s="104"/>
      <c r="N285" s="213" t="str">
        <f t="shared" si="4"/>
        <v/>
      </c>
    </row>
    <row r="286" spans="1:14" outlineLevel="1" x14ac:dyDescent="0.25">
      <c r="A286" s="118"/>
      <c r="B286" s="119"/>
      <c r="C286" s="119"/>
      <c r="D286" s="119"/>
      <c r="E286" s="119"/>
      <c r="F286" s="120"/>
      <c r="G286" s="121"/>
      <c r="H286" s="121"/>
      <c r="I286" s="121"/>
      <c r="J286" s="121"/>
      <c r="K286" s="121"/>
      <c r="L286" s="104"/>
      <c r="N286" s="213" t="str">
        <f t="shared" si="4"/>
        <v/>
      </c>
    </row>
    <row r="287" spans="1:14" outlineLevel="1" x14ac:dyDescent="0.25">
      <c r="A287" s="118"/>
      <c r="B287" s="119"/>
      <c r="C287" s="119"/>
      <c r="D287" s="119"/>
      <c r="E287" s="119"/>
      <c r="F287" s="120"/>
      <c r="G287" s="121"/>
      <c r="H287" s="121"/>
      <c r="I287" s="121"/>
      <c r="J287" s="121"/>
      <c r="K287" s="121"/>
      <c r="L287" s="104"/>
      <c r="N287" s="213" t="str">
        <f t="shared" si="4"/>
        <v/>
      </c>
    </row>
    <row r="288" spans="1:14" outlineLevel="1" x14ac:dyDescent="0.25">
      <c r="A288" s="118"/>
      <c r="B288" s="119"/>
      <c r="C288" s="119"/>
      <c r="D288" s="119"/>
      <c r="E288" s="119"/>
      <c r="F288" s="120"/>
      <c r="G288" s="121"/>
      <c r="H288" s="121"/>
      <c r="I288" s="121"/>
      <c r="J288" s="121"/>
      <c r="K288" s="121"/>
      <c r="L288" s="104"/>
      <c r="N288" s="213" t="str">
        <f t="shared" si="4"/>
        <v/>
      </c>
    </row>
    <row r="289" spans="1:14" outlineLevel="1" x14ac:dyDescent="0.25">
      <c r="A289" s="118"/>
      <c r="B289" s="119"/>
      <c r="C289" s="119"/>
      <c r="D289" s="119"/>
      <c r="E289" s="119"/>
      <c r="F289" s="120"/>
      <c r="G289" s="121"/>
      <c r="H289" s="121"/>
      <c r="I289" s="121"/>
      <c r="J289" s="121"/>
      <c r="K289" s="121"/>
      <c r="L289" s="104"/>
      <c r="N289" s="213" t="str">
        <f t="shared" si="4"/>
        <v/>
      </c>
    </row>
    <row r="290" spans="1:14" outlineLevel="1" x14ac:dyDescent="0.25">
      <c r="A290" s="118"/>
      <c r="B290" s="119"/>
      <c r="C290" s="119"/>
      <c r="D290" s="119"/>
      <c r="E290" s="119"/>
      <c r="F290" s="120"/>
      <c r="G290" s="121"/>
      <c r="H290" s="121"/>
      <c r="I290" s="121"/>
      <c r="J290" s="121"/>
      <c r="K290" s="121"/>
      <c r="L290" s="104"/>
      <c r="N290" s="213" t="str">
        <f t="shared" si="4"/>
        <v/>
      </c>
    </row>
    <row r="291" spans="1:14" outlineLevel="1" x14ac:dyDescent="0.25">
      <c r="A291" s="118"/>
      <c r="B291" s="119"/>
      <c r="C291" s="119"/>
      <c r="D291" s="119"/>
      <c r="E291" s="119"/>
      <c r="F291" s="120"/>
      <c r="G291" s="121"/>
      <c r="H291" s="121"/>
      <c r="I291" s="121"/>
      <c r="J291" s="121"/>
      <c r="K291" s="121"/>
      <c r="L291" s="104"/>
      <c r="N291" s="213" t="str">
        <f t="shared" si="4"/>
        <v/>
      </c>
    </row>
    <row r="292" spans="1:14" outlineLevel="1" x14ac:dyDescent="0.25">
      <c r="A292" s="118"/>
      <c r="B292" s="119"/>
      <c r="C292" s="119"/>
      <c r="D292" s="119"/>
      <c r="E292" s="119"/>
      <c r="F292" s="120"/>
      <c r="G292" s="121"/>
      <c r="H292" s="121"/>
      <c r="I292" s="121"/>
      <c r="J292" s="121"/>
      <c r="K292" s="121"/>
      <c r="L292" s="104"/>
      <c r="N292" s="213" t="str">
        <f t="shared" si="4"/>
        <v/>
      </c>
    </row>
    <row r="293" spans="1:14" outlineLevel="1" x14ac:dyDescent="0.25">
      <c r="A293" s="118"/>
      <c r="B293" s="119"/>
      <c r="C293" s="119"/>
      <c r="D293" s="119"/>
      <c r="E293" s="119"/>
      <c r="F293" s="120"/>
      <c r="G293" s="121"/>
      <c r="H293" s="121"/>
      <c r="I293" s="121"/>
      <c r="J293" s="121"/>
      <c r="K293" s="121"/>
      <c r="L293" s="104"/>
      <c r="N293" s="213" t="str">
        <f t="shared" si="4"/>
        <v/>
      </c>
    </row>
    <row r="294" spans="1:14" outlineLevel="1" x14ac:dyDescent="0.25">
      <c r="A294" s="118"/>
      <c r="B294" s="119"/>
      <c r="C294" s="119"/>
      <c r="D294" s="119"/>
      <c r="E294" s="119"/>
      <c r="F294" s="120"/>
      <c r="G294" s="121"/>
      <c r="H294" s="121"/>
      <c r="I294" s="121"/>
      <c r="J294" s="121"/>
      <c r="K294" s="121"/>
      <c r="L294" s="104"/>
      <c r="N294" s="213" t="str">
        <f t="shared" si="4"/>
        <v/>
      </c>
    </row>
    <row r="295" spans="1:14" outlineLevel="1" x14ac:dyDescent="0.25">
      <c r="A295" s="118"/>
      <c r="B295" s="119"/>
      <c r="C295" s="119"/>
      <c r="D295" s="119"/>
      <c r="E295" s="119"/>
      <c r="F295" s="120"/>
      <c r="G295" s="121"/>
      <c r="H295" s="121"/>
      <c r="I295" s="121"/>
      <c r="J295" s="121"/>
      <c r="K295" s="121"/>
      <c r="L295" s="104"/>
      <c r="N295" s="213" t="str">
        <f t="shared" si="4"/>
        <v/>
      </c>
    </row>
    <row r="296" spans="1:14" outlineLevel="1" x14ac:dyDescent="0.25">
      <c r="A296" s="118"/>
      <c r="B296" s="119"/>
      <c r="C296" s="119"/>
      <c r="D296" s="119"/>
      <c r="E296" s="119"/>
      <c r="F296" s="120"/>
      <c r="G296" s="121"/>
      <c r="H296" s="121"/>
      <c r="I296" s="121"/>
      <c r="J296" s="121"/>
      <c r="K296" s="121"/>
      <c r="L296" s="104"/>
      <c r="N296" s="213" t="str">
        <f t="shared" si="4"/>
        <v/>
      </c>
    </row>
    <row r="297" spans="1:14" outlineLevel="1" x14ac:dyDescent="0.25">
      <c r="A297" s="118"/>
      <c r="B297" s="119"/>
      <c r="C297" s="119"/>
      <c r="D297" s="119"/>
      <c r="E297" s="119"/>
      <c r="F297" s="120"/>
      <c r="G297" s="121"/>
      <c r="H297" s="121"/>
      <c r="I297" s="121"/>
      <c r="J297" s="121"/>
      <c r="K297" s="121"/>
      <c r="L297" s="104"/>
      <c r="N297" s="213" t="str">
        <f t="shared" si="4"/>
        <v/>
      </c>
    </row>
    <row r="298" spans="1:14" outlineLevel="1" x14ac:dyDescent="0.25">
      <c r="A298" s="118"/>
      <c r="B298" s="119"/>
      <c r="C298" s="119"/>
      <c r="D298" s="119"/>
      <c r="E298" s="119"/>
      <c r="F298" s="120"/>
      <c r="G298" s="121"/>
      <c r="H298" s="121"/>
      <c r="I298" s="121"/>
      <c r="J298" s="121"/>
      <c r="K298" s="121"/>
      <c r="L298" s="104"/>
      <c r="N298" s="213" t="str">
        <f t="shared" si="4"/>
        <v/>
      </c>
    </row>
    <row r="299" spans="1:14" outlineLevel="1" x14ac:dyDescent="0.25">
      <c r="A299" s="118"/>
      <c r="B299" s="119"/>
      <c r="C299" s="119"/>
      <c r="D299" s="119"/>
      <c r="E299" s="119"/>
      <c r="F299" s="120"/>
      <c r="G299" s="121"/>
      <c r="H299" s="121"/>
      <c r="I299" s="121"/>
      <c r="J299" s="121"/>
      <c r="K299" s="121"/>
      <c r="L299" s="104"/>
      <c r="N299" s="213" t="str">
        <f t="shared" si="4"/>
        <v/>
      </c>
    </row>
    <row r="300" spans="1:14" outlineLevel="1" x14ac:dyDescent="0.25">
      <c r="A300" s="118"/>
      <c r="B300" s="119"/>
      <c r="C300" s="119"/>
      <c r="D300" s="119"/>
      <c r="E300" s="119"/>
      <c r="F300" s="120"/>
      <c r="G300" s="121"/>
      <c r="H300" s="121"/>
      <c r="I300" s="121"/>
      <c r="J300" s="121"/>
      <c r="K300" s="121"/>
      <c r="L300" s="104"/>
      <c r="N300" s="213" t="str">
        <f t="shared" si="4"/>
        <v/>
      </c>
    </row>
    <row r="301" spans="1:14" outlineLevel="1" x14ac:dyDescent="0.25">
      <c r="A301" s="118"/>
      <c r="B301" s="119"/>
      <c r="C301" s="119"/>
      <c r="D301" s="119"/>
      <c r="E301" s="119"/>
      <c r="F301" s="120"/>
      <c r="G301" s="121"/>
      <c r="H301" s="121"/>
      <c r="I301" s="121"/>
      <c r="J301" s="121"/>
      <c r="K301" s="121"/>
      <c r="L301" s="104"/>
      <c r="N301" s="213" t="str">
        <f t="shared" si="4"/>
        <v/>
      </c>
    </row>
    <row r="302" spans="1:14" outlineLevel="1" x14ac:dyDescent="0.25">
      <c r="A302" s="118"/>
      <c r="B302" s="119"/>
      <c r="C302" s="119"/>
      <c r="D302" s="119"/>
      <c r="E302" s="119"/>
      <c r="F302" s="120"/>
      <c r="G302" s="121"/>
      <c r="H302" s="121"/>
      <c r="I302" s="121"/>
      <c r="J302" s="121"/>
      <c r="K302" s="121"/>
      <c r="L302" s="104"/>
      <c r="N302" s="213" t="str">
        <f t="shared" si="4"/>
        <v/>
      </c>
    </row>
    <row r="303" spans="1:14" outlineLevel="1" x14ac:dyDescent="0.25">
      <c r="A303" s="118"/>
      <c r="B303" s="119"/>
      <c r="C303" s="119"/>
      <c r="D303" s="119"/>
      <c r="E303" s="119"/>
      <c r="F303" s="120"/>
      <c r="G303" s="121"/>
      <c r="H303" s="121"/>
      <c r="I303" s="121"/>
      <c r="J303" s="121"/>
      <c r="K303" s="121"/>
      <c r="L303" s="104"/>
      <c r="N303" s="213" t="str">
        <f t="shared" si="4"/>
        <v/>
      </c>
    </row>
    <row r="304" spans="1:14" outlineLevel="1" x14ac:dyDescent="0.25">
      <c r="A304" s="118"/>
      <c r="B304" s="119"/>
      <c r="C304" s="119"/>
      <c r="D304" s="119"/>
      <c r="E304" s="119"/>
      <c r="F304" s="120"/>
      <c r="G304" s="121"/>
      <c r="H304" s="121"/>
      <c r="I304" s="121"/>
      <c r="J304" s="121"/>
      <c r="K304" s="121"/>
      <c r="L304" s="104"/>
      <c r="N304" s="213" t="str">
        <f t="shared" si="4"/>
        <v/>
      </c>
    </row>
    <row r="305" spans="1:14" outlineLevel="1" x14ac:dyDescent="0.25">
      <c r="A305" s="118"/>
      <c r="B305" s="119"/>
      <c r="C305" s="119"/>
      <c r="D305" s="119"/>
      <c r="E305" s="119"/>
      <c r="F305" s="120"/>
      <c r="G305" s="121"/>
      <c r="H305" s="121"/>
      <c r="I305" s="121"/>
      <c r="J305" s="121"/>
      <c r="K305" s="121"/>
      <c r="L305" s="104"/>
      <c r="N305" s="213" t="str">
        <f t="shared" si="4"/>
        <v/>
      </c>
    </row>
    <row r="306" spans="1:14" outlineLevel="1" x14ac:dyDescent="0.25">
      <c r="A306" s="118"/>
      <c r="B306" s="119"/>
      <c r="C306" s="119"/>
      <c r="D306" s="119"/>
      <c r="E306" s="119"/>
      <c r="F306" s="120"/>
      <c r="G306" s="121"/>
      <c r="H306" s="121"/>
      <c r="I306" s="121"/>
      <c r="J306" s="121"/>
      <c r="K306" s="121"/>
      <c r="L306" s="104"/>
      <c r="N306" s="213" t="str">
        <f t="shared" si="4"/>
        <v/>
      </c>
    </row>
    <row r="307" spans="1:14" outlineLevel="1" x14ac:dyDescent="0.25">
      <c r="A307" s="118"/>
      <c r="B307" s="119"/>
      <c r="C307" s="119"/>
      <c r="D307" s="119"/>
      <c r="E307" s="119"/>
      <c r="F307" s="120"/>
      <c r="G307" s="121"/>
      <c r="H307" s="121"/>
      <c r="I307" s="121"/>
      <c r="J307" s="121"/>
      <c r="K307" s="121"/>
      <c r="L307" s="104"/>
      <c r="N307" s="213" t="str">
        <f t="shared" si="4"/>
        <v/>
      </c>
    </row>
    <row r="308" spans="1:14" outlineLevel="1" x14ac:dyDescent="0.25">
      <c r="A308" s="118"/>
      <c r="B308" s="119"/>
      <c r="C308" s="119"/>
      <c r="D308" s="119"/>
      <c r="E308" s="119"/>
      <c r="F308" s="120"/>
      <c r="G308" s="121"/>
      <c r="H308" s="121"/>
      <c r="I308" s="121"/>
      <c r="J308" s="121"/>
      <c r="K308" s="121"/>
      <c r="L308" s="104"/>
      <c r="N308" s="213" t="str">
        <f t="shared" si="4"/>
        <v/>
      </c>
    </row>
    <row r="309" spans="1:14" outlineLevel="1" x14ac:dyDescent="0.25">
      <c r="A309" s="118"/>
      <c r="B309" s="119"/>
      <c r="C309" s="119"/>
      <c r="D309" s="119"/>
      <c r="E309" s="119"/>
      <c r="F309" s="120"/>
      <c r="G309" s="121"/>
      <c r="H309" s="121"/>
      <c r="I309" s="121"/>
      <c r="J309" s="121"/>
      <c r="K309" s="121"/>
      <c r="L309" s="104"/>
      <c r="N309" s="213" t="str">
        <f t="shared" si="4"/>
        <v/>
      </c>
    </row>
    <row r="310" spans="1:14" outlineLevel="1" x14ac:dyDescent="0.25">
      <c r="A310" s="118"/>
      <c r="B310" s="119"/>
      <c r="C310" s="119"/>
      <c r="D310" s="119"/>
      <c r="E310" s="119"/>
      <c r="F310" s="120"/>
      <c r="G310" s="121"/>
      <c r="H310" s="121"/>
      <c r="I310" s="121"/>
      <c r="J310" s="121"/>
      <c r="K310" s="121"/>
      <c r="L310" s="104"/>
      <c r="N310" s="213" t="str">
        <f t="shared" si="4"/>
        <v/>
      </c>
    </row>
    <row r="311" spans="1:14" outlineLevel="1" x14ac:dyDescent="0.25">
      <c r="A311" s="118"/>
      <c r="B311" s="119"/>
      <c r="C311" s="119"/>
      <c r="D311" s="119"/>
      <c r="E311" s="119"/>
      <c r="F311" s="120"/>
      <c r="G311" s="121"/>
      <c r="H311" s="121"/>
      <c r="I311" s="121"/>
      <c r="J311" s="121"/>
      <c r="K311" s="121"/>
      <c r="L311" s="104"/>
      <c r="N311" s="213" t="str">
        <f t="shared" si="4"/>
        <v/>
      </c>
    </row>
    <row r="312" spans="1:14" outlineLevel="1" x14ac:dyDescent="0.25">
      <c r="A312" s="118"/>
      <c r="B312" s="119"/>
      <c r="C312" s="119"/>
      <c r="D312" s="119"/>
      <c r="E312" s="119"/>
      <c r="F312" s="120"/>
      <c r="G312" s="121"/>
      <c r="H312" s="121"/>
      <c r="I312" s="121"/>
      <c r="J312" s="121"/>
      <c r="K312" s="121"/>
      <c r="L312" s="104"/>
      <c r="N312" s="213" t="str">
        <f t="shared" si="4"/>
        <v/>
      </c>
    </row>
    <row r="313" spans="1:14" outlineLevel="1" x14ac:dyDescent="0.25">
      <c r="A313" s="118"/>
      <c r="B313" s="119"/>
      <c r="C313" s="119"/>
      <c r="D313" s="119"/>
      <c r="E313" s="119"/>
      <c r="F313" s="120"/>
      <c r="G313" s="121"/>
      <c r="H313" s="121"/>
      <c r="I313" s="121"/>
      <c r="J313" s="121"/>
      <c r="K313" s="121"/>
      <c r="L313" s="104"/>
      <c r="N313" s="213" t="str">
        <f t="shared" si="4"/>
        <v/>
      </c>
    </row>
    <row r="314" spans="1:14" outlineLevel="1" x14ac:dyDescent="0.25">
      <c r="A314" s="118"/>
      <c r="B314" s="119"/>
      <c r="C314" s="119"/>
      <c r="D314" s="119"/>
      <c r="E314" s="119"/>
      <c r="F314" s="120"/>
      <c r="G314" s="121"/>
      <c r="H314" s="121"/>
      <c r="I314" s="121"/>
      <c r="J314" s="121"/>
      <c r="K314" s="121"/>
      <c r="L314" s="104"/>
      <c r="N314" s="213" t="str">
        <f t="shared" si="4"/>
        <v/>
      </c>
    </row>
    <row r="315" spans="1:14" outlineLevel="1" x14ac:dyDescent="0.25">
      <c r="A315" s="118"/>
      <c r="B315" s="119"/>
      <c r="C315" s="119"/>
      <c r="D315" s="119"/>
      <c r="E315" s="119"/>
      <c r="F315" s="120"/>
      <c r="G315" s="121"/>
      <c r="H315" s="121"/>
      <c r="I315" s="121"/>
      <c r="J315" s="121"/>
      <c r="K315" s="121"/>
      <c r="L315" s="104"/>
      <c r="N315" s="213" t="str">
        <f t="shared" si="4"/>
        <v/>
      </c>
    </row>
    <row r="316" spans="1:14" outlineLevel="1" x14ac:dyDescent="0.25">
      <c r="A316" s="118"/>
      <c r="B316" s="119"/>
      <c r="C316" s="119"/>
      <c r="D316" s="119"/>
      <c r="E316" s="119"/>
      <c r="F316" s="120"/>
      <c r="G316" s="121"/>
      <c r="H316" s="121"/>
      <c r="I316" s="121"/>
      <c r="J316" s="121"/>
      <c r="K316" s="121"/>
      <c r="L316" s="104"/>
      <c r="N316" s="213" t="str">
        <f t="shared" si="4"/>
        <v/>
      </c>
    </row>
    <row r="317" spans="1:14" outlineLevel="1" x14ac:dyDescent="0.25">
      <c r="A317" s="118"/>
      <c r="B317" s="119"/>
      <c r="C317" s="119"/>
      <c r="D317" s="119"/>
      <c r="E317" s="119"/>
      <c r="F317" s="120"/>
      <c r="G317" s="121"/>
      <c r="H317" s="121"/>
      <c r="I317" s="121"/>
      <c r="J317" s="121"/>
      <c r="K317" s="121"/>
      <c r="L317" s="104"/>
      <c r="N317" s="213" t="str">
        <f t="shared" si="4"/>
        <v/>
      </c>
    </row>
    <row r="318" spans="1:14" outlineLevel="1" x14ac:dyDescent="0.25">
      <c r="A318" s="118"/>
      <c r="B318" s="119"/>
      <c r="C318" s="119"/>
      <c r="D318" s="119"/>
      <c r="E318" s="119"/>
      <c r="F318" s="120"/>
      <c r="G318" s="121"/>
      <c r="H318" s="121"/>
      <c r="I318" s="121"/>
      <c r="J318" s="121"/>
      <c r="K318" s="121"/>
      <c r="L318" s="104"/>
      <c r="N318" s="213" t="str">
        <f t="shared" si="4"/>
        <v/>
      </c>
    </row>
    <row r="319" spans="1:14" outlineLevel="1" x14ac:dyDescent="0.25">
      <c r="A319" s="118"/>
      <c r="B319" s="119"/>
      <c r="C319" s="119"/>
      <c r="D319" s="119"/>
      <c r="E319" s="119"/>
      <c r="F319" s="120"/>
      <c r="G319" s="121"/>
      <c r="H319" s="121"/>
      <c r="I319" s="121"/>
      <c r="J319" s="121"/>
      <c r="K319" s="121"/>
      <c r="L319" s="104"/>
      <c r="N319" s="213" t="str">
        <f t="shared" si="4"/>
        <v/>
      </c>
    </row>
    <row r="320" spans="1:14" outlineLevel="1" x14ac:dyDescent="0.25">
      <c r="A320" s="118"/>
      <c r="B320" s="119"/>
      <c r="C320" s="119"/>
      <c r="D320" s="119"/>
      <c r="E320" s="119"/>
      <c r="F320" s="120"/>
      <c r="G320" s="121"/>
      <c r="H320" s="121"/>
      <c r="I320" s="121"/>
      <c r="J320" s="121"/>
      <c r="K320" s="121"/>
      <c r="L320" s="104"/>
      <c r="N320" s="213" t="str">
        <f t="shared" si="4"/>
        <v/>
      </c>
    </row>
    <row r="321" spans="1:14" outlineLevel="1" x14ac:dyDescent="0.25">
      <c r="A321" s="118"/>
      <c r="B321" s="119"/>
      <c r="C321" s="119"/>
      <c r="D321" s="119"/>
      <c r="E321" s="119"/>
      <c r="F321" s="120"/>
      <c r="G321" s="121"/>
      <c r="H321" s="121"/>
      <c r="I321" s="121"/>
      <c r="J321" s="121"/>
      <c r="K321" s="121"/>
      <c r="L321" s="104"/>
      <c r="N321" s="213" t="str">
        <f t="shared" si="4"/>
        <v/>
      </c>
    </row>
    <row r="322" spans="1:14" outlineLevel="1" x14ac:dyDescent="0.25">
      <c r="A322" s="118"/>
      <c r="B322" s="119"/>
      <c r="C322" s="119"/>
      <c r="D322" s="119"/>
      <c r="E322" s="119"/>
      <c r="F322" s="120"/>
      <c r="G322" s="121"/>
      <c r="H322" s="121"/>
      <c r="I322" s="121"/>
      <c r="J322" s="121"/>
      <c r="K322" s="121"/>
      <c r="L322" s="104"/>
      <c r="N322" s="213" t="str">
        <f t="shared" si="4"/>
        <v/>
      </c>
    </row>
    <row r="323" spans="1:14" outlineLevel="1" x14ac:dyDescent="0.25">
      <c r="A323" s="118"/>
      <c r="B323" s="119"/>
      <c r="C323" s="119"/>
      <c r="D323" s="119"/>
      <c r="E323" s="119"/>
      <c r="F323" s="120"/>
      <c r="G323" s="121"/>
      <c r="H323" s="121"/>
      <c r="I323" s="121"/>
      <c r="J323" s="121"/>
      <c r="K323" s="121"/>
      <c r="L323" s="104"/>
      <c r="N323" s="213" t="str">
        <f t="shared" si="4"/>
        <v/>
      </c>
    </row>
    <row r="324" spans="1:14" outlineLevel="1" x14ac:dyDescent="0.25">
      <c r="A324" s="118"/>
      <c r="B324" s="119"/>
      <c r="C324" s="119"/>
      <c r="D324" s="119"/>
      <c r="E324" s="119"/>
      <c r="F324" s="120"/>
      <c r="G324" s="121"/>
      <c r="H324" s="121"/>
      <c r="I324" s="121"/>
      <c r="J324" s="121"/>
      <c r="K324" s="121"/>
      <c r="L324" s="104"/>
      <c r="N324" s="213" t="str">
        <f t="shared" si="4"/>
        <v/>
      </c>
    </row>
    <row r="325" spans="1:14" outlineLevel="1" x14ac:dyDescent="0.25">
      <c r="A325" s="118"/>
      <c r="B325" s="119"/>
      <c r="C325" s="119"/>
      <c r="D325" s="119"/>
      <c r="E325" s="119"/>
      <c r="F325" s="120"/>
      <c r="G325" s="121"/>
      <c r="H325" s="121"/>
      <c r="I325" s="121"/>
      <c r="J325" s="121"/>
      <c r="K325" s="121"/>
      <c r="L325" s="104"/>
      <c r="N325" s="213" t="str">
        <f t="shared" si="4"/>
        <v/>
      </c>
    </row>
    <row r="326" spans="1:14" outlineLevel="1" x14ac:dyDescent="0.25">
      <c r="A326" s="118"/>
      <c r="B326" s="119"/>
      <c r="C326" s="119"/>
      <c r="D326" s="119"/>
      <c r="E326" s="119"/>
      <c r="F326" s="120"/>
      <c r="G326" s="121"/>
      <c r="H326" s="121"/>
      <c r="I326" s="121"/>
      <c r="J326" s="121"/>
      <c r="K326" s="121"/>
      <c r="L326" s="104"/>
      <c r="N326" s="213" t="str">
        <f t="shared" si="4"/>
        <v/>
      </c>
    </row>
    <row r="327" spans="1:14" outlineLevel="1" x14ac:dyDescent="0.25">
      <c r="A327" s="118"/>
      <c r="B327" s="119"/>
      <c r="C327" s="119"/>
      <c r="D327" s="119"/>
      <c r="E327" s="119"/>
      <c r="F327" s="120"/>
      <c r="G327" s="121"/>
      <c r="H327" s="121"/>
      <c r="I327" s="121"/>
      <c r="J327" s="121"/>
      <c r="K327" s="121"/>
      <c r="L327" s="104"/>
      <c r="N327" s="213" t="str">
        <f t="shared" si="4"/>
        <v/>
      </c>
    </row>
    <row r="328" spans="1:14" outlineLevel="1" x14ac:dyDescent="0.25">
      <c r="A328" s="118"/>
      <c r="B328" s="119"/>
      <c r="C328" s="119"/>
      <c r="D328" s="119"/>
      <c r="E328" s="119"/>
      <c r="F328" s="120"/>
      <c r="G328" s="121"/>
      <c r="H328" s="121"/>
      <c r="I328" s="121"/>
      <c r="J328" s="121"/>
      <c r="K328" s="121"/>
      <c r="L328" s="104"/>
      <c r="N328" s="213" t="str">
        <f t="shared" si="4"/>
        <v/>
      </c>
    </row>
    <row r="329" spans="1:14" outlineLevel="1" x14ac:dyDescent="0.25">
      <c r="A329" s="118"/>
      <c r="B329" s="119"/>
      <c r="C329" s="119"/>
      <c r="D329" s="119"/>
      <c r="E329" s="119"/>
      <c r="F329" s="120"/>
      <c r="G329" s="121"/>
      <c r="H329" s="121"/>
      <c r="I329" s="121"/>
      <c r="J329" s="121"/>
      <c r="K329" s="121"/>
      <c r="L329" s="104"/>
      <c r="N329" s="213" t="str">
        <f t="shared" si="4"/>
        <v/>
      </c>
    </row>
    <row r="330" spans="1:14" outlineLevel="1" x14ac:dyDescent="0.25">
      <c r="A330" s="118"/>
      <c r="B330" s="119"/>
      <c r="C330" s="119"/>
      <c r="D330" s="119"/>
      <c r="E330" s="119"/>
      <c r="F330" s="120"/>
      <c r="G330" s="121"/>
      <c r="H330" s="121"/>
      <c r="I330" s="121"/>
      <c r="J330" s="121"/>
      <c r="K330" s="121"/>
      <c r="L330" s="104"/>
      <c r="N330" s="213" t="str">
        <f t="shared" si="4"/>
        <v/>
      </c>
    </row>
    <row r="331" spans="1:14" outlineLevel="1" x14ac:dyDescent="0.25">
      <c r="A331" s="118"/>
      <c r="B331" s="119"/>
      <c r="C331" s="119"/>
      <c r="D331" s="119"/>
      <c r="E331" s="119"/>
      <c r="F331" s="120"/>
      <c r="G331" s="121"/>
      <c r="H331" s="121"/>
      <c r="I331" s="121"/>
      <c r="J331" s="121"/>
      <c r="K331" s="121"/>
      <c r="L331" s="104"/>
      <c r="N331" s="213" t="str">
        <f t="shared" si="4"/>
        <v/>
      </c>
    </row>
    <row r="332" spans="1:14" outlineLevel="1" x14ac:dyDescent="0.25">
      <c r="A332" s="118"/>
      <c r="B332" s="119"/>
      <c r="C332" s="119"/>
      <c r="D332" s="119"/>
      <c r="E332" s="119"/>
      <c r="F332" s="120"/>
      <c r="G332" s="121"/>
      <c r="H332" s="121"/>
      <c r="I332" s="121"/>
      <c r="J332" s="121"/>
      <c r="K332" s="121"/>
      <c r="L332" s="104"/>
      <c r="N332" s="213" t="str">
        <f t="shared" si="4"/>
        <v/>
      </c>
    </row>
    <row r="333" spans="1:14" outlineLevel="1" x14ac:dyDescent="0.25">
      <c r="A333" s="118"/>
      <c r="B333" s="119"/>
      <c r="C333" s="119"/>
      <c r="D333" s="119"/>
      <c r="E333" s="119"/>
      <c r="F333" s="120"/>
      <c r="G333" s="121"/>
      <c r="H333" s="121"/>
      <c r="I333" s="121"/>
      <c r="J333" s="121"/>
      <c r="K333" s="121"/>
      <c r="L333" s="104"/>
      <c r="N333" s="213" t="str">
        <f t="shared" si="4"/>
        <v/>
      </c>
    </row>
    <row r="334" spans="1:14" outlineLevel="1" x14ac:dyDescent="0.25">
      <c r="A334" s="118"/>
      <c r="B334" s="119"/>
      <c r="C334" s="119"/>
      <c r="D334" s="119"/>
      <c r="E334" s="119"/>
      <c r="F334" s="120"/>
      <c r="G334" s="121"/>
      <c r="H334" s="121"/>
      <c r="I334" s="121"/>
      <c r="J334" s="121"/>
      <c r="K334" s="121"/>
      <c r="L334" s="104"/>
      <c r="N334" s="213" t="str">
        <f t="shared" si="4"/>
        <v/>
      </c>
    </row>
    <row r="335" spans="1:14" outlineLevel="1" x14ac:dyDescent="0.25">
      <c r="A335" s="118"/>
      <c r="B335" s="119"/>
      <c r="C335" s="119"/>
      <c r="D335" s="119"/>
      <c r="E335" s="119"/>
      <c r="F335" s="120"/>
      <c r="G335" s="121"/>
      <c r="H335" s="121"/>
      <c r="I335" s="121"/>
      <c r="J335" s="121"/>
      <c r="K335" s="121"/>
      <c r="L335" s="104"/>
      <c r="N335" s="213" t="str">
        <f t="shared" si="4"/>
        <v/>
      </c>
    </row>
    <row r="336" spans="1:14" outlineLevel="1" x14ac:dyDescent="0.25">
      <c r="A336" s="118"/>
      <c r="B336" s="119"/>
      <c r="C336" s="119"/>
      <c r="D336" s="119"/>
      <c r="E336" s="119"/>
      <c r="F336" s="120"/>
      <c r="G336" s="121"/>
      <c r="H336" s="121"/>
      <c r="I336" s="121"/>
      <c r="J336" s="121"/>
      <c r="K336" s="121"/>
      <c r="L336" s="104"/>
      <c r="N336" s="213" t="str">
        <f t="shared" si="4"/>
        <v/>
      </c>
    </row>
    <row r="337" spans="1:14" outlineLevel="1" x14ac:dyDescent="0.25">
      <c r="A337" s="118"/>
      <c r="B337" s="119"/>
      <c r="C337" s="119"/>
      <c r="D337" s="119"/>
      <c r="E337" s="119"/>
      <c r="F337" s="120"/>
      <c r="G337" s="121"/>
      <c r="H337" s="121"/>
      <c r="I337" s="121"/>
      <c r="J337" s="121"/>
      <c r="K337" s="121"/>
      <c r="L337" s="104"/>
      <c r="N337" s="213" t="str">
        <f t="shared" si="4"/>
        <v/>
      </c>
    </row>
    <row r="338" spans="1:14" outlineLevel="1" x14ac:dyDescent="0.25">
      <c r="A338" s="118"/>
      <c r="B338" s="119"/>
      <c r="C338" s="119"/>
      <c r="D338" s="119"/>
      <c r="E338" s="119"/>
      <c r="F338" s="120"/>
      <c r="G338" s="121"/>
      <c r="H338" s="121"/>
      <c r="I338" s="121"/>
      <c r="J338" s="121"/>
      <c r="K338" s="121"/>
      <c r="L338" s="104"/>
      <c r="N338" s="213" t="str">
        <f t="shared" si="4"/>
        <v/>
      </c>
    </row>
    <row r="339" spans="1:14" outlineLevel="1" x14ac:dyDescent="0.25">
      <c r="A339" s="118"/>
      <c r="B339" s="119"/>
      <c r="C339" s="119"/>
      <c r="D339" s="119"/>
      <c r="E339" s="119"/>
      <c r="F339" s="120"/>
      <c r="G339" s="121"/>
      <c r="H339" s="121"/>
      <c r="I339" s="121"/>
      <c r="J339" s="121"/>
      <c r="K339" s="121"/>
      <c r="L339" s="104"/>
      <c r="N339" s="213" t="str">
        <f t="shared" si="4"/>
        <v/>
      </c>
    </row>
    <row r="340" spans="1:14" outlineLevel="1" x14ac:dyDescent="0.25">
      <c r="A340" s="118"/>
      <c r="B340" s="119"/>
      <c r="C340" s="119"/>
      <c r="D340" s="119"/>
      <c r="E340" s="119"/>
      <c r="F340" s="120"/>
      <c r="G340" s="121"/>
      <c r="H340" s="121"/>
      <c r="I340" s="121"/>
      <c r="J340" s="121"/>
      <c r="K340" s="121"/>
      <c r="L340" s="104"/>
      <c r="N340" s="213" t="str">
        <f t="shared" si="4"/>
        <v/>
      </c>
    </row>
    <row r="341" spans="1:14" outlineLevel="1" x14ac:dyDescent="0.25">
      <c r="A341" s="118"/>
      <c r="B341" s="119"/>
      <c r="C341" s="119"/>
      <c r="D341" s="119"/>
      <c r="E341" s="119"/>
      <c r="F341" s="120"/>
      <c r="G341" s="121"/>
      <c r="H341" s="121"/>
      <c r="I341" s="121"/>
      <c r="J341" s="121"/>
      <c r="K341" s="121"/>
      <c r="L341" s="104"/>
      <c r="N341" s="213" t="str">
        <f t="shared" si="4"/>
        <v/>
      </c>
    </row>
    <row r="342" spans="1:14" outlineLevel="1" x14ac:dyDescent="0.25">
      <c r="A342" s="118"/>
      <c r="B342" s="119"/>
      <c r="C342" s="119"/>
      <c r="D342" s="119"/>
      <c r="E342" s="119"/>
      <c r="F342" s="120"/>
      <c r="G342" s="121"/>
      <c r="H342" s="121"/>
      <c r="I342" s="121"/>
      <c r="J342" s="121"/>
      <c r="K342" s="121"/>
      <c r="L342" s="104"/>
      <c r="N342" s="213" t="str">
        <f t="shared" si="4"/>
        <v/>
      </c>
    </row>
    <row r="343" spans="1:14" outlineLevel="1" x14ac:dyDescent="0.25">
      <c r="A343" s="118"/>
      <c r="B343" s="119"/>
      <c r="C343" s="119"/>
      <c r="D343" s="119"/>
      <c r="E343" s="119"/>
      <c r="F343" s="120"/>
      <c r="G343" s="121"/>
      <c r="H343" s="121"/>
      <c r="I343" s="121"/>
      <c r="J343" s="121"/>
      <c r="K343" s="121"/>
      <c r="L343" s="104"/>
      <c r="N343" s="213" t="str">
        <f t="shared" si="4"/>
        <v/>
      </c>
    </row>
    <row r="344" spans="1:14" outlineLevel="1" x14ac:dyDescent="0.25">
      <c r="A344" s="118"/>
      <c r="B344" s="119"/>
      <c r="C344" s="119"/>
      <c r="D344" s="119"/>
      <c r="E344" s="119"/>
      <c r="F344" s="120"/>
      <c r="G344" s="121"/>
      <c r="H344" s="121"/>
      <c r="I344" s="121"/>
      <c r="J344" s="121"/>
      <c r="K344" s="121"/>
      <c r="L344" s="104"/>
      <c r="N344" s="213" t="str">
        <f t="shared" si="4"/>
        <v/>
      </c>
    </row>
    <row r="345" spans="1:14" outlineLevel="1" x14ac:dyDescent="0.25">
      <c r="A345" s="118"/>
      <c r="B345" s="119"/>
      <c r="C345" s="119"/>
      <c r="D345" s="119"/>
      <c r="E345" s="119"/>
      <c r="F345" s="120"/>
      <c r="G345" s="121"/>
      <c r="H345" s="121"/>
      <c r="I345" s="121"/>
      <c r="J345" s="121"/>
      <c r="K345" s="121"/>
      <c r="L345" s="104"/>
      <c r="N345" s="213" t="str">
        <f t="shared" si="4"/>
        <v/>
      </c>
    </row>
    <row r="346" spans="1:14" outlineLevel="1" x14ac:dyDescent="0.25">
      <c r="A346" s="118"/>
      <c r="B346" s="119"/>
      <c r="C346" s="119"/>
      <c r="D346" s="119"/>
      <c r="E346" s="119"/>
      <c r="F346" s="120"/>
      <c r="G346" s="121"/>
      <c r="H346" s="121"/>
      <c r="I346" s="121"/>
      <c r="J346" s="121"/>
      <c r="K346" s="121"/>
      <c r="L346" s="104"/>
      <c r="N346" s="213" t="str">
        <f t="shared" si="4"/>
        <v/>
      </c>
    </row>
    <row r="347" spans="1:14" outlineLevel="1" x14ac:dyDescent="0.25">
      <c r="A347" s="118"/>
      <c r="B347" s="119"/>
      <c r="C347" s="119"/>
      <c r="D347" s="119"/>
      <c r="E347" s="119"/>
      <c r="F347" s="120"/>
      <c r="G347" s="121"/>
      <c r="H347" s="121"/>
      <c r="I347" s="121"/>
      <c r="J347" s="121"/>
      <c r="K347" s="121"/>
      <c r="L347" s="104"/>
      <c r="N347" s="213" t="str">
        <f t="shared" si="4"/>
        <v/>
      </c>
    </row>
    <row r="348" spans="1:14" outlineLevel="1" x14ac:dyDescent="0.25">
      <c r="A348" s="118"/>
      <c r="B348" s="119"/>
      <c r="C348" s="119"/>
      <c r="D348" s="119"/>
      <c r="E348" s="119"/>
      <c r="F348" s="120"/>
      <c r="G348" s="121"/>
      <c r="H348" s="121"/>
      <c r="I348" s="121"/>
      <c r="J348" s="121"/>
      <c r="K348" s="121"/>
      <c r="L348" s="104"/>
      <c r="N348" s="213" t="str">
        <f t="shared" si="4"/>
        <v/>
      </c>
    </row>
    <row r="349" spans="1:14" outlineLevel="1" x14ac:dyDescent="0.25">
      <c r="A349" s="118"/>
      <c r="B349" s="119"/>
      <c r="C349" s="119"/>
      <c r="D349" s="119"/>
      <c r="E349" s="119"/>
      <c r="F349" s="120"/>
      <c r="G349" s="121"/>
      <c r="H349" s="121"/>
      <c r="I349" s="121"/>
      <c r="J349" s="121"/>
      <c r="K349" s="121"/>
      <c r="L349" s="104"/>
      <c r="N349" s="213" t="str">
        <f t="shared" si="3"/>
        <v/>
      </c>
    </row>
    <row r="350" spans="1:14" outlineLevel="1" x14ac:dyDescent="0.25">
      <c r="A350" s="118"/>
      <c r="B350" s="119"/>
      <c r="C350" s="119"/>
      <c r="D350" s="119"/>
      <c r="E350" s="119"/>
      <c r="F350" s="120"/>
      <c r="G350" s="121"/>
      <c r="H350" s="121"/>
      <c r="I350" s="121"/>
      <c r="J350" s="121"/>
      <c r="K350" s="121"/>
      <c r="L350" s="104"/>
      <c r="N350" s="213" t="str">
        <f t="shared" si="3"/>
        <v/>
      </c>
    </row>
    <row r="351" spans="1:14" outlineLevel="1" x14ac:dyDescent="0.25">
      <c r="A351" s="118"/>
      <c r="B351" s="119"/>
      <c r="C351" s="119"/>
      <c r="D351" s="119"/>
      <c r="E351" s="119"/>
      <c r="F351" s="120"/>
      <c r="G351" s="121"/>
      <c r="H351" s="121"/>
      <c r="I351" s="121"/>
      <c r="J351" s="121"/>
      <c r="K351" s="121"/>
      <c r="L351" s="104"/>
      <c r="N351" s="213" t="str">
        <f t="shared" si="3"/>
        <v/>
      </c>
    </row>
    <row r="352" spans="1:14" outlineLevel="1" x14ac:dyDescent="0.25">
      <c r="A352" s="118"/>
      <c r="B352" s="119"/>
      <c r="C352" s="119"/>
      <c r="D352" s="119"/>
      <c r="E352" s="119"/>
      <c r="F352" s="120"/>
      <c r="G352" s="121"/>
      <c r="H352" s="121"/>
      <c r="I352" s="121"/>
      <c r="J352" s="121"/>
      <c r="K352" s="121"/>
      <c r="L352" s="104"/>
      <c r="N352" s="213" t="str">
        <f t="shared" si="3"/>
        <v/>
      </c>
    </row>
    <row r="353" spans="1:14" outlineLevel="1" x14ac:dyDescent="0.25">
      <c r="A353" s="118"/>
      <c r="B353" s="119"/>
      <c r="C353" s="119"/>
      <c r="D353" s="119"/>
      <c r="E353" s="119"/>
      <c r="F353" s="120"/>
      <c r="G353" s="121"/>
      <c r="H353" s="121"/>
      <c r="I353" s="121"/>
      <c r="J353" s="121"/>
      <c r="K353" s="121"/>
      <c r="L353" s="104"/>
      <c r="N353" s="213" t="str">
        <f t="shared" si="3"/>
        <v/>
      </c>
    </row>
    <row r="354" spans="1:14" outlineLevel="1" x14ac:dyDescent="0.25">
      <c r="A354" s="118"/>
      <c r="B354" s="119"/>
      <c r="C354" s="119"/>
      <c r="D354" s="119"/>
      <c r="E354" s="119"/>
      <c r="F354" s="120"/>
      <c r="G354" s="121"/>
      <c r="H354" s="121"/>
      <c r="I354" s="121"/>
      <c r="J354" s="121"/>
      <c r="K354" s="121"/>
      <c r="L354" s="104"/>
      <c r="N354" s="213" t="str">
        <f t="shared" si="3"/>
        <v/>
      </c>
    </row>
    <row r="355" spans="1:14" outlineLevel="1" x14ac:dyDescent="0.25">
      <c r="A355" s="118"/>
      <c r="B355" s="119"/>
      <c r="C355" s="119"/>
      <c r="D355" s="119"/>
      <c r="E355" s="119"/>
      <c r="F355" s="120"/>
      <c r="G355" s="121"/>
      <c r="H355" s="121"/>
      <c r="I355" s="121"/>
      <c r="J355" s="121"/>
      <c r="K355" s="121"/>
      <c r="L355" s="104"/>
      <c r="N355" s="213" t="str">
        <f t="shared" si="3"/>
        <v/>
      </c>
    </row>
    <row r="356" spans="1:14" outlineLevel="1" x14ac:dyDescent="0.25">
      <c r="A356" s="118"/>
      <c r="B356" s="119"/>
      <c r="C356" s="119"/>
      <c r="D356" s="119"/>
      <c r="E356" s="119"/>
      <c r="F356" s="120"/>
      <c r="G356" s="121"/>
      <c r="H356" s="121"/>
      <c r="I356" s="121"/>
      <c r="J356" s="121"/>
      <c r="K356" s="121"/>
      <c r="L356" s="104"/>
      <c r="N356" s="213" t="str">
        <f t="shared" si="3"/>
        <v/>
      </c>
    </row>
    <row r="357" spans="1:14" outlineLevel="1" x14ac:dyDescent="0.25">
      <c r="A357" s="118"/>
      <c r="B357" s="119"/>
      <c r="C357" s="119"/>
      <c r="D357" s="119"/>
      <c r="E357" s="119"/>
      <c r="F357" s="120"/>
      <c r="G357" s="121"/>
      <c r="H357" s="121"/>
      <c r="I357" s="121"/>
      <c r="J357" s="121"/>
      <c r="K357" s="121"/>
      <c r="L357" s="104"/>
      <c r="N357" s="213" t="str">
        <f t="shared" si="3"/>
        <v/>
      </c>
    </row>
    <row r="358" spans="1:14" outlineLevel="1" x14ac:dyDescent="0.25">
      <c r="A358" s="118"/>
      <c r="B358" s="119"/>
      <c r="C358" s="119"/>
      <c r="D358" s="119"/>
      <c r="E358" s="119"/>
      <c r="F358" s="120"/>
      <c r="G358" s="121"/>
      <c r="H358" s="121"/>
      <c r="I358" s="121"/>
      <c r="J358" s="121"/>
      <c r="K358" s="121"/>
      <c r="L358" s="104"/>
      <c r="N358" s="213" t="str">
        <f t="shared" si="3"/>
        <v/>
      </c>
    </row>
    <row r="359" spans="1:14" outlineLevel="1" x14ac:dyDescent="0.25">
      <c r="A359" s="118"/>
      <c r="B359" s="119"/>
      <c r="C359" s="119"/>
      <c r="D359" s="119"/>
      <c r="E359" s="119"/>
      <c r="F359" s="120"/>
      <c r="G359" s="121"/>
      <c r="H359" s="121"/>
      <c r="I359" s="121"/>
      <c r="J359" s="121"/>
      <c r="K359" s="121"/>
      <c r="L359" s="104"/>
      <c r="N359" s="213" t="str">
        <f t="shared" si="3"/>
        <v/>
      </c>
    </row>
    <row r="360" spans="1:14" outlineLevel="1" x14ac:dyDescent="0.25">
      <c r="A360" s="118"/>
      <c r="B360" s="119"/>
      <c r="C360" s="119"/>
      <c r="D360" s="119"/>
      <c r="E360" s="119"/>
      <c r="F360" s="120"/>
      <c r="G360" s="121"/>
      <c r="H360" s="121"/>
      <c r="I360" s="121"/>
      <c r="J360" s="121"/>
      <c r="K360" s="121"/>
      <c r="L360" s="104"/>
      <c r="N360" s="213" t="str">
        <f t="shared" si="3"/>
        <v/>
      </c>
    </row>
    <row r="361" spans="1:14" outlineLevel="1" x14ac:dyDescent="0.25">
      <c r="A361" s="118"/>
      <c r="B361" s="119"/>
      <c r="C361" s="119"/>
      <c r="D361" s="119"/>
      <c r="E361" s="119"/>
      <c r="F361" s="120"/>
      <c r="G361" s="121"/>
      <c r="H361" s="121"/>
      <c r="I361" s="121"/>
      <c r="J361" s="121"/>
      <c r="K361" s="121"/>
      <c r="L361" s="104"/>
      <c r="N361" s="213" t="str">
        <f t="shared" si="3"/>
        <v/>
      </c>
    </row>
    <row r="362" spans="1:14" outlineLevel="1" x14ac:dyDescent="0.25">
      <c r="A362" s="118"/>
      <c r="B362" s="119"/>
      <c r="C362" s="119"/>
      <c r="D362" s="119"/>
      <c r="E362" s="119"/>
      <c r="F362" s="120"/>
      <c r="G362" s="121"/>
      <c r="H362" s="121"/>
      <c r="I362" s="121"/>
      <c r="J362" s="121"/>
      <c r="K362" s="121"/>
      <c r="L362" s="104"/>
      <c r="N362" s="213" t="str">
        <f t="shared" si="3"/>
        <v/>
      </c>
    </row>
    <row r="363" spans="1:14" outlineLevel="1" x14ac:dyDescent="0.25">
      <c r="A363" s="118"/>
      <c r="B363" s="119"/>
      <c r="C363" s="119"/>
      <c r="D363" s="119"/>
      <c r="E363" s="119"/>
      <c r="F363" s="120"/>
      <c r="G363" s="121"/>
      <c r="H363" s="121"/>
      <c r="I363" s="121"/>
      <c r="J363" s="121"/>
      <c r="K363" s="121"/>
      <c r="L363" s="104"/>
      <c r="N363" s="213" t="str">
        <f t="shared" si="3"/>
        <v/>
      </c>
    </row>
    <row r="364" spans="1:14" outlineLevel="1" x14ac:dyDescent="0.25">
      <c r="A364" s="118"/>
      <c r="B364" s="119"/>
      <c r="C364" s="119"/>
      <c r="D364" s="119"/>
      <c r="E364" s="119"/>
      <c r="F364" s="120"/>
      <c r="G364" s="121"/>
      <c r="H364" s="121"/>
      <c r="I364" s="121"/>
      <c r="J364" s="121"/>
      <c r="K364" s="121"/>
      <c r="L364" s="104"/>
      <c r="N364" s="213" t="str">
        <f t="shared" si="3"/>
        <v/>
      </c>
    </row>
    <row r="365" spans="1:14" outlineLevel="1" x14ac:dyDescent="0.25">
      <c r="A365" s="118"/>
      <c r="B365" s="119"/>
      <c r="C365" s="119"/>
      <c r="D365" s="119"/>
      <c r="E365" s="119"/>
      <c r="F365" s="120"/>
      <c r="G365" s="121"/>
      <c r="H365" s="121"/>
      <c r="I365" s="121"/>
      <c r="J365" s="121"/>
      <c r="K365" s="121"/>
      <c r="L365" s="104"/>
      <c r="N365" s="213" t="str">
        <f t="shared" si="3"/>
        <v/>
      </c>
    </row>
    <row r="366" spans="1:14" outlineLevel="1" x14ac:dyDescent="0.25">
      <c r="A366" s="118"/>
      <c r="B366" s="119"/>
      <c r="C366" s="119"/>
      <c r="D366" s="119"/>
      <c r="E366" s="119"/>
      <c r="F366" s="120"/>
      <c r="G366" s="121"/>
      <c r="H366" s="121"/>
      <c r="I366" s="121"/>
      <c r="J366" s="121"/>
      <c r="K366" s="121"/>
      <c r="L366" s="104"/>
      <c r="N366" s="213" t="str">
        <f t="shared" si="3"/>
        <v/>
      </c>
    </row>
    <row r="367" spans="1:14" outlineLevel="1" x14ac:dyDescent="0.25">
      <c r="A367" s="118"/>
      <c r="B367" s="119"/>
      <c r="C367" s="119"/>
      <c r="D367" s="119"/>
      <c r="E367" s="119"/>
      <c r="F367" s="120"/>
      <c r="G367" s="121"/>
      <c r="H367" s="121"/>
      <c r="I367" s="121"/>
      <c r="J367" s="121"/>
      <c r="K367" s="121"/>
      <c r="L367" s="104"/>
      <c r="N367" s="213" t="str">
        <f t="shared" si="3"/>
        <v/>
      </c>
    </row>
    <row r="368" spans="1:14" outlineLevel="1" x14ac:dyDescent="0.25">
      <c r="A368" s="118"/>
      <c r="B368" s="119"/>
      <c r="C368" s="119"/>
      <c r="D368" s="119"/>
      <c r="E368" s="119"/>
      <c r="F368" s="120"/>
      <c r="G368" s="121"/>
      <c r="H368" s="121"/>
      <c r="I368" s="121"/>
      <c r="J368" s="121"/>
      <c r="K368" s="121"/>
      <c r="L368" s="104"/>
      <c r="N368" s="213" t="str">
        <f t="shared" si="3"/>
        <v/>
      </c>
    </row>
    <row r="369" spans="1:14" outlineLevel="1" x14ac:dyDescent="0.25">
      <c r="A369" s="118"/>
      <c r="B369" s="119"/>
      <c r="C369" s="119"/>
      <c r="D369" s="119"/>
      <c r="E369" s="119"/>
      <c r="F369" s="120"/>
      <c r="G369" s="121"/>
      <c r="H369" s="121"/>
      <c r="I369" s="121"/>
      <c r="J369" s="121"/>
      <c r="K369" s="121"/>
      <c r="L369" s="104"/>
      <c r="N369" s="213" t="str">
        <f t="shared" si="3"/>
        <v/>
      </c>
    </row>
    <row r="370" spans="1:14" outlineLevel="1" x14ac:dyDescent="0.25">
      <c r="A370" s="118"/>
      <c r="B370" s="119"/>
      <c r="C370" s="119"/>
      <c r="D370" s="119"/>
      <c r="E370" s="119"/>
      <c r="F370" s="120"/>
      <c r="G370" s="121"/>
      <c r="H370" s="121"/>
      <c r="I370" s="121"/>
      <c r="J370" s="121"/>
      <c r="K370" s="121"/>
      <c r="L370" s="104"/>
      <c r="N370" s="213" t="str">
        <f t="shared" si="3"/>
        <v/>
      </c>
    </row>
    <row r="371" spans="1:14" outlineLevel="1" x14ac:dyDescent="0.25">
      <c r="A371" s="118"/>
      <c r="B371" s="119"/>
      <c r="C371" s="119"/>
      <c r="D371" s="119"/>
      <c r="E371" s="119"/>
      <c r="F371" s="120"/>
      <c r="G371" s="121"/>
      <c r="H371" s="121"/>
      <c r="I371" s="121"/>
      <c r="J371" s="121"/>
      <c r="K371" s="121"/>
      <c r="L371" s="104"/>
      <c r="N371" s="213" t="str">
        <f t="shared" si="3"/>
        <v/>
      </c>
    </row>
    <row r="372" spans="1:14" outlineLevel="1" x14ac:dyDescent="0.25">
      <c r="A372" s="118"/>
      <c r="B372" s="119"/>
      <c r="C372" s="119"/>
      <c r="D372" s="119"/>
      <c r="E372" s="119"/>
      <c r="F372" s="120"/>
      <c r="G372" s="121"/>
      <c r="H372" s="121"/>
      <c r="I372" s="121"/>
      <c r="J372" s="121"/>
      <c r="K372" s="121"/>
      <c r="L372" s="104"/>
      <c r="N372" s="213" t="str">
        <f t="shared" si="3"/>
        <v/>
      </c>
    </row>
    <row r="373" spans="1:14" outlineLevel="1" x14ac:dyDescent="0.25">
      <c r="A373" s="118"/>
      <c r="B373" s="119"/>
      <c r="C373" s="119"/>
      <c r="D373" s="119"/>
      <c r="E373" s="119"/>
      <c r="F373" s="120"/>
      <c r="G373" s="121"/>
      <c r="H373" s="121"/>
      <c r="I373" s="121"/>
      <c r="J373" s="121"/>
      <c r="K373" s="121"/>
      <c r="L373" s="104"/>
      <c r="N373" s="213" t="str">
        <f t="shared" si="3"/>
        <v/>
      </c>
    </row>
    <row r="374" spans="1:14" outlineLevel="1" x14ac:dyDescent="0.25">
      <c r="A374" s="118"/>
      <c r="B374" s="119"/>
      <c r="C374" s="119"/>
      <c r="D374" s="119"/>
      <c r="E374" s="119"/>
      <c r="F374" s="120"/>
      <c r="G374" s="121"/>
      <c r="H374" s="121"/>
      <c r="I374" s="121"/>
      <c r="J374" s="121"/>
      <c r="K374" s="121"/>
      <c r="L374" s="104"/>
      <c r="N374" s="213" t="str">
        <f t="shared" si="3"/>
        <v/>
      </c>
    </row>
    <row r="375" spans="1:14" outlineLevel="1" x14ac:dyDescent="0.25">
      <c r="A375" s="118"/>
      <c r="B375" s="119"/>
      <c r="C375" s="119"/>
      <c r="D375" s="119"/>
      <c r="E375" s="119"/>
      <c r="F375" s="120"/>
      <c r="G375" s="121"/>
      <c r="H375" s="121"/>
      <c r="I375" s="121"/>
      <c r="J375" s="121"/>
      <c r="K375" s="121"/>
      <c r="L375" s="104"/>
      <c r="N375" s="213" t="str">
        <f t="shared" si="3"/>
        <v/>
      </c>
    </row>
    <row r="376" spans="1:14" outlineLevel="1" x14ac:dyDescent="0.25">
      <c r="A376" s="118"/>
      <c r="B376" s="119"/>
      <c r="C376" s="119"/>
      <c r="D376" s="119"/>
      <c r="E376" s="119"/>
      <c r="F376" s="120"/>
      <c r="G376" s="121"/>
      <c r="H376" s="121"/>
      <c r="I376" s="121"/>
      <c r="J376" s="121"/>
      <c r="K376" s="121"/>
      <c r="L376" s="104"/>
      <c r="N376" s="213" t="str">
        <f t="shared" si="3"/>
        <v/>
      </c>
    </row>
    <row r="377" spans="1:14" outlineLevel="1" x14ac:dyDescent="0.25">
      <c r="A377" s="118"/>
      <c r="B377" s="119"/>
      <c r="C377" s="119"/>
      <c r="D377" s="119"/>
      <c r="E377" s="119"/>
      <c r="F377" s="120"/>
      <c r="G377" s="121"/>
      <c r="H377" s="121"/>
      <c r="I377" s="121"/>
      <c r="J377" s="121"/>
      <c r="K377" s="121"/>
      <c r="L377" s="104"/>
      <c r="N377" s="213" t="str">
        <f t="shared" si="3"/>
        <v/>
      </c>
    </row>
    <row r="378" spans="1:14" outlineLevel="1" x14ac:dyDescent="0.25">
      <c r="A378" s="118"/>
      <c r="B378" s="119"/>
      <c r="C378" s="119"/>
      <c r="D378" s="119"/>
      <c r="E378" s="119"/>
      <c r="F378" s="120"/>
      <c r="G378" s="121"/>
      <c r="H378" s="121"/>
      <c r="I378" s="121"/>
      <c r="J378" s="121"/>
      <c r="K378" s="121"/>
      <c r="L378" s="104"/>
      <c r="N378" s="213" t="str">
        <f t="shared" si="3"/>
        <v/>
      </c>
    </row>
    <row r="379" spans="1:14" outlineLevel="1" x14ac:dyDescent="0.25">
      <c r="A379" s="118"/>
      <c r="B379" s="119"/>
      <c r="C379" s="119"/>
      <c r="D379" s="119"/>
      <c r="E379" s="119"/>
      <c r="F379" s="120"/>
      <c r="G379" s="121"/>
      <c r="H379" s="121"/>
      <c r="I379" s="121"/>
      <c r="J379" s="121"/>
      <c r="K379" s="121"/>
      <c r="L379" s="104"/>
      <c r="N379" s="213" t="str">
        <f t="shared" si="3"/>
        <v/>
      </c>
    </row>
    <row r="380" spans="1:14" outlineLevel="1" x14ac:dyDescent="0.25">
      <c r="A380" s="118"/>
      <c r="B380" s="119"/>
      <c r="C380" s="119"/>
      <c r="D380" s="119"/>
      <c r="E380" s="119"/>
      <c r="F380" s="120"/>
      <c r="G380" s="121"/>
      <c r="H380" s="121"/>
      <c r="I380" s="121"/>
      <c r="J380" s="121"/>
      <c r="K380" s="121"/>
      <c r="L380" s="104"/>
      <c r="N380" s="213" t="str">
        <f t="shared" si="3"/>
        <v/>
      </c>
    </row>
    <row r="381" spans="1:14" outlineLevel="1" x14ac:dyDescent="0.25">
      <c r="A381" s="118"/>
      <c r="B381" s="119"/>
      <c r="C381" s="119"/>
      <c r="D381" s="119"/>
      <c r="E381" s="119"/>
      <c r="F381" s="120"/>
      <c r="G381" s="121"/>
      <c r="H381" s="121"/>
      <c r="I381" s="121"/>
      <c r="J381" s="121"/>
      <c r="K381" s="121"/>
      <c r="L381" s="104"/>
      <c r="N381" s="213" t="str">
        <f t="shared" si="3"/>
        <v/>
      </c>
    </row>
    <row r="382" spans="1:14" outlineLevel="1" x14ac:dyDescent="0.25">
      <c r="A382" s="118"/>
      <c r="B382" s="119"/>
      <c r="C382" s="119"/>
      <c r="D382" s="119"/>
      <c r="E382" s="119"/>
      <c r="F382" s="120"/>
      <c r="G382" s="121"/>
      <c r="H382" s="121"/>
      <c r="I382" s="121"/>
      <c r="J382" s="121"/>
      <c r="K382" s="121"/>
      <c r="L382" s="104"/>
      <c r="N382" s="213" t="str">
        <f t="shared" si="3"/>
        <v/>
      </c>
    </row>
    <row r="383" spans="1:14" outlineLevel="1" x14ac:dyDescent="0.25">
      <c r="A383" s="118"/>
      <c r="B383" s="119"/>
      <c r="C383" s="119"/>
      <c r="D383" s="119"/>
      <c r="E383" s="119"/>
      <c r="F383" s="120"/>
      <c r="G383" s="121"/>
      <c r="H383" s="121"/>
      <c r="I383" s="121"/>
      <c r="J383" s="121"/>
      <c r="K383" s="121"/>
      <c r="L383" s="104"/>
      <c r="N383" s="213" t="str">
        <f t="shared" si="3"/>
        <v/>
      </c>
    </row>
    <row r="384" spans="1:14" outlineLevel="1" x14ac:dyDescent="0.25">
      <c r="A384" s="118"/>
      <c r="B384" s="119"/>
      <c r="C384" s="119"/>
      <c r="D384" s="119"/>
      <c r="E384" s="119"/>
      <c r="F384" s="120"/>
      <c r="G384" s="121"/>
      <c r="H384" s="121"/>
      <c r="I384" s="121"/>
      <c r="J384" s="121"/>
      <c r="K384" s="121"/>
      <c r="L384" s="104"/>
      <c r="N384" s="213" t="str">
        <f t="shared" si="3"/>
        <v/>
      </c>
    </row>
    <row r="385" spans="1:15" ht="15.75" outlineLevel="1" thickBot="1" x14ac:dyDescent="0.3">
      <c r="A385" s="80"/>
      <c r="B385" s="81"/>
      <c r="C385" s="81"/>
      <c r="D385" s="81"/>
      <c r="E385" s="81"/>
      <c r="F385" s="82"/>
      <c r="G385" s="83"/>
      <c r="H385" s="83"/>
      <c r="I385" s="83"/>
      <c r="J385" s="83"/>
      <c r="K385" s="83"/>
      <c r="L385" s="105"/>
      <c r="N385" s="213" t="str">
        <f t="shared" si="3"/>
        <v/>
      </c>
    </row>
    <row r="386" spans="1:15" outlineLevel="1" x14ac:dyDescent="0.25">
      <c r="A386" s="84"/>
      <c r="B386" s="84"/>
      <c r="C386" s="24"/>
      <c r="D386" s="24"/>
      <c r="E386" s="24"/>
      <c r="N386" s="213" t="str">
        <f t="shared" si="3"/>
        <v/>
      </c>
    </row>
    <row r="387" spans="1:15" ht="15.75" outlineLevel="1" thickBot="1" x14ac:dyDescent="0.3">
      <c r="A387" s="55" t="s">
        <v>62</v>
      </c>
      <c r="N387" s="213" t="str">
        <f t="shared" si="3"/>
        <v/>
      </c>
    </row>
    <row r="388" spans="1:15" s="214" customFormat="1" ht="30.75" outlineLevel="1" thickBot="1" x14ac:dyDescent="0.3">
      <c r="A388" s="125" t="s">
        <v>51</v>
      </c>
      <c r="B388" s="209" t="s">
        <v>6</v>
      </c>
      <c r="C388" s="210" t="s">
        <v>39</v>
      </c>
      <c r="D388" s="211" t="s">
        <v>1877</v>
      </c>
      <c r="E388" s="210" t="s">
        <v>55</v>
      </c>
      <c r="F388" s="210" t="s">
        <v>56</v>
      </c>
      <c r="G388" s="211" t="s">
        <v>57</v>
      </c>
      <c r="H388" s="210" t="s">
        <v>63</v>
      </c>
      <c r="I388" s="212" t="s">
        <v>64</v>
      </c>
      <c r="J388" s="212" t="s">
        <v>65</v>
      </c>
      <c r="K388" s="219" t="s">
        <v>66</v>
      </c>
      <c r="L388" s="213"/>
      <c r="M388" s="213"/>
      <c r="N388" s="240"/>
      <c r="O388" s="213"/>
    </row>
    <row r="389" spans="1:15" outlineLevel="1" x14ac:dyDescent="0.25">
      <c r="A389" s="113"/>
      <c r="B389" s="74"/>
      <c r="C389" s="74"/>
      <c r="D389" s="74"/>
      <c r="E389" s="75"/>
      <c r="F389" s="76"/>
      <c r="G389" s="76"/>
      <c r="H389" s="76"/>
      <c r="I389" s="76"/>
      <c r="J389" s="76"/>
      <c r="K389" s="114"/>
      <c r="N389" s="213"/>
    </row>
    <row r="390" spans="1:15" outlineLevel="1" x14ac:dyDescent="0.25">
      <c r="A390" s="249"/>
      <c r="B390" s="119"/>
      <c r="C390" s="119"/>
      <c r="D390" s="119"/>
      <c r="E390" s="120"/>
      <c r="F390" s="121"/>
      <c r="G390" s="121"/>
      <c r="H390" s="121"/>
      <c r="I390" s="121"/>
      <c r="J390" s="121"/>
      <c r="K390" s="122"/>
      <c r="N390" s="213"/>
    </row>
    <row r="391" spans="1:15" outlineLevel="1" x14ac:dyDescent="0.25">
      <c r="A391" s="249"/>
      <c r="B391" s="119"/>
      <c r="C391" s="119"/>
      <c r="D391" s="119"/>
      <c r="E391" s="120"/>
      <c r="F391" s="121"/>
      <c r="G391" s="121"/>
      <c r="H391" s="121"/>
      <c r="I391" s="121"/>
      <c r="J391" s="121"/>
      <c r="K391" s="122"/>
      <c r="N391" s="213"/>
    </row>
    <row r="392" spans="1:15" outlineLevel="1" x14ac:dyDescent="0.25">
      <c r="A392" s="249"/>
      <c r="B392" s="119"/>
      <c r="C392" s="119"/>
      <c r="D392" s="119"/>
      <c r="E392" s="120"/>
      <c r="F392" s="121"/>
      <c r="G392" s="121"/>
      <c r="H392" s="121"/>
      <c r="I392" s="121"/>
      <c r="J392" s="121"/>
      <c r="K392" s="122"/>
      <c r="N392" s="213"/>
    </row>
    <row r="393" spans="1:15" outlineLevel="1" x14ac:dyDescent="0.25">
      <c r="A393" s="249"/>
      <c r="B393" s="119"/>
      <c r="C393" s="119"/>
      <c r="D393" s="119"/>
      <c r="E393" s="120"/>
      <c r="F393" s="121"/>
      <c r="G393" s="121"/>
      <c r="H393" s="121"/>
      <c r="I393" s="121"/>
      <c r="J393" s="121"/>
      <c r="K393" s="122"/>
      <c r="N393" s="213"/>
    </row>
    <row r="394" spans="1:15" outlineLevel="1" x14ac:dyDescent="0.25">
      <c r="A394" s="249"/>
      <c r="B394" s="119"/>
      <c r="C394" s="119"/>
      <c r="D394" s="119"/>
      <c r="E394" s="120"/>
      <c r="F394" s="121"/>
      <c r="G394" s="121"/>
      <c r="H394" s="121"/>
      <c r="I394" s="121"/>
      <c r="J394" s="121"/>
      <c r="K394" s="122"/>
      <c r="N394" s="213"/>
    </row>
    <row r="395" spans="1:15" outlineLevel="1" x14ac:dyDescent="0.25">
      <c r="A395" s="249"/>
      <c r="B395" s="119"/>
      <c r="C395" s="119"/>
      <c r="D395" s="119"/>
      <c r="E395" s="120"/>
      <c r="F395" s="121"/>
      <c r="G395" s="121"/>
      <c r="H395" s="121"/>
      <c r="I395" s="121"/>
      <c r="J395" s="121"/>
      <c r="K395" s="122"/>
      <c r="N395" s="213"/>
    </row>
    <row r="396" spans="1:15" outlineLevel="1" x14ac:dyDescent="0.25">
      <c r="A396" s="249"/>
      <c r="B396" s="119"/>
      <c r="C396" s="119"/>
      <c r="D396" s="119"/>
      <c r="E396" s="120"/>
      <c r="F396" s="121"/>
      <c r="G396" s="121"/>
      <c r="H396" s="121"/>
      <c r="I396" s="121"/>
      <c r="J396" s="121"/>
      <c r="K396" s="122"/>
      <c r="N396" s="213"/>
    </row>
    <row r="397" spans="1:15" outlineLevel="1" x14ac:dyDescent="0.25">
      <c r="A397" s="249"/>
      <c r="B397" s="119"/>
      <c r="C397" s="119"/>
      <c r="D397" s="119"/>
      <c r="E397" s="120"/>
      <c r="F397" s="121"/>
      <c r="G397" s="121"/>
      <c r="H397" s="121"/>
      <c r="I397" s="121"/>
      <c r="J397" s="121"/>
      <c r="K397" s="122"/>
      <c r="N397" s="213"/>
    </row>
    <row r="398" spans="1:15" outlineLevel="1" x14ac:dyDescent="0.25">
      <c r="A398" s="249"/>
      <c r="B398" s="119"/>
      <c r="C398" s="119"/>
      <c r="D398" s="119"/>
      <c r="E398" s="120"/>
      <c r="F398" s="121"/>
      <c r="G398" s="121"/>
      <c r="H398" s="121"/>
      <c r="I398" s="121"/>
      <c r="J398" s="121"/>
      <c r="K398" s="122"/>
      <c r="N398" s="213"/>
    </row>
    <row r="399" spans="1:15" outlineLevel="1" x14ac:dyDescent="0.25">
      <c r="A399" s="249"/>
      <c r="B399" s="119"/>
      <c r="C399" s="119"/>
      <c r="D399" s="119"/>
      <c r="E399" s="120"/>
      <c r="F399" s="121"/>
      <c r="G399" s="121"/>
      <c r="H399" s="121"/>
      <c r="I399" s="121"/>
      <c r="J399" s="121"/>
      <c r="K399" s="122"/>
      <c r="N399" s="213"/>
    </row>
    <row r="400" spans="1:15" outlineLevel="1" x14ac:dyDescent="0.25">
      <c r="A400" s="249"/>
      <c r="B400" s="119"/>
      <c r="C400" s="119"/>
      <c r="D400" s="119"/>
      <c r="E400" s="120"/>
      <c r="F400" s="121"/>
      <c r="G400" s="121"/>
      <c r="H400" s="121"/>
      <c r="I400" s="121"/>
      <c r="J400" s="121"/>
      <c r="K400" s="122"/>
      <c r="N400" s="213"/>
    </row>
    <row r="401" spans="1:14" outlineLevel="1" x14ac:dyDescent="0.25">
      <c r="A401" s="249"/>
      <c r="B401" s="119"/>
      <c r="C401" s="119"/>
      <c r="D401" s="119"/>
      <c r="E401" s="120"/>
      <c r="F401" s="121"/>
      <c r="G401" s="121"/>
      <c r="H401" s="121"/>
      <c r="I401" s="121"/>
      <c r="J401" s="121"/>
      <c r="K401" s="122"/>
      <c r="N401" s="213"/>
    </row>
    <row r="402" spans="1:14" outlineLevel="1" x14ac:dyDescent="0.25">
      <c r="A402" s="249"/>
      <c r="B402" s="119"/>
      <c r="C402" s="119"/>
      <c r="D402" s="119"/>
      <c r="E402" s="120"/>
      <c r="F402" s="121"/>
      <c r="G402" s="121"/>
      <c r="H402" s="121"/>
      <c r="I402" s="121"/>
      <c r="J402" s="121"/>
      <c r="K402" s="122"/>
      <c r="N402" s="213"/>
    </row>
    <row r="403" spans="1:14" outlineLevel="1" x14ac:dyDescent="0.25">
      <c r="A403" s="249"/>
      <c r="B403" s="119"/>
      <c r="C403" s="119"/>
      <c r="D403" s="119"/>
      <c r="E403" s="120"/>
      <c r="F403" s="121"/>
      <c r="G403" s="121"/>
      <c r="H403" s="121"/>
      <c r="I403" s="121"/>
      <c r="J403" s="121"/>
      <c r="K403" s="122"/>
      <c r="N403" s="213"/>
    </row>
    <row r="404" spans="1:14" outlineLevel="1" x14ac:dyDescent="0.25">
      <c r="A404" s="249"/>
      <c r="B404" s="119"/>
      <c r="C404" s="119"/>
      <c r="D404" s="119"/>
      <c r="E404" s="120"/>
      <c r="F404" s="121"/>
      <c r="G404" s="121"/>
      <c r="H404" s="121"/>
      <c r="I404" s="121"/>
      <c r="J404" s="121"/>
      <c r="K404" s="122"/>
      <c r="N404" s="213"/>
    </row>
    <row r="405" spans="1:14" outlineLevel="1" x14ac:dyDescent="0.25">
      <c r="A405" s="249"/>
      <c r="B405" s="119"/>
      <c r="C405" s="119"/>
      <c r="D405" s="119"/>
      <c r="E405" s="120"/>
      <c r="F405" s="121"/>
      <c r="G405" s="121"/>
      <c r="H405" s="121"/>
      <c r="I405" s="121"/>
      <c r="J405" s="121"/>
      <c r="K405" s="122"/>
      <c r="N405" s="213"/>
    </row>
    <row r="406" spans="1:14" outlineLevel="1" x14ac:dyDescent="0.25">
      <c r="A406" s="249"/>
      <c r="B406" s="119"/>
      <c r="C406" s="119"/>
      <c r="D406" s="119"/>
      <c r="E406" s="120"/>
      <c r="F406" s="121"/>
      <c r="G406" s="121"/>
      <c r="H406" s="121"/>
      <c r="I406" s="121"/>
      <c r="J406" s="121"/>
      <c r="K406" s="122"/>
      <c r="N406" s="213"/>
    </row>
    <row r="407" spans="1:14" outlineLevel="1" x14ac:dyDescent="0.25">
      <c r="A407" s="249"/>
      <c r="B407" s="119"/>
      <c r="C407" s="119"/>
      <c r="D407" s="119"/>
      <c r="E407" s="120"/>
      <c r="F407" s="121"/>
      <c r="G407" s="121"/>
      <c r="H407" s="121"/>
      <c r="I407" s="121"/>
      <c r="J407" s="121"/>
      <c r="K407" s="122"/>
      <c r="N407" s="213"/>
    </row>
    <row r="408" spans="1:14" outlineLevel="1" x14ac:dyDescent="0.25">
      <c r="A408" s="249"/>
      <c r="B408" s="119"/>
      <c r="C408" s="119"/>
      <c r="D408" s="119"/>
      <c r="E408" s="120"/>
      <c r="F408" s="121"/>
      <c r="G408" s="121"/>
      <c r="H408" s="121"/>
      <c r="I408" s="121"/>
      <c r="J408" s="121"/>
      <c r="K408" s="122"/>
      <c r="N408" s="213"/>
    </row>
    <row r="409" spans="1:14" outlineLevel="1" x14ac:dyDescent="0.25">
      <c r="A409" s="249"/>
      <c r="B409" s="119"/>
      <c r="C409" s="119"/>
      <c r="D409" s="119"/>
      <c r="E409" s="120"/>
      <c r="F409" s="121"/>
      <c r="G409" s="121"/>
      <c r="H409" s="121"/>
      <c r="I409" s="121"/>
      <c r="J409" s="121"/>
      <c r="K409" s="122"/>
      <c r="N409" s="213"/>
    </row>
    <row r="410" spans="1:14" outlineLevel="1" x14ac:dyDescent="0.25">
      <c r="A410" s="249"/>
      <c r="B410" s="119"/>
      <c r="C410" s="119"/>
      <c r="D410" s="119"/>
      <c r="E410" s="120"/>
      <c r="F410" s="121"/>
      <c r="G410" s="121"/>
      <c r="H410" s="121"/>
      <c r="I410" s="121"/>
      <c r="J410" s="121"/>
      <c r="K410" s="122"/>
      <c r="N410" s="213"/>
    </row>
    <row r="411" spans="1:14" outlineLevel="1" x14ac:dyDescent="0.25">
      <c r="A411" s="249"/>
      <c r="B411" s="119"/>
      <c r="C411" s="119"/>
      <c r="D411" s="119"/>
      <c r="E411" s="120"/>
      <c r="F411" s="121"/>
      <c r="G411" s="121"/>
      <c r="H411" s="121"/>
      <c r="I411" s="121"/>
      <c r="J411" s="121"/>
      <c r="K411" s="122"/>
      <c r="N411" s="213"/>
    </row>
    <row r="412" spans="1:14" outlineLevel="1" x14ac:dyDescent="0.25">
      <c r="A412" s="249"/>
      <c r="B412" s="119"/>
      <c r="C412" s="119"/>
      <c r="D412" s="119"/>
      <c r="E412" s="120"/>
      <c r="F412" s="121"/>
      <c r="G412" s="121"/>
      <c r="H412" s="121"/>
      <c r="I412" s="121"/>
      <c r="J412" s="121"/>
      <c r="K412" s="122"/>
      <c r="N412" s="213"/>
    </row>
    <row r="413" spans="1:14" outlineLevel="1" x14ac:dyDescent="0.25">
      <c r="A413" s="249"/>
      <c r="B413" s="119"/>
      <c r="C413" s="119"/>
      <c r="D413" s="119"/>
      <c r="E413" s="120"/>
      <c r="F413" s="121"/>
      <c r="G413" s="121"/>
      <c r="H413" s="121"/>
      <c r="I413" s="121"/>
      <c r="J413" s="121"/>
      <c r="K413" s="122"/>
      <c r="N413" s="213"/>
    </row>
    <row r="414" spans="1:14" outlineLevel="1" x14ac:dyDescent="0.25">
      <c r="A414" s="86"/>
      <c r="B414" s="78"/>
      <c r="C414" s="78"/>
      <c r="D414" s="78"/>
      <c r="E414" s="79"/>
      <c r="F414" s="10"/>
      <c r="G414" s="10"/>
      <c r="H414" s="10"/>
      <c r="I414" s="10"/>
      <c r="J414" s="10"/>
      <c r="K414" s="104"/>
      <c r="N414" s="213"/>
    </row>
    <row r="415" spans="1:14" outlineLevel="1" x14ac:dyDescent="0.25">
      <c r="A415" s="249"/>
      <c r="B415" s="119"/>
      <c r="C415" s="119"/>
      <c r="D415" s="119"/>
      <c r="E415" s="120"/>
      <c r="F415" s="121"/>
      <c r="G415" s="121"/>
      <c r="H415" s="121"/>
      <c r="I415" s="121"/>
      <c r="J415" s="121"/>
      <c r="K415" s="122"/>
      <c r="N415" s="213"/>
    </row>
    <row r="416" spans="1:14" outlineLevel="1" x14ac:dyDescent="0.25">
      <c r="A416" s="249"/>
      <c r="B416" s="119"/>
      <c r="C416" s="119"/>
      <c r="D416" s="119"/>
      <c r="E416" s="120"/>
      <c r="F416" s="121"/>
      <c r="G416" s="121"/>
      <c r="H416" s="121"/>
      <c r="I416" s="121"/>
      <c r="J416" s="121"/>
      <c r="K416" s="122"/>
      <c r="N416" s="213"/>
    </row>
    <row r="417" spans="1:14" outlineLevel="1" x14ac:dyDescent="0.25">
      <c r="A417" s="249"/>
      <c r="B417" s="119"/>
      <c r="C417" s="119"/>
      <c r="D417" s="119"/>
      <c r="E417" s="120"/>
      <c r="F417" s="121"/>
      <c r="G417" s="121"/>
      <c r="H417" s="121"/>
      <c r="I417" s="121"/>
      <c r="J417" s="121"/>
      <c r="K417" s="122"/>
      <c r="N417" s="213"/>
    </row>
    <row r="418" spans="1:14" outlineLevel="1" x14ac:dyDescent="0.25">
      <c r="A418" s="249"/>
      <c r="B418" s="119"/>
      <c r="C418" s="119"/>
      <c r="D418" s="119"/>
      <c r="E418" s="120"/>
      <c r="F418" s="121"/>
      <c r="G418" s="121"/>
      <c r="H418" s="121"/>
      <c r="I418" s="121"/>
      <c r="J418" s="121"/>
      <c r="K418" s="122"/>
      <c r="N418" s="213"/>
    </row>
    <row r="419" spans="1:14" outlineLevel="1" x14ac:dyDescent="0.25">
      <c r="A419" s="249"/>
      <c r="B419" s="119"/>
      <c r="C419" s="119"/>
      <c r="D419" s="119"/>
      <c r="E419" s="120"/>
      <c r="F419" s="121"/>
      <c r="G419" s="121"/>
      <c r="H419" s="121"/>
      <c r="I419" s="121"/>
      <c r="J419" s="121"/>
      <c r="K419" s="122"/>
      <c r="N419" s="213"/>
    </row>
    <row r="420" spans="1:14" outlineLevel="1" x14ac:dyDescent="0.25">
      <c r="A420" s="249"/>
      <c r="B420" s="119"/>
      <c r="C420" s="119"/>
      <c r="D420" s="119"/>
      <c r="E420" s="120"/>
      <c r="F420" s="121"/>
      <c r="G420" s="121"/>
      <c r="H420" s="121"/>
      <c r="I420" s="121"/>
      <c r="J420" s="121"/>
      <c r="K420" s="122"/>
      <c r="N420" s="213"/>
    </row>
    <row r="421" spans="1:14" outlineLevel="1" x14ac:dyDescent="0.25">
      <c r="A421" s="249"/>
      <c r="B421" s="119"/>
      <c r="C421" s="119"/>
      <c r="D421" s="119"/>
      <c r="E421" s="120"/>
      <c r="F421" s="121"/>
      <c r="G421" s="121"/>
      <c r="H421" s="121"/>
      <c r="I421" s="121"/>
      <c r="J421" s="121"/>
      <c r="K421" s="122"/>
      <c r="N421" s="213"/>
    </row>
    <row r="422" spans="1:14" outlineLevel="1" x14ac:dyDescent="0.25">
      <c r="A422" s="249"/>
      <c r="B422" s="119"/>
      <c r="C422" s="119"/>
      <c r="D422" s="119"/>
      <c r="E422" s="120"/>
      <c r="F422" s="121"/>
      <c r="G422" s="121"/>
      <c r="H422" s="121"/>
      <c r="I422" s="121"/>
      <c r="J422" s="121"/>
      <c r="K422" s="122"/>
      <c r="N422" s="213"/>
    </row>
    <row r="423" spans="1:14" outlineLevel="1" x14ac:dyDescent="0.25">
      <c r="A423" s="249"/>
      <c r="B423" s="119"/>
      <c r="C423" s="119"/>
      <c r="D423" s="119"/>
      <c r="E423" s="120"/>
      <c r="F423" s="121"/>
      <c r="G423" s="121"/>
      <c r="H423" s="121"/>
      <c r="I423" s="121"/>
      <c r="J423" s="121"/>
      <c r="K423" s="122"/>
      <c r="N423" s="213"/>
    </row>
    <row r="424" spans="1:14" outlineLevel="1" x14ac:dyDescent="0.25">
      <c r="A424" s="249"/>
      <c r="B424" s="119"/>
      <c r="C424" s="119"/>
      <c r="D424" s="119"/>
      <c r="E424" s="120"/>
      <c r="F424" s="121"/>
      <c r="G424" s="121"/>
      <c r="H424" s="121"/>
      <c r="I424" s="121"/>
      <c r="J424" s="121"/>
      <c r="K424" s="122"/>
      <c r="N424" s="213"/>
    </row>
    <row r="425" spans="1:14" outlineLevel="1" x14ac:dyDescent="0.25">
      <c r="A425" s="249"/>
      <c r="B425" s="119"/>
      <c r="C425" s="119"/>
      <c r="D425" s="119"/>
      <c r="E425" s="120"/>
      <c r="F425" s="121"/>
      <c r="G425" s="121"/>
      <c r="H425" s="121"/>
      <c r="I425" s="121"/>
      <c r="J425" s="121"/>
      <c r="K425" s="122"/>
      <c r="N425" s="213"/>
    </row>
    <row r="426" spans="1:14" outlineLevel="1" x14ac:dyDescent="0.25">
      <c r="A426" s="249"/>
      <c r="B426" s="119"/>
      <c r="C426" s="119"/>
      <c r="D426" s="119"/>
      <c r="E426" s="120"/>
      <c r="F426" s="121"/>
      <c r="G426" s="121"/>
      <c r="H426" s="121"/>
      <c r="I426" s="121"/>
      <c r="J426" s="121"/>
      <c r="K426" s="122"/>
      <c r="N426" s="213"/>
    </row>
    <row r="427" spans="1:14" outlineLevel="1" x14ac:dyDescent="0.25">
      <c r="A427" s="249"/>
      <c r="B427" s="119"/>
      <c r="C427" s="119"/>
      <c r="D427" s="119"/>
      <c r="E427" s="120"/>
      <c r="F427" s="121"/>
      <c r="G427" s="121"/>
      <c r="H427" s="121"/>
      <c r="I427" s="121"/>
      <c r="J427" s="121"/>
      <c r="K427" s="122"/>
      <c r="N427" s="213"/>
    </row>
    <row r="428" spans="1:14" outlineLevel="1" x14ac:dyDescent="0.25">
      <c r="A428" s="249"/>
      <c r="B428" s="119"/>
      <c r="C428" s="119"/>
      <c r="D428" s="119"/>
      <c r="E428" s="120"/>
      <c r="F428" s="121"/>
      <c r="G428" s="121"/>
      <c r="H428" s="121"/>
      <c r="I428" s="121"/>
      <c r="J428" s="121"/>
      <c r="K428" s="122"/>
      <c r="N428" s="213"/>
    </row>
    <row r="429" spans="1:14" outlineLevel="1" x14ac:dyDescent="0.25">
      <c r="A429" s="249"/>
      <c r="B429" s="119"/>
      <c r="C429" s="119"/>
      <c r="D429" s="119"/>
      <c r="E429" s="120"/>
      <c r="F429" s="121"/>
      <c r="G429" s="121"/>
      <c r="H429" s="121"/>
      <c r="I429" s="121"/>
      <c r="J429" s="121"/>
      <c r="K429" s="122"/>
      <c r="N429" s="213"/>
    </row>
    <row r="430" spans="1:14" outlineLevel="1" x14ac:dyDescent="0.25">
      <c r="A430" s="249"/>
      <c r="B430" s="119"/>
      <c r="C430" s="119"/>
      <c r="D430" s="119"/>
      <c r="E430" s="120"/>
      <c r="F430" s="121"/>
      <c r="G430" s="121"/>
      <c r="H430" s="121"/>
      <c r="I430" s="121"/>
      <c r="J430" s="121"/>
      <c r="K430" s="122"/>
      <c r="N430" s="213"/>
    </row>
    <row r="431" spans="1:14" outlineLevel="1" x14ac:dyDescent="0.25">
      <c r="A431" s="249"/>
      <c r="B431" s="119"/>
      <c r="C431" s="119"/>
      <c r="D431" s="119"/>
      <c r="E431" s="120"/>
      <c r="F431" s="121"/>
      <c r="G431" s="121"/>
      <c r="H431" s="121"/>
      <c r="I431" s="121"/>
      <c r="J431" s="121"/>
      <c r="K431" s="122"/>
      <c r="N431" s="213"/>
    </row>
    <row r="432" spans="1:14" outlineLevel="1" x14ac:dyDescent="0.25">
      <c r="A432" s="249"/>
      <c r="B432" s="119"/>
      <c r="C432" s="119"/>
      <c r="D432" s="119"/>
      <c r="E432" s="120"/>
      <c r="F432" s="121"/>
      <c r="G432" s="121"/>
      <c r="H432" s="121"/>
      <c r="I432" s="121"/>
      <c r="J432" s="121"/>
      <c r="K432" s="122"/>
      <c r="N432" s="213"/>
    </row>
    <row r="433" spans="1:14" outlineLevel="1" x14ac:dyDescent="0.25">
      <c r="A433" s="249"/>
      <c r="B433" s="119"/>
      <c r="C433" s="119"/>
      <c r="D433" s="119"/>
      <c r="E433" s="120"/>
      <c r="F433" s="121"/>
      <c r="G433" s="121"/>
      <c r="H433" s="121"/>
      <c r="I433" s="121"/>
      <c r="J433" s="121"/>
      <c r="K433" s="122"/>
      <c r="N433" s="213"/>
    </row>
    <row r="434" spans="1:14" outlineLevel="1" x14ac:dyDescent="0.25">
      <c r="A434" s="249"/>
      <c r="B434" s="119"/>
      <c r="C434" s="119"/>
      <c r="D434" s="119"/>
      <c r="E434" s="120"/>
      <c r="F434" s="121"/>
      <c r="G434" s="121"/>
      <c r="H434" s="121"/>
      <c r="I434" s="121"/>
      <c r="J434" s="121"/>
      <c r="K434" s="122"/>
      <c r="N434" s="213"/>
    </row>
    <row r="435" spans="1:14" outlineLevel="1" x14ac:dyDescent="0.25">
      <c r="A435" s="249"/>
      <c r="B435" s="119"/>
      <c r="C435" s="119"/>
      <c r="D435" s="119"/>
      <c r="E435" s="120"/>
      <c r="F435" s="121"/>
      <c r="G435" s="121"/>
      <c r="H435" s="121"/>
      <c r="I435" s="121"/>
      <c r="J435" s="121"/>
      <c r="K435" s="122"/>
      <c r="N435" s="213"/>
    </row>
    <row r="436" spans="1:14" outlineLevel="1" x14ac:dyDescent="0.25">
      <c r="A436" s="249"/>
      <c r="B436" s="119"/>
      <c r="C436" s="119"/>
      <c r="D436" s="119"/>
      <c r="E436" s="120"/>
      <c r="F436" s="121"/>
      <c r="G436" s="121"/>
      <c r="H436" s="121"/>
      <c r="I436" s="121"/>
      <c r="J436" s="121"/>
      <c r="K436" s="122"/>
      <c r="N436" s="213"/>
    </row>
    <row r="437" spans="1:14" outlineLevel="1" x14ac:dyDescent="0.25">
      <c r="A437" s="249"/>
      <c r="B437" s="119"/>
      <c r="C437" s="119"/>
      <c r="D437" s="119"/>
      <c r="E437" s="120"/>
      <c r="F437" s="121"/>
      <c r="G437" s="121"/>
      <c r="H437" s="121"/>
      <c r="I437" s="121"/>
      <c r="J437" s="121"/>
      <c r="K437" s="122"/>
      <c r="N437" s="213"/>
    </row>
    <row r="438" spans="1:14" outlineLevel="1" x14ac:dyDescent="0.25">
      <c r="A438" s="86"/>
      <c r="B438" s="78"/>
      <c r="C438" s="78"/>
      <c r="D438" s="78"/>
      <c r="E438" s="79"/>
      <c r="F438" s="10"/>
      <c r="G438" s="10"/>
      <c r="H438" s="10"/>
      <c r="I438" s="10"/>
      <c r="J438" s="10"/>
      <c r="K438" s="104"/>
      <c r="N438" s="213"/>
    </row>
    <row r="439" spans="1:14" outlineLevel="1" x14ac:dyDescent="0.25">
      <c r="A439" s="249"/>
      <c r="B439" s="119"/>
      <c r="C439" s="119"/>
      <c r="D439" s="119"/>
      <c r="E439" s="120"/>
      <c r="F439" s="121"/>
      <c r="G439" s="121"/>
      <c r="H439" s="121"/>
      <c r="I439" s="121"/>
      <c r="J439" s="121"/>
      <c r="K439" s="122"/>
      <c r="N439" s="213"/>
    </row>
    <row r="440" spans="1:14" outlineLevel="1" x14ac:dyDescent="0.25">
      <c r="A440" s="249"/>
      <c r="B440" s="119"/>
      <c r="C440" s="119"/>
      <c r="D440" s="119"/>
      <c r="E440" s="120"/>
      <c r="F440" s="121"/>
      <c r="G440" s="121"/>
      <c r="H440" s="121"/>
      <c r="I440" s="121"/>
      <c r="J440" s="121"/>
      <c r="K440" s="122"/>
      <c r="N440" s="213"/>
    </row>
    <row r="441" spans="1:14" outlineLevel="1" x14ac:dyDescent="0.25">
      <c r="A441" s="249"/>
      <c r="B441" s="119"/>
      <c r="C441" s="119"/>
      <c r="D441" s="119"/>
      <c r="E441" s="120"/>
      <c r="F441" s="121"/>
      <c r="G441" s="121"/>
      <c r="H441" s="121"/>
      <c r="I441" s="121"/>
      <c r="J441" s="121"/>
      <c r="K441" s="122"/>
      <c r="N441" s="213"/>
    </row>
    <row r="442" spans="1:14" outlineLevel="1" x14ac:dyDescent="0.25">
      <c r="A442" s="249"/>
      <c r="B442" s="119"/>
      <c r="C442" s="119"/>
      <c r="D442" s="119"/>
      <c r="E442" s="120"/>
      <c r="F442" s="121"/>
      <c r="G442" s="121"/>
      <c r="H442" s="121"/>
      <c r="I442" s="121"/>
      <c r="J442" s="121"/>
      <c r="K442" s="122"/>
      <c r="N442" s="213"/>
    </row>
    <row r="443" spans="1:14" outlineLevel="1" x14ac:dyDescent="0.25">
      <c r="A443" s="249"/>
      <c r="B443" s="119"/>
      <c r="C443" s="119"/>
      <c r="D443" s="119"/>
      <c r="E443" s="120"/>
      <c r="F443" s="121"/>
      <c r="G443" s="121"/>
      <c r="H443" s="121"/>
      <c r="I443" s="121"/>
      <c r="J443" s="121"/>
      <c r="K443" s="122"/>
      <c r="N443" s="213"/>
    </row>
    <row r="444" spans="1:14" outlineLevel="1" x14ac:dyDescent="0.25">
      <c r="A444" s="249"/>
      <c r="B444" s="119"/>
      <c r="C444" s="119"/>
      <c r="D444" s="119"/>
      <c r="E444" s="120"/>
      <c r="F444" s="121"/>
      <c r="G444" s="121"/>
      <c r="H444" s="121"/>
      <c r="I444" s="121"/>
      <c r="J444" s="121"/>
      <c r="K444" s="122"/>
      <c r="N444" s="213"/>
    </row>
    <row r="445" spans="1:14" outlineLevel="1" x14ac:dyDescent="0.25">
      <c r="A445" s="249"/>
      <c r="B445" s="119"/>
      <c r="C445" s="119"/>
      <c r="D445" s="119"/>
      <c r="E445" s="120"/>
      <c r="F445" s="121"/>
      <c r="G445" s="121"/>
      <c r="H445" s="121"/>
      <c r="I445" s="121"/>
      <c r="J445" s="121"/>
      <c r="K445" s="122"/>
      <c r="N445" s="213"/>
    </row>
    <row r="446" spans="1:14" outlineLevel="1" x14ac:dyDescent="0.25">
      <c r="A446" s="249"/>
      <c r="B446" s="119"/>
      <c r="C446" s="119"/>
      <c r="D446" s="119"/>
      <c r="E446" s="120"/>
      <c r="F446" s="121"/>
      <c r="G446" s="121"/>
      <c r="H446" s="121"/>
      <c r="I446" s="121"/>
      <c r="J446" s="121"/>
      <c r="K446" s="122"/>
      <c r="N446" s="213"/>
    </row>
    <row r="447" spans="1:14" outlineLevel="1" x14ac:dyDescent="0.25">
      <c r="A447" s="249"/>
      <c r="B447" s="119"/>
      <c r="C447" s="119"/>
      <c r="D447" s="119"/>
      <c r="E447" s="120"/>
      <c r="F447" s="121"/>
      <c r="G447" s="121"/>
      <c r="H447" s="121"/>
      <c r="I447" s="121"/>
      <c r="J447" s="121"/>
      <c r="K447" s="122"/>
      <c r="N447" s="213"/>
    </row>
    <row r="448" spans="1:14" outlineLevel="1" x14ac:dyDescent="0.25">
      <c r="A448" s="249"/>
      <c r="B448" s="119"/>
      <c r="C448" s="119"/>
      <c r="D448" s="119"/>
      <c r="E448" s="120"/>
      <c r="F448" s="121"/>
      <c r="G448" s="121"/>
      <c r="H448" s="121"/>
      <c r="I448" s="121"/>
      <c r="J448" s="121"/>
      <c r="K448" s="122"/>
      <c r="N448" s="213"/>
    </row>
    <row r="449" spans="1:14" outlineLevel="1" x14ac:dyDescent="0.25">
      <c r="A449" s="249"/>
      <c r="B449" s="119"/>
      <c r="C449" s="119"/>
      <c r="D449" s="119"/>
      <c r="E449" s="120"/>
      <c r="F449" s="121"/>
      <c r="G449" s="121"/>
      <c r="H449" s="121"/>
      <c r="I449" s="121"/>
      <c r="J449" s="121"/>
      <c r="K449" s="122"/>
      <c r="N449" s="213"/>
    </row>
    <row r="450" spans="1:14" outlineLevel="1" x14ac:dyDescent="0.25">
      <c r="A450" s="249"/>
      <c r="B450" s="119"/>
      <c r="C450" s="119"/>
      <c r="D450" s="119"/>
      <c r="E450" s="120"/>
      <c r="F450" s="121"/>
      <c r="G450" s="121"/>
      <c r="H450" s="121"/>
      <c r="I450" s="121"/>
      <c r="J450" s="121"/>
      <c r="K450" s="122"/>
      <c r="N450" s="213"/>
    </row>
    <row r="451" spans="1:14" outlineLevel="1" x14ac:dyDescent="0.25">
      <c r="A451" s="249"/>
      <c r="B451" s="119"/>
      <c r="C451" s="119"/>
      <c r="D451" s="119"/>
      <c r="E451" s="120"/>
      <c r="F451" s="121"/>
      <c r="G451" s="121"/>
      <c r="H451" s="121"/>
      <c r="I451" s="121"/>
      <c r="J451" s="121"/>
      <c r="K451" s="122"/>
      <c r="N451" s="213"/>
    </row>
    <row r="452" spans="1:14" outlineLevel="1" x14ac:dyDescent="0.25">
      <c r="A452" s="249"/>
      <c r="B452" s="119"/>
      <c r="C452" s="119"/>
      <c r="D452" s="119"/>
      <c r="E452" s="120"/>
      <c r="F452" s="121"/>
      <c r="G452" s="121"/>
      <c r="H452" s="121"/>
      <c r="I452" s="121"/>
      <c r="J452" s="121"/>
      <c r="K452" s="122"/>
      <c r="N452" s="213"/>
    </row>
    <row r="453" spans="1:14" outlineLevel="1" x14ac:dyDescent="0.25">
      <c r="A453" s="249"/>
      <c r="B453" s="119"/>
      <c r="C453" s="119"/>
      <c r="D453" s="119"/>
      <c r="E453" s="120"/>
      <c r="F453" s="121"/>
      <c r="G453" s="121"/>
      <c r="H453" s="121"/>
      <c r="I453" s="121"/>
      <c r="J453" s="121"/>
      <c r="K453" s="122"/>
      <c r="N453" s="213"/>
    </row>
    <row r="454" spans="1:14" outlineLevel="1" x14ac:dyDescent="0.25">
      <c r="A454" s="249"/>
      <c r="B454" s="119"/>
      <c r="C454" s="119"/>
      <c r="D454" s="119"/>
      <c r="E454" s="120"/>
      <c r="F454" s="121"/>
      <c r="G454" s="121"/>
      <c r="H454" s="121"/>
      <c r="I454" s="121"/>
      <c r="J454" s="121"/>
      <c r="K454" s="122"/>
      <c r="N454" s="213"/>
    </row>
    <row r="455" spans="1:14" outlineLevel="1" x14ac:dyDescent="0.25">
      <c r="A455" s="249"/>
      <c r="B455" s="119"/>
      <c r="C455" s="119"/>
      <c r="D455" s="119"/>
      <c r="E455" s="120"/>
      <c r="F455" s="121"/>
      <c r="G455" s="121"/>
      <c r="H455" s="121"/>
      <c r="I455" s="121"/>
      <c r="J455" s="121"/>
      <c r="K455" s="122"/>
      <c r="N455" s="213"/>
    </row>
    <row r="456" spans="1:14" outlineLevel="1" x14ac:dyDescent="0.25">
      <c r="A456" s="249"/>
      <c r="B456" s="119"/>
      <c r="C456" s="119"/>
      <c r="D456" s="119"/>
      <c r="E456" s="120"/>
      <c r="F456" s="121"/>
      <c r="G456" s="121"/>
      <c r="H456" s="121"/>
      <c r="I456" s="121"/>
      <c r="J456" s="121"/>
      <c r="K456" s="122"/>
      <c r="N456" s="213"/>
    </row>
    <row r="457" spans="1:14" outlineLevel="1" x14ac:dyDescent="0.25">
      <c r="A457" s="249"/>
      <c r="B457" s="119"/>
      <c r="C457" s="119"/>
      <c r="D457" s="119"/>
      <c r="E457" s="120"/>
      <c r="F457" s="121"/>
      <c r="G457" s="121"/>
      <c r="H457" s="121"/>
      <c r="I457" s="121"/>
      <c r="J457" s="121"/>
      <c r="K457" s="122"/>
      <c r="N457" s="213"/>
    </row>
    <row r="458" spans="1:14" outlineLevel="1" x14ac:dyDescent="0.25">
      <c r="A458" s="249"/>
      <c r="B458" s="119"/>
      <c r="C458" s="119"/>
      <c r="D458" s="119"/>
      <c r="E458" s="120"/>
      <c r="F458" s="121"/>
      <c r="G458" s="121"/>
      <c r="H458" s="121"/>
      <c r="I458" s="121"/>
      <c r="J458" s="121"/>
      <c r="K458" s="122"/>
      <c r="N458" s="213"/>
    </row>
    <row r="459" spans="1:14" outlineLevel="1" x14ac:dyDescent="0.25">
      <c r="A459" s="249"/>
      <c r="B459" s="119"/>
      <c r="C459" s="119"/>
      <c r="D459" s="119"/>
      <c r="E459" s="120"/>
      <c r="F459" s="121"/>
      <c r="G459" s="121"/>
      <c r="H459" s="121"/>
      <c r="I459" s="121"/>
      <c r="J459" s="121"/>
      <c r="K459" s="122"/>
      <c r="N459" s="213"/>
    </row>
    <row r="460" spans="1:14" outlineLevel="1" x14ac:dyDescent="0.25">
      <c r="A460" s="249"/>
      <c r="B460" s="119"/>
      <c r="C460" s="119"/>
      <c r="D460" s="119"/>
      <c r="E460" s="120"/>
      <c r="F460" s="121"/>
      <c r="G460" s="121"/>
      <c r="H460" s="121"/>
      <c r="I460" s="121"/>
      <c r="J460" s="121"/>
      <c r="K460" s="122"/>
      <c r="N460" s="213"/>
    </row>
    <row r="461" spans="1:14" outlineLevel="1" x14ac:dyDescent="0.25">
      <c r="A461" s="249"/>
      <c r="B461" s="119"/>
      <c r="C461" s="119"/>
      <c r="D461" s="119"/>
      <c r="E461" s="120"/>
      <c r="F461" s="121"/>
      <c r="G461" s="121"/>
      <c r="H461" s="121"/>
      <c r="I461" s="121"/>
      <c r="J461" s="121"/>
      <c r="K461" s="122"/>
      <c r="N461" s="213"/>
    </row>
    <row r="462" spans="1:14" outlineLevel="1" x14ac:dyDescent="0.25">
      <c r="A462" s="249"/>
      <c r="B462" s="119"/>
      <c r="C462" s="119"/>
      <c r="D462" s="119"/>
      <c r="E462" s="120"/>
      <c r="F462" s="121"/>
      <c r="G462" s="121"/>
      <c r="H462" s="121"/>
      <c r="I462" s="121"/>
      <c r="J462" s="121"/>
      <c r="K462" s="122"/>
      <c r="N462" s="213"/>
    </row>
    <row r="463" spans="1:14" outlineLevel="1" x14ac:dyDescent="0.25">
      <c r="A463" s="249"/>
      <c r="B463" s="119"/>
      <c r="C463" s="119"/>
      <c r="D463" s="119"/>
      <c r="E463" s="120"/>
      <c r="F463" s="121"/>
      <c r="G463" s="121"/>
      <c r="H463" s="121"/>
      <c r="I463" s="121"/>
      <c r="J463" s="121"/>
      <c r="K463" s="122"/>
      <c r="N463" s="213"/>
    </row>
    <row r="464" spans="1:14" outlineLevel="1" x14ac:dyDescent="0.25">
      <c r="A464" s="249"/>
      <c r="B464" s="119"/>
      <c r="C464" s="119"/>
      <c r="D464" s="119"/>
      <c r="E464" s="120"/>
      <c r="F464" s="121"/>
      <c r="G464" s="121"/>
      <c r="H464" s="121"/>
      <c r="I464" s="121"/>
      <c r="J464" s="121"/>
      <c r="K464" s="122"/>
      <c r="N464" s="213"/>
    </row>
    <row r="465" spans="1:14" outlineLevel="1" x14ac:dyDescent="0.25">
      <c r="A465" s="249"/>
      <c r="B465" s="119"/>
      <c r="C465" s="119"/>
      <c r="D465" s="119"/>
      <c r="E465" s="120"/>
      <c r="F465" s="121"/>
      <c r="G465" s="121"/>
      <c r="H465" s="121"/>
      <c r="I465" s="121"/>
      <c r="J465" s="121"/>
      <c r="K465" s="122"/>
      <c r="N465" s="213"/>
    </row>
    <row r="466" spans="1:14" outlineLevel="1" x14ac:dyDescent="0.25">
      <c r="A466" s="249"/>
      <c r="B466" s="119"/>
      <c r="C466" s="119"/>
      <c r="D466" s="119"/>
      <c r="E466" s="120"/>
      <c r="F466" s="121"/>
      <c r="G466" s="121"/>
      <c r="H466" s="121"/>
      <c r="I466" s="121"/>
      <c r="J466" s="121"/>
      <c r="K466" s="122"/>
      <c r="N466" s="213"/>
    </row>
    <row r="467" spans="1:14" outlineLevel="1" x14ac:dyDescent="0.25">
      <c r="A467" s="249"/>
      <c r="B467" s="119"/>
      <c r="C467" s="119"/>
      <c r="D467" s="119"/>
      <c r="E467" s="120"/>
      <c r="F467" s="121"/>
      <c r="G467" s="121"/>
      <c r="H467" s="121"/>
      <c r="I467" s="121"/>
      <c r="J467" s="121"/>
      <c r="K467" s="122"/>
      <c r="N467" s="213"/>
    </row>
    <row r="468" spans="1:14" outlineLevel="1" x14ac:dyDescent="0.25">
      <c r="A468" s="249"/>
      <c r="B468" s="119"/>
      <c r="C468" s="119"/>
      <c r="D468" s="119"/>
      <c r="E468" s="120"/>
      <c r="F468" s="121"/>
      <c r="G468" s="121"/>
      <c r="H468" s="121"/>
      <c r="I468" s="121"/>
      <c r="J468" s="121"/>
      <c r="K468" s="122"/>
      <c r="N468" s="213"/>
    </row>
    <row r="469" spans="1:14" outlineLevel="1" x14ac:dyDescent="0.25">
      <c r="A469" s="249"/>
      <c r="B469" s="119"/>
      <c r="C469" s="119"/>
      <c r="D469" s="119"/>
      <c r="E469" s="120"/>
      <c r="F469" s="121"/>
      <c r="G469" s="121"/>
      <c r="H469" s="121"/>
      <c r="I469" s="121"/>
      <c r="J469" s="121"/>
      <c r="K469" s="122"/>
      <c r="N469" s="213"/>
    </row>
    <row r="470" spans="1:14" outlineLevel="1" x14ac:dyDescent="0.25">
      <c r="A470" s="249"/>
      <c r="B470" s="119"/>
      <c r="C470" s="119"/>
      <c r="D470" s="119"/>
      <c r="E470" s="120"/>
      <c r="F470" s="121"/>
      <c r="G470" s="121"/>
      <c r="H470" s="121"/>
      <c r="I470" s="121"/>
      <c r="J470" s="121"/>
      <c r="K470" s="122"/>
      <c r="N470" s="213"/>
    </row>
    <row r="471" spans="1:14" outlineLevel="1" x14ac:dyDescent="0.25">
      <c r="A471" s="249"/>
      <c r="B471" s="119"/>
      <c r="C471" s="119"/>
      <c r="D471" s="119"/>
      <c r="E471" s="120"/>
      <c r="F471" s="121"/>
      <c r="G471" s="121"/>
      <c r="H471" s="121"/>
      <c r="I471" s="121"/>
      <c r="J471" s="121"/>
      <c r="K471" s="122"/>
      <c r="N471" s="213"/>
    </row>
    <row r="472" spans="1:14" outlineLevel="1" x14ac:dyDescent="0.25">
      <c r="A472" s="249"/>
      <c r="B472" s="119"/>
      <c r="C472" s="119"/>
      <c r="D472" s="119"/>
      <c r="E472" s="120"/>
      <c r="F472" s="121"/>
      <c r="G472" s="121"/>
      <c r="H472" s="121"/>
      <c r="I472" s="121"/>
      <c r="J472" s="121"/>
      <c r="K472" s="122"/>
      <c r="N472" s="213"/>
    </row>
    <row r="473" spans="1:14" outlineLevel="1" x14ac:dyDescent="0.25">
      <c r="A473" s="249"/>
      <c r="B473" s="119"/>
      <c r="C473" s="119"/>
      <c r="D473" s="119"/>
      <c r="E473" s="120"/>
      <c r="F473" s="121"/>
      <c r="G473" s="121"/>
      <c r="H473" s="121"/>
      <c r="I473" s="121"/>
      <c r="J473" s="121"/>
      <c r="K473" s="122"/>
      <c r="N473" s="213"/>
    </row>
    <row r="474" spans="1:14" outlineLevel="1" x14ac:dyDescent="0.25">
      <c r="A474" s="249"/>
      <c r="B474" s="119"/>
      <c r="C474" s="119"/>
      <c r="D474" s="119"/>
      <c r="E474" s="120"/>
      <c r="F474" s="121"/>
      <c r="G474" s="121"/>
      <c r="H474" s="121"/>
      <c r="I474" s="121"/>
      <c r="J474" s="121"/>
      <c r="K474" s="122"/>
      <c r="N474" s="213"/>
    </row>
    <row r="475" spans="1:14" outlineLevel="1" x14ac:dyDescent="0.25">
      <c r="A475" s="249"/>
      <c r="B475" s="119"/>
      <c r="C475" s="119"/>
      <c r="D475" s="119"/>
      <c r="E475" s="120"/>
      <c r="F475" s="121"/>
      <c r="G475" s="121"/>
      <c r="H475" s="121"/>
      <c r="I475" s="121"/>
      <c r="J475" s="121"/>
      <c r="K475" s="122"/>
      <c r="N475" s="213"/>
    </row>
    <row r="476" spans="1:14" outlineLevel="1" x14ac:dyDescent="0.25">
      <c r="A476" s="249"/>
      <c r="B476" s="119"/>
      <c r="C476" s="119"/>
      <c r="D476" s="119"/>
      <c r="E476" s="120"/>
      <c r="F476" s="121"/>
      <c r="G476" s="121"/>
      <c r="H476" s="121"/>
      <c r="I476" s="121"/>
      <c r="J476" s="121"/>
      <c r="K476" s="122"/>
      <c r="N476" s="213"/>
    </row>
    <row r="477" spans="1:14" outlineLevel="1" x14ac:dyDescent="0.25">
      <c r="A477" s="249"/>
      <c r="B477" s="119"/>
      <c r="C477" s="119"/>
      <c r="D477" s="119"/>
      <c r="E477" s="120"/>
      <c r="F477" s="121"/>
      <c r="G477" s="121"/>
      <c r="H477" s="121"/>
      <c r="I477" s="121"/>
      <c r="J477" s="121"/>
      <c r="K477" s="122"/>
      <c r="N477" s="213"/>
    </row>
    <row r="478" spans="1:14" outlineLevel="1" x14ac:dyDescent="0.25">
      <c r="A478" s="249"/>
      <c r="B478" s="119"/>
      <c r="C478" s="119"/>
      <c r="D478" s="119"/>
      <c r="E478" s="120"/>
      <c r="F478" s="121"/>
      <c r="G478" s="121"/>
      <c r="H478" s="121"/>
      <c r="I478" s="121"/>
      <c r="J478" s="121"/>
      <c r="K478" s="122"/>
      <c r="N478" s="213"/>
    </row>
    <row r="479" spans="1:14" outlineLevel="1" x14ac:dyDescent="0.25">
      <c r="A479" s="249"/>
      <c r="B479" s="119"/>
      <c r="C479" s="119"/>
      <c r="D479" s="119"/>
      <c r="E479" s="120"/>
      <c r="F479" s="121"/>
      <c r="G479" s="121"/>
      <c r="H479" s="121"/>
      <c r="I479" s="121"/>
      <c r="J479" s="121"/>
      <c r="K479" s="122"/>
      <c r="N479" s="213"/>
    </row>
    <row r="480" spans="1:14" outlineLevel="1" x14ac:dyDescent="0.25">
      <c r="A480" s="249"/>
      <c r="B480" s="119"/>
      <c r="C480" s="119"/>
      <c r="D480" s="119"/>
      <c r="E480" s="120"/>
      <c r="F480" s="121"/>
      <c r="G480" s="121"/>
      <c r="H480" s="121"/>
      <c r="I480" s="121"/>
      <c r="J480" s="121"/>
      <c r="K480" s="122"/>
      <c r="N480" s="213"/>
    </row>
    <row r="481" spans="1:14" outlineLevel="1" x14ac:dyDescent="0.25">
      <c r="A481" s="249"/>
      <c r="B481" s="119"/>
      <c r="C481" s="119"/>
      <c r="D481" s="119"/>
      <c r="E481" s="120"/>
      <c r="F481" s="121"/>
      <c r="G481" s="121"/>
      <c r="H481" s="121"/>
      <c r="I481" s="121"/>
      <c r="J481" s="121"/>
      <c r="K481" s="122"/>
      <c r="N481" s="213"/>
    </row>
    <row r="482" spans="1:14" outlineLevel="1" x14ac:dyDescent="0.25">
      <c r="A482" s="249"/>
      <c r="B482" s="119"/>
      <c r="C482" s="119"/>
      <c r="D482" s="119"/>
      <c r="E482" s="120"/>
      <c r="F482" s="121"/>
      <c r="G482" s="121"/>
      <c r="H482" s="121"/>
      <c r="I482" s="121"/>
      <c r="J482" s="121"/>
      <c r="K482" s="122"/>
      <c r="N482" s="213"/>
    </row>
    <row r="483" spans="1:14" outlineLevel="1" x14ac:dyDescent="0.25">
      <c r="A483" s="249"/>
      <c r="B483" s="119"/>
      <c r="C483" s="119"/>
      <c r="D483" s="119"/>
      <c r="E483" s="120"/>
      <c r="F483" s="121"/>
      <c r="G483" s="121"/>
      <c r="H483" s="121"/>
      <c r="I483" s="121"/>
      <c r="J483" s="121"/>
      <c r="K483" s="122"/>
      <c r="N483" s="213"/>
    </row>
    <row r="484" spans="1:14" outlineLevel="1" x14ac:dyDescent="0.25">
      <c r="A484" s="249"/>
      <c r="B484" s="119"/>
      <c r="C484" s="119"/>
      <c r="D484" s="119"/>
      <c r="E484" s="120"/>
      <c r="F484" s="121"/>
      <c r="G484" s="121"/>
      <c r="H484" s="121"/>
      <c r="I484" s="121"/>
      <c r="J484" s="121"/>
      <c r="K484" s="122"/>
      <c r="N484" s="213"/>
    </row>
    <row r="485" spans="1:14" outlineLevel="1" x14ac:dyDescent="0.25">
      <c r="A485" s="86"/>
      <c r="B485" s="78"/>
      <c r="C485" s="78"/>
      <c r="D485" s="78"/>
      <c r="E485" s="79"/>
      <c r="F485" s="10"/>
      <c r="G485" s="10"/>
      <c r="H485" s="10"/>
      <c r="I485" s="10"/>
      <c r="J485" s="10"/>
      <c r="K485" s="104"/>
      <c r="N485" s="213"/>
    </row>
    <row r="486" spans="1:14" outlineLevel="1" x14ac:dyDescent="0.25">
      <c r="A486" s="249"/>
      <c r="B486" s="119"/>
      <c r="C486" s="119"/>
      <c r="D486" s="119"/>
      <c r="E486" s="120"/>
      <c r="F486" s="121"/>
      <c r="G486" s="121"/>
      <c r="H486" s="121"/>
      <c r="I486" s="121"/>
      <c r="J486" s="121"/>
      <c r="K486" s="122"/>
      <c r="N486" s="213"/>
    </row>
    <row r="487" spans="1:14" outlineLevel="1" x14ac:dyDescent="0.25">
      <c r="A487" s="249"/>
      <c r="B487" s="119"/>
      <c r="C487" s="119"/>
      <c r="D487" s="119"/>
      <c r="E487" s="120"/>
      <c r="F487" s="121"/>
      <c r="G487" s="121"/>
      <c r="H487" s="121"/>
      <c r="I487" s="121"/>
      <c r="J487" s="121"/>
      <c r="K487" s="122"/>
      <c r="N487" s="213"/>
    </row>
    <row r="488" spans="1:14" outlineLevel="1" x14ac:dyDescent="0.25">
      <c r="A488" s="249"/>
      <c r="B488" s="119"/>
      <c r="C488" s="119"/>
      <c r="D488" s="119"/>
      <c r="E488" s="120"/>
      <c r="F488" s="121"/>
      <c r="G488" s="121"/>
      <c r="H488" s="121"/>
      <c r="I488" s="121"/>
      <c r="J488" s="121"/>
      <c r="K488" s="122"/>
      <c r="N488" s="213"/>
    </row>
    <row r="489" spans="1:14" outlineLevel="1" x14ac:dyDescent="0.25">
      <c r="A489" s="249"/>
      <c r="B489" s="119"/>
      <c r="C489" s="119"/>
      <c r="D489" s="119"/>
      <c r="E489" s="120"/>
      <c r="F489" s="121"/>
      <c r="G489" s="121"/>
      <c r="H489" s="121"/>
      <c r="I489" s="121"/>
      <c r="J489" s="121"/>
      <c r="K489" s="122"/>
      <c r="N489" s="213"/>
    </row>
    <row r="490" spans="1:14" outlineLevel="1" x14ac:dyDescent="0.25">
      <c r="A490" s="249"/>
      <c r="B490" s="119"/>
      <c r="C490" s="119"/>
      <c r="D490" s="119"/>
      <c r="E490" s="120"/>
      <c r="F490" s="121"/>
      <c r="G490" s="121"/>
      <c r="H490" s="121"/>
      <c r="I490" s="121"/>
      <c r="J490" s="121"/>
      <c r="K490" s="122"/>
      <c r="N490" s="213"/>
    </row>
    <row r="491" spans="1:14" outlineLevel="1" x14ac:dyDescent="0.25">
      <c r="A491" s="249"/>
      <c r="B491" s="119"/>
      <c r="C491" s="119"/>
      <c r="D491" s="119"/>
      <c r="E491" s="120"/>
      <c r="F491" s="121"/>
      <c r="G491" s="121"/>
      <c r="H491" s="121"/>
      <c r="I491" s="121"/>
      <c r="J491" s="121"/>
      <c r="K491" s="122"/>
      <c r="N491" s="213"/>
    </row>
    <row r="492" spans="1:14" outlineLevel="1" x14ac:dyDescent="0.25">
      <c r="A492" s="249"/>
      <c r="B492" s="119"/>
      <c r="C492" s="119"/>
      <c r="D492" s="119"/>
      <c r="E492" s="120"/>
      <c r="F492" s="121"/>
      <c r="G492" s="121"/>
      <c r="H492" s="121"/>
      <c r="I492" s="121"/>
      <c r="J492" s="121"/>
      <c r="K492" s="122"/>
      <c r="N492" s="213"/>
    </row>
    <row r="493" spans="1:14" outlineLevel="1" x14ac:dyDescent="0.25">
      <c r="A493" s="249"/>
      <c r="B493" s="119"/>
      <c r="C493" s="119"/>
      <c r="D493" s="119"/>
      <c r="E493" s="120"/>
      <c r="F493" s="121"/>
      <c r="G493" s="121"/>
      <c r="H493" s="121"/>
      <c r="I493" s="121"/>
      <c r="J493" s="121"/>
      <c r="K493" s="122"/>
      <c r="N493" s="213"/>
    </row>
    <row r="494" spans="1:14" outlineLevel="1" x14ac:dyDescent="0.25">
      <c r="A494" s="249"/>
      <c r="B494" s="119"/>
      <c r="C494" s="119"/>
      <c r="D494" s="119"/>
      <c r="E494" s="120"/>
      <c r="F494" s="121"/>
      <c r="G494" s="121"/>
      <c r="H494" s="121"/>
      <c r="I494" s="121"/>
      <c r="J494" s="121"/>
      <c r="K494" s="122"/>
      <c r="N494" s="213"/>
    </row>
    <row r="495" spans="1:14" outlineLevel="1" x14ac:dyDescent="0.25">
      <c r="A495" s="249"/>
      <c r="B495" s="119"/>
      <c r="C495" s="119"/>
      <c r="D495" s="119"/>
      <c r="E495" s="120"/>
      <c r="F495" s="121"/>
      <c r="G495" s="121"/>
      <c r="H495" s="121"/>
      <c r="I495" s="121"/>
      <c r="J495" s="121"/>
      <c r="K495" s="122"/>
      <c r="N495" s="213"/>
    </row>
    <row r="496" spans="1:14" outlineLevel="1" x14ac:dyDescent="0.25">
      <c r="A496" s="249"/>
      <c r="B496" s="119"/>
      <c r="C496" s="119"/>
      <c r="D496" s="119"/>
      <c r="E496" s="120"/>
      <c r="F496" s="121"/>
      <c r="G496" s="121"/>
      <c r="H496" s="121"/>
      <c r="I496" s="121"/>
      <c r="J496" s="121"/>
      <c r="K496" s="122"/>
      <c r="N496" s="213"/>
    </row>
    <row r="497" spans="1:14" outlineLevel="1" x14ac:dyDescent="0.25">
      <c r="A497" s="249"/>
      <c r="B497" s="119"/>
      <c r="C497" s="119"/>
      <c r="D497" s="119"/>
      <c r="E497" s="120"/>
      <c r="F497" s="121"/>
      <c r="G497" s="121"/>
      <c r="H497" s="121"/>
      <c r="I497" s="121"/>
      <c r="J497" s="121"/>
      <c r="K497" s="122"/>
      <c r="N497" s="213"/>
    </row>
    <row r="498" spans="1:14" outlineLevel="1" x14ac:dyDescent="0.25">
      <c r="A498" s="249"/>
      <c r="B498" s="119"/>
      <c r="C498" s="119"/>
      <c r="D498" s="119"/>
      <c r="E498" s="120"/>
      <c r="F498" s="121"/>
      <c r="G498" s="121"/>
      <c r="H498" s="121"/>
      <c r="I498" s="121"/>
      <c r="J498" s="121"/>
      <c r="K498" s="122"/>
      <c r="N498" s="213"/>
    </row>
    <row r="499" spans="1:14" outlineLevel="1" x14ac:dyDescent="0.25">
      <c r="A499" s="249"/>
      <c r="B499" s="119"/>
      <c r="C499" s="119"/>
      <c r="D499" s="119"/>
      <c r="E499" s="120"/>
      <c r="F499" s="121"/>
      <c r="G499" s="121"/>
      <c r="H499" s="121"/>
      <c r="I499" s="121"/>
      <c r="J499" s="121"/>
      <c r="K499" s="122"/>
      <c r="N499" s="213"/>
    </row>
    <row r="500" spans="1:14" outlineLevel="1" x14ac:dyDescent="0.25">
      <c r="A500" s="249"/>
      <c r="B500" s="119"/>
      <c r="C500" s="119"/>
      <c r="D500" s="119"/>
      <c r="E500" s="120"/>
      <c r="F500" s="121"/>
      <c r="G500" s="121"/>
      <c r="H500" s="121"/>
      <c r="I500" s="121"/>
      <c r="J500" s="121"/>
      <c r="K500" s="122"/>
      <c r="N500" s="213"/>
    </row>
    <row r="501" spans="1:14" outlineLevel="1" x14ac:dyDescent="0.25">
      <c r="A501" s="249"/>
      <c r="B501" s="119"/>
      <c r="C501" s="119"/>
      <c r="D501" s="119"/>
      <c r="E501" s="120"/>
      <c r="F501" s="121"/>
      <c r="G501" s="121"/>
      <c r="H501" s="121"/>
      <c r="I501" s="121"/>
      <c r="J501" s="121"/>
      <c r="K501" s="122"/>
      <c r="N501" s="213"/>
    </row>
    <row r="502" spans="1:14" outlineLevel="1" x14ac:dyDescent="0.25">
      <c r="A502" s="249"/>
      <c r="B502" s="119"/>
      <c r="C502" s="119"/>
      <c r="D502" s="119"/>
      <c r="E502" s="120"/>
      <c r="F502" s="121"/>
      <c r="G502" s="121"/>
      <c r="H502" s="121"/>
      <c r="I502" s="121"/>
      <c r="J502" s="121"/>
      <c r="K502" s="122"/>
      <c r="N502" s="213"/>
    </row>
    <row r="503" spans="1:14" outlineLevel="1" x14ac:dyDescent="0.25">
      <c r="A503" s="249"/>
      <c r="B503" s="119"/>
      <c r="C503" s="119"/>
      <c r="D503" s="119"/>
      <c r="E503" s="120"/>
      <c r="F503" s="121"/>
      <c r="G503" s="121"/>
      <c r="H503" s="121"/>
      <c r="I503" s="121"/>
      <c r="J503" s="121"/>
      <c r="K503" s="122"/>
      <c r="N503" s="213"/>
    </row>
    <row r="504" spans="1:14" outlineLevel="1" x14ac:dyDescent="0.25">
      <c r="A504" s="249"/>
      <c r="B504" s="119"/>
      <c r="C504" s="119"/>
      <c r="D504" s="119"/>
      <c r="E504" s="120"/>
      <c r="F504" s="121"/>
      <c r="G504" s="121"/>
      <c r="H504" s="121"/>
      <c r="I504" s="121"/>
      <c r="J504" s="121"/>
      <c r="K504" s="122"/>
      <c r="N504" s="213"/>
    </row>
    <row r="505" spans="1:14" outlineLevel="1" x14ac:dyDescent="0.25">
      <c r="A505" s="249"/>
      <c r="B505" s="119"/>
      <c r="C505" s="119"/>
      <c r="D505" s="119"/>
      <c r="E505" s="120"/>
      <c r="F505" s="121"/>
      <c r="G505" s="121"/>
      <c r="H505" s="121"/>
      <c r="I505" s="121"/>
      <c r="J505" s="121"/>
      <c r="K505" s="122"/>
      <c r="N505" s="213"/>
    </row>
    <row r="506" spans="1:14" outlineLevel="1" x14ac:dyDescent="0.25">
      <c r="A506" s="249"/>
      <c r="B506" s="119"/>
      <c r="C506" s="119"/>
      <c r="D506" s="119"/>
      <c r="E506" s="120"/>
      <c r="F506" s="121"/>
      <c r="G506" s="121"/>
      <c r="H506" s="121"/>
      <c r="I506" s="121"/>
      <c r="J506" s="121"/>
      <c r="K506" s="122"/>
      <c r="N506" s="213"/>
    </row>
    <row r="507" spans="1:14" outlineLevel="1" x14ac:dyDescent="0.25">
      <c r="A507" s="249"/>
      <c r="B507" s="119"/>
      <c r="C507" s="119"/>
      <c r="D507" s="119"/>
      <c r="E507" s="120"/>
      <c r="F507" s="121"/>
      <c r="G507" s="121"/>
      <c r="H507" s="121"/>
      <c r="I507" s="121"/>
      <c r="J507" s="121"/>
      <c r="K507" s="122"/>
      <c r="N507" s="213"/>
    </row>
    <row r="508" spans="1:14" outlineLevel="1" x14ac:dyDescent="0.25">
      <c r="A508" s="249"/>
      <c r="B508" s="119"/>
      <c r="C508" s="119"/>
      <c r="D508" s="119"/>
      <c r="E508" s="120"/>
      <c r="F508" s="121"/>
      <c r="G508" s="121"/>
      <c r="H508" s="121"/>
      <c r="I508" s="121"/>
      <c r="J508" s="121"/>
      <c r="K508" s="122"/>
      <c r="N508" s="213"/>
    </row>
    <row r="509" spans="1:14" outlineLevel="1" x14ac:dyDescent="0.25">
      <c r="A509" s="86"/>
      <c r="B509" s="78"/>
      <c r="C509" s="78"/>
      <c r="D509" s="78"/>
      <c r="E509" s="79"/>
      <c r="F509" s="10"/>
      <c r="G509" s="10"/>
      <c r="H509" s="10"/>
      <c r="I509" s="10"/>
      <c r="J509" s="10"/>
      <c r="K509" s="104"/>
      <c r="N509" s="213"/>
    </row>
    <row r="510" spans="1:14" outlineLevel="1" x14ac:dyDescent="0.25">
      <c r="A510" s="249"/>
      <c r="B510" s="119"/>
      <c r="C510" s="119"/>
      <c r="D510" s="119"/>
      <c r="E510" s="120"/>
      <c r="F510" s="121"/>
      <c r="G510" s="121"/>
      <c r="H510" s="121"/>
      <c r="I510" s="121"/>
      <c r="J510" s="121"/>
      <c r="K510" s="122"/>
      <c r="N510" s="213"/>
    </row>
    <row r="511" spans="1:14" outlineLevel="1" x14ac:dyDescent="0.25">
      <c r="A511" s="249"/>
      <c r="B511" s="119"/>
      <c r="C511" s="119"/>
      <c r="D511" s="119"/>
      <c r="E511" s="120"/>
      <c r="F511" s="121"/>
      <c r="G511" s="121"/>
      <c r="H511" s="121"/>
      <c r="I511" s="121"/>
      <c r="J511" s="121"/>
      <c r="K511" s="122"/>
      <c r="N511" s="213"/>
    </row>
    <row r="512" spans="1:14" outlineLevel="1" x14ac:dyDescent="0.25">
      <c r="A512" s="249"/>
      <c r="B512" s="119"/>
      <c r="C512" s="119"/>
      <c r="D512" s="119"/>
      <c r="E512" s="120"/>
      <c r="F512" s="121"/>
      <c r="G512" s="121"/>
      <c r="H512" s="121"/>
      <c r="I512" s="121"/>
      <c r="J512" s="121"/>
      <c r="K512" s="122"/>
      <c r="N512" s="213"/>
    </row>
    <row r="513" spans="1:14" outlineLevel="1" x14ac:dyDescent="0.25">
      <c r="A513" s="249"/>
      <c r="B513" s="119"/>
      <c r="C513" s="119"/>
      <c r="D513" s="119"/>
      <c r="E513" s="120"/>
      <c r="F513" s="121"/>
      <c r="G513" s="121"/>
      <c r="H513" s="121"/>
      <c r="I513" s="121"/>
      <c r="J513" s="121"/>
      <c r="K513" s="122"/>
      <c r="N513" s="213"/>
    </row>
    <row r="514" spans="1:14" outlineLevel="1" x14ac:dyDescent="0.25">
      <c r="A514" s="249"/>
      <c r="B514" s="119"/>
      <c r="C514" s="119"/>
      <c r="D514" s="119"/>
      <c r="E514" s="120"/>
      <c r="F514" s="121"/>
      <c r="G514" s="121"/>
      <c r="H514" s="121"/>
      <c r="I514" s="121"/>
      <c r="J514" s="121"/>
      <c r="K514" s="122"/>
      <c r="N514" s="213"/>
    </row>
    <row r="515" spans="1:14" outlineLevel="1" x14ac:dyDescent="0.25">
      <c r="A515" s="249"/>
      <c r="B515" s="119"/>
      <c r="C515" s="119"/>
      <c r="D515" s="119"/>
      <c r="E515" s="120"/>
      <c r="F515" s="121"/>
      <c r="G515" s="121"/>
      <c r="H515" s="121"/>
      <c r="I515" s="121"/>
      <c r="J515" s="121"/>
      <c r="K515" s="122"/>
      <c r="N515" s="213"/>
    </row>
    <row r="516" spans="1:14" outlineLevel="1" x14ac:dyDescent="0.25">
      <c r="A516" s="249"/>
      <c r="B516" s="119"/>
      <c r="C516" s="119"/>
      <c r="D516" s="119"/>
      <c r="E516" s="120"/>
      <c r="F516" s="121"/>
      <c r="G516" s="121"/>
      <c r="H516" s="121"/>
      <c r="I516" s="121"/>
      <c r="J516" s="121"/>
      <c r="K516" s="122"/>
      <c r="N516" s="213"/>
    </row>
    <row r="517" spans="1:14" outlineLevel="1" x14ac:dyDescent="0.25">
      <c r="A517" s="249"/>
      <c r="B517" s="119"/>
      <c r="C517" s="119"/>
      <c r="D517" s="119"/>
      <c r="E517" s="120"/>
      <c r="F517" s="121"/>
      <c r="G517" s="121"/>
      <c r="H517" s="121"/>
      <c r="I517" s="121"/>
      <c r="J517" s="121"/>
      <c r="K517" s="122"/>
      <c r="N517" s="213"/>
    </row>
    <row r="518" spans="1:14" outlineLevel="1" x14ac:dyDescent="0.25">
      <c r="A518" s="249"/>
      <c r="B518" s="119"/>
      <c r="C518" s="119"/>
      <c r="D518" s="119"/>
      <c r="E518" s="120"/>
      <c r="F518" s="121"/>
      <c r="G518" s="121"/>
      <c r="H518" s="121"/>
      <c r="I518" s="121"/>
      <c r="J518" s="121"/>
      <c r="K518" s="122"/>
      <c r="N518" s="213"/>
    </row>
    <row r="519" spans="1:14" outlineLevel="1" x14ac:dyDescent="0.25">
      <c r="A519" s="249"/>
      <c r="B519" s="119"/>
      <c r="C519" s="119"/>
      <c r="D519" s="119"/>
      <c r="E519" s="120"/>
      <c r="F519" s="121"/>
      <c r="G519" s="121"/>
      <c r="H519" s="121"/>
      <c r="I519" s="121"/>
      <c r="J519" s="121"/>
      <c r="K519" s="122"/>
      <c r="N519" s="213"/>
    </row>
    <row r="520" spans="1:14" outlineLevel="1" x14ac:dyDescent="0.25">
      <c r="A520" s="249"/>
      <c r="B520" s="119"/>
      <c r="C520" s="119"/>
      <c r="D520" s="119"/>
      <c r="E520" s="120"/>
      <c r="F520" s="121"/>
      <c r="G520" s="121"/>
      <c r="H520" s="121"/>
      <c r="I520" s="121"/>
      <c r="J520" s="121"/>
      <c r="K520" s="122"/>
      <c r="N520" s="213"/>
    </row>
    <row r="521" spans="1:14" outlineLevel="1" x14ac:dyDescent="0.25">
      <c r="A521" s="249"/>
      <c r="B521" s="119"/>
      <c r="C521" s="119"/>
      <c r="D521" s="119"/>
      <c r="E521" s="120"/>
      <c r="F521" s="121"/>
      <c r="G521" s="121"/>
      <c r="H521" s="121"/>
      <c r="I521" s="121"/>
      <c r="J521" s="121"/>
      <c r="K521" s="122"/>
      <c r="N521" s="213"/>
    </row>
    <row r="522" spans="1:14" outlineLevel="1" x14ac:dyDescent="0.25">
      <c r="A522" s="249"/>
      <c r="B522" s="119"/>
      <c r="C522" s="119"/>
      <c r="D522" s="119"/>
      <c r="E522" s="120"/>
      <c r="F522" s="121"/>
      <c r="G522" s="121"/>
      <c r="H522" s="121"/>
      <c r="I522" s="121"/>
      <c r="J522" s="121"/>
      <c r="K522" s="122"/>
      <c r="N522" s="213"/>
    </row>
    <row r="523" spans="1:14" outlineLevel="1" x14ac:dyDescent="0.25">
      <c r="A523" s="249"/>
      <c r="B523" s="119"/>
      <c r="C523" s="119"/>
      <c r="D523" s="119"/>
      <c r="E523" s="120"/>
      <c r="F523" s="121"/>
      <c r="G523" s="121"/>
      <c r="H523" s="121"/>
      <c r="I523" s="121"/>
      <c r="J523" s="121"/>
      <c r="K523" s="122"/>
      <c r="N523" s="213"/>
    </row>
    <row r="524" spans="1:14" outlineLevel="1" x14ac:dyDescent="0.25">
      <c r="A524" s="249"/>
      <c r="B524" s="119"/>
      <c r="C524" s="119"/>
      <c r="D524" s="119"/>
      <c r="E524" s="120"/>
      <c r="F524" s="121"/>
      <c r="G524" s="121"/>
      <c r="H524" s="121"/>
      <c r="I524" s="121"/>
      <c r="J524" s="121"/>
      <c r="K524" s="122"/>
      <c r="N524" s="213"/>
    </row>
    <row r="525" spans="1:14" outlineLevel="1" x14ac:dyDescent="0.25">
      <c r="A525" s="249"/>
      <c r="B525" s="119"/>
      <c r="C525" s="119"/>
      <c r="D525" s="119"/>
      <c r="E525" s="120"/>
      <c r="F525" s="121"/>
      <c r="G525" s="121"/>
      <c r="H525" s="121"/>
      <c r="I525" s="121"/>
      <c r="J525" s="121"/>
      <c r="K525" s="122"/>
      <c r="N525" s="213"/>
    </row>
    <row r="526" spans="1:14" outlineLevel="1" x14ac:dyDescent="0.25">
      <c r="A526" s="249"/>
      <c r="B526" s="119"/>
      <c r="C526" s="119"/>
      <c r="D526" s="119"/>
      <c r="E526" s="120"/>
      <c r="F526" s="121"/>
      <c r="G526" s="121"/>
      <c r="H526" s="121"/>
      <c r="I526" s="121"/>
      <c r="J526" s="121"/>
      <c r="K526" s="122"/>
      <c r="N526" s="213"/>
    </row>
    <row r="527" spans="1:14" outlineLevel="1" x14ac:dyDescent="0.25">
      <c r="A527" s="249"/>
      <c r="B527" s="119"/>
      <c r="C527" s="119"/>
      <c r="D527" s="119"/>
      <c r="E527" s="120"/>
      <c r="F527" s="121"/>
      <c r="G527" s="121"/>
      <c r="H527" s="121"/>
      <c r="I527" s="121"/>
      <c r="J527" s="121"/>
      <c r="K527" s="122"/>
      <c r="N527" s="213"/>
    </row>
    <row r="528" spans="1:14" outlineLevel="1" x14ac:dyDescent="0.25">
      <c r="A528" s="249"/>
      <c r="B528" s="119"/>
      <c r="C528" s="119"/>
      <c r="D528" s="119"/>
      <c r="E528" s="120"/>
      <c r="F528" s="121"/>
      <c r="G528" s="121"/>
      <c r="H528" s="121"/>
      <c r="I528" s="121"/>
      <c r="J528" s="121"/>
      <c r="K528" s="122"/>
      <c r="N528" s="213"/>
    </row>
    <row r="529" spans="1:14" outlineLevel="1" x14ac:dyDescent="0.25">
      <c r="A529" s="249"/>
      <c r="B529" s="119"/>
      <c r="C529" s="119"/>
      <c r="D529" s="119"/>
      <c r="E529" s="120"/>
      <c r="F529" s="121"/>
      <c r="G529" s="121"/>
      <c r="H529" s="121"/>
      <c r="I529" s="121"/>
      <c r="J529" s="121"/>
      <c r="K529" s="122"/>
      <c r="N529" s="213"/>
    </row>
    <row r="530" spans="1:14" outlineLevel="1" x14ac:dyDescent="0.25">
      <c r="A530" s="249"/>
      <c r="B530" s="119"/>
      <c r="C530" s="119"/>
      <c r="D530" s="119"/>
      <c r="E530" s="120"/>
      <c r="F530" s="121"/>
      <c r="G530" s="121"/>
      <c r="H530" s="121"/>
      <c r="I530" s="121"/>
      <c r="J530" s="121"/>
      <c r="K530" s="122"/>
      <c r="N530" s="213"/>
    </row>
    <row r="531" spans="1:14" outlineLevel="1" x14ac:dyDescent="0.25">
      <c r="A531" s="249"/>
      <c r="B531" s="119"/>
      <c r="C531" s="119"/>
      <c r="D531" s="119"/>
      <c r="E531" s="120"/>
      <c r="F531" s="121"/>
      <c r="G531" s="121"/>
      <c r="H531" s="121"/>
      <c r="I531" s="121"/>
      <c r="J531" s="121"/>
      <c r="K531" s="122"/>
      <c r="N531" s="213"/>
    </row>
    <row r="532" spans="1:14" outlineLevel="1" x14ac:dyDescent="0.25">
      <c r="A532" s="249"/>
      <c r="B532" s="119"/>
      <c r="C532" s="119"/>
      <c r="D532" s="119"/>
      <c r="E532" s="120"/>
      <c r="F532" s="121"/>
      <c r="G532" s="121"/>
      <c r="H532" s="121"/>
      <c r="I532" s="121"/>
      <c r="J532" s="121"/>
      <c r="K532" s="122"/>
      <c r="N532" s="213"/>
    </row>
    <row r="533" spans="1:14" outlineLevel="1" x14ac:dyDescent="0.25">
      <c r="A533" s="86"/>
      <c r="B533" s="78"/>
      <c r="C533" s="78"/>
      <c r="D533" s="78"/>
      <c r="E533" s="79"/>
      <c r="F533" s="10"/>
      <c r="G533" s="10"/>
      <c r="H533" s="10"/>
      <c r="I533" s="10"/>
      <c r="J533" s="10"/>
      <c r="K533" s="104"/>
      <c r="N533" s="213"/>
    </row>
    <row r="534" spans="1:14" outlineLevel="1" x14ac:dyDescent="0.25">
      <c r="A534" s="249"/>
      <c r="B534" s="119"/>
      <c r="C534" s="119"/>
      <c r="D534" s="119"/>
      <c r="E534" s="120"/>
      <c r="F534" s="121"/>
      <c r="G534" s="121"/>
      <c r="H534" s="121"/>
      <c r="I534" s="121"/>
      <c r="J534" s="121"/>
      <c r="K534" s="122"/>
      <c r="N534" s="213"/>
    </row>
    <row r="535" spans="1:14" outlineLevel="1" x14ac:dyDescent="0.25">
      <c r="A535" s="249"/>
      <c r="B535" s="119"/>
      <c r="C535" s="119"/>
      <c r="D535" s="119"/>
      <c r="E535" s="120"/>
      <c r="F535" s="121"/>
      <c r="G535" s="121"/>
      <c r="H535" s="121"/>
      <c r="I535" s="121"/>
      <c r="J535" s="121"/>
      <c r="K535" s="122"/>
      <c r="N535" s="213"/>
    </row>
    <row r="536" spans="1:14" outlineLevel="1" x14ac:dyDescent="0.25">
      <c r="A536" s="249"/>
      <c r="B536" s="119"/>
      <c r="C536" s="119"/>
      <c r="D536" s="119"/>
      <c r="E536" s="120"/>
      <c r="F536" s="121"/>
      <c r="G536" s="121"/>
      <c r="H536" s="121"/>
      <c r="I536" s="121"/>
      <c r="J536" s="121"/>
      <c r="K536" s="122"/>
      <c r="N536" s="213"/>
    </row>
    <row r="537" spans="1:14" outlineLevel="1" x14ac:dyDescent="0.25">
      <c r="A537" s="249"/>
      <c r="B537" s="119"/>
      <c r="C537" s="119"/>
      <c r="D537" s="119"/>
      <c r="E537" s="120"/>
      <c r="F537" s="121"/>
      <c r="G537" s="121"/>
      <c r="H537" s="121"/>
      <c r="I537" s="121"/>
      <c r="J537" s="121"/>
      <c r="K537" s="122"/>
      <c r="N537" s="213"/>
    </row>
    <row r="538" spans="1:14" outlineLevel="1" x14ac:dyDescent="0.25">
      <c r="A538" s="249"/>
      <c r="B538" s="119"/>
      <c r="C538" s="119"/>
      <c r="D538" s="119"/>
      <c r="E538" s="120"/>
      <c r="F538" s="121"/>
      <c r="G538" s="121"/>
      <c r="H538" s="121"/>
      <c r="I538" s="121"/>
      <c r="J538" s="121"/>
      <c r="K538" s="122"/>
      <c r="N538" s="213"/>
    </row>
    <row r="539" spans="1:14" outlineLevel="1" x14ac:dyDescent="0.25">
      <c r="A539" s="249"/>
      <c r="B539" s="119"/>
      <c r="C539" s="119"/>
      <c r="D539" s="119"/>
      <c r="E539" s="120"/>
      <c r="F539" s="121"/>
      <c r="G539" s="121"/>
      <c r="H539" s="121"/>
      <c r="I539" s="121"/>
      <c r="J539" s="121"/>
      <c r="K539" s="122"/>
      <c r="N539" s="213"/>
    </row>
    <row r="540" spans="1:14" outlineLevel="1" x14ac:dyDescent="0.25">
      <c r="A540" s="249"/>
      <c r="B540" s="119"/>
      <c r="C540" s="119"/>
      <c r="D540" s="119"/>
      <c r="E540" s="120"/>
      <c r="F540" s="121"/>
      <c r="G540" s="121"/>
      <c r="H540" s="121"/>
      <c r="I540" s="121"/>
      <c r="J540" s="121"/>
      <c r="K540" s="122"/>
      <c r="N540" s="213"/>
    </row>
    <row r="541" spans="1:14" outlineLevel="1" x14ac:dyDescent="0.25">
      <c r="A541" s="249"/>
      <c r="B541" s="119"/>
      <c r="C541" s="119"/>
      <c r="D541" s="119"/>
      <c r="E541" s="120"/>
      <c r="F541" s="121"/>
      <c r="G541" s="121"/>
      <c r="H541" s="121"/>
      <c r="I541" s="121"/>
      <c r="J541" s="121"/>
      <c r="K541" s="122"/>
      <c r="N541" s="213"/>
    </row>
    <row r="542" spans="1:14" outlineLevel="1" x14ac:dyDescent="0.25">
      <c r="A542" s="249"/>
      <c r="B542" s="119"/>
      <c r="C542" s="119"/>
      <c r="D542" s="119"/>
      <c r="E542" s="120"/>
      <c r="F542" s="121"/>
      <c r="G542" s="121"/>
      <c r="H542" s="121"/>
      <c r="I542" s="121"/>
      <c r="J542" s="121"/>
      <c r="K542" s="122"/>
      <c r="N542" s="213"/>
    </row>
    <row r="543" spans="1:14" outlineLevel="1" x14ac:dyDescent="0.25">
      <c r="A543" s="249"/>
      <c r="B543" s="119"/>
      <c r="C543" s="119"/>
      <c r="D543" s="119"/>
      <c r="E543" s="120"/>
      <c r="F543" s="121"/>
      <c r="G543" s="121"/>
      <c r="H543" s="121"/>
      <c r="I543" s="121"/>
      <c r="J543" s="121"/>
      <c r="K543" s="122"/>
      <c r="N543" s="213"/>
    </row>
    <row r="544" spans="1:14" outlineLevel="1" x14ac:dyDescent="0.25">
      <c r="A544" s="249"/>
      <c r="B544" s="119"/>
      <c r="C544" s="119"/>
      <c r="D544" s="119"/>
      <c r="E544" s="120"/>
      <c r="F544" s="121"/>
      <c r="G544" s="121"/>
      <c r="H544" s="121"/>
      <c r="I544" s="121"/>
      <c r="J544" s="121"/>
      <c r="K544" s="122"/>
      <c r="N544" s="213"/>
    </row>
    <row r="545" spans="1:14" outlineLevel="1" x14ac:dyDescent="0.25">
      <c r="A545" s="249"/>
      <c r="B545" s="119"/>
      <c r="C545" s="119"/>
      <c r="D545" s="119"/>
      <c r="E545" s="120"/>
      <c r="F545" s="121"/>
      <c r="G545" s="121"/>
      <c r="H545" s="121"/>
      <c r="I545" s="121"/>
      <c r="J545" s="121"/>
      <c r="K545" s="122"/>
      <c r="N545" s="213"/>
    </row>
    <row r="546" spans="1:14" outlineLevel="1" x14ac:dyDescent="0.25">
      <c r="A546" s="249"/>
      <c r="B546" s="119"/>
      <c r="C546" s="119"/>
      <c r="D546" s="119"/>
      <c r="E546" s="120"/>
      <c r="F546" s="121"/>
      <c r="G546" s="121"/>
      <c r="H546" s="121"/>
      <c r="I546" s="121"/>
      <c r="J546" s="121"/>
      <c r="K546" s="122"/>
      <c r="N546" s="213"/>
    </row>
    <row r="547" spans="1:14" outlineLevel="1" x14ac:dyDescent="0.25">
      <c r="A547" s="249"/>
      <c r="B547" s="119"/>
      <c r="C547" s="119"/>
      <c r="D547" s="119"/>
      <c r="E547" s="120"/>
      <c r="F547" s="121"/>
      <c r="G547" s="121"/>
      <c r="H547" s="121"/>
      <c r="I547" s="121"/>
      <c r="J547" s="121"/>
      <c r="K547" s="122"/>
      <c r="N547" s="213"/>
    </row>
    <row r="548" spans="1:14" outlineLevel="1" x14ac:dyDescent="0.25">
      <c r="A548" s="249"/>
      <c r="B548" s="119"/>
      <c r="C548" s="119"/>
      <c r="D548" s="119"/>
      <c r="E548" s="120"/>
      <c r="F548" s="121"/>
      <c r="G548" s="121"/>
      <c r="H548" s="121"/>
      <c r="I548" s="121"/>
      <c r="J548" s="121"/>
      <c r="K548" s="122"/>
      <c r="N548" s="213"/>
    </row>
    <row r="549" spans="1:14" outlineLevel="1" x14ac:dyDescent="0.25">
      <c r="A549" s="249"/>
      <c r="B549" s="119"/>
      <c r="C549" s="119"/>
      <c r="D549" s="119"/>
      <c r="E549" s="120"/>
      <c r="F549" s="121"/>
      <c r="G549" s="121"/>
      <c r="H549" s="121"/>
      <c r="I549" s="121"/>
      <c r="J549" s="121"/>
      <c r="K549" s="122"/>
      <c r="N549" s="213"/>
    </row>
    <row r="550" spans="1:14" outlineLevel="1" x14ac:dyDescent="0.25">
      <c r="A550" s="249"/>
      <c r="B550" s="119"/>
      <c r="C550" s="119"/>
      <c r="D550" s="119"/>
      <c r="E550" s="120"/>
      <c r="F550" s="121"/>
      <c r="G550" s="121"/>
      <c r="H550" s="121"/>
      <c r="I550" s="121"/>
      <c r="J550" s="121"/>
      <c r="K550" s="122"/>
      <c r="N550" s="213"/>
    </row>
    <row r="551" spans="1:14" outlineLevel="1" x14ac:dyDescent="0.25">
      <c r="A551" s="249"/>
      <c r="B551" s="119"/>
      <c r="C551" s="119"/>
      <c r="D551" s="119"/>
      <c r="E551" s="120"/>
      <c r="F551" s="121"/>
      <c r="G551" s="121"/>
      <c r="H551" s="121"/>
      <c r="I551" s="121"/>
      <c r="J551" s="121"/>
      <c r="K551" s="122"/>
      <c r="N551" s="213"/>
    </row>
    <row r="552" spans="1:14" outlineLevel="1" x14ac:dyDescent="0.25">
      <c r="A552" s="249"/>
      <c r="B552" s="119"/>
      <c r="C552" s="119"/>
      <c r="D552" s="119"/>
      <c r="E552" s="120"/>
      <c r="F552" s="121"/>
      <c r="G552" s="121"/>
      <c r="H552" s="121"/>
      <c r="I552" s="121"/>
      <c r="J552" s="121"/>
      <c r="K552" s="122"/>
      <c r="N552" s="213"/>
    </row>
    <row r="553" spans="1:14" outlineLevel="1" x14ac:dyDescent="0.25">
      <c r="A553" s="249"/>
      <c r="B553" s="119"/>
      <c r="C553" s="119"/>
      <c r="D553" s="119"/>
      <c r="E553" s="120"/>
      <c r="F553" s="121"/>
      <c r="G553" s="121"/>
      <c r="H553" s="121"/>
      <c r="I553" s="121"/>
      <c r="J553" s="121"/>
      <c r="K553" s="122"/>
      <c r="N553" s="213"/>
    </row>
    <row r="554" spans="1:14" outlineLevel="1" x14ac:dyDescent="0.25">
      <c r="A554" s="249"/>
      <c r="B554" s="119"/>
      <c r="C554" s="119"/>
      <c r="D554" s="119"/>
      <c r="E554" s="120"/>
      <c r="F554" s="121"/>
      <c r="G554" s="121"/>
      <c r="H554" s="121"/>
      <c r="I554" s="121"/>
      <c r="J554" s="121"/>
      <c r="K554" s="122"/>
      <c r="N554" s="213"/>
    </row>
    <row r="555" spans="1:14" outlineLevel="1" x14ac:dyDescent="0.25">
      <c r="A555" s="249"/>
      <c r="B555" s="119"/>
      <c r="C555" s="119"/>
      <c r="D555" s="119"/>
      <c r="E555" s="120"/>
      <c r="F555" s="121"/>
      <c r="G555" s="121"/>
      <c r="H555" s="121"/>
      <c r="I555" s="121"/>
      <c r="J555" s="121"/>
      <c r="K555" s="122"/>
      <c r="N555" s="213"/>
    </row>
    <row r="556" spans="1:14" outlineLevel="1" x14ac:dyDescent="0.25">
      <c r="A556" s="249"/>
      <c r="B556" s="119"/>
      <c r="C556" s="119"/>
      <c r="D556" s="119"/>
      <c r="E556" s="120"/>
      <c r="F556" s="121"/>
      <c r="G556" s="121"/>
      <c r="H556" s="121"/>
      <c r="I556" s="121"/>
      <c r="J556" s="121"/>
      <c r="K556" s="122"/>
      <c r="N556" s="213"/>
    </row>
    <row r="557" spans="1:14" outlineLevel="1" x14ac:dyDescent="0.25">
      <c r="A557" s="249"/>
      <c r="B557" s="119"/>
      <c r="C557" s="119"/>
      <c r="D557" s="119"/>
      <c r="E557" s="120"/>
      <c r="F557" s="121"/>
      <c r="G557" s="121"/>
      <c r="H557" s="121"/>
      <c r="I557" s="121"/>
      <c r="J557" s="121"/>
      <c r="K557" s="122"/>
      <c r="N557" s="213"/>
    </row>
    <row r="558" spans="1:14" outlineLevel="1" x14ac:dyDescent="0.25">
      <c r="A558" s="249"/>
      <c r="B558" s="119"/>
      <c r="C558" s="119"/>
      <c r="D558" s="119"/>
      <c r="E558" s="120"/>
      <c r="F558" s="121"/>
      <c r="G558" s="121"/>
      <c r="H558" s="121"/>
      <c r="I558" s="121"/>
      <c r="J558" s="121"/>
      <c r="K558" s="122"/>
      <c r="N558" s="213"/>
    </row>
    <row r="559" spans="1:14" outlineLevel="1" x14ac:dyDescent="0.25">
      <c r="A559" s="249"/>
      <c r="B559" s="119"/>
      <c r="C559" s="119"/>
      <c r="D559" s="119"/>
      <c r="E559" s="120"/>
      <c r="F559" s="121"/>
      <c r="G559" s="121"/>
      <c r="H559" s="121"/>
      <c r="I559" s="121"/>
      <c r="J559" s="121"/>
      <c r="K559" s="122"/>
      <c r="N559" s="213"/>
    </row>
    <row r="560" spans="1:14" outlineLevel="1" x14ac:dyDescent="0.25">
      <c r="A560" s="249"/>
      <c r="B560" s="119"/>
      <c r="C560" s="119"/>
      <c r="D560" s="119"/>
      <c r="E560" s="120"/>
      <c r="F560" s="121"/>
      <c r="G560" s="121"/>
      <c r="H560" s="121"/>
      <c r="I560" s="121"/>
      <c r="J560" s="121"/>
      <c r="K560" s="122"/>
      <c r="N560" s="213"/>
    </row>
    <row r="561" spans="1:14" outlineLevel="1" x14ac:dyDescent="0.25">
      <c r="A561" s="249"/>
      <c r="B561" s="119"/>
      <c r="C561" s="119"/>
      <c r="D561" s="119"/>
      <c r="E561" s="120"/>
      <c r="F561" s="121"/>
      <c r="G561" s="121"/>
      <c r="H561" s="121"/>
      <c r="I561" s="121"/>
      <c r="J561" s="121"/>
      <c r="K561" s="122"/>
      <c r="N561" s="213"/>
    </row>
    <row r="562" spans="1:14" outlineLevel="1" x14ac:dyDescent="0.25">
      <c r="A562" s="249"/>
      <c r="B562" s="119"/>
      <c r="C562" s="119"/>
      <c r="D562" s="119"/>
      <c r="E562" s="120"/>
      <c r="F562" s="121"/>
      <c r="G562" s="121"/>
      <c r="H562" s="121"/>
      <c r="I562" s="121"/>
      <c r="J562" s="121"/>
      <c r="K562" s="122"/>
      <c r="N562" s="213"/>
    </row>
    <row r="563" spans="1:14" outlineLevel="1" x14ac:dyDescent="0.25">
      <c r="A563" s="249"/>
      <c r="B563" s="119"/>
      <c r="C563" s="119"/>
      <c r="D563" s="119"/>
      <c r="E563" s="120"/>
      <c r="F563" s="121"/>
      <c r="G563" s="121"/>
      <c r="H563" s="121"/>
      <c r="I563" s="121"/>
      <c r="J563" s="121"/>
      <c r="K563" s="122"/>
      <c r="N563" s="213"/>
    </row>
    <row r="564" spans="1:14" outlineLevel="1" x14ac:dyDescent="0.25">
      <c r="A564" s="249"/>
      <c r="B564" s="119"/>
      <c r="C564" s="119"/>
      <c r="D564" s="119"/>
      <c r="E564" s="120"/>
      <c r="F564" s="121"/>
      <c r="G564" s="121"/>
      <c r="H564" s="121"/>
      <c r="I564" s="121"/>
      <c r="J564" s="121"/>
      <c r="K564" s="122"/>
      <c r="N564" s="213"/>
    </row>
    <row r="565" spans="1:14" outlineLevel="1" x14ac:dyDescent="0.25">
      <c r="A565" s="249"/>
      <c r="B565" s="119"/>
      <c r="C565" s="119"/>
      <c r="D565" s="119"/>
      <c r="E565" s="120"/>
      <c r="F565" s="121"/>
      <c r="G565" s="121"/>
      <c r="H565" s="121"/>
      <c r="I565" s="121"/>
      <c r="J565" s="121"/>
      <c r="K565" s="122"/>
      <c r="N565" s="213"/>
    </row>
    <row r="566" spans="1:14" outlineLevel="1" x14ac:dyDescent="0.25">
      <c r="A566" s="249"/>
      <c r="B566" s="119"/>
      <c r="C566" s="119"/>
      <c r="D566" s="119"/>
      <c r="E566" s="120"/>
      <c r="F566" s="121"/>
      <c r="G566" s="121"/>
      <c r="H566" s="121"/>
      <c r="I566" s="121"/>
      <c r="J566" s="121"/>
      <c r="K566" s="122"/>
      <c r="N566" s="213"/>
    </row>
    <row r="567" spans="1:14" outlineLevel="1" x14ac:dyDescent="0.25">
      <c r="A567" s="86"/>
      <c r="B567" s="78"/>
      <c r="C567" s="78"/>
      <c r="D567" s="78"/>
      <c r="E567" s="79"/>
      <c r="F567" s="10"/>
      <c r="G567" s="10"/>
      <c r="H567" s="10"/>
      <c r="I567" s="10"/>
      <c r="J567" s="10"/>
      <c r="K567" s="104"/>
      <c r="N567" s="213"/>
    </row>
    <row r="568" spans="1:14" outlineLevel="1" x14ac:dyDescent="0.25">
      <c r="A568" s="249"/>
      <c r="B568" s="119"/>
      <c r="C568" s="119"/>
      <c r="D568" s="119"/>
      <c r="E568" s="120"/>
      <c r="F568" s="121"/>
      <c r="G568" s="121"/>
      <c r="H568" s="121"/>
      <c r="I568" s="121"/>
      <c r="J568" s="121"/>
      <c r="K568" s="122"/>
      <c r="N568" s="213"/>
    </row>
    <row r="569" spans="1:14" outlineLevel="1" x14ac:dyDescent="0.25">
      <c r="A569" s="249"/>
      <c r="B569" s="119"/>
      <c r="C569" s="119"/>
      <c r="D569" s="119"/>
      <c r="E569" s="120"/>
      <c r="F569" s="121"/>
      <c r="G569" s="121"/>
      <c r="H569" s="121"/>
      <c r="I569" s="121"/>
      <c r="J569" s="121"/>
      <c r="K569" s="122"/>
      <c r="N569" s="213"/>
    </row>
    <row r="570" spans="1:14" outlineLevel="1" x14ac:dyDescent="0.25">
      <c r="A570" s="249"/>
      <c r="B570" s="119"/>
      <c r="C570" s="119"/>
      <c r="D570" s="119"/>
      <c r="E570" s="120"/>
      <c r="F570" s="121"/>
      <c r="G570" s="121"/>
      <c r="H570" s="121"/>
      <c r="I570" s="121"/>
      <c r="J570" s="121"/>
      <c r="K570" s="122"/>
      <c r="N570" s="213"/>
    </row>
    <row r="571" spans="1:14" outlineLevel="1" x14ac:dyDescent="0.25">
      <c r="A571" s="249"/>
      <c r="B571" s="119"/>
      <c r="C571" s="119"/>
      <c r="D571" s="119"/>
      <c r="E571" s="120"/>
      <c r="F571" s="121"/>
      <c r="G571" s="121"/>
      <c r="H571" s="121"/>
      <c r="I571" s="121"/>
      <c r="J571" s="121"/>
      <c r="K571" s="122"/>
      <c r="N571" s="213"/>
    </row>
    <row r="572" spans="1:14" outlineLevel="1" x14ac:dyDescent="0.25">
      <c r="A572" s="86"/>
      <c r="B572" s="78"/>
      <c r="C572" s="78"/>
      <c r="D572" s="78"/>
      <c r="E572" s="79"/>
      <c r="F572" s="10"/>
      <c r="G572" s="10"/>
      <c r="H572" s="10"/>
      <c r="I572" s="10"/>
      <c r="J572" s="10"/>
      <c r="K572" s="104"/>
      <c r="N572" s="213"/>
    </row>
    <row r="573" spans="1:14" outlineLevel="1" x14ac:dyDescent="0.25">
      <c r="A573" s="249"/>
      <c r="B573" s="119"/>
      <c r="C573" s="119"/>
      <c r="D573" s="119"/>
      <c r="E573" s="120"/>
      <c r="F573" s="121"/>
      <c r="G573" s="121"/>
      <c r="H573" s="121"/>
      <c r="I573" s="121"/>
      <c r="J573" s="121"/>
      <c r="K573" s="122"/>
      <c r="N573" s="213"/>
    </row>
    <row r="574" spans="1:14" outlineLevel="1" x14ac:dyDescent="0.25">
      <c r="A574" s="249"/>
      <c r="B574" s="119"/>
      <c r="C574" s="119"/>
      <c r="D574" s="119"/>
      <c r="E574" s="120"/>
      <c r="F574" s="121"/>
      <c r="G574" s="121"/>
      <c r="H574" s="121"/>
      <c r="I574" s="121"/>
      <c r="J574" s="121"/>
      <c r="K574" s="122"/>
      <c r="N574" s="213"/>
    </row>
    <row r="575" spans="1:14" outlineLevel="1" x14ac:dyDescent="0.25">
      <c r="A575" s="249"/>
      <c r="B575" s="119"/>
      <c r="C575" s="119"/>
      <c r="D575" s="119"/>
      <c r="E575" s="120"/>
      <c r="F575" s="121"/>
      <c r="G575" s="121"/>
      <c r="H575" s="121"/>
      <c r="I575" s="121"/>
      <c r="J575" s="121"/>
      <c r="K575" s="122"/>
      <c r="N575" s="213"/>
    </row>
    <row r="576" spans="1:14" outlineLevel="1" x14ac:dyDescent="0.25">
      <c r="A576" s="249"/>
      <c r="B576" s="119"/>
      <c r="C576" s="119"/>
      <c r="D576" s="119"/>
      <c r="E576" s="120"/>
      <c r="F576" s="121"/>
      <c r="G576" s="121"/>
      <c r="H576" s="121"/>
      <c r="I576" s="121"/>
      <c r="J576" s="121"/>
      <c r="K576" s="122"/>
      <c r="N576" s="213"/>
    </row>
    <row r="577" spans="1:16" outlineLevel="1" x14ac:dyDescent="0.25">
      <c r="A577" s="249"/>
      <c r="B577" s="119"/>
      <c r="C577" s="119"/>
      <c r="D577" s="119"/>
      <c r="E577" s="120"/>
      <c r="F577" s="121"/>
      <c r="G577" s="121"/>
      <c r="H577" s="121"/>
      <c r="I577" s="121"/>
      <c r="J577" s="121"/>
      <c r="K577" s="122"/>
      <c r="N577" s="213"/>
    </row>
    <row r="578" spans="1:16" outlineLevel="1" x14ac:dyDescent="0.25">
      <c r="A578" s="249"/>
      <c r="B578" s="119"/>
      <c r="C578" s="119"/>
      <c r="D578" s="119"/>
      <c r="E578" s="120"/>
      <c r="F578" s="121"/>
      <c r="G578" s="121"/>
      <c r="H578" s="121"/>
      <c r="I578" s="121"/>
      <c r="J578" s="121"/>
      <c r="K578" s="122"/>
      <c r="N578" s="213"/>
    </row>
    <row r="579" spans="1:16" outlineLevel="1" x14ac:dyDescent="0.25">
      <c r="A579" s="249"/>
      <c r="B579" s="119"/>
      <c r="C579" s="119"/>
      <c r="D579" s="119"/>
      <c r="E579" s="120"/>
      <c r="F579" s="121"/>
      <c r="G579" s="121"/>
      <c r="H579" s="121"/>
      <c r="I579" s="121"/>
      <c r="J579" s="121"/>
      <c r="K579" s="122"/>
      <c r="N579" s="213"/>
    </row>
    <row r="580" spans="1:16" outlineLevel="1" x14ac:dyDescent="0.25">
      <c r="A580" s="249"/>
      <c r="B580" s="119"/>
      <c r="C580" s="119"/>
      <c r="D580" s="119"/>
      <c r="E580" s="120"/>
      <c r="F580" s="121"/>
      <c r="G580" s="121"/>
      <c r="H580" s="121"/>
      <c r="I580" s="121"/>
      <c r="J580" s="121"/>
      <c r="K580" s="122"/>
      <c r="N580" s="213"/>
    </row>
    <row r="581" spans="1:16" outlineLevel="1" x14ac:dyDescent="0.25">
      <c r="A581" s="249"/>
      <c r="B581" s="119"/>
      <c r="C581" s="119"/>
      <c r="D581" s="119"/>
      <c r="E581" s="120"/>
      <c r="F581" s="121"/>
      <c r="G581" s="121"/>
      <c r="H581" s="121"/>
      <c r="I581" s="121"/>
      <c r="J581" s="121"/>
      <c r="K581" s="122"/>
      <c r="N581" s="213"/>
    </row>
    <row r="582" spans="1:16" outlineLevel="1" x14ac:dyDescent="0.25">
      <c r="A582" s="249"/>
      <c r="B582" s="119"/>
      <c r="C582" s="119"/>
      <c r="D582" s="119"/>
      <c r="E582" s="120"/>
      <c r="F582" s="121"/>
      <c r="G582" s="121"/>
      <c r="H582" s="121"/>
      <c r="I582" s="121"/>
      <c r="J582" s="121"/>
      <c r="K582" s="122"/>
      <c r="N582" s="213"/>
    </row>
    <row r="583" spans="1:16" outlineLevel="1" x14ac:dyDescent="0.25">
      <c r="A583" s="249"/>
      <c r="B583" s="119"/>
      <c r="C583" s="119"/>
      <c r="D583" s="119"/>
      <c r="E583" s="120"/>
      <c r="F583" s="121"/>
      <c r="G583" s="121"/>
      <c r="H583" s="121"/>
      <c r="I583" s="121"/>
      <c r="J583" s="121"/>
      <c r="K583" s="122"/>
      <c r="N583" s="213"/>
    </row>
    <row r="584" spans="1:16" outlineLevel="1" x14ac:dyDescent="0.25">
      <c r="A584" s="249"/>
      <c r="B584" s="119"/>
      <c r="C584" s="119"/>
      <c r="D584" s="119"/>
      <c r="E584" s="120"/>
      <c r="F584" s="121"/>
      <c r="G584" s="121"/>
      <c r="H584" s="121"/>
      <c r="I584" s="121"/>
      <c r="J584" s="121"/>
      <c r="K584" s="122"/>
      <c r="N584" s="213"/>
    </row>
    <row r="585" spans="1:16" outlineLevel="1" x14ac:dyDescent="0.25">
      <c r="A585" s="249"/>
      <c r="B585" s="119"/>
      <c r="C585" s="119"/>
      <c r="D585" s="119"/>
      <c r="E585" s="120"/>
      <c r="F585" s="121"/>
      <c r="G585" s="121"/>
      <c r="H585" s="121"/>
      <c r="I585" s="121"/>
      <c r="J585" s="121"/>
      <c r="K585" s="122"/>
      <c r="N585" s="213"/>
    </row>
    <row r="586" spans="1:16" outlineLevel="1" x14ac:dyDescent="0.25">
      <c r="A586" s="249"/>
      <c r="B586" s="119"/>
      <c r="C586" s="119"/>
      <c r="D586" s="119"/>
      <c r="E586" s="120"/>
      <c r="F586" s="121"/>
      <c r="G586" s="121"/>
      <c r="H586" s="121"/>
      <c r="I586" s="121"/>
      <c r="J586" s="121"/>
      <c r="K586" s="122"/>
      <c r="N586" s="213"/>
    </row>
    <row r="587" spans="1:16" outlineLevel="1" x14ac:dyDescent="0.25">
      <c r="A587" s="249"/>
      <c r="B587" s="119"/>
      <c r="C587" s="119"/>
      <c r="D587" s="119"/>
      <c r="E587" s="120"/>
      <c r="F587" s="121"/>
      <c r="G587" s="121"/>
      <c r="H587" s="121"/>
      <c r="I587" s="121"/>
      <c r="J587" s="121"/>
      <c r="K587" s="122"/>
      <c r="N587" s="213"/>
    </row>
    <row r="588" spans="1:16" outlineLevel="1" x14ac:dyDescent="0.25">
      <c r="A588" s="249"/>
      <c r="B588" s="119"/>
      <c r="C588" s="119"/>
      <c r="D588" s="119"/>
      <c r="E588" s="120"/>
      <c r="F588" s="121"/>
      <c r="G588" s="121"/>
      <c r="H588" s="121"/>
      <c r="I588" s="121"/>
      <c r="J588" s="121"/>
      <c r="K588" s="122"/>
      <c r="N588" s="213"/>
    </row>
    <row r="589" spans="1:16" ht="15.75" outlineLevel="1" thickBot="1" x14ac:dyDescent="0.3">
      <c r="A589" s="88"/>
      <c r="B589" s="81"/>
      <c r="C589" s="81"/>
      <c r="D589" s="81"/>
      <c r="E589" s="82"/>
      <c r="F589" s="83"/>
      <c r="G589" s="83"/>
      <c r="H589" s="83"/>
      <c r="I589" s="83"/>
      <c r="J589" s="83"/>
      <c r="K589" s="105"/>
      <c r="N589" s="213"/>
    </row>
    <row r="590" spans="1:16" outlineLevel="1" x14ac:dyDescent="0.25">
      <c r="A590" s="22"/>
      <c r="B590" s="91"/>
      <c r="C590" s="91"/>
      <c r="D590" s="91"/>
      <c r="E590" s="92"/>
      <c r="F590" s="93"/>
      <c r="G590" s="93"/>
      <c r="H590" s="93"/>
      <c r="I590" s="93"/>
      <c r="J590" s="93"/>
      <c r="K590" s="93"/>
    </row>
    <row r="591" spans="1:16" ht="15.75" outlineLevel="1" thickBot="1" x14ac:dyDescent="0.3">
      <c r="A591" s="55" t="s">
        <v>67</v>
      </c>
      <c r="B591" s="91"/>
      <c r="C591" s="91"/>
      <c r="D591" s="91"/>
      <c r="E591" s="92"/>
      <c r="F591" s="92"/>
    </row>
    <row r="592" spans="1:16" s="214" customFormat="1" ht="30.75" outlineLevel="1" thickBot="1" x14ac:dyDescent="0.3">
      <c r="A592" s="125" t="s">
        <v>68</v>
      </c>
      <c r="B592" s="215" t="s">
        <v>69</v>
      </c>
      <c r="C592" s="216" t="s">
        <v>70</v>
      </c>
      <c r="D592" s="216" t="s">
        <v>71</v>
      </c>
      <c r="E592" s="216" t="s">
        <v>72</v>
      </c>
      <c r="F592" s="216" t="s">
        <v>85</v>
      </c>
      <c r="G592" s="232" t="s">
        <v>1834</v>
      </c>
      <c r="H592" s="217" t="s">
        <v>73</v>
      </c>
      <c r="I592" s="218" t="s">
        <v>6</v>
      </c>
      <c r="J592" s="213"/>
      <c r="L592" s="213"/>
      <c r="M592" s="213"/>
      <c r="N592" s="213"/>
      <c r="O592" s="213"/>
      <c r="P592" s="213"/>
    </row>
    <row r="593" spans="1:16" outlineLevel="1" x14ac:dyDescent="0.25">
      <c r="A593" s="97"/>
      <c r="B593" s="74"/>
      <c r="C593" s="74"/>
      <c r="D593" s="74"/>
      <c r="E593" s="74"/>
      <c r="F593" s="74"/>
      <c r="G593" s="74"/>
      <c r="H593" s="230" t="e">
        <f t="shared" ref="H593:H657" si="6">IF(F593&gt;0,F593/D593,IF(G593&gt;0,G593/100/D593,IF(A593="Máquina de lavar roupa",E593/(D593*220),E593/(D593*280))))</f>
        <v>#DIV/0!</v>
      </c>
      <c r="I593" s="114"/>
      <c r="K593" s="22"/>
      <c r="P593" s="32"/>
    </row>
    <row r="594" spans="1:16" outlineLevel="1" x14ac:dyDescent="0.25">
      <c r="A594" s="100"/>
      <c r="B594" s="78"/>
      <c r="C594" s="78"/>
      <c r="D594" s="78"/>
      <c r="E594" s="78"/>
      <c r="F594" s="78"/>
      <c r="G594" s="78"/>
      <c r="H594" s="91" t="e">
        <f t="shared" si="6"/>
        <v>#DIV/0!</v>
      </c>
      <c r="I594" s="104"/>
      <c r="K594" s="22"/>
      <c r="P594" s="32"/>
    </row>
    <row r="595" spans="1:16" outlineLevel="1" x14ac:dyDescent="0.25">
      <c r="A595" s="100"/>
      <c r="B595" s="78"/>
      <c r="C595" s="78"/>
      <c r="D595" s="78"/>
      <c r="E595" s="78"/>
      <c r="F595" s="78"/>
      <c r="G595" s="78"/>
      <c r="H595" s="91" t="e">
        <f t="shared" si="6"/>
        <v>#DIV/0!</v>
      </c>
      <c r="I595" s="104"/>
      <c r="K595" s="22"/>
      <c r="P595" s="32"/>
    </row>
    <row r="596" spans="1:16" outlineLevel="1" x14ac:dyDescent="0.25">
      <c r="A596" s="100"/>
      <c r="B596" s="78"/>
      <c r="C596" s="78"/>
      <c r="D596" s="78"/>
      <c r="E596" s="78"/>
      <c r="F596" s="78"/>
      <c r="G596" s="78"/>
      <c r="H596" s="91" t="e">
        <f t="shared" si="6"/>
        <v>#DIV/0!</v>
      </c>
      <c r="I596" s="104"/>
      <c r="K596" s="22"/>
      <c r="P596" s="32"/>
    </row>
    <row r="597" spans="1:16" outlineLevel="1" x14ac:dyDescent="0.25">
      <c r="A597" s="100"/>
      <c r="B597" s="78"/>
      <c r="C597" s="78"/>
      <c r="D597" s="78"/>
      <c r="E597" s="78"/>
      <c r="F597" s="78"/>
      <c r="G597" s="78"/>
      <c r="H597" s="91" t="e">
        <f t="shared" si="6"/>
        <v>#DIV/0!</v>
      </c>
      <c r="I597" s="104"/>
      <c r="K597" s="22"/>
      <c r="P597" s="32"/>
    </row>
    <row r="598" spans="1:16" outlineLevel="1" x14ac:dyDescent="0.25">
      <c r="A598" s="100"/>
      <c r="B598" s="78"/>
      <c r="C598" s="78"/>
      <c r="D598" s="78"/>
      <c r="E598" s="78"/>
      <c r="F598" s="78"/>
      <c r="G598" s="78"/>
      <c r="H598" s="91" t="e">
        <f t="shared" si="6"/>
        <v>#DIV/0!</v>
      </c>
      <c r="I598" s="104"/>
      <c r="K598" s="22"/>
      <c r="P598" s="32"/>
    </row>
    <row r="599" spans="1:16" outlineLevel="1" x14ac:dyDescent="0.25">
      <c r="A599" s="100"/>
      <c r="B599" s="78"/>
      <c r="C599" s="78"/>
      <c r="D599" s="78"/>
      <c r="E599" s="78"/>
      <c r="F599" s="78"/>
      <c r="G599" s="78"/>
      <c r="H599" s="91" t="e">
        <f t="shared" si="6"/>
        <v>#DIV/0!</v>
      </c>
      <c r="I599" s="104"/>
      <c r="K599" s="22"/>
      <c r="P599" s="32"/>
    </row>
    <row r="600" spans="1:16" outlineLevel="1" x14ac:dyDescent="0.25">
      <c r="A600" s="100"/>
      <c r="B600" s="78"/>
      <c r="C600" s="78"/>
      <c r="D600" s="78"/>
      <c r="E600" s="78"/>
      <c r="F600" s="78"/>
      <c r="G600" s="78"/>
      <c r="H600" s="91" t="e">
        <f t="shared" si="6"/>
        <v>#DIV/0!</v>
      </c>
      <c r="I600" s="104"/>
      <c r="K600" s="22"/>
      <c r="P600" s="32"/>
    </row>
    <row r="601" spans="1:16" outlineLevel="1" x14ac:dyDescent="0.25">
      <c r="A601" s="100"/>
      <c r="B601" s="78"/>
      <c r="C601" s="78"/>
      <c r="D601" s="78"/>
      <c r="E601" s="78"/>
      <c r="F601" s="78"/>
      <c r="G601" s="78"/>
      <c r="H601" s="91" t="e">
        <f t="shared" si="6"/>
        <v>#DIV/0!</v>
      </c>
      <c r="I601" s="104"/>
      <c r="K601" s="22"/>
      <c r="P601" s="32"/>
    </row>
    <row r="602" spans="1:16" outlineLevel="1" x14ac:dyDescent="0.25">
      <c r="A602" s="100"/>
      <c r="B602" s="78"/>
      <c r="C602" s="78"/>
      <c r="D602" s="78"/>
      <c r="E602" s="78"/>
      <c r="F602" s="78"/>
      <c r="G602" s="78"/>
      <c r="H602" s="91" t="e">
        <f t="shared" ref="H602" si="7">IF(F602&gt;0,F602/D602,IF(G602&gt;0,G602/100/D602,IF(A602="Máquina de lavar roupa",E602/(D602*220),E602/(D602*280))))</f>
        <v>#DIV/0!</v>
      </c>
      <c r="I602" s="104"/>
      <c r="K602" s="22"/>
      <c r="P602" s="32"/>
    </row>
    <row r="603" spans="1:16" outlineLevel="1" x14ac:dyDescent="0.25">
      <c r="A603" s="100"/>
      <c r="B603" s="78"/>
      <c r="C603" s="78"/>
      <c r="D603" s="78"/>
      <c r="E603" s="78"/>
      <c r="F603" s="78"/>
      <c r="G603" s="78"/>
      <c r="H603" s="91" t="e">
        <f t="shared" si="6"/>
        <v>#DIV/0!</v>
      </c>
      <c r="I603" s="104"/>
      <c r="K603" s="22"/>
      <c r="P603" s="32"/>
    </row>
    <row r="604" spans="1:16" outlineLevel="1" x14ac:dyDescent="0.25">
      <c r="A604" s="100"/>
      <c r="B604" s="78"/>
      <c r="C604" s="78"/>
      <c r="D604" s="78"/>
      <c r="E604" s="78"/>
      <c r="F604" s="78"/>
      <c r="G604" s="78"/>
      <c r="H604" s="91" t="e">
        <f t="shared" si="6"/>
        <v>#DIV/0!</v>
      </c>
      <c r="I604" s="104"/>
      <c r="K604" s="22"/>
      <c r="P604" s="32"/>
    </row>
    <row r="605" spans="1:16" outlineLevel="1" x14ac:dyDescent="0.25">
      <c r="A605" s="100"/>
      <c r="B605" s="78"/>
      <c r="C605" s="78"/>
      <c r="D605" s="78"/>
      <c r="E605" s="78"/>
      <c r="F605" s="78"/>
      <c r="G605" s="78"/>
      <c r="H605" s="91" t="e">
        <f t="shared" si="6"/>
        <v>#DIV/0!</v>
      </c>
      <c r="I605" s="104"/>
      <c r="K605" s="22"/>
      <c r="P605" s="32"/>
    </row>
    <row r="606" spans="1:16" outlineLevel="1" x14ac:dyDescent="0.25">
      <c r="A606" s="100"/>
      <c r="B606" s="78"/>
      <c r="C606" s="78"/>
      <c r="D606" s="78"/>
      <c r="E606" s="78"/>
      <c r="F606" s="78"/>
      <c r="G606" s="78"/>
      <c r="H606" s="91" t="e">
        <f t="shared" si="6"/>
        <v>#DIV/0!</v>
      </c>
      <c r="I606" s="104"/>
      <c r="K606" s="22"/>
      <c r="P606" s="32"/>
    </row>
    <row r="607" spans="1:16" outlineLevel="1" x14ac:dyDescent="0.25">
      <c r="A607" s="100"/>
      <c r="B607" s="78"/>
      <c r="C607" s="78"/>
      <c r="D607" s="78"/>
      <c r="E607" s="78"/>
      <c r="F607" s="78"/>
      <c r="G607" s="78"/>
      <c r="H607" s="91" t="e">
        <f t="shared" si="6"/>
        <v>#DIV/0!</v>
      </c>
      <c r="I607" s="104"/>
      <c r="K607" s="22"/>
      <c r="P607" s="32"/>
    </row>
    <row r="608" spans="1:16" outlineLevel="1" x14ac:dyDescent="0.25">
      <c r="A608" s="100"/>
      <c r="B608" s="78"/>
      <c r="C608" s="78"/>
      <c r="D608" s="78"/>
      <c r="E608" s="78"/>
      <c r="F608" s="78"/>
      <c r="G608" s="78"/>
      <c r="H608" s="91" t="e">
        <f t="shared" si="6"/>
        <v>#DIV/0!</v>
      </c>
      <c r="I608" s="104"/>
      <c r="K608" s="22"/>
      <c r="P608" s="32"/>
    </row>
    <row r="609" spans="1:16" outlineLevel="1" x14ac:dyDescent="0.25">
      <c r="A609" s="100"/>
      <c r="B609" s="78"/>
      <c r="C609" s="78"/>
      <c r="D609" s="78"/>
      <c r="E609" s="78"/>
      <c r="F609" s="78"/>
      <c r="G609" s="78"/>
      <c r="H609" s="91" t="e">
        <f t="shared" si="6"/>
        <v>#DIV/0!</v>
      </c>
      <c r="I609" s="104"/>
      <c r="K609" s="22"/>
      <c r="P609" s="32"/>
    </row>
    <row r="610" spans="1:16" outlineLevel="1" x14ac:dyDescent="0.25">
      <c r="A610" s="100"/>
      <c r="B610" s="78"/>
      <c r="C610" s="78"/>
      <c r="D610" s="78"/>
      <c r="E610" s="78"/>
      <c r="F610" s="78"/>
      <c r="G610" s="78"/>
      <c r="H610" s="91" t="e">
        <f t="shared" si="6"/>
        <v>#DIV/0!</v>
      </c>
      <c r="I610" s="104"/>
      <c r="K610" s="22"/>
      <c r="P610" s="32"/>
    </row>
    <row r="611" spans="1:16" outlineLevel="1" x14ac:dyDescent="0.25">
      <c r="A611" s="100"/>
      <c r="B611" s="78"/>
      <c r="C611" s="78"/>
      <c r="D611" s="78"/>
      <c r="E611" s="78"/>
      <c r="F611" s="78"/>
      <c r="G611" s="78"/>
      <c r="H611" s="91" t="e">
        <f t="shared" si="6"/>
        <v>#DIV/0!</v>
      </c>
      <c r="I611" s="104"/>
      <c r="K611" s="22"/>
      <c r="P611" s="32"/>
    </row>
    <row r="612" spans="1:16" outlineLevel="1" x14ac:dyDescent="0.25">
      <c r="A612" s="100"/>
      <c r="B612" s="78"/>
      <c r="C612" s="78"/>
      <c r="D612" s="78"/>
      <c r="E612" s="78"/>
      <c r="F612" s="78"/>
      <c r="G612" s="78"/>
      <c r="H612" s="91" t="e">
        <f t="shared" si="6"/>
        <v>#DIV/0!</v>
      </c>
      <c r="I612" s="104"/>
      <c r="K612" s="22"/>
      <c r="P612" s="32"/>
    </row>
    <row r="613" spans="1:16" outlineLevel="1" x14ac:dyDescent="0.25">
      <c r="A613" s="100"/>
      <c r="B613" s="78"/>
      <c r="C613" s="78"/>
      <c r="D613" s="78"/>
      <c r="E613" s="78"/>
      <c r="F613" s="78"/>
      <c r="G613" s="78"/>
      <c r="H613" s="91" t="e">
        <f t="shared" si="6"/>
        <v>#DIV/0!</v>
      </c>
      <c r="I613" s="104"/>
      <c r="K613" s="22"/>
      <c r="P613" s="32"/>
    </row>
    <row r="614" spans="1:16" outlineLevel="1" x14ac:dyDescent="0.25">
      <c r="A614" s="100"/>
      <c r="B614" s="78"/>
      <c r="C614" s="78"/>
      <c r="D614" s="78"/>
      <c r="E614" s="78"/>
      <c r="F614" s="78"/>
      <c r="G614" s="78"/>
      <c r="H614" s="91" t="e">
        <f t="shared" si="6"/>
        <v>#DIV/0!</v>
      </c>
      <c r="I614" s="104"/>
      <c r="K614" s="22"/>
      <c r="P614" s="32"/>
    </row>
    <row r="615" spans="1:16" outlineLevel="1" x14ac:dyDescent="0.25">
      <c r="A615" s="100"/>
      <c r="B615" s="78"/>
      <c r="C615" s="78"/>
      <c r="D615" s="78"/>
      <c r="E615" s="78"/>
      <c r="F615" s="78"/>
      <c r="G615" s="78"/>
      <c r="H615" s="91" t="e">
        <f t="shared" si="6"/>
        <v>#DIV/0!</v>
      </c>
      <c r="I615" s="104"/>
      <c r="K615" s="22"/>
      <c r="P615" s="32"/>
    </row>
    <row r="616" spans="1:16" outlineLevel="1" x14ac:dyDescent="0.25">
      <c r="A616" s="100"/>
      <c r="B616" s="78"/>
      <c r="C616" s="78"/>
      <c r="D616" s="78"/>
      <c r="E616" s="78"/>
      <c r="F616" s="78"/>
      <c r="G616" s="78"/>
      <c r="H616" s="91" t="e">
        <f t="shared" si="6"/>
        <v>#DIV/0!</v>
      </c>
      <c r="I616" s="104"/>
      <c r="K616" s="22"/>
      <c r="P616" s="32"/>
    </row>
    <row r="617" spans="1:16" outlineLevel="1" x14ac:dyDescent="0.25">
      <c r="A617" s="100"/>
      <c r="B617" s="78"/>
      <c r="C617" s="78"/>
      <c r="D617" s="78"/>
      <c r="E617" s="78"/>
      <c r="F617" s="78"/>
      <c r="G617" s="78"/>
      <c r="H617" s="91" t="e">
        <f t="shared" si="6"/>
        <v>#DIV/0!</v>
      </c>
      <c r="I617" s="104"/>
      <c r="K617" s="22"/>
      <c r="P617" s="32"/>
    </row>
    <row r="618" spans="1:16" outlineLevel="1" x14ac:dyDescent="0.25">
      <c r="A618" s="100"/>
      <c r="B618" s="78"/>
      <c r="C618" s="78"/>
      <c r="D618" s="78"/>
      <c r="E618" s="78"/>
      <c r="F618" s="78"/>
      <c r="G618" s="78"/>
      <c r="H618" s="91" t="e">
        <f t="shared" si="6"/>
        <v>#DIV/0!</v>
      </c>
      <c r="I618" s="104"/>
      <c r="K618" s="22"/>
      <c r="P618" s="32"/>
    </row>
    <row r="619" spans="1:16" outlineLevel="1" x14ac:dyDescent="0.25">
      <c r="A619" s="100"/>
      <c r="B619" s="78"/>
      <c r="C619" s="78"/>
      <c r="D619" s="78"/>
      <c r="E619" s="78"/>
      <c r="F619" s="78"/>
      <c r="G619" s="78"/>
      <c r="H619" s="91" t="e">
        <f t="shared" si="6"/>
        <v>#DIV/0!</v>
      </c>
      <c r="I619" s="104"/>
      <c r="K619" s="22"/>
      <c r="P619" s="32"/>
    </row>
    <row r="620" spans="1:16" outlineLevel="1" x14ac:dyDescent="0.25">
      <c r="A620" s="100"/>
      <c r="B620" s="78"/>
      <c r="C620" s="78"/>
      <c r="D620" s="78"/>
      <c r="E620" s="78"/>
      <c r="F620" s="78"/>
      <c r="G620" s="78"/>
      <c r="H620" s="91" t="e">
        <f t="shared" si="6"/>
        <v>#DIV/0!</v>
      </c>
      <c r="I620" s="104"/>
      <c r="K620" s="22"/>
      <c r="P620" s="32"/>
    </row>
    <row r="621" spans="1:16" outlineLevel="1" x14ac:dyDescent="0.25">
      <c r="A621" s="100"/>
      <c r="B621" s="78"/>
      <c r="C621" s="78"/>
      <c r="D621" s="78"/>
      <c r="E621" s="78"/>
      <c r="F621" s="78"/>
      <c r="G621" s="78"/>
      <c r="H621" s="91" t="e">
        <f t="shared" si="6"/>
        <v>#DIV/0!</v>
      </c>
      <c r="I621" s="104"/>
      <c r="K621" s="22"/>
      <c r="P621" s="32"/>
    </row>
    <row r="622" spans="1:16" outlineLevel="1" x14ac:dyDescent="0.25">
      <c r="A622" s="100"/>
      <c r="B622" s="78"/>
      <c r="C622" s="78"/>
      <c r="D622" s="78"/>
      <c r="E622" s="78"/>
      <c r="F622" s="78"/>
      <c r="G622" s="78"/>
      <c r="H622" s="91" t="e">
        <f t="shared" si="6"/>
        <v>#DIV/0!</v>
      </c>
      <c r="I622" s="104"/>
      <c r="K622" s="22"/>
      <c r="P622" s="32"/>
    </row>
    <row r="623" spans="1:16" outlineLevel="1" x14ac:dyDescent="0.25">
      <c r="A623" s="100"/>
      <c r="B623" s="78"/>
      <c r="C623" s="78"/>
      <c r="D623" s="78"/>
      <c r="E623" s="78"/>
      <c r="F623" s="78"/>
      <c r="G623" s="78"/>
      <c r="H623" s="91" t="e">
        <f t="shared" si="6"/>
        <v>#DIV/0!</v>
      </c>
      <c r="I623" s="104"/>
      <c r="K623" s="22"/>
      <c r="P623" s="32"/>
    </row>
    <row r="624" spans="1:16" outlineLevel="1" x14ac:dyDescent="0.25">
      <c r="A624" s="100"/>
      <c r="B624" s="78"/>
      <c r="C624" s="78"/>
      <c r="D624" s="78"/>
      <c r="E624" s="78"/>
      <c r="F624" s="78"/>
      <c r="G624" s="78"/>
      <c r="H624" s="91" t="e">
        <f t="shared" si="6"/>
        <v>#DIV/0!</v>
      </c>
      <c r="I624" s="104"/>
      <c r="K624" s="22"/>
      <c r="P624" s="32"/>
    </row>
    <row r="625" spans="1:16" outlineLevel="1" x14ac:dyDescent="0.25">
      <c r="A625" s="100"/>
      <c r="B625" s="78"/>
      <c r="C625" s="78"/>
      <c r="D625" s="78"/>
      <c r="E625" s="78"/>
      <c r="F625" s="78"/>
      <c r="G625" s="78"/>
      <c r="H625" s="91" t="e">
        <f t="shared" si="6"/>
        <v>#DIV/0!</v>
      </c>
      <c r="I625" s="104"/>
      <c r="K625" s="22"/>
      <c r="P625" s="32"/>
    </row>
    <row r="626" spans="1:16" outlineLevel="1" x14ac:dyDescent="0.25">
      <c r="A626" s="100"/>
      <c r="B626" s="78"/>
      <c r="C626" s="78"/>
      <c r="D626" s="78"/>
      <c r="E626" s="78"/>
      <c r="F626" s="78"/>
      <c r="G626" s="78"/>
      <c r="H626" s="91" t="e">
        <f t="shared" si="6"/>
        <v>#DIV/0!</v>
      </c>
      <c r="I626" s="104"/>
      <c r="K626" s="22"/>
      <c r="P626" s="32"/>
    </row>
    <row r="627" spans="1:16" outlineLevel="1" x14ac:dyDescent="0.25">
      <c r="A627" s="100"/>
      <c r="B627" s="78"/>
      <c r="C627" s="78"/>
      <c r="D627" s="78"/>
      <c r="E627" s="78"/>
      <c r="F627" s="78"/>
      <c r="G627" s="78"/>
      <c r="H627" s="91" t="e">
        <f t="shared" si="6"/>
        <v>#DIV/0!</v>
      </c>
      <c r="I627" s="104"/>
      <c r="K627" s="22"/>
      <c r="P627" s="32"/>
    </row>
    <row r="628" spans="1:16" outlineLevel="1" x14ac:dyDescent="0.25">
      <c r="A628" s="100"/>
      <c r="B628" s="78"/>
      <c r="C628" s="78"/>
      <c r="D628" s="78"/>
      <c r="E628" s="78"/>
      <c r="F628" s="78"/>
      <c r="G628" s="78"/>
      <c r="H628" s="91" t="e">
        <f t="shared" si="6"/>
        <v>#DIV/0!</v>
      </c>
      <c r="I628" s="104"/>
      <c r="K628" s="22"/>
      <c r="P628" s="32"/>
    </row>
    <row r="629" spans="1:16" outlineLevel="1" x14ac:dyDescent="0.25">
      <c r="A629" s="100"/>
      <c r="B629" s="78"/>
      <c r="C629" s="78"/>
      <c r="D629" s="78"/>
      <c r="E629" s="78"/>
      <c r="F629" s="78"/>
      <c r="G629" s="78"/>
      <c r="H629" s="91" t="e">
        <f t="shared" si="6"/>
        <v>#DIV/0!</v>
      </c>
      <c r="I629" s="104"/>
      <c r="K629" s="22"/>
      <c r="P629" s="32"/>
    </row>
    <row r="630" spans="1:16" outlineLevel="1" x14ac:dyDescent="0.25">
      <c r="A630" s="100"/>
      <c r="B630" s="78"/>
      <c r="C630" s="78"/>
      <c r="D630" s="78"/>
      <c r="E630" s="78"/>
      <c r="F630" s="78"/>
      <c r="G630" s="78"/>
      <c r="H630" s="91" t="e">
        <f t="shared" si="6"/>
        <v>#DIV/0!</v>
      </c>
      <c r="I630" s="104"/>
      <c r="K630" s="22"/>
      <c r="P630" s="32"/>
    </row>
    <row r="631" spans="1:16" outlineLevel="1" x14ac:dyDescent="0.25">
      <c r="A631" s="100"/>
      <c r="B631" s="78"/>
      <c r="C631" s="78"/>
      <c r="D631" s="78"/>
      <c r="E631" s="78"/>
      <c r="F631" s="78"/>
      <c r="G631" s="78"/>
      <c r="H631" s="91" t="e">
        <f t="shared" si="6"/>
        <v>#DIV/0!</v>
      </c>
      <c r="I631" s="104"/>
      <c r="K631" s="22"/>
      <c r="P631" s="32"/>
    </row>
    <row r="632" spans="1:16" outlineLevel="1" x14ac:dyDescent="0.25">
      <c r="A632" s="100"/>
      <c r="B632" s="78"/>
      <c r="C632" s="78"/>
      <c r="D632" s="78"/>
      <c r="E632" s="78"/>
      <c r="F632" s="78"/>
      <c r="G632" s="78"/>
      <c r="H632" s="91" t="e">
        <f t="shared" si="6"/>
        <v>#DIV/0!</v>
      </c>
      <c r="I632" s="104"/>
      <c r="K632" s="22"/>
      <c r="P632" s="32"/>
    </row>
    <row r="633" spans="1:16" outlineLevel="1" x14ac:dyDescent="0.25">
      <c r="A633" s="100"/>
      <c r="B633" s="78"/>
      <c r="C633" s="78"/>
      <c r="D633" s="78"/>
      <c r="E633" s="78"/>
      <c r="F633" s="78"/>
      <c r="G633" s="78"/>
      <c r="H633" s="91" t="e">
        <f t="shared" si="6"/>
        <v>#DIV/0!</v>
      </c>
      <c r="I633" s="104"/>
      <c r="K633" s="22"/>
      <c r="P633" s="32"/>
    </row>
    <row r="634" spans="1:16" outlineLevel="1" x14ac:dyDescent="0.25">
      <c r="A634" s="100"/>
      <c r="B634" s="78"/>
      <c r="C634" s="78"/>
      <c r="D634" s="78"/>
      <c r="E634" s="78"/>
      <c r="F634" s="78"/>
      <c r="G634" s="78"/>
      <c r="H634" s="91" t="e">
        <f t="shared" si="6"/>
        <v>#DIV/0!</v>
      </c>
      <c r="I634" s="104"/>
      <c r="K634" s="22"/>
      <c r="P634" s="32"/>
    </row>
    <row r="635" spans="1:16" outlineLevel="1" x14ac:dyDescent="0.25">
      <c r="A635" s="100"/>
      <c r="B635" s="78"/>
      <c r="C635" s="78"/>
      <c r="D635" s="78"/>
      <c r="E635" s="78"/>
      <c r="F635" s="78"/>
      <c r="G635" s="78"/>
      <c r="H635" s="91" t="e">
        <f t="shared" si="6"/>
        <v>#DIV/0!</v>
      </c>
      <c r="I635" s="104"/>
      <c r="K635" s="22"/>
      <c r="P635" s="32"/>
    </row>
    <row r="636" spans="1:16" outlineLevel="1" x14ac:dyDescent="0.25">
      <c r="A636" s="100"/>
      <c r="B636" s="78"/>
      <c r="C636" s="78"/>
      <c r="D636" s="78"/>
      <c r="E636" s="78"/>
      <c r="F636" s="78"/>
      <c r="G636" s="78"/>
      <c r="H636" s="91" t="e">
        <f t="shared" si="6"/>
        <v>#DIV/0!</v>
      </c>
      <c r="I636" s="104"/>
      <c r="K636" s="22"/>
      <c r="P636" s="32"/>
    </row>
    <row r="637" spans="1:16" outlineLevel="1" x14ac:dyDescent="0.25">
      <c r="A637" s="100"/>
      <c r="B637" s="78"/>
      <c r="C637" s="78"/>
      <c r="D637" s="78"/>
      <c r="E637" s="78"/>
      <c r="F637" s="78"/>
      <c r="G637" s="78"/>
      <c r="H637" s="91" t="e">
        <f t="shared" si="6"/>
        <v>#DIV/0!</v>
      </c>
      <c r="I637" s="104"/>
      <c r="K637" s="22"/>
      <c r="P637" s="32"/>
    </row>
    <row r="638" spans="1:16" outlineLevel="1" x14ac:dyDescent="0.25">
      <c r="A638" s="100"/>
      <c r="B638" s="78"/>
      <c r="C638" s="78"/>
      <c r="D638" s="78"/>
      <c r="E638" s="78"/>
      <c r="F638" s="78"/>
      <c r="G638" s="78"/>
      <c r="H638" s="91" t="e">
        <f t="shared" si="6"/>
        <v>#DIV/0!</v>
      </c>
      <c r="I638" s="104"/>
      <c r="K638" s="22"/>
      <c r="P638" s="32"/>
    </row>
    <row r="639" spans="1:16" outlineLevel="1" x14ac:dyDescent="0.25">
      <c r="A639" s="100"/>
      <c r="B639" s="78"/>
      <c r="C639" s="78"/>
      <c r="D639" s="78"/>
      <c r="E639" s="78"/>
      <c r="F639" s="78"/>
      <c r="G639" s="78"/>
      <c r="H639" s="91" t="e">
        <f t="shared" si="6"/>
        <v>#DIV/0!</v>
      </c>
      <c r="I639" s="104"/>
      <c r="K639" s="22"/>
      <c r="P639" s="32"/>
    </row>
    <row r="640" spans="1:16" outlineLevel="1" x14ac:dyDescent="0.25">
      <c r="A640" s="100"/>
      <c r="B640" s="78"/>
      <c r="C640" s="78"/>
      <c r="D640" s="78"/>
      <c r="E640" s="78"/>
      <c r="F640" s="78"/>
      <c r="G640" s="78"/>
      <c r="H640" s="91" t="e">
        <f t="shared" si="6"/>
        <v>#DIV/0!</v>
      </c>
      <c r="I640" s="104"/>
      <c r="K640" s="22"/>
      <c r="P640" s="32"/>
    </row>
    <row r="641" spans="1:16" outlineLevel="1" x14ac:dyDescent="0.25">
      <c r="A641" s="100"/>
      <c r="B641" s="78"/>
      <c r="C641" s="78"/>
      <c r="D641" s="78"/>
      <c r="E641" s="78"/>
      <c r="F641" s="78"/>
      <c r="G641" s="78"/>
      <c r="H641" s="91" t="e">
        <f t="shared" si="6"/>
        <v>#DIV/0!</v>
      </c>
      <c r="I641" s="104"/>
      <c r="K641" s="22"/>
      <c r="P641" s="32"/>
    </row>
    <row r="642" spans="1:16" outlineLevel="1" x14ac:dyDescent="0.25">
      <c r="A642" s="100"/>
      <c r="B642" s="78"/>
      <c r="C642" s="78"/>
      <c r="D642" s="78"/>
      <c r="E642" s="78"/>
      <c r="F642" s="78"/>
      <c r="G642" s="78"/>
      <c r="H642" s="91" t="e">
        <f t="shared" si="6"/>
        <v>#DIV/0!</v>
      </c>
      <c r="I642" s="104"/>
      <c r="K642" s="22"/>
      <c r="P642" s="32"/>
    </row>
    <row r="643" spans="1:16" outlineLevel="1" x14ac:dyDescent="0.25">
      <c r="A643" s="100"/>
      <c r="B643" s="78"/>
      <c r="C643" s="78"/>
      <c r="D643" s="78"/>
      <c r="E643" s="78"/>
      <c r="F643" s="78"/>
      <c r="G643" s="78"/>
      <c r="H643" s="91" t="e">
        <f t="shared" si="6"/>
        <v>#DIV/0!</v>
      </c>
      <c r="I643" s="104"/>
      <c r="K643" s="22"/>
      <c r="P643" s="32"/>
    </row>
    <row r="644" spans="1:16" outlineLevel="1" x14ac:dyDescent="0.25">
      <c r="A644" s="100"/>
      <c r="B644" s="78"/>
      <c r="C644" s="78"/>
      <c r="D644" s="78"/>
      <c r="E644" s="78"/>
      <c r="F644" s="78"/>
      <c r="G644" s="78"/>
      <c r="H644" s="91" t="e">
        <f t="shared" si="6"/>
        <v>#DIV/0!</v>
      </c>
      <c r="I644" s="104"/>
      <c r="K644" s="22"/>
      <c r="P644" s="32"/>
    </row>
    <row r="645" spans="1:16" outlineLevel="1" x14ac:dyDescent="0.25">
      <c r="A645" s="100"/>
      <c r="B645" s="78"/>
      <c r="C645" s="78"/>
      <c r="D645" s="78"/>
      <c r="E645" s="78"/>
      <c r="F645" s="78"/>
      <c r="G645" s="78"/>
      <c r="H645" s="91" t="e">
        <f t="shared" si="6"/>
        <v>#DIV/0!</v>
      </c>
      <c r="I645" s="104"/>
      <c r="K645" s="22"/>
      <c r="P645" s="32"/>
    </row>
    <row r="646" spans="1:16" outlineLevel="1" x14ac:dyDescent="0.25">
      <c r="A646" s="100"/>
      <c r="B646" s="78"/>
      <c r="C646" s="78"/>
      <c r="D646" s="78"/>
      <c r="E646" s="78"/>
      <c r="F646" s="78"/>
      <c r="G646" s="78"/>
      <c r="H646" s="91" t="e">
        <f t="shared" si="6"/>
        <v>#DIV/0!</v>
      </c>
      <c r="I646" s="104"/>
      <c r="K646" s="22"/>
      <c r="P646" s="32"/>
    </row>
    <row r="647" spans="1:16" outlineLevel="1" x14ac:dyDescent="0.25">
      <c r="A647" s="100"/>
      <c r="B647" s="78"/>
      <c r="C647" s="78"/>
      <c r="D647" s="78"/>
      <c r="E647" s="78"/>
      <c r="F647" s="78"/>
      <c r="G647" s="78"/>
      <c r="H647" s="91" t="e">
        <f t="shared" si="6"/>
        <v>#DIV/0!</v>
      </c>
      <c r="I647" s="104"/>
      <c r="K647" s="22"/>
      <c r="P647" s="32"/>
    </row>
    <row r="648" spans="1:16" outlineLevel="1" x14ac:dyDescent="0.25">
      <c r="A648" s="100"/>
      <c r="B648" s="78"/>
      <c r="C648" s="78"/>
      <c r="D648" s="78"/>
      <c r="E648" s="78"/>
      <c r="F648" s="78"/>
      <c r="G648" s="78"/>
      <c r="H648" s="91" t="e">
        <f t="shared" si="6"/>
        <v>#DIV/0!</v>
      </c>
      <c r="I648" s="104"/>
      <c r="K648" s="22"/>
      <c r="P648" s="32"/>
    </row>
    <row r="649" spans="1:16" outlineLevel="1" x14ac:dyDescent="0.25">
      <c r="A649" s="100"/>
      <c r="B649" s="78"/>
      <c r="C649" s="78"/>
      <c r="D649" s="78"/>
      <c r="E649" s="78"/>
      <c r="F649" s="78"/>
      <c r="G649" s="78"/>
      <c r="H649" s="91" t="e">
        <f t="shared" si="6"/>
        <v>#DIV/0!</v>
      </c>
      <c r="I649" s="104"/>
      <c r="K649" s="22"/>
      <c r="P649" s="32"/>
    </row>
    <row r="650" spans="1:16" outlineLevel="1" x14ac:dyDescent="0.25">
      <c r="A650" s="100"/>
      <c r="B650" s="78"/>
      <c r="C650" s="78"/>
      <c r="D650" s="78"/>
      <c r="E650" s="78"/>
      <c r="F650" s="78"/>
      <c r="G650" s="78"/>
      <c r="H650" s="91" t="e">
        <f t="shared" si="6"/>
        <v>#DIV/0!</v>
      </c>
      <c r="I650" s="104"/>
      <c r="K650" s="22"/>
      <c r="P650" s="32"/>
    </row>
    <row r="651" spans="1:16" outlineLevel="1" x14ac:dyDescent="0.25">
      <c r="A651" s="100"/>
      <c r="B651" s="78"/>
      <c r="C651" s="78"/>
      <c r="D651" s="78"/>
      <c r="E651" s="78"/>
      <c r="F651" s="78"/>
      <c r="G651" s="78"/>
      <c r="H651" s="91" t="e">
        <f t="shared" si="6"/>
        <v>#DIV/0!</v>
      </c>
      <c r="I651" s="104"/>
      <c r="K651" s="22"/>
      <c r="P651" s="32"/>
    </row>
    <row r="652" spans="1:16" outlineLevel="1" x14ac:dyDescent="0.25">
      <c r="A652" s="100"/>
      <c r="B652" s="78"/>
      <c r="C652" s="78"/>
      <c r="D652" s="78"/>
      <c r="E652" s="78"/>
      <c r="F652" s="78"/>
      <c r="G652" s="78"/>
      <c r="H652" s="91" t="e">
        <f t="shared" si="6"/>
        <v>#DIV/0!</v>
      </c>
      <c r="I652" s="104"/>
      <c r="K652" s="22"/>
      <c r="P652" s="32"/>
    </row>
    <row r="653" spans="1:16" outlineLevel="1" x14ac:dyDescent="0.25">
      <c r="A653" s="100"/>
      <c r="B653" s="78"/>
      <c r="C653" s="78"/>
      <c r="D653" s="78"/>
      <c r="E653" s="78"/>
      <c r="F653" s="78"/>
      <c r="G653" s="78"/>
      <c r="H653" s="91" t="e">
        <f t="shared" si="6"/>
        <v>#DIV/0!</v>
      </c>
      <c r="I653" s="104"/>
      <c r="K653" s="22"/>
      <c r="P653" s="32"/>
    </row>
    <row r="654" spans="1:16" outlineLevel="1" x14ac:dyDescent="0.25">
      <c r="A654" s="100"/>
      <c r="B654" s="78"/>
      <c r="C654" s="78"/>
      <c r="D654" s="78"/>
      <c r="E654" s="78"/>
      <c r="F654" s="78"/>
      <c r="G654" s="78"/>
      <c r="H654" s="91" t="e">
        <f t="shared" si="6"/>
        <v>#DIV/0!</v>
      </c>
      <c r="I654" s="104"/>
      <c r="K654" s="22"/>
      <c r="P654" s="32"/>
    </row>
    <row r="655" spans="1:16" outlineLevel="1" x14ac:dyDescent="0.25">
      <c r="A655" s="100"/>
      <c r="B655" s="78"/>
      <c r="C655" s="78"/>
      <c r="D655" s="78"/>
      <c r="E655" s="78"/>
      <c r="F655" s="78"/>
      <c r="G655" s="78"/>
      <c r="H655" s="91" t="e">
        <f t="shared" si="6"/>
        <v>#DIV/0!</v>
      </c>
      <c r="I655" s="104"/>
      <c r="K655" s="22"/>
      <c r="P655" s="32"/>
    </row>
    <row r="656" spans="1:16" outlineLevel="1" x14ac:dyDescent="0.25">
      <c r="A656" s="100"/>
      <c r="B656" s="78"/>
      <c r="C656" s="78"/>
      <c r="D656" s="78"/>
      <c r="E656" s="78"/>
      <c r="F656" s="78"/>
      <c r="G656" s="78"/>
      <c r="H656" s="91" t="e">
        <f t="shared" si="6"/>
        <v>#DIV/0!</v>
      </c>
      <c r="I656" s="104"/>
      <c r="K656" s="22"/>
      <c r="P656" s="32"/>
    </row>
    <row r="657" spans="1:16" outlineLevel="1" x14ac:dyDescent="0.25">
      <c r="A657" s="100"/>
      <c r="B657" s="78"/>
      <c r="C657" s="78"/>
      <c r="D657" s="78"/>
      <c r="E657" s="78"/>
      <c r="F657" s="78"/>
      <c r="G657" s="78"/>
      <c r="H657" s="91" t="e">
        <f t="shared" si="6"/>
        <v>#DIV/0!</v>
      </c>
      <c r="I657" s="104"/>
      <c r="K657" s="22"/>
      <c r="P657" s="32"/>
    </row>
    <row r="658" spans="1:16" outlineLevel="1" x14ac:dyDescent="0.25">
      <c r="A658" s="100"/>
      <c r="B658" s="78"/>
      <c r="C658" s="78"/>
      <c r="D658" s="78"/>
      <c r="E658" s="78"/>
      <c r="F658" s="78"/>
      <c r="G658" s="78"/>
      <c r="H658" s="91" t="e">
        <f t="shared" ref="H658:H721" si="8">IF(F658&gt;0,F658/D658,IF(G658&gt;0,G658/100/D658,IF(A658="Máquina de lavar roupa",E658/(D658*220),E658/(D658*280))))</f>
        <v>#DIV/0!</v>
      </c>
      <c r="I658" s="104"/>
      <c r="K658" s="22"/>
      <c r="P658" s="32"/>
    </row>
    <row r="659" spans="1:16" outlineLevel="1" x14ac:dyDescent="0.25">
      <c r="A659" s="100"/>
      <c r="B659" s="78"/>
      <c r="C659" s="78"/>
      <c r="D659" s="78"/>
      <c r="E659" s="78"/>
      <c r="F659" s="78"/>
      <c r="G659" s="78"/>
      <c r="H659" s="91" t="e">
        <f t="shared" si="8"/>
        <v>#DIV/0!</v>
      </c>
      <c r="I659" s="104"/>
      <c r="K659" s="22"/>
      <c r="P659" s="32"/>
    </row>
    <row r="660" spans="1:16" outlineLevel="1" x14ac:dyDescent="0.25">
      <c r="A660" s="100"/>
      <c r="B660" s="78"/>
      <c r="C660" s="78"/>
      <c r="D660" s="78"/>
      <c r="E660" s="78"/>
      <c r="F660" s="78"/>
      <c r="G660" s="78"/>
      <c r="H660" s="91" t="e">
        <f t="shared" si="8"/>
        <v>#DIV/0!</v>
      </c>
      <c r="I660" s="104"/>
      <c r="K660" s="22"/>
      <c r="P660" s="32"/>
    </row>
    <row r="661" spans="1:16" outlineLevel="1" x14ac:dyDescent="0.25">
      <c r="A661" s="100"/>
      <c r="B661" s="78"/>
      <c r="C661" s="78"/>
      <c r="D661" s="78"/>
      <c r="E661" s="78"/>
      <c r="F661" s="78"/>
      <c r="G661" s="78"/>
      <c r="H661" s="91" t="e">
        <f t="shared" si="8"/>
        <v>#DIV/0!</v>
      </c>
      <c r="I661" s="104"/>
      <c r="K661" s="22"/>
      <c r="P661" s="32"/>
    </row>
    <row r="662" spans="1:16" outlineLevel="1" x14ac:dyDescent="0.25">
      <c r="A662" s="100"/>
      <c r="B662" s="78"/>
      <c r="C662" s="78"/>
      <c r="D662" s="78"/>
      <c r="E662" s="78"/>
      <c r="F662" s="78"/>
      <c r="G662" s="78"/>
      <c r="H662" s="91" t="e">
        <f t="shared" si="8"/>
        <v>#DIV/0!</v>
      </c>
      <c r="I662" s="104"/>
      <c r="K662" s="22"/>
      <c r="P662" s="32"/>
    </row>
    <row r="663" spans="1:16" outlineLevel="1" x14ac:dyDescent="0.25">
      <c r="A663" s="100"/>
      <c r="B663" s="78"/>
      <c r="C663" s="78"/>
      <c r="D663" s="78"/>
      <c r="E663" s="78"/>
      <c r="F663" s="78"/>
      <c r="G663" s="78"/>
      <c r="H663" s="91" t="e">
        <f t="shared" si="8"/>
        <v>#DIV/0!</v>
      </c>
      <c r="I663" s="104"/>
      <c r="K663" s="22"/>
      <c r="P663" s="32"/>
    </row>
    <row r="664" spans="1:16" outlineLevel="1" x14ac:dyDescent="0.25">
      <c r="A664" s="100"/>
      <c r="B664" s="78"/>
      <c r="C664" s="78"/>
      <c r="D664" s="78"/>
      <c r="E664" s="78"/>
      <c r="F664" s="78"/>
      <c r="G664" s="78"/>
      <c r="H664" s="91" t="e">
        <f t="shared" si="8"/>
        <v>#DIV/0!</v>
      </c>
      <c r="I664" s="104"/>
      <c r="K664" s="22"/>
      <c r="P664" s="32"/>
    </row>
    <row r="665" spans="1:16" outlineLevel="1" x14ac:dyDescent="0.25">
      <c r="A665" s="100"/>
      <c r="B665" s="78"/>
      <c r="C665" s="78"/>
      <c r="D665" s="78"/>
      <c r="E665" s="78"/>
      <c r="F665" s="78"/>
      <c r="G665" s="78"/>
      <c r="H665" s="91" t="e">
        <f t="shared" si="8"/>
        <v>#DIV/0!</v>
      </c>
      <c r="I665" s="104"/>
      <c r="K665" s="22"/>
      <c r="P665" s="32"/>
    </row>
    <row r="666" spans="1:16" outlineLevel="1" x14ac:dyDescent="0.25">
      <c r="A666" s="100"/>
      <c r="B666" s="78"/>
      <c r="C666" s="78"/>
      <c r="D666" s="78"/>
      <c r="E666" s="78"/>
      <c r="F666" s="78"/>
      <c r="G666" s="78"/>
      <c r="H666" s="91" t="e">
        <f t="shared" si="8"/>
        <v>#DIV/0!</v>
      </c>
      <c r="I666" s="104"/>
      <c r="K666" s="22"/>
      <c r="P666" s="32"/>
    </row>
    <row r="667" spans="1:16" outlineLevel="1" x14ac:dyDescent="0.25">
      <c r="A667" s="100"/>
      <c r="B667" s="78"/>
      <c r="C667" s="78"/>
      <c r="D667" s="78"/>
      <c r="E667" s="78"/>
      <c r="F667" s="78"/>
      <c r="G667" s="78"/>
      <c r="H667" s="91" t="e">
        <f t="shared" si="8"/>
        <v>#DIV/0!</v>
      </c>
      <c r="I667" s="104"/>
      <c r="K667" s="22"/>
      <c r="P667" s="32"/>
    </row>
    <row r="668" spans="1:16" outlineLevel="1" x14ac:dyDescent="0.25">
      <c r="A668" s="100"/>
      <c r="B668" s="78"/>
      <c r="C668" s="78"/>
      <c r="D668" s="78"/>
      <c r="E668" s="78"/>
      <c r="F668" s="78"/>
      <c r="G668" s="78"/>
      <c r="H668" s="91" t="e">
        <f t="shared" si="8"/>
        <v>#DIV/0!</v>
      </c>
      <c r="I668" s="104"/>
      <c r="K668" s="22"/>
      <c r="P668" s="32"/>
    </row>
    <row r="669" spans="1:16" outlineLevel="1" x14ac:dyDescent="0.25">
      <c r="A669" s="100"/>
      <c r="B669" s="78"/>
      <c r="C669" s="78"/>
      <c r="D669" s="78"/>
      <c r="E669" s="78"/>
      <c r="F669" s="78"/>
      <c r="G669" s="78"/>
      <c r="H669" s="91" t="e">
        <f t="shared" si="8"/>
        <v>#DIV/0!</v>
      </c>
      <c r="I669" s="104"/>
      <c r="K669" s="22"/>
      <c r="P669" s="32"/>
    </row>
    <row r="670" spans="1:16" outlineLevel="1" x14ac:dyDescent="0.25">
      <c r="A670" s="100"/>
      <c r="B670" s="78"/>
      <c r="C670" s="78"/>
      <c r="D670" s="78"/>
      <c r="E670" s="78"/>
      <c r="F670" s="78"/>
      <c r="G670" s="78"/>
      <c r="H670" s="91" t="e">
        <f t="shared" si="8"/>
        <v>#DIV/0!</v>
      </c>
      <c r="I670" s="104"/>
      <c r="K670" s="22"/>
      <c r="P670" s="32"/>
    </row>
    <row r="671" spans="1:16" outlineLevel="1" x14ac:dyDescent="0.25">
      <c r="A671" s="100"/>
      <c r="B671" s="78"/>
      <c r="C671" s="78"/>
      <c r="D671" s="78"/>
      <c r="E671" s="78"/>
      <c r="F671" s="78"/>
      <c r="G671" s="78"/>
      <c r="H671" s="91" t="e">
        <f t="shared" si="8"/>
        <v>#DIV/0!</v>
      </c>
      <c r="I671" s="104"/>
      <c r="K671" s="22"/>
      <c r="P671" s="32"/>
    </row>
    <row r="672" spans="1:16" outlineLevel="1" x14ac:dyDescent="0.25">
      <c r="A672" s="100"/>
      <c r="B672" s="78"/>
      <c r="C672" s="78"/>
      <c r="D672" s="78"/>
      <c r="E672" s="78"/>
      <c r="F672" s="78"/>
      <c r="G672" s="78"/>
      <c r="H672" s="91" t="e">
        <f t="shared" si="8"/>
        <v>#DIV/0!</v>
      </c>
      <c r="I672" s="104"/>
      <c r="K672" s="22"/>
      <c r="P672" s="32"/>
    </row>
    <row r="673" spans="1:16" outlineLevel="1" x14ac:dyDescent="0.25">
      <c r="A673" s="100"/>
      <c r="B673" s="78"/>
      <c r="C673" s="78"/>
      <c r="D673" s="78"/>
      <c r="E673" s="78"/>
      <c r="F673" s="78"/>
      <c r="G673" s="78"/>
      <c r="H673" s="91" t="e">
        <f t="shared" si="8"/>
        <v>#DIV/0!</v>
      </c>
      <c r="I673" s="104"/>
      <c r="K673" s="22"/>
      <c r="P673" s="32"/>
    </row>
    <row r="674" spans="1:16" outlineLevel="1" x14ac:dyDescent="0.25">
      <c r="A674" s="100"/>
      <c r="B674" s="78"/>
      <c r="C674" s="78"/>
      <c r="D674" s="78"/>
      <c r="E674" s="78"/>
      <c r="F674" s="78"/>
      <c r="G674" s="78"/>
      <c r="H674" s="91" t="e">
        <f t="shared" si="8"/>
        <v>#DIV/0!</v>
      </c>
      <c r="I674" s="104"/>
      <c r="K674" s="22"/>
      <c r="P674" s="32"/>
    </row>
    <row r="675" spans="1:16" outlineLevel="1" x14ac:dyDescent="0.25">
      <c r="A675" s="100"/>
      <c r="B675" s="78"/>
      <c r="C675" s="78"/>
      <c r="D675" s="78"/>
      <c r="E675" s="78"/>
      <c r="F675" s="78"/>
      <c r="G675" s="78"/>
      <c r="H675" s="91" t="e">
        <f t="shared" si="8"/>
        <v>#DIV/0!</v>
      </c>
      <c r="I675" s="104"/>
      <c r="K675" s="22"/>
      <c r="P675" s="32"/>
    </row>
    <row r="676" spans="1:16" outlineLevel="1" x14ac:dyDescent="0.25">
      <c r="A676" s="100"/>
      <c r="B676" s="78"/>
      <c r="C676" s="78"/>
      <c r="D676" s="78"/>
      <c r="E676" s="78"/>
      <c r="F676" s="78"/>
      <c r="G676" s="78"/>
      <c r="H676" s="91" t="e">
        <f t="shared" si="8"/>
        <v>#DIV/0!</v>
      </c>
      <c r="I676" s="104"/>
      <c r="K676" s="22"/>
      <c r="P676" s="32"/>
    </row>
    <row r="677" spans="1:16" outlineLevel="1" x14ac:dyDescent="0.25">
      <c r="A677" s="100"/>
      <c r="B677" s="78"/>
      <c r="C677" s="78"/>
      <c r="D677" s="78"/>
      <c r="E677" s="78"/>
      <c r="F677" s="78"/>
      <c r="G677" s="78"/>
      <c r="H677" s="91" t="e">
        <f t="shared" si="8"/>
        <v>#DIV/0!</v>
      </c>
      <c r="I677" s="104"/>
      <c r="K677" s="22"/>
      <c r="P677" s="32"/>
    </row>
    <row r="678" spans="1:16" outlineLevel="1" x14ac:dyDescent="0.25">
      <c r="A678" s="100"/>
      <c r="B678" s="78"/>
      <c r="C678" s="78"/>
      <c r="D678" s="78"/>
      <c r="E678" s="78"/>
      <c r="F678" s="78"/>
      <c r="G678" s="78"/>
      <c r="H678" s="91" t="e">
        <f t="shared" si="8"/>
        <v>#DIV/0!</v>
      </c>
      <c r="I678" s="104"/>
      <c r="K678" s="22"/>
      <c r="P678" s="32"/>
    </row>
    <row r="679" spans="1:16" outlineLevel="1" x14ac:dyDescent="0.25">
      <c r="A679" s="100"/>
      <c r="B679" s="78"/>
      <c r="C679" s="78"/>
      <c r="D679" s="78"/>
      <c r="E679" s="78"/>
      <c r="F679" s="78"/>
      <c r="G679" s="78"/>
      <c r="H679" s="91" t="e">
        <f t="shared" si="8"/>
        <v>#DIV/0!</v>
      </c>
      <c r="I679" s="104"/>
      <c r="K679" s="22"/>
      <c r="P679" s="32"/>
    </row>
    <row r="680" spans="1:16" outlineLevel="1" x14ac:dyDescent="0.25">
      <c r="A680" s="100"/>
      <c r="B680" s="78"/>
      <c r="C680" s="78"/>
      <c r="D680" s="78"/>
      <c r="E680" s="78"/>
      <c r="F680" s="78"/>
      <c r="G680" s="78"/>
      <c r="H680" s="91" t="e">
        <f t="shared" si="8"/>
        <v>#DIV/0!</v>
      </c>
      <c r="I680" s="104"/>
      <c r="K680" s="22"/>
      <c r="P680" s="32"/>
    </row>
    <row r="681" spans="1:16" outlineLevel="1" x14ac:dyDescent="0.25">
      <c r="A681" s="100"/>
      <c r="B681" s="78"/>
      <c r="C681" s="78"/>
      <c r="D681" s="78"/>
      <c r="E681" s="78"/>
      <c r="F681" s="78"/>
      <c r="G681" s="78"/>
      <c r="H681" s="91" t="e">
        <f t="shared" si="8"/>
        <v>#DIV/0!</v>
      </c>
      <c r="I681" s="104"/>
      <c r="K681" s="22"/>
      <c r="P681" s="32"/>
    </row>
    <row r="682" spans="1:16" outlineLevel="1" x14ac:dyDescent="0.25">
      <c r="A682" s="100"/>
      <c r="B682" s="78"/>
      <c r="C682" s="78"/>
      <c r="D682" s="78"/>
      <c r="E682" s="78"/>
      <c r="F682" s="78"/>
      <c r="G682" s="78"/>
      <c r="H682" s="91" t="e">
        <f t="shared" si="8"/>
        <v>#DIV/0!</v>
      </c>
      <c r="I682" s="104"/>
      <c r="K682" s="22"/>
      <c r="P682" s="32"/>
    </row>
    <row r="683" spans="1:16" outlineLevel="1" x14ac:dyDescent="0.25">
      <c r="A683" s="100"/>
      <c r="B683" s="78"/>
      <c r="C683" s="78"/>
      <c r="D683" s="78"/>
      <c r="E683" s="78"/>
      <c r="F683" s="78"/>
      <c r="G683" s="78"/>
      <c r="H683" s="91" t="e">
        <f t="shared" si="8"/>
        <v>#DIV/0!</v>
      </c>
      <c r="I683" s="104"/>
      <c r="K683" s="22"/>
      <c r="P683" s="32"/>
    </row>
    <row r="684" spans="1:16" outlineLevel="1" x14ac:dyDescent="0.25">
      <c r="A684" s="100"/>
      <c r="B684" s="78"/>
      <c r="C684" s="78"/>
      <c r="D684" s="78"/>
      <c r="E684" s="78"/>
      <c r="F684" s="78"/>
      <c r="G684" s="78"/>
      <c r="H684" s="91" t="e">
        <f t="shared" si="8"/>
        <v>#DIV/0!</v>
      </c>
      <c r="I684" s="104"/>
      <c r="K684" s="22"/>
      <c r="P684" s="32"/>
    </row>
    <row r="685" spans="1:16" outlineLevel="1" x14ac:dyDescent="0.25">
      <c r="A685" s="100"/>
      <c r="B685" s="78"/>
      <c r="C685" s="78"/>
      <c r="D685" s="78"/>
      <c r="E685" s="78"/>
      <c r="F685" s="78"/>
      <c r="G685" s="78"/>
      <c r="H685" s="91" t="e">
        <f t="shared" si="8"/>
        <v>#DIV/0!</v>
      </c>
      <c r="I685" s="104"/>
      <c r="K685" s="22"/>
      <c r="P685" s="32"/>
    </row>
    <row r="686" spans="1:16" outlineLevel="1" x14ac:dyDescent="0.25">
      <c r="A686" s="100"/>
      <c r="B686" s="78"/>
      <c r="C686" s="78"/>
      <c r="D686" s="78"/>
      <c r="E686" s="78"/>
      <c r="F686" s="78"/>
      <c r="G686" s="78"/>
      <c r="H686" s="91" t="e">
        <f t="shared" si="8"/>
        <v>#DIV/0!</v>
      </c>
      <c r="I686" s="104"/>
      <c r="K686" s="22"/>
      <c r="P686" s="32"/>
    </row>
    <row r="687" spans="1:16" outlineLevel="1" x14ac:dyDescent="0.25">
      <c r="A687" s="100"/>
      <c r="B687" s="78"/>
      <c r="C687" s="78"/>
      <c r="D687" s="78"/>
      <c r="E687" s="78"/>
      <c r="F687" s="78"/>
      <c r="G687" s="78"/>
      <c r="H687" s="91" t="e">
        <f t="shared" si="8"/>
        <v>#DIV/0!</v>
      </c>
      <c r="I687" s="104"/>
      <c r="K687" s="22"/>
      <c r="P687" s="32"/>
    </row>
    <row r="688" spans="1:16" outlineLevel="1" x14ac:dyDescent="0.25">
      <c r="A688" s="100"/>
      <c r="B688" s="78"/>
      <c r="C688" s="78"/>
      <c r="D688" s="78"/>
      <c r="E688" s="78"/>
      <c r="F688" s="78"/>
      <c r="G688" s="78"/>
      <c r="H688" s="91" t="e">
        <f t="shared" si="8"/>
        <v>#DIV/0!</v>
      </c>
      <c r="I688" s="104"/>
      <c r="K688" s="22"/>
      <c r="P688" s="32"/>
    </row>
    <row r="689" spans="1:16" outlineLevel="1" x14ac:dyDescent="0.25">
      <c r="A689" s="100"/>
      <c r="B689" s="78"/>
      <c r="C689" s="78"/>
      <c r="D689" s="78"/>
      <c r="E689" s="78"/>
      <c r="F689" s="78"/>
      <c r="G689" s="78"/>
      <c r="H689" s="91" t="e">
        <f t="shared" si="8"/>
        <v>#DIV/0!</v>
      </c>
      <c r="I689" s="104"/>
      <c r="K689" s="22"/>
      <c r="P689" s="32"/>
    </row>
    <row r="690" spans="1:16" outlineLevel="1" x14ac:dyDescent="0.25">
      <c r="A690" s="100"/>
      <c r="B690" s="78"/>
      <c r="C690" s="78"/>
      <c r="D690" s="78"/>
      <c r="E690" s="78"/>
      <c r="F690" s="78"/>
      <c r="G690" s="78"/>
      <c r="H690" s="91" t="e">
        <f t="shared" si="8"/>
        <v>#DIV/0!</v>
      </c>
      <c r="I690" s="104"/>
      <c r="K690" s="22"/>
      <c r="P690" s="32"/>
    </row>
    <row r="691" spans="1:16" outlineLevel="1" x14ac:dyDescent="0.25">
      <c r="A691" s="100"/>
      <c r="B691" s="78"/>
      <c r="C691" s="78"/>
      <c r="D691" s="78"/>
      <c r="E691" s="78"/>
      <c r="F691" s="78"/>
      <c r="G691" s="78"/>
      <c r="H691" s="91" t="e">
        <f t="shared" si="8"/>
        <v>#DIV/0!</v>
      </c>
      <c r="I691" s="104"/>
      <c r="K691" s="22"/>
      <c r="P691" s="32"/>
    </row>
    <row r="692" spans="1:16" outlineLevel="1" x14ac:dyDescent="0.25">
      <c r="A692" s="100"/>
      <c r="B692" s="78"/>
      <c r="C692" s="78"/>
      <c r="D692" s="78"/>
      <c r="E692" s="78"/>
      <c r="F692" s="78"/>
      <c r="G692" s="78"/>
      <c r="H692" s="91" t="e">
        <f t="shared" si="8"/>
        <v>#DIV/0!</v>
      </c>
      <c r="I692" s="104"/>
      <c r="K692" s="22"/>
      <c r="P692" s="32"/>
    </row>
    <row r="693" spans="1:16" outlineLevel="1" x14ac:dyDescent="0.25">
      <c r="A693" s="100"/>
      <c r="B693" s="78"/>
      <c r="C693" s="78"/>
      <c r="D693" s="78"/>
      <c r="E693" s="78"/>
      <c r="F693" s="78"/>
      <c r="G693" s="78"/>
      <c r="H693" s="91" t="e">
        <f t="shared" si="8"/>
        <v>#DIV/0!</v>
      </c>
      <c r="I693" s="104"/>
      <c r="K693" s="22"/>
      <c r="P693" s="32"/>
    </row>
    <row r="694" spans="1:16" outlineLevel="1" x14ac:dyDescent="0.25">
      <c r="A694" s="100"/>
      <c r="B694" s="78"/>
      <c r="C694" s="78"/>
      <c r="D694" s="78"/>
      <c r="E694" s="78"/>
      <c r="F694" s="78"/>
      <c r="G694" s="78"/>
      <c r="H694" s="91" t="e">
        <f t="shared" si="8"/>
        <v>#DIV/0!</v>
      </c>
      <c r="I694" s="104"/>
      <c r="K694" s="22"/>
      <c r="P694" s="32"/>
    </row>
    <row r="695" spans="1:16" outlineLevel="1" x14ac:dyDescent="0.25">
      <c r="A695" s="100"/>
      <c r="B695" s="78"/>
      <c r="C695" s="78"/>
      <c r="D695" s="78"/>
      <c r="E695" s="78"/>
      <c r="F695" s="78"/>
      <c r="G695" s="78"/>
      <c r="H695" s="91" t="e">
        <f t="shared" si="8"/>
        <v>#DIV/0!</v>
      </c>
      <c r="I695" s="104"/>
      <c r="K695" s="22"/>
      <c r="P695" s="32"/>
    </row>
    <row r="696" spans="1:16" outlineLevel="1" x14ac:dyDescent="0.25">
      <c r="A696" s="100"/>
      <c r="B696" s="78"/>
      <c r="C696" s="78"/>
      <c r="D696" s="78"/>
      <c r="E696" s="78"/>
      <c r="F696" s="78"/>
      <c r="G696" s="78"/>
      <c r="H696" s="91" t="e">
        <f t="shared" si="8"/>
        <v>#DIV/0!</v>
      </c>
      <c r="I696" s="104"/>
      <c r="K696" s="22"/>
      <c r="P696" s="32"/>
    </row>
    <row r="697" spans="1:16" outlineLevel="1" x14ac:dyDescent="0.25">
      <c r="A697" s="100"/>
      <c r="B697" s="78"/>
      <c r="C697" s="78"/>
      <c r="D697" s="78"/>
      <c r="E697" s="78"/>
      <c r="F697" s="78"/>
      <c r="G697" s="78"/>
      <c r="H697" s="91" t="e">
        <f t="shared" si="8"/>
        <v>#DIV/0!</v>
      </c>
      <c r="I697" s="104"/>
      <c r="K697" s="22"/>
      <c r="P697" s="32"/>
    </row>
    <row r="698" spans="1:16" outlineLevel="1" x14ac:dyDescent="0.25">
      <c r="A698" s="100"/>
      <c r="B698" s="78"/>
      <c r="C698" s="78"/>
      <c r="D698" s="78"/>
      <c r="E698" s="78"/>
      <c r="F698" s="78"/>
      <c r="G698" s="78"/>
      <c r="H698" s="91" t="e">
        <f t="shared" si="8"/>
        <v>#DIV/0!</v>
      </c>
      <c r="I698" s="104"/>
      <c r="K698" s="22"/>
      <c r="P698" s="32"/>
    </row>
    <row r="699" spans="1:16" outlineLevel="1" x14ac:dyDescent="0.25">
      <c r="A699" s="100"/>
      <c r="B699" s="78"/>
      <c r="C699" s="78"/>
      <c r="D699" s="78"/>
      <c r="E699" s="78"/>
      <c r="F699" s="78"/>
      <c r="G699" s="78"/>
      <c r="H699" s="91" t="e">
        <f t="shared" si="8"/>
        <v>#DIV/0!</v>
      </c>
      <c r="I699" s="104"/>
      <c r="K699" s="22"/>
      <c r="P699" s="32"/>
    </row>
    <row r="700" spans="1:16" outlineLevel="1" x14ac:dyDescent="0.25">
      <c r="A700" s="100"/>
      <c r="B700" s="78"/>
      <c r="C700" s="78"/>
      <c r="D700" s="78"/>
      <c r="E700" s="78"/>
      <c r="F700" s="78"/>
      <c r="G700" s="78"/>
      <c r="H700" s="91" t="e">
        <f t="shared" si="8"/>
        <v>#DIV/0!</v>
      </c>
      <c r="I700" s="104"/>
      <c r="K700" s="22"/>
      <c r="P700" s="32"/>
    </row>
    <row r="701" spans="1:16" outlineLevel="1" x14ac:dyDescent="0.25">
      <c r="A701" s="100"/>
      <c r="B701" s="78"/>
      <c r="C701" s="78"/>
      <c r="D701" s="78"/>
      <c r="E701" s="78"/>
      <c r="F701" s="78"/>
      <c r="G701" s="78"/>
      <c r="H701" s="91" t="e">
        <f t="shared" si="8"/>
        <v>#DIV/0!</v>
      </c>
      <c r="I701" s="104"/>
      <c r="K701" s="22"/>
      <c r="P701" s="32"/>
    </row>
    <row r="702" spans="1:16" outlineLevel="1" x14ac:dyDescent="0.25">
      <c r="A702" s="100"/>
      <c r="B702" s="78"/>
      <c r="C702" s="78"/>
      <c r="D702" s="78"/>
      <c r="E702" s="78"/>
      <c r="F702" s="78"/>
      <c r="G702" s="78"/>
      <c r="H702" s="91" t="e">
        <f t="shared" si="8"/>
        <v>#DIV/0!</v>
      </c>
      <c r="I702" s="104"/>
      <c r="K702" s="22"/>
      <c r="P702" s="32"/>
    </row>
    <row r="703" spans="1:16" outlineLevel="1" x14ac:dyDescent="0.25">
      <c r="A703" s="100"/>
      <c r="B703" s="78"/>
      <c r="C703" s="78"/>
      <c r="D703" s="78"/>
      <c r="E703" s="78"/>
      <c r="F703" s="78"/>
      <c r="G703" s="78"/>
      <c r="H703" s="91" t="e">
        <f t="shared" si="8"/>
        <v>#DIV/0!</v>
      </c>
      <c r="I703" s="104"/>
      <c r="K703" s="22"/>
      <c r="P703" s="32"/>
    </row>
    <row r="704" spans="1:16" outlineLevel="1" x14ac:dyDescent="0.25">
      <c r="A704" s="100"/>
      <c r="B704" s="78"/>
      <c r="C704" s="78"/>
      <c r="D704" s="78"/>
      <c r="E704" s="78"/>
      <c r="F704" s="78"/>
      <c r="G704" s="78"/>
      <c r="H704" s="91" t="e">
        <f t="shared" si="8"/>
        <v>#DIV/0!</v>
      </c>
      <c r="I704" s="104"/>
      <c r="K704" s="22"/>
      <c r="P704" s="32"/>
    </row>
    <row r="705" spans="1:16" outlineLevel="1" x14ac:dyDescent="0.25">
      <c r="A705" s="100"/>
      <c r="B705" s="78"/>
      <c r="C705" s="78"/>
      <c r="D705" s="78"/>
      <c r="E705" s="78"/>
      <c r="F705" s="78"/>
      <c r="G705" s="78"/>
      <c r="H705" s="91" t="e">
        <f t="shared" si="8"/>
        <v>#DIV/0!</v>
      </c>
      <c r="I705" s="104"/>
      <c r="K705" s="22"/>
      <c r="P705" s="32"/>
    </row>
    <row r="706" spans="1:16" outlineLevel="1" x14ac:dyDescent="0.25">
      <c r="A706" s="100"/>
      <c r="B706" s="78"/>
      <c r="C706" s="78"/>
      <c r="D706" s="78"/>
      <c r="E706" s="78"/>
      <c r="F706" s="78"/>
      <c r="G706" s="78"/>
      <c r="H706" s="91" t="e">
        <f t="shared" si="8"/>
        <v>#DIV/0!</v>
      </c>
      <c r="I706" s="104"/>
      <c r="K706" s="22"/>
      <c r="P706" s="32"/>
    </row>
    <row r="707" spans="1:16" outlineLevel="1" x14ac:dyDescent="0.25">
      <c r="A707" s="100"/>
      <c r="B707" s="78"/>
      <c r="C707" s="78"/>
      <c r="D707" s="78"/>
      <c r="E707" s="78"/>
      <c r="F707" s="78"/>
      <c r="G707" s="78"/>
      <c r="H707" s="91" t="e">
        <f t="shared" si="8"/>
        <v>#DIV/0!</v>
      </c>
      <c r="I707" s="104"/>
      <c r="K707" s="22"/>
      <c r="P707" s="32"/>
    </row>
    <row r="708" spans="1:16" outlineLevel="1" x14ac:dyDescent="0.25">
      <c r="A708" s="100"/>
      <c r="B708" s="78"/>
      <c r="C708" s="78"/>
      <c r="D708" s="78"/>
      <c r="E708" s="78"/>
      <c r="F708" s="78"/>
      <c r="G708" s="78"/>
      <c r="H708" s="91" t="e">
        <f t="shared" si="8"/>
        <v>#DIV/0!</v>
      </c>
      <c r="I708" s="104"/>
      <c r="K708" s="22"/>
      <c r="P708" s="32"/>
    </row>
    <row r="709" spans="1:16" outlineLevel="1" x14ac:dyDescent="0.25">
      <c r="A709" s="100"/>
      <c r="B709" s="78"/>
      <c r="C709" s="78"/>
      <c r="D709" s="78"/>
      <c r="E709" s="78"/>
      <c r="F709" s="78"/>
      <c r="G709" s="78"/>
      <c r="H709" s="91" t="e">
        <f t="shared" si="8"/>
        <v>#DIV/0!</v>
      </c>
      <c r="I709" s="104"/>
      <c r="K709" s="22"/>
      <c r="P709" s="32"/>
    </row>
    <row r="710" spans="1:16" outlineLevel="1" x14ac:dyDescent="0.25">
      <c r="A710" s="100"/>
      <c r="B710" s="78"/>
      <c r="C710" s="78"/>
      <c r="D710" s="78"/>
      <c r="E710" s="78"/>
      <c r="F710" s="78"/>
      <c r="G710" s="78"/>
      <c r="H710" s="91" t="e">
        <f t="shared" si="8"/>
        <v>#DIV/0!</v>
      </c>
      <c r="I710" s="104"/>
      <c r="K710" s="22"/>
      <c r="P710" s="32"/>
    </row>
    <row r="711" spans="1:16" outlineLevel="1" x14ac:dyDescent="0.25">
      <c r="A711" s="100"/>
      <c r="B711" s="78"/>
      <c r="C711" s="78"/>
      <c r="D711" s="78"/>
      <c r="E711" s="78"/>
      <c r="F711" s="78"/>
      <c r="G711" s="78"/>
      <c r="H711" s="91" t="e">
        <f t="shared" si="8"/>
        <v>#DIV/0!</v>
      </c>
      <c r="I711" s="104"/>
      <c r="K711" s="22"/>
      <c r="P711" s="32"/>
    </row>
    <row r="712" spans="1:16" outlineLevel="1" x14ac:dyDescent="0.25">
      <c r="A712" s="100"/>
      <c r="B712" s="78"/>
      <c r="C712" s="78"/>
      <c r="D712" s="78"/>
      <c r="E712" s="78"/>
      <c r="F712" s="78"/>
      <c r="G712" s="78"/>
      <c r="H712" s="91" t="e">
        <f t="shared" si="8"/>
        <v>#DIV/0!</v>
      </c>
      <c r="I712" s="104"/>
      <c r="K712" s="22"/>
      <c r="P712" s="32"/>
    </row>
    <row r="713" spans="1:16" outlineLevel="1" x14ac:dyDescent="0.25">
      <c r="A713" s="100"/>
      <c r="B713" s="78"/>
      <c r="C713" s="78"/>
      <c r="D713" s="78"/>
      <c r="E713" s="78"/>
      <c r="F713" s="78"/>
      <c r="G713" s="78"/>
      <c r="H713" s="91" t="e">
        <f t="shared" si="8"/>
        <v>#DIV/0!</v>
      </c>
      <c r="I713" s="104"/>
      <c r="K713" s="22"/>
      <c r="P713" s="32"/>
    </row>
    <row r="714" spans="1:16" outlineLevel="1" x14ac:dyDescent="0.25">
      <c r="A714" s="100"/>
      <c r="B714" s="78"/>
      <c r="C714" s="78"/>
      <c r="D714" s="78"/>
      <c r="E714" s="78"/>
      <c r="F714" s="78"/>
      <c r="G714" s="78"/>
      <c r="H714" s="91" t="e">
        <f t="shared" si="8"/>
        <v>#DIV/0!</v>
      </c>
      <c r="I714" s="104"/>
      <c r="K714" s="22"/>
      <c r="P714" s="32"/>
    </row>
    <row r="715" spans="1:16" outlineLevel="1" x14ac:dyDescent="0.25">
      <c r="A715" s="100"/>
      <c r="B715" s="78"/>
      <c r="C715" s="78"/>
      <c r="D715" s="78"/>
      <c r="E715" s="78"/>
      <c r="F715" s="78"/>
      <c r="G715" s="78"/>
      <c r="H715" s="91" t="e">
        <f t="shared" si="8"/>
        <v>#DIV/0!</v>
      </c>
      <c r="I715" s="104"/>
      <c r="K715" s="22"/>
      <c r="P715" s="32"/>
    </row>
    <row r="716" spans="1:16" outlineLevel="1" x14ac:dyDescent="0.25">
      <c r="A716" s="100"/>
      <c r="B716" s="78"/>
      <c r="C716" s="78"/>
      <c r="D716" s="78"/>
      <c r="E716" s="78"/>
      <c r="F716" s="78"/>
      <c r="G716" s="78"/>
      <c r="H716" s="91" t="e">
        <f t="shared" si="8"/>
        <v>#DIV/0!</v>
      </c>
      <c r="I716" s="104"/>
      <c r="K716" s="22"/>
      <c r="P716" s="32"/>
    </row>
    <row r="717" spans="1:16" outlineLevel="1" x14ac:dyDescent="0.25">
      <c r="A717" s="100"/>
      <c r="B717" s="78"/>
      <c r="C717" s="78"/>
      <c r="D717" s="78"/>
      <c r="E717" s="78"/>
      <c r="F717" s="78"/>
      <c r="G717" s="78"/>
      <c r="H717" s="91" t="e">
        <f t="shared" si="8"/>
        <v>#DIV/0!</v>
      </c>
      <c r="I717" s="104"/>
      <c r="K717" s="22"/>
      <c r="P717" s="32"/>
    </row>
    <row r="718" spans="1:16" outlineLevel="1" x14ac:dyDescent="0.25">
      <c r="A718" s="100"/>
      <c r="B718" s="78"/>
      <c r="C718" s="78"/>
      <c r="D718" s="78"/>
      <c r="E718" s="78"/>
      <c r="F718" s="78"/>
      <c r="G718" s="78"/>
      <c r="H718" s="91" t="e">
        <f t="shared" si="8"/>
        <v>#DIV/0!</v>
      </c>
      <c r="I718" s="104"/>
      <c r="K718" s="22"/>
      <c r="P718" s="32"/>
    </row>
    <row r="719" spans="1:16" outlineLevel="1" x14ac:dyDescent="0.25">
      <c r="A719" s="100"/>
      <c r="B719" s="78"/>
      <c r="C719" s="78"/>
      <c r="D719" s="78"/>
      <c r="E719" s="78"/>
      <c r="F719" s="78"/>
      <c r="G719" s="78"/>
      <c r="H719" s="91" t="e">
        <f t="shared" si="8"/>
        <v>#DIV/0!</v>
      </c>
      <c r="I719" s="104"/>
      <c r="K719" s="22"/>
      <c r="P719" s="32"/>
    </row>
    <row r="720" spans="1:16" outlineLevel="1" x14ac:dyDescent="0.25">
      <c r="A720" s="100"/>
      <c r="B720" s="78"/>
      <c r="C720" s="78"/>
      <c r="D720" s="78"/>
      <c r="E720" s="78"/>
      <c r="F720" s="78"/>
      <c r="G720" s="78"/>
      <c r="H720" s="91" t="e">
        <f t="shared" si="8"/>
        <v>#DIV/0!</v>
      </c>
      <c r="I720" s="104"/>
      <c r="K720" s="22"/>
      <c r="P720" s="32"/>
    </row>
    <row r="721" spans="1:16" outlineLevel="1" x14ac:dyDescent="0.25">
      <c r="A721" s="100"/>
      <c r="B721" s="78"/>
      <c r="C721" s="78"/>
      <c r="D721" s="78"/>
      <c r="E721" s="78"/>
      <c r="F721" s="78"/>
      <c r="G721" s="78"/>
      <c r="H721" s="91" t="e">
        <f t="shared" si="8"/>
        <v>#DIV/0!</v>
      </c>
      <c r="I721" s="104"/>
      <c r="K721" s="22"/>
      <c r="P721" s="32"/>
    </row>
    <row r="722" spans="1:16" outlineLevel="1" x14ac:dyDescent="0.25">
      <c r="A722" s="100"/>
      <c r="B722" s="78"/>
      <c r="C722" s="78"/>
      <c r="D722" s="78"/>
      <c r="E722" s="78"/>
      <c r="F722" s="78"/>
      <c r="G722" s="78"/>
      <c r="H722" s="91" t="e">
        <f t="shared" ref="H722:H785" si="9">IF(F722&gt;0,F722/D722,IF(G722&gt;0,G722/100/D722,IF(A722="Máquina de lavar roupa",E722/(D722*220),E722/(D722*280))))</f>
        <v>#DIV/0!</v>
      </c>
      <c r="I722" s="104"/>
      <c r="K722" s="22"/>
      <c r="P722" s="32"/>
    </row>
    <row r="723" spans="1:16" outlineLevel="1" x14ac:dyDescent="0.25">
      <c r="A723" s="100"/>
      <c r="B723" s="78"/>
      <c r="C723" s="78"/>
      <c r="D723" s="78"/>
      <c r="E723" s="78"/>
      <c r="F723" s="78"/>
      <c r="G723" s="78"/>
      <c r="H723" s="91" t="e">
        <f t="shared" si="9"/>
        <v>#DIV/0!</v>
      </c>
      <c r="I723" s="104"/>
      <c r="K723" s="22"/>
      <c r="P723" s="32"/>
    </row>
    <row r="724" spans="1:16" outlineLevel="1" x14ac:dyDescent="0.25">
      <c r="A724" s="100"/>
      <c r="B724" s="78"/>
      <c r="C724" s="78"/>
      <c r="D724" s="78"/>
      <c r="E724" s="78"/>
      <c r="F724" s="78"/>
      <c r="G724" s="78"/>
      <c r="H724" s="91" t="e">
        <f t="shared" si="9"/>
        <v>#DIV/0!</v>
      </c>
      <c r="I724" s="104"/>
      <c r="K724" s="22"/>
      <c r="P724" s="32"/>
    </row>
    <row r="725" spans="1:16" outlineLevel="1" x14ac:dyDescent="0.25">
      <c r="A725" s="100"/>
      <c r="B725" s="78"/>
      <c r="C725" s="78"/>
      <c r="D725" s="78"/>
      <c r="E725" s="78"/>
      <c r="F725" s="78"/>
      <c r="G725" s="78"/>
      <c r="H725" s="91" t="e">
        <f t="shared" si="9"/>
        <v>#DIV/0!</v>
      </c>
      <c r="I725" s="104"/>
      <c r="K725" s="22"/>
      <c r="P725" s="32"/>
    </row>
    <row r="726" spans="1:16" outlineLevel="1" x14ac:dyDescent="0.25">
      <c r="A726" s="100"/>
      <c r="B726" s="78"/>
      <c r="C726" s="78"/>
      <c r="D726" s="78"/>
      <c r="E726" s="78"/>
      <c r="F726" s="78"/>
      <c r="G726" s="78"/>
      <c r="H726" s="91" t="e">
        <f t="shared" si="9"/>
        <v>#DIV/0!</v>
      </c>
      <c r="I726" s="104"/>
      <c r="K726" s="22"/>
      <c r="P726" s="32"/>
    </row>
    <row r="727" spans="1:16" outlineLevel="1" x14ac:dyDescent="0.25">
      <c r="A727" s="100"/>
      <c r="B727" s="78"/>
      <c r="C727" s="78"/>
      <c r="D727" s="78"/>
      <c r="E727" s="78"/>
      <c r="F727" s="78"/>
      <c r="G727" s="78"/>
      <c r="H727" s="91" t="e">
        <f t="shared" si="9"/>
        <v>#DIV/0!</v>
      </c>
      <c r="I727" s="104"/>
      <c r="K727" s="22"/>
      <c r="P727" s="32"/>
    </row>
    <row r="728" spans="1:16" outlineLevel="1" x14ac:dyDescent="0.25">
      <c r="A728" s="100"/>
      <c r="B728" s="78"/>
      <c r="C728" s="78"/>
      <c r="D728" s="78"/>
      <c r="E728" s="78"/>
      <c r="F728" s="78"/>
      <c r="G728" s="78"/>
      <c r="H728" s="91" t="e">
        <f t="shared" si="9"/>
        <v>#DIV/0!</v>
      </c>
      <c r="I728" s="104"/>
      <c r="K728" s="22"/>
      <c r="P728" s="32"/>
    </row>
    <row r="729" spans="1:16" outlineLevel="1" x14ac:dyDescent="0.25">
      <c r="A729" s="100"/>
      <c r="B729" s="78"/>
      <c r="C729" s="78"/>
      <c r="D729" s="78"/>
      <c r="E729" s="78"/>
      <c r="F729" s="78"/>
      <c r="G729" s="78"/>
      <c r="H729" s="91" t="e">
        <f t="shared" si="9"/>
        <v>#DIV/0!</v>
      </c>
      <c r="I729" s="104"/>
      <c r="K729" s="22"/>
      <c r="P729" s="32"/>
    </row>
    <row r="730" spans="1:16" outlineLevel="1" x14ac:dyDescent="0.25">
      <c r="A730" s="100"/>
      <c r="B730" s="78"/>
      <c r="C730" s="78"/>
      <c r="D730" s="78"/>
      <c r="E730" s="78"/>
      <c r="F730" s="78"/>
      <c r="G730" s="78"/>
      <c r="H730" s="91" t="e">
        <f t="shared" si="9"/>
        <v>#DIV/0!</v>
      </c>
      <c r="I730" s="104"/>
      <c r="K730" s="22"/>
      <c r="P730" s="32"/>
    </row>
    <row r="731" spans="1:16" outlineLevel="1" x14ac:dyDescent="0.25">
      <c r="A731" s="100"/>
      <c r="B731" s="78"/>
      <c r="C731" s="78"/>
      <c r="D731" s="78"/>
      <c r="E731" s="78"/>
      <c r="F731" s="78"/>
      <c r="G731" s="78"/>
      <c r="H731" s="91" t="e">
        <f t="shared" si="9"/>
        <v>#DIV/0!</v>
      </c>
      <c r="I731" s="104"/>
      <c r="K731" s="22"/>
      <c r="P731" s="32"/>
    </row>
    <row r="732" spans="1:16" outlineLevel="1" x14ac:dyDescent="0.25">
      <c r="A732" s="100"/>
      <c r="B732" s="78"/>
      <c r="C732" s="78"/>
      <c r="D732" s="78"/>
      <c r="E732" s="78"/>
      <c r="F732" s="78"/>
      <c r="G732" s="78"/>
      <c r="H732" s="91" t="e">
        <f t="shared" si="9"/>
        <v>#DIV/0!</v>
      </c>
      <c r="I732" s="104"/>
      <c r="K732" s="22"/>
      <c r="P732" s="32"/>
    </row>
    <row r="733" spans="1:16" outlineLevel="1" x14ac:dyDescent="0.25">
      <c r="A733" s="100"/>
      <c r="B733" s="78"/>
      <c r="C733" s="78"/>
      <c r="D733" s="78"/>
      <c r="E733" s="78"/>
      <c r="F733" s="78"/>
      <c r="G733" s="78"/>
      <c r="H733" s="91" t="e">
        <f t="shared" si="9"/>
        <v>#DIV/0!</v>
      </c>
      <c r="I733" s="104"/>
      <c r="K733" s="22"/>
      <c r="P733" s="32"/>
    </row>
    <row r="734" spans="1:16" outlineLevel="1" x14ac:dyDescent="0.25">
      <c r="A734" s="100"/>
      <c r="B734" s="78"/>
      <c r="C734" s="78"/>
      <c r="D734" s="78"/>
      <c r="E734" s="78"/>
      <c r="F734" s="78"/>
      <c r="G734" s="78"/>
      <c r="H734" s="91" t="e">
        <f t="shared" si="9"/>
        <v>#DIV/0!</v>
      </c>
      <c r="I734" s="104"/>
      <c r="K734" s="22"/>
      <c r="P734" s="32"/>
    </row>
    <row r="735" spans="1:16" outlineLevel="1" x14ac:dyDescent="0.25">
      <c r="A735" s="100"/>
      <c r="B735" s="78"/>
      <c r="C735" s="78"/>
      <c r="D735" s="78"/>
      <c r="E735" s="78"/>
      <c r="F735" s="78"/>
      <c r="G735" s="78"/>
      <c r="H735" s="91" t="e">
        <f t="shared" si="9"/>
        <v>#DIV/0!</v>
      </c>
      <c r="I735" s="104"/>
      <c r="K735" s="22"/>
      <c r="P735" s="32"/>
    </row>
    <row r="736" spans="1:16" outlineLevel="1" x14ac:dyDescent="0.25">
      <c r="A736" s="100"/>
      <c r="B736" s="78"/>
      <c r="C736" s="78"/>
      <c r="D736" s="78"/>
      <c r="E736" s="78"/>
      <c r="F736" s="78"/>
      <c r="G736" s="78"/>
      <c r="H736" s="91" t="e">
        <f t="shared" si="9"/>
        <v>#DIV/0!</v>
      </c>
      <c r="I736" s="104"/>
      <c r="K736" s="22"/>
      <c r="P736" s="32"/>
    </row>
    <row r="737" spans="1:16" outlineLevel="1" x14ac:dyDescent="0.25">
      <c r="A737" s="100"/>
      <c r="B737" s="78"/>
      <c r="C737" s="78"/>
      <c r="D737" s="78"/>
      <c r="E737" s="78"/>
      <c r="F737" s="78"/>
      <c r="G737" s="78"/>
      <c r="H737" s="91" t="e">
        <f t="shared" si="9"/>
        <v>#DIV/0!</v>
      </c>
      <c r="I737" s="104"/>
      <c r="K737" s="22"/>
      <c r="P737" s="32"/>
    </row>
    <row r="738" spans="1:16" outlineLevel="1" x14ac:dyDescent="0.25">
      <c r="A738" s="100"/>
      <c r="B738" s="78"/>
      <c r="C738" s="78"/>
      <c r="D738" s="78"/>
      <c r="E738" s="78"/>
      <c r="F738" s="78"/>
      <c r="G738" s="78"/>
      <c r="H738" s="91" t="e">
        <f t="shared" si="9"/>
        <v>#DIV/0!</v>
      </c>
      <c r="I738" s="104"/>
      <c r="K738" s="22"/>
      <c r="P738" s="32"/>
    </row>
    <row r="739" spans="1:16" outlineLevel="1" x14ac:dyDescent="0.25">
      <c r="A739" s="100"/>
      <c r="B739" s="78"/>
      <c r="C739" s="78"/>
      <c r="D739" s="78"/>
      <c r="E739" s="78"/>
      <c r="F739" s="78"/>
      <c r="G739" s="78"/>
      <c r="H739" s="91" t="e">
        <f t="shared" si="9"/>
        <v>#DIV/0!</v>
      </c>
      <c r="I739" s="104"/>
      <c r="K739" s="22"/>
      <c r="P739" s="32"/>
    </row>
    <row r="740" spans="1:16" outlineLevel="1" x14ac:dyDescent="0.25">
      <c r="A740" s="100"/>
      <c r="B740" s="78"/>
      <c r="C740" s="78"/>
      <c r="D740" s="78"/>
      <c r="E740" s="78"/>
      <c r="F740" s="78"/>
      <c r="G740" s="78"/>
      <c r="H740" s="91" t="e">
        <f t="shared" si="9"/>
        <v>#DIV/0!</v>
      </c>
      <c r="I740" s="104"/>
      <c r="K740" s="22"/>
      <c r="P740" s="32"/>
    </row>
    <row r="741" spans="1:16" outlineLevel="1" x14ac:dyDescent="0.25">
      <c r="A741" s="100"/>
      <c r="B741" s="78"/>
      <c r="C741" s="78"/>
      <c r="D741" s="78"/>
      <c r="E741" s="78"/>
      <c r="F741" s="78"/>
      <c r="G741" s="78"/>
      <c r="H741" s="91" t="e">
        <f t="shared" si="9"/>
        <v>#DIV/0!</v>
      </c>
      <c r="I741" s="104"/>
      <c r="K741" s="22"/>
      <c r="P741" s="32"/>
    </row>
    <row r="742" spans="1:16" outlineLevel="1" x14ac:dyDescent="0.25">
      <c r="A742" s="100"/>
      <c r="B742" s="78"/>
      <c r="C742" s="78"/>
      <c r="D742" s="78"/>
      <c r="E742" s="78"/>
      <c r="F742" s="78"/>
      <c r="G742" s="78"/>
      <c r="H742" s="91" t="e">
        <f t="shared" si="9"/>
        <v>#DIV/0!</v>
      </c>
      <c r="I742" s="104"/>
      <c r="K742" s="22"/>
      <c r="P742" s="32"/>
    </row>
    <row r="743" spans="1:16" outlineLevel="1" x14ac:dyDescent="0.25">
      <c r="A743" s="100"/>
      <c r="B743" s="78"/>
      <c r="C743" s="78"/>
      <c r="D743" s="78"/>
      <c r="E743" s="78"/>
      <c r="F743" s="78"/>
      <c r="G743" s="78"/>
      <c r="H743" s="91" t="e">
        <f t="shared" si="9"/>
        <v>#DIV/0!</v>
      </c>
      <c r="I743" s="104"/>
      <c r="K743" s="22"/>
      <c r="P743" s="32"/>
    </row>
    <row r="744" spans="1:16" outlineLevel="1" x14ac:dyDescent="0.25">
      <c r="A744" s="100"/>
      <c r="B744" s="78"/>
      <c r="C744" s="78"/>
      <c r="D744" s="78"/>
      <c r="E744" s="78"/>
      <c r="F744" s="78"/>
      <c r="G744" s="78"/>
      <c r="H744" s="91" t="e">
        <f t="shared" si="9"/>
        <v>#DIV/0!</v>
      </c>
      <c r="I744" s="104"/>
      <c r="K744" s="22"/>
      <c r="P744" s="32"/>
    </row>
    <row r="745" spans="1:16" outlineLevel="1" x14ac:dyDescent="0.25">
      <c r="A745" s="100"/>
      <c r="B745" s="78"/>
      <c r="C745" s="78"/>
      <c r="D745" s="78"/>
      <c r="E745" s="78"/>
      <c r="F745" s="78"/>
      <c r="G745" s="78"/>
      <c r="H745" s="91" t="e">
        <f t="shared" si="9"/>
        <v>#DIV/0!</v>
      </c>
      <c r="I745" s="104"/>
      <c r="K745" s="22"/>
      <c r="P745" s="32"/>
    </row>
    <row r="746" spans="1:16" outlineLevel="1" x14ac:dyDescent="0.25">
      <c r="A746" s="100"/>
      <c r="B746" s="78"/>
      <c r="C746" s="78"/>
      <c r="D746" s="78"/>
      <c r="E746" s="78"/>
      <c r="F746" s="78"/>
      <c r="G746" s="78"/>
      <c r="H746" s="91" t="e">
        <f t="shared" si="9"/>
        <v>#DIV/0!</v>
      </c>
      <c r="I746" s="104"/>
      <c r="K746" s="22"/>
      <c r="P746" s="32"/>
    </row>
    <row r="747" spans="1:16" outlineLevel="1" x14ac:dyDescent="0.25">
      <c r="A747" s="100"/>
      <c r="B747" s="78"/>
      <c r="C747" s="78"/>
      <c r="D747" s="78"/>
      <c r="E747" s="78"/>
      <c r="F747" s="78"/>
      <c r="G747" s="78"/>
      <c r="H747" s="91" t="e">
        <f t="shared" si="9"/>
        <v>#DIV/0!</v>
      </c>
      <c r="I747" s="104"/>
      <c r="K747" s="22"/>
      <c r="P747" s="32"/>
    </row>
    <row r="748" spans="1:16" outlineLevel="1" x14ac:dyDescent="0.25">
      <c r="A748" s="100"/>
      <c r="B748" s="78"/>
      <c r="C748" s="78"/>
      <c r="D748" s="78"/>
      <c r="E748" s="78"/>
      <c r="F748" s="78"/>
      <c r="G748" s="78"/>
      <c r="H748" s="91" t="e">
        <f t="shared" si="9"/>
        <v>#DIV/0!</v>
      </c>
      <c r="I748" s="104"/>
      <c r="K748" s="22"/>
      <c r="P748" s="32"/>
    </row>
    <row r="749" spans="1:16" outlineLevel="1" x14ac:dyDescent="0.25">
      <c r="A749" s="100"/>
      <c r="B749" s="78"/>
      <c r="C749" s="78"/>
      <c r="D749" s="78"/>
      <c r="E749" s="78"/>
      <c r="F749" s="78"/>
      <c r="G749" s="78"/>
      <c r="H749" s="91" t="e">
        <f t="shared" si="9"/>
        <v>#DIV/0!</v>
      </c>
      <c r="I749" s="104"/>
      <c r="K749" s="22"/>
      <c r="P749" s="32"/>
    </row>
    <row r="750" spans="1:16" outlineLevel="1" x14ac:dyDescent="0.25">
      <c r="A750" s="100"/>
      <c r="B750" s="78"/>
      <c r="C750" s="78"/>
      <c r="D750" s="78"/>
      <c r="E750" s="78"/>
      <c r="F750" s="78"/>
      <c r="G750" s="78"/>
      <c r="H750" s="91" t="e">
        <f t="shared" si="9"/>
        <v>#DIV/0!</v>
      </c>
      <c r="I750" s="104"/>
      <c r="K750" s="22"/>
      <c r="P750" s="32"/>
    </row>
    <row r="751" spans="1:16" outlineLevel="1" x14ac:dyDescent="0.25">
      <c r="A751" s="100"/>
      <c r="B751" s="78"/>
      <c r="C751" s="78"/>
      <c r="D751" s="78"/>
      <c r="E751" s="78"/>
      <c r="F751" s="78"/>
      <c r="G751" s="78"/>
      <c r="H751" s="91" t="e">
        <f t="shared" si="9"/>
        <v>#DIV/0!</v>
      </c>
      <c r="I751" s="104"/>
      <c r="K751" s="22"/>
      <c r="P751" s="32"/>
    </row>
    <row r="752" spans="1:16" outlineLevel="1" x14ac:dyDescent="0.25">
      <c r="A752" s="100"/>
      <c r="B752" s="78"/>
      <c r="C752" s="78"/>
      <c r="D752" s="78"/>
      <c r="E752" s="78"/>
      <c r="F752" s="78"/>
      <c r="G752" s="78"/>
      <c r="H752" s="91" t="e">
        <f t="shared" si="9"/>
        <v>#DIV/0!</v>
      </c>
      <c r="I752" s="104"/>
      <c r="K752" s="22"/>
      <c r="P752" s="32"/>
    </row>
    <row r="753" spans="1:16" outlineLevel="1" x14ac:dyDescent="0.25">
      <c r="A753" s="100"/>
      <c r="B753" s="78"/>
      <c r="C753" s="78"/>
      <c r="D753" s="78"/>
      <c r="E753" s="78"/>
      <c r="F753" s="78"/>
      <c r="G753" s="78"/>
      <c r="H753" s="91" t="e">
        <f t="shared" si="9"/>
        <v>#DIV/0!</v>
      </c>
      <c r="I753" s="104"/>
      <c r="K753" s="22"/>
      <c r="P753" s="32"/>
    </row>
    <row r="754" spans="1:16" outlineLevel="1" x14ac:dyDescent="0.25">
      <c r="A754" s="100"/>
      <c r="B754" s="78"/>
      <c r="C754" s="78"/>
      <c r="D754" s="78"/>
      <c r="E754" s="78"/>
      <c r="F754" s="78"/>
      <c r="G754" s="78"/>
      <c r="H754" s="91" t="e">
        <f t="shared" si="9"/>
        <v>#DIV/0!</v>
      </c>
      <c r="I754" s="104"/>
      <c r="K754" s="22"/>
      <c r="P754" s="32"/>
    </row>
    <row r="755" spans="1:16" outlineLevel="1" x14ac:dyDescent="0.25">
      <c r="A755" s="100"/>
      <c r="B755" s="78"/>
      <c r="C755" s="78"/>
      <c r="D755" s="78"/>
      <c r="E755" s="78"/>
      <c r="F755" s="78"/>
      <c r="G755" s="78"/>
      <c r="H755" s="91" t="e">
        <f t="shared" si="9"/>
        <v>#DIV/0!</v>
      </c>
      <c r="I755" s="104"/>
      <c r="K755" s="22"/>
      <c r="P755" s="32"/>
    </row>
    <row r="756" spans="1:16" outlineLevel="1" x14ac:dyDescent="0.25">
      <c r="A756" s="100"/>
      <c r="B756" s="78"/>
      <c r="C756" s="78"/>
      <c r="D756" s="78"/>
      <c r="E756" s="78"/>
      <c r="F756" s="78"/>
      <c r="G756" s="78"/>
      <c r="H756" s="91" t="e">
        <f t="shared" si="9"/>
        <v>#DIV/0!</v>
      </c>
      <c r="I756" s="104"/>
      <c r="K756" s="22"/>
      <c r="P756" s="32"/>
    </row>
    <row r="757" spans="1:16" outlineLevel="1" x14ac:dyDescent="0.25">
      <c r="A757" s="100"/>
      <c r="B757" s="78"/>
      <c r="C757" s="78"/>
      <c r="D757" s="78"/>
      <c r="E757" s="78"/>
      <c r="F757" s="78"/>
      <c r="G757" s="78"/>
      <c r="H757" s="91" t="e">
        <f t="shared" si="9"/>
        <v>#DIV/0!</v>
      </c>
      <c r="I757" s="104"/>
      <c r="K757" s="22"/>
      <c r="P757" s="32"/>
    </row>
    <row r="758" spans="1:16" outlineLevel="1" x14ac:dyDescent="0.25">
      <c r="A758" s="100"/>
      <c r="B758" s="78"/>
      <c r="C758" s="78"/>
      <c r="D758" s="78"/>
      <c r="E758" s="78"/>
      <c r="F758" s="78"/>
      <c r="G758" s="78"/>
      <c r="H758" s="91" t="e">
        <f t="shared" si="9"/>
        <v>#DIV/0!</v>
      </c>
      <c r="I758" s="104"/>
      <c r="K758" s="22"/>
      <c r="P758" s="32"/>
    </row>
    <row r="759" spans="1:16" outlineLevel="1" x14ac:dyDescent="0.25">
      <c r="A759" s="100"/>
      <c r="B759" s="78"/>
      <c r="C759" s="78"/>
      <c r="D759" s="78"/>
      <c r="E759" s="78"/>
      <c r="F759" s="78"/>
      <c r="G759" s="78"/>
      <c r="H759" s="91" t="e">
        <f t="shared" si="9"/>
        <v>#DIV/0!</v>
      </c>
      <c r="I759" s="104"/>
      <c r="K759" s="22"/>
      <c r="P759" s="32"/>
    </row>
    <row r="760" spans="1:16" outlineLevel="1" x14ac:dyDescent="0.25">
      <c r="A760" s="100"/>
      <c r="B760" s="78"/>
      <c r="C760" s="78"/>
      <c r="D760" s="78"/>
      <c r="E760" s="78"/>
      <c r="F760" s="78"/>
      <c r="G760" s="78"/>
      <c r="H760" s="91" t="e">
        <f t="shared" si="9"/>
        <v>#DIV/0!</v>
      </c>
      <c r="I760" s="104"/>
      <c r="K760" s="22"/>
      <c r="P760" s="32"/>
    </row>
    <row r="761" spans="1:16" outlineLevel="1" x14ac:dyDescent="0.25">
      <c r="A761" s="100"/>
      <c r="B761" s="78"/>
      <c r="C761" s="78"/>
      <c r="D761" s="78"/>
      <c r="E761" s="78"/>
      <c r="F761" s="78"/>
      <c r="G761" s="78"/>
      <c r="H761" s="91" t="e">
        <f t="shared" si="9"/>
        <v>#DIV/0!</v>
      </c>
      <c r="I761" s="104"/>
      <c r="K761" s="22"/>
      <c r="P761" s="32"/>
    </row>
    <row r="762" spans="1:16" outlineLevel="1" x14ac:dyDescent="0.25">
      <c r="A762" s="100"/>
      <c r="B762" s="78"/>
      <c r="C762" s="78"/>
      <c r="D762" s="78"/>
      <c r="E762" s="78"/>
      <c r="F762" s="78"/>
      <c r="G762" s="78"/>
      <c r="H762" s="91" t="e">
        <f t="shared" si="9"/>
        <v>#DIV/0!</v>
      </c>
      <c r="I762" s="104"/>
      <c r="K762" s="22"/>
      <c r="P762" s="32"/>
    </row>
    <row r="763" spans="1:16" outlineLevel="1" x14ac:dyDescent="0.25">
      <c r="A763" s="100"/>
      <c r="B763" s="78"/>
      <c r="C763" s="78"/>
      <c r="D763" s="78"/>
      <c r="E763" s="78"/>
      <c r="F763" s="78"/>
      <c r="G763" s="78"/>
      <c r="H763" s="91" t="e">
        <f t="shared" si="9"/>
        <v>#DIV/0!</v>
      </c>
      <c r="I763" s="104"/>
      <c r="K763" s="22"/>
      <c r="P763" s="32"/>
    </row>
    <row r="764" spans="1:16" outlineLevel="1" x14ac:dyDescent="0.25">
      <c r="A764" s="100"/>
      <c r="B764" s="78"/>
      <c r="C764" s="78"/>
      <c r="D764" s="78"/>
      <c r="E764" s="78"/>
      <c r="F764" s="78"/>
      <c r="G764" s="78"/>
      <c r="H764" s="91" t="e">
        <f t="shared" si="9"/>
        <v>#DIV/0!</v>
      </c>
      <c r="I764" s="104"/>
      <c r="K764" s="22"/>
      <c r="P764" s="32"/>
    </row>
    <row r="765" spans="1:16" outlineLevel="1" x14ac:dyDescent="0.25">
      <c r="A765" s="100"/>
      <c r="B765" s="78"/>
      <c r="C765" s="78"/>
      <c r="D765" s="78"/>
      <c r="E765" s="78"/>
      <c r="F765" s="78"/>
      <c r="G765" s="78"/>
      <c r="H765" s="91" t="e">
        <f t="shared" si="9"/>
        <v>#DIV/0!</v>
      </c>
      <c r="I765" s="104"/>
      <c r="K765" s="22"/>
      <c r="P765" s="32"/>
    </row>
    <row r="766" spans="1:16" outlineLevel="1" x14ac:dyDescent="0.25">
      <c r="A766" s="100"/>
      <c r="B766" s="78"/>
      <c r="C766" s="78"/>
      <c r="D766" s="78"/>
      <c r="E766" s="78"/>
      <c r="F766" s="78"/>
      <c r="G766" s="78"/>
      <c r="H766" s="91" t="e">
        <f t="shared" si="9"/>
        <v>#DIV/0!</v>
      </c>
      <c r="I766" s="104"/>
      <c r="K766" s="22"/>
      <c r="P766" s="32"/>
    </row>
    <row r="767" spans="1:16" outlineLevel="1" x14ac:dyDescent="0.25">
      <c r="A767" s="100"/>
      <c r="B767" s="78"/>
      <c r="C767" s="78"/>
      <c r="D767" s="78"/>
      <c r="E767" s="78"/>
      <c r="F767" s="78"/>
      <c r="G767" s="78"/>
      <c r="H767" s="91" t="e">
        <f t="shared" si="9"/>
        <v>#DIV/0!</v>
      </c>
      <c r="I767" s="104"/>
      <c r="K767" s="22"/>
      <c r="P767" s="32"/>
    </row>
    <row r="768" spans="1:16" outlineLevel="1" x14ac:dyDescent="0.25">
      <c r="A768" s="100"/>
      <c r="B768" s="78"/>
      <c r="C768" s="78"/>
      <c r="D768" s="78"/>
      <c r="E768" s="78"/>
      <c r="F768" s="78"/>
      <c r="G768" s="78"/>
      <c r="H768" s="91" t="e">
        <f t="shared" si="9"/>
        <v>#DIV/0!</v>
      </c>
      <c r="I768" s="104"/>
      <c r="K768" s="22"/>
      <c r="P768" s="32"/>
    </row>
    <row r="769" spans="1:16" outlineLevel="1" x14ac:dyDescent="0.25">
      <c r="A769" s="100"/>
      <c r="B769" s="78"/>
      <c r="C769" s="78"/>
      <c r="D769" s="78"/>
      <c r="E769" s="78"/>
      <c r="F769" s="78"/>
      <c r="G769" s="78"/>
      <c r="H769" s="91" t="e">
        <f t="shared" si="9"/>
        <v>#DIV/0!</v>
      </c>
      <c r="I769" s="104"/>
      <c r="K769" s="22"/>
      <c r="P769" s="32"/>
    </row>
    <row r="770" spans="1:16" outlineLevel="1" x14ac:dyDescent="0.25">
      <c r="A770" s="100"/>
      <c r="B770" s="78"/>
      <c r="C770" s="78"/>
      <c r="D770" s="78"/>
      <c r="E770" s="78"/>
      <c r="F770" s="78"/>
      <c r="G770" s="78"/>
      <c r="H770" s="91" t="e">
        <f t="shared" si="9"/>
        <v>#DIV/0!</v>
      </c>
      <c r="I770" s="104"/>
      <c r="K770" s="22"/>
      <c r="P770" s="32"/>
    </row>
    <row r="771" spans="1:16" outlineLevel="1" x14ac:dyDescent="0.25">
      <c r="A771" s="100"/>
      <c r="B771" s="78"/>
      <c r="C771" s="78"/>
      <c r="D771" s="78"/>
      <c r="E771" s="78"/>
      <c r="F771" s="78"/>
      <c r="G771" s="78"/>
      <c r="H771" s="91" t="e">
        <f t="shared" si="9"/>
        <v>#DIV/0!</v>
      </c>
      <c r="I771" s="104"/>
      <c r="K771" s="22"/>
      <c r="P771" s="32"/>
    </row>
    <row r="772" spans="1:16" outlineLevel="1" x14ac:dyDescent="0.25">
      <c r="A772" s="100"/>
      <c r="B772" s="78"/>
      <c r="C772" s="78"/>
      <c r="D772" s="78"/>
      <c r="E772" s="78"/>
      <c r="F772" s="78"/>
      <c r="G772" s="78"/>
      <c r="H772" s="91" t="e">
        <f t="shared" si="9"/>
        <v>#DIV/0!</v>
      </c>
      <c r="I772" s="104"/>
      <c r="K772" s="22"/>
      <c r="P772" s="32"/>
    </row>
    <row r="773" spans="1:16" outlineLevel="1" x14ac:dyDescent="0.25">
      <c r="A773" s="100"/>
      <c r="B773" s="78"/>
      <c r="C773" s="78"/>
      <c r="D773" s="78"/>
      <c r="E773" s="78"/>
      <c r="F773" s="78"/>
      <c r="G773" s="78"/>
      <c r="H773" s="91" t="e">
        <f t="shared" si="9"/>
        <v>#DIV/0!</v>
      </c>
      <c r="I773" s="104"/>
      <c r="K773" s="22"/>
      <c r="P773" s="32"/>
    </row>
    <row r="774" spans="1:16" outlineLevel="1" x14ac:dyDescent="0.25">
      <c r="A774" s="100"/>
      <c r="B774" s="78"/>
      <c r="C774" s="78"/>
      <c r="D774" s="78"/>
      <c r="E774" s="78"/>
      <c r="F774" s="78"/>
      <c r="G774" s="78"/>
      <c r="H774" s="91" t="e">
        <f t="shared" si="9"/>
        <v>#DIV/0!</v>
      </c>
      <c r="I774" s="104"/>
      <c r="K774" s="22"/>
      <c r="P774" s="32"/>
    </row>
    <row r="775" spans="1:16" outlineLevel="1" x14ac:dyDescent="0.25">
      <c r="A775" s="100"/>
      <c r="B775" s="78"/>
      <c r="C775" s="78"/>
      <c r="D775" s="78"/>
      <c r="E775" s="78"/>
      <c r="F775" s="78"/>
      <c r="G775" s="78"/>
      <c r="H775" s="91" t="e">
        <f t="shared" si="9"/>
        <v>#DIV/0!</v>
      </c>
      <c r="I775" s="104"/>
      <c r="K775" s="22"/>
      <c r="P775" s="32"/>
    </row>
    <row r="776" spans="1:16" outlineLevel="1" x14ac:dyDescent="0.25">
      <c r="A776" s="100"/>
      <c r="B776" s="78"/>
      <c r="C776" s="78"/>
      <c r="D776" s="78"/>
      <c r="E776" s="78"/>
      <c r="F776" s="78"/>
      <c r="G776" s="78"/>
      <c r="H776" s="91" t="e">
        <f t="shared" si="9"/>
        <v>#DIV/0!</v>
      </c>
      <c r="I776" s="104"/>
      <c r="K776" s="22"/>
      <c r="P776" s="32"/>
    </row>
    <row r="777" spans="1:16" outlineLevel="1" x14ac:dyDescent="0.25">
      <c r="A777" s="100"/>
      <c r="B777" s="78"/>
      <c r="C777" s="78"/>
      <c r="D777" s="78"/>
      <c r="E777" s="78"/>
      <c r="F777" s="78"/>
      <c r="G777" s="78"/>
      <c r="H777" s="91" t="e">
        <f t="shared" si="9"/>
        <v>#DIV/0!</v>
      </c>
      <c r="I777" s="104"/>
      <c r="K777" s="22"/>
      <c r="P777" s="32"/>
    </row>
    <row r="778" spans="1:16" outlineLevel="1" x14ac:dyDescent="0.25">
      <c r="A778" s="100"/>
      <c r="B778" s="78"/>
      <c r="C778" s="78"/>
      <c r="D778" s="78"/>
      <c r="E778" s="78"/>
      <c r="F778" s="78"/>
      <c r="G778" s="78"/>
      <c r="H778" s="91" t="e">
        <f t="shared" si="9"/>
        <v>#DIV/0!</v>
      </c>
      <c r="I778" s="104"/>
      <c r="K778" s="22"/>
      <c r="P778" s="32"/>
    </row>
    <row r="779" spans="1:16" outlineLevel="1" x14ac:dyDescent="0.25">
      <c r="A779" s="100"/>
      <c r="B779" s="78"/>
      <c r="C779" s="78"/>
      <c r="D779" s="78"/>
      <c r="E779" s="78"/>
      <c r="F779" s="78"/>
      <c r="G779" s="78"/>
      <c r="H779" s="91" t="e">
        <f t="shared" si="9"/>
        <v>#DIV/0!</v>
      </c>
      <c r="I779" s="104"/>
      <c r="K779" s="22"/>
      <c r="P779" s="32"/>
    </row>
    <row r="780" spans="1:16" outlineLevel="1" x14ac:dyDescent="0.25">
      <c r="A780" s="100"/>
      <c r="B780" s="78"/>
      <c r="C780" s="78"/>
      <c r="D780" s="78"/>
      <c r="E780" s="78"/>
      <c r="F780" s="78"/>
      <c r="G780" s="78"/>
      <c r="H780" s="91" t="e">
        <f t="shared" si="9"/>
        <v>#DIV/0!</v>
      </c>
      <c r="I780" s="104"/>
      <c r="K780" s="22"/>
      <c r="P780" s="32"/>
    </row>
    <row r="781" spans="1:16" outlineLevel="1" x14ac:dyDescent="0.25">
      <c r="A781" s="100"/>
      <c r="B781" s="78"/>
      <c r="C781" s="78"/>
      <c r="D781" s="78"/>
      <c r="E781" s="78"/>
      <c r="F781" s="78"/>
      <c r="G781" s="78"/>
      <c r="H781" s="91" t="e">
        <f t="shared" si="9"/>
        <v>#DIV/0!</v>
      </c>
      <c r="I781" s="104"/>
      <c r="K781" s="22"/>
      <c r="P781" s="32"/>
    </row>
    <row r="782" spans="1:16" outlineLevel="1" x14ac:dyDescent="0.25">
      <c r="A782" s="100"/>
      <c r="B782" s="78"/>
      <c r="C782" s="78"/>
      <c r="D782" s="78"/>
      <c r="E782" s="78"/>
      <c r="F782" s="78"/>
      <c r="G782" s="78"/>
      <c r="H782" s="91" t="e">
        <f t="shared" si="9"/>
        <v>#DIV/0!</v>
      </c>
      <c r="I782" s="104"/>
      <c r="K782" s="22"/>
      <c r="P782" s="32"/>
    </row>
    <row r="783" spans="1:16" outlineLevel="1" x14ac:dyDescent="0.25">
      <c r="A783" s="100"/>
      <c r="B783" s="78"/>
      <c r="C783" s="78"/>
      <c r="D783" s="78"/>
      <c r="E783" s="78"/>
      <c r="F783" s="78"/>
      <c r="G783" s="78"/>
      <c r="H783" s="91" t="e">
        <f t="shared" si="9"/>
        <v>#DIV/0!</v>
      </c>
      <c r="I783" s="104"/>
      <c r="K783" s="22"/>
      <c r="P783" s="32"/>
    </row>
    <row r="784" spans="1:16" outlineLevel="1" x14ac:dyDescent="0.25">
      <c r="A784" s="100"/>
      <c r="B784" s="78"/>
      <c r="C784" s="78"/>
      <c r="D784" s="78"/>
      <c r="E784" s="78"/>
      <c r="F784" s="78"/>
      <c r="G784" s="78"/>
      <c r="H784" s="91" t="e">
        <f t="shared" si="9"/>
        <v>#DIV/0!</v>
      </c>
      <c r="I784" s="104"/>
      <c r="K784" s="22"/>
      <c r="P784" s="32"/>
    </row>
    <row r="785" spans="1:16" outlineLevel="1" x14ac:dyDescent="0.25">
      <c r="A785" s="100"/>
      <c r="B785" s="78"/>
      <c r="C785" s="78"/>
      <c r="D785" s="78"/>
      <c r="E785" s="78"/>
      <c r="F785" s="78"/>
      <c r="G785" s="78"/>
      <c r="H785" s="91" t="e">
        <f t="shared" si="9"/>
        <v>#DIV/0!</v>
      </c>
      <c r="I785" s="104"/>
      <c r="K785" s="22"/>
      <c r="P785" s="32"/>
    </row>
    <row r="786" spans="1:16" outlineLevel="1" x14ac:dyDescent="0.25">
      <c r="A786" s="100"/>
      <c r="B786" s="78"/>
      <c r="C786" s="78"/>
      <c r="D786" s="78"/>
      <c r="E786" s="78"/>
      <c r="F786" s="78"/>
      <c r="G786" s="78"/>
      <c r="H786" s="91" t="e">
        <f t="shared" ref="H786:H789" si="10">IF(F786&gt;0,F786/D786,IF(G786&gt;0,G786/100/D786,IF(A786="Máquina de lavar roupa",E786/(D786*220),E786/(D786*280))))</f>
        <v>#DIV/0!</v>
      </c>
      <c r="I786" s="104"/>
      <c r="K786" s="22"/>
      <c r="P786" s="32"/>
    </row>
    <row r="787" spans="1:16" outlineLevel="1" x14ac:dyDescent="0.25">
      <c r="A787" s="100"/>
      <c r="B787" s="78"/>
      <c r="C787" s="78"/>
      <c r="D787" s="78"/>
      <c r="E787" s="78"/>
      <c r="F787" s="78"/>
      <c r="G787" s="78"/>
      <c r="H787" s="91" t="e">
        <f t="shared" si="10"/>
        <v>#DIV/0!</v>
      </c>
      <c r="I787" s="104"/>
      <c r="K787" s="22"/>
      <c r="P787" s="32"/>
    </row>
    <row r="788" spans="1:16" outlineLevel="1" x14ac:dyDescent="0.25">
      <c r="A788" s="100"/>
      <c r="B788" s="78"/>
      <c r="C788" s="78"/>
      <c r="D788" s="78"/>
      <c r="E788" s="78"/>
      <c r="F788" s="78"/>
      <c r="G788" s="78"/>
      <c r="H788" s="91" t="e">
        <f t="shared" si="10"/>
        <v>#DIV/0!</v>
      </c>
      <c r="I788" s="104"/>
      <c r="K788" s="22"/>
      <c r="P788" s="32"/>
    </row>
    <row r="789" spans="1:16" outlineLevel="1" x14ac:dyDescent="0.25">
      <c r="A789" s="100"/>
      <c r="B789" s="78"/>
      <c r="C789" s="78"/>
      <c r="D789" s="78"/>
      <c r="E789" s="78"/>
      <c r="F789" s="78"/>
      <c r="G789" s="78"/>
      <c r="H789" s="91" t="e">
        <f t="shared" si="10"/>
        <v>#DIV/0!</v>
      </c>
      <c r="I789" s="104"/>
      <c r="K789" s="22"/>
      <c r="P789" s="32"/>
    </row>
    <row r="790" spans="1:16" outlineLevel="1" x14ac:dyDescent="0.25">
      <c r="A790" s="100"/>
      <c r="B790" s="78"/>
      <c r="C790" s="78"/>
      <c r="D790" s="78"/>
      <c r="E790" s="78"/>
      <c r="F790" s="78"/>
      <c r="G790" s="78"/>
      <c r="H790" s="91" t="e">
        <f t="shared" ref="H790:H792" si="11">IF(F790&gt;0,F790/D790,IF(G790&gt;0,G790/100/D790,IF(A790="Máquina de lavar roupa",E790/(D790*220),E790/(D790*280))))</f>
        <v>#DIV/0!</v>
      </c>
      <c r="I790" s="104"/>
      <c r="K790" s="22"/>
      <c r="P790" s="32"/>
    </row>
    <row r="791" spans="1:16" outlineLevel="1" x14ac:dyDescent="0.25">
      <c r="A791" s="100"/>
      <c r="B791" s="78"/>
      <c r="C791" s="78"/>
      <c r="D791" s="78"/>
      <c r="E791" s="78"/>
      <c r="F791" s="78"/>
      <c r="G791" s="78"/>
      <c r="H791" s="91" t="e">
        <f t="shared" si="11"/>
        <v>#DIV/0!</v>
      </c>
      <c r="I791" s="104"/>
      <c r="K791" s="22"/>
      <c r="P791" s="32"/>
    </row>
    <row r="792" spans="1:16" outlineLevel="1" x14ac:dyDescent="0.25">
      <c r="A792" s="100"/>
      <c r="B792" s="78"/>
      <c r="C792" s="78"/>
      <c r="D792" s="78"/>
      <c r="E792" s="78"/>
      <c r="F792" s="78"/>
      <c r="G792" s="78"/>
      <c r="H792" s="91" t="e">
        <f t="shared" si="11"/>
        <v>#DIV/0!</v>
      </c>
      <c r="I792" s="104"/>
      <c r="K792" s="22"/>
      <c r="P792" s="32"/>
    </row>
    <row r="793" spans="1:16" ht="15.75" outlineLevel="1" thickBot="1" x14ac:dyDescent="0.3">
      <c r="A793" s="94"/>
      <c r="B793" s="81"/>
      <c r="C793" s="81"/>
      <c r="D793" s="81"/>
      <c r="E793" s="81"/>
      <c r="F793" s="81"/>
      <c r="G793" s="81"/>
      <c r="H793" s="231" t="e">
        <f t="shared" ref="H793" si="12">IF(F793&gt;0,F793/D793,IF(G793&gt;0,G793/100/D793,IF(A793="Máquina de lavar roupa",E793/(D793*220),E793/(D793*280))))</f>
        <v>#DIV/0!</v>
      </c>
      <c r="I793" s="105"/>
      <c r="P793" s="32"/>
    </row>
    <row r="794" spans="1:16" outlineLevel="1" x14ac:dyDescent="0.25">
      <c r="A794" s="90"/>
      <c r="B794" s="91"/>
      <c r="C794" s="91"/>
      <c r="D794" s="91"/>
      <c r="E794" s="470" t="s">
        <v>74</v>
      </c>
      <c r="F794" s="470"/>
      <c r="G794" s="470"/>
    </row>
    <row r="795" spans="1:16" ht="15.75" x14ac:dyDescent="0.25">
      <c r="A795" s="69" t="s">
        <v>75</v>
      </c>
      <c r="M795" s="32" t="str">
        <f t="shared" ref="M795" si="13">IF(ISBLANK(D795),IF(ISBLANK(E795),"",E795),D795)</f>
        <v/>
      </c>
    </row>
    <row r="796" spans="1:16" ht="15.75" outlineLevel="1" thickBot="1" x14ac:dyDescent="0.3">
      <c r="A796" s="55" t="s">
        <v>76</v>
      </c>
    </row>
    <row r="797" spans="1:16" s="214" customFormat="1" ht="45.75" outlineLevel="1" thickBot="1" x14ac:dyDescent="0.3">
      <c r="A797" s="125" t="s">
        <v>51</v>
      </c>
      <c r="B797" s="210" t="s">
        <v>52</v>
      </c>
      <c r="C797" s="209" t="s">
        <v>39</v>
      </c>
      <c r="D797" s="210" t="s">
        <v>53</v>
      </c>
      <c r="E797" s="210" t="s">
        <v>54</v>
      </c>
      <c r="F797" s="210" t="s">
        <v>55</v>
      </c>
      <c r="G797" s="210" t="s">
        <v>56</v>
      </c>
      <c r="H797" s="211" t="s">
        <v>57</v>
      </c>
      <c r="I797" s="211" t="s">
        <v>58</v>
      </c>
      <c r="J797" s="219" t="s">
        <v>59</v>
      </c>
      <c r="K797" s="219" t="s">
        <v>60</v>
      </c>
      <c r="L797" s="220" t="s">
        <v>77</v>
      </c>
      <c r="M797" s="213"/>
      <c r="N797" s="240" t="str">
        <f t="shared" ref="N797" si="14">IF(ISBLANK(D797),IF(ISBLANK(E797),"",E797),D797)</f>
        <v>Caudal Nominal [L/min]</v>
      </c>
      <c r="O797" s="213"/>
    </row>
    <row r="798" spans="1:16" outlineLevel="1" x14ac:dyDescent="0.25">
      <c r="A798" s="73"/>
      <c r="B798" s="74"/>
      <c r="C798" s="74"/>
      <c r="D798" s="74"/>
      <c r="E798" s="74"/>
      <c r="F798" s="75"/>
      <c r="G798" s="76"/>
      <c r="H798" s="76"/>
      <c r="I798" s="76"/>
      <c r="J798" s="76"/>
      <c r="K798" s="76"/>
      <c r="L798" s="114"/>
      <c r="N798" s="32" t="str">
        <f t="shared" ref="N798:N999" si="15">IF(ISBLANK(D798),IF(ISBLANK(E798),"",E798),D798)</f>
        <v/>
      </c>
    </row>
    <row r="799" spans="1:16" outlineLevel="1" x14ac:dyDescent="0.25">
      <c r="A799" s="118"/>
      <c r="B799" s="119"/>
      <c r="C799" s="119"/>
      <c r="D799" s="119"/>
      <c r="E799" s="119"/>
      <c r="F799" s="120"/>
      <c r="G799" s="121"/>
      <c r="H799" s="121"/>
      <c r="I799" s="121"/>
      <c r="J799" s="121"/>
      <c r="K799" s="121"/>
      <c r="L799" s="122"/>
      <c r="N799" s="32" t="str">
        <f t="shared" ref="N799:N870" si="16">IF(ISBLANK(D799),IF(ISBLANK(E799),"",E799),D799)</f>
        <v/>
      </c>
    </row>
    <row r="800" spans="1:16" outlineLevel="1" x14ac:dyDescent="0.25">
      <c r="A800" s="118"/>
      <c r="B800" s="119"/>
      <c r="C800" s="119"/>
      <c r="D800" s="119"/>
      <c r="E800" s="119"/>
      <c r="F800" s="120"/>
      <c r="G800" s="121"/>
      <c r="H800" s="121"/>
      <c r="I800" s="121"/>
      <c r="J800" s="121"/>
      <c r="K800" s="121"/>
      <c r="L800" s="122"/>
      <c r="N800" s="32" t="str">
        <f t="shared" si="16"/>
        <v/>
      </c>
    </row>
    <row r="801" spans="1:14" outlineLevel="1" x14ac:dyDescent="0.25">
      <c r="A801" s="118"/>
      <c r="B801" s="119"/>
      <c r="C801" s="119"/>
      <c r="D801" s="119"/>
      <c r="E801" s="119"/>
      <c r="F801" s="120"/>
      <c r="G801" s="121"/>
      <c r="H801" s="121"/>
      <c r="I801" s="121"/>
      <c r="J801" s="121"/>
      <c r="K801" s="121"/>
      <c r="L801" s="122"/>
      <c r="N801" s="32" t="str">
        <f t="shared" si="16"/>
        <v/>
      </c>
    </row>
    <row r="802" spans="1:14" outlineLevel="1" x14ac:dyDescent="0.25">
      <c r="A802" s="118"/>
      <c r="B802" s="119"/>
      <c r="C802" s="119"/>
      <c r="D802" s="119"/>
      <c r="E802" s="119"/>
      <c r="F802" s="120"/>
      <c r="G802" s="121"/>
      <c r="H802" s="121"/>
      <c r="I802" s="121"/>
      <c r="J802" s="121"/>
      <c r="K802" s="121"/>
      <c r="L802" s="122"/>
      <c r="N802" s="32" t="str">
        <f t="shared" si="16"/>
        <v/>
      </c>
    </row>
    <row r="803" spans="1:14" outlineLevel="1" x14ac:dyDescent="0.25">
      <c r="A803" s="118"/>
      <c r="B803" s="119"/>
      <c r="C803" s="119"/>
      <c r="D803" s="119"/>
      <c r="E803" s="119"/>
      <c r="F803" s="120"/>
      <c r="G803" s="121"/>
      <c r="H803" s="121"/>
      <c r="I803" s="121"/>
      <c r="J803" s="121"/>
      <c r="K803" s="121"/>
      <c r="L803" s="122"/>
      <c r="N803" s="32" t="str">
        <f t="shared" si="16"/>
        <v/>
      </c>
    </row>
    <row r="804" spans="1:14" outlineLevel="1" x14ac:dyDescent="0.25">
      <c r="A804" s="118"/>
      <c r="B804" s="119"/>
      <c r="C804" s="119"/>
      <c r="D804" s="119"/>
      <c r="E804" s="119"/>
      <c r="F804" s="120"/>
      <c r="G804" s="121"/>
      <c r="H804" s="121"/>
      <c r="I804" s="121"/>
      <c r="J804" s="121"/>
      <c r="K804" s="121"/>
      <c r="L804" s="122"/>
      <c r="N804" s="32" t="str">
        <f t="shared" si="16"/>
        <v/>
      </c>
    </row>
    <row r="805" spans="1:14" outlineLevel="1" x14ac:dyDescent="0.25">
      <c r="A805" s="118"/>
      <c r="B805" s="119"/>
      <c r="C805" s="119"/>
      <c r="D805" s="119"/>
      <c r="E805" s="119"/>
      <c r="F805" s="120"/>
      <c r="G805" s="121"/>
      <c r="H805" s="121"/>
      <c r="I805" s="121"/>
      <c r="J805" s="121"/>
      <c r="K805" s="121"/>
      <c r="L805" s="122"/>
      <c r="N805" s="32" t="str">
        <f t="shared" si="16"/>
        <v/>
      </c>
    </row>
    <row r="806" spans="1:14" outlineLevel="1" x14ac:dyDescent="0.25">
      <c r="A806" s="118"/>
      <c r="B806" s="119"/>
      <c r="C806" s="119"/>
      <c r="D806" s="119"/>
      <c r="E806" s="119"/>
      <c r="F806" s="120"/>
      <c r="G806" s="121"/>
      <c r="H806" s="121"/>
      <c r="I806" s="121"/>
      <c r="J806" s="121"/>
      <c r="K806" s="121"/>
      <c r="L806" s="122"/>
      <c r="N806" s="32" t="str">
        <f t="shared" si="16"/>
        <v/>
      </c>
    </row>
    <row r="807" spans="1:14" outlineLevel="1" x14ac:dyDescent="0.25">
      <c r="A807" s="118"/>
      <c r="B807" s="119"/>
      <c r="C807" s="119"/>
      <c r="D807" s="119"/>
      <c r="E807" s="119"/>
      <c r="F807" s="120"/>
      <c r="G807" s="121"/>
      <c r="H807" s="121"/>
      <c r="I807" s="121"/>
      <c r="J807" s="121"/>
      <c r="K807" s="121"/>
      <c r="L807" s="122"/>
      <c r="N807" s="32" t="str">
        <f t="shared" si="16"/>
        <v/>
      </c>
    </row>
    <row r="808" spans="1:14" outlineLevel="1" x14ac:dyDescent="0.25">
      <c r="A808" s="118"/>
      <c r="B808" s="119"/>
      <c r="C808" s="119"/>
      <c r="D808" s="119"/>
      <c r="E808" s="119"/>
      <c r="F808" s="120"/>
      <c r="G808" s="121"/>
      <c r="H808" s="121"/>
      <c r="I808" s="121"/>
      <c r="J808" s="121"/>
      <c r="K808" s="121"/>
      <c r="L808" s="122"/>
      <c r="N808" s="32" t="str">
        <f t="shared" si="16"/>
        <v/>
      </c>
    </row>
    <row r="809" spans="1:14" outlineLevel="1" x14ac:dyDescent="0.25">
      <c r="A809" s="118"/>
      <c r="B809" s="119"/>
      <c r="C809" s="119"/>
      <c r="D809" s="119"/>
      <c r="E809" s="119"/>
      <c r="F809" s="120"/>
      <c r="G809" s="121"/>
      <c r="H809" s="121"/>
      <c r="I809" s="121"/>
      <c r="J809" s="121"/>
      <c r="K809" s="121"/>
      <c r="L809" s="122"/>
      <c r="N809" s="32" t="str">
        <f t="shared" si="16"/>
        <v/>
      </c>
    </row>
    <row r="810" spans="1:14" outlineLevel="1" x14ac:dyDescent="0.25">
      <c r="A810" s="118"/>
      <c r="B810" s="119"/>
      <c r="C810" s="119"/>
      <c r="D810" s="119"/>
      <c r="E810" s="119"/>
      <c r="F810" s="120"/>
      <c r="G810" s="121"/>
      <c r="H810" s="121"/>
      <c r="I810" s="121"/>
      <c r="J810" s="121"/>
      <c r="K810" s="121"/>
      <c r="L810" s="122"/>
      <c r="N810" s="32" t="str">
        <f t="shared" si="16"/>
        <v/>
      </c>
    </row>
    <row r="811" spans="1:14" outlineLevel="1" x14ac:dyDescent="0.25">
      <c r="A811" s="118"/>
      <c r="B811" s="119"/>
      <c r="C811" s="119"/>
      <c r="D811" s="119"/>
      <c r="E811" s="119"/>
      <c r="F811" s="120"/>
      <c r="G811" s="121"/>
      <c r="H811" s="121"/>
      <c r="I811" s="121"/>
      <c r="J811" s="121"/>
      <c r="K811" s="121"/>
      <c r="L811" s="122"/>
      <c r="N811" s="32" t="str">
        <f t="shared" si="16"/>
        <v/>
      </c>
    </row>
    <row r="812" spans="1:14" outlineLevel="1" x14ac:dyDescent="0.25">
      <c r="A812" s="118"/>
      <c r="B812" s="119"/>
      <c r="C812" s="119"/>
      <c r="D812" s="119"/>
      <c r="E812" s="119"/>
      <c r="F812" s="120"/>
      <c r="G812" s="121"/>
      <c r="H812" s="121"/>
      <c r="I812" s="121"/>
      <c r="J812" s="121"/>
      <c r="K812" s="121"/>
      <c r="L812" s="122"/>
      <c r="N812" s="32" t="str">
        <f t="shared" si="16"/>
        <v/>
      </c>
    </row>
    <row r="813" spans="1:14" outlineLevel="1" x14ac:dyDescent="0.25">
      <c r="A813" s="118"/>
      <c r="B813" s="119"/>
      <c r="C813" s="119"/>
      <c r="D813" s="119"/>
      <c r="E813" s="119"/>
      <c r="F813" s="120"/>
      <c r="G813" s="121"/>
      <c r="H813" s="121"/>
      <c r="I813" s="121"/>
      <c r="J813" s="121"/>
      <c r="K813" s="121"/>
      <c r="L813" s="122"/>
      <c r="N813" s="32" t="str">
        <f t="shared" si="16"/>
        <v/>
      </c>
    </row>
    <row r="814" spans="1:14" outlineLevel="1" x14ac:dyDescent="0.25">
      <c r="A814" s="118"/>
      <c r="B814" s="119"/>
      <c r="C814" s="119"/>
      <c r="D814" s="119"/>
      <c r="E814" s="119"/>
      <c r="F814" s="120"/>
      <c r="G814" s="121"/>
      <c r="H814" s="121"/>
      <c r="I814" s="121"/>
      <c r="J814" s="121"/>
      <c r="K814" s="121"/>
      <c r="L814" s="122"/>
      <c r="N814" s="32" t="str">
        <f t="shared" si="16"/>
        <v/>
      </c>
    </row>
    <row r="815" spans="1:14" outlineLevel="1" x14ac:dyDescent="0.25">
      <c r="A815" s="118"/>
      <c r="B815" s="119"/>
      <c r="C815" s="119"/>
      <c r="D815" s="119"/>
      <c r="E815" s="119"/>
      <c r="F815" s="120"/>
      <c r="G815" s="121"/>
      <c r="H815" s="121"/>
      <c r="I815" s="121"/>
      <c r="J815" s="121"/>
      <c r="K815" s="121"/>
      <c r="L815" s="122"/>
      <c r="N815" s="32" t="str">
        <f t="shared" si="16"/>
        <v/>
      </c>
    </row>
    <row r="816" spans="1:14" outlineLevel="1" x14ac:dyDescent="0.25">
      <c r="A816" s="118"/>
      <c r="B816" s="119"/>
      <c r="C816" s="119"/>
      <c r="D816" s="119"/>
      <c r="E816" s="119"/>
      <c r="F816" s="120"/>
      <c r="G816" s="121"/>
      <c r="H816" s="121"/>
      <c r="I816" s="121"/>
      <c r="J816" s="121"/>
      <c r="K816" s="121"/>
      <c r="L816" s="122"/>
      <c r="N816" s="32" t="str">
        <f t="shared" si="16"/>
        <v/>
      </c>
    </row>
    <row r="817" spans="1:14" outlineLevel="1" x14ac:dyDescent="0.25">
      <c r="A817" s="118"/>
      <c r="B817" s="119"/>
      <c r="C817" s="119"/>
      <c r="D817" s="119"/>
      <c r="E817" s="119"/>
      <c r="F817" s="120"/>
      <c r="G817" s="121"/>
      <c r="H817" s="121"/>
      <c r="I817" s="121"/>
      <c r="J817" s="121"/>
      <c r="K817" s="121"/>
      <c r="L817" s="122"/>
      <c r="N817" s="32" t="str">
        <f t="shared" si="16"/>
        <v/>
      </c>
    </row>
    <row r="818" spans="1:14" outlineLevel="1" x14ac:dyDescent="0.25">
      <c r="A818" s="118"/>
      <c r="B818" s="119"/>
      <c r="C818" s="119"/>
      <c r="D818" s="119"/>
      <c r="E818" s="119"/>
      <c r="F818" s="120"/>
      <c r="G818" s="121"/>
      <c r="H818" s="121"/>
      <c r="I818" s="121"/>
      <c r="J818" s="121"/>
      <c r="K818" s="121"/>
      <c r="L818" s="122"/>
      <c r="N818" s="32" t="str">
        <f t="shared" si="16"/>
        <v/>
      </c>
    </row>
    <row r="819" spans="1:14" outlineLevel="1" x14ac:dyDescent="0.25">
      <c r="A819" s="118"/>
      <c r="B819" s="119"/>
      <c r="C819" s="119"/>
      <c r="D819" s="119"/>
      <c r="E819" s="119"/>
      <c r="F819" s="120"/>
      <c r="G819" s="121"/>
      <c r="H819" s="121"/>
      <c r="I819" s="121"/>
      <c r="J819" s="121"/>
      <c r="K819" s="121"/>
      <c r="L819" s="122"/>
      <c r="N819" s="32" t="str">
        <f t="shared" si="16"/>
        <v/>
      </c>
    </row>
    <row r="820" spans="1:14" outlineLevel="1" x14ac:dyDescent="0.25">
      <c r="A820" s="118"/>
      <c r="B820" s="119"/>
      <c r="C820" s="119"/>
      <c r="D820" s="119"/>
      <c r="E820" s="119"/>
      <c r="F820" s="120"/>
      <c r="G820" s="121"/>
      <c r="H820" s="121"/>
      <c r="I820" s="121"/>
      <c r="J820" s="121"/>
      <c r="K820" s="121"/>
      <c r="L820" s="122"/>
      <c r="N820" s="32" t="str">
        <f t="shared" si="16"/>
        <v/>
      </c>
    </row>
    <row r="821" spans="1:14" outlineLevel="1" x14ac:dyDescent="0.25">
      <c r="A821" s="118"/>
      <c r="B821" s="119"/>
      <c r="C821" s="119"/>
      <c r="D821" s="119"/>
      <c r="E821" s="119"/>
      <c r="F821" s="120"/>
      <c r="G821" s="121"/>
      <c r="H821" s="121"/>
      <c r="I821" s="121"/>
      <c r="J821" s="121"/>
      <c r="K821" s="121"/>
      <c r="L821" s="122"/>
      <c r="N821" s="32" t="str">
        <f t="shared" si="16"/>
        <v/>
      </c>
    </row>
    <row r="822" spans="1:14" outlineLevel="1" x14ac:dyDescent="0.25">
      <c r="A822" s="118"/>
      <c r="B822" s="119"/>
      <c r="C822" s="119"/>
      <c r="D822" s="119"/>
      <c r="E822" s="119"/>
      <c r="F822" s="120"/>
      <c r="G822" s="121"/>
      <c r="H822" s="121"/>
      <c r="I822" s="121"/>
      <c r="J822" s="121"/>
      <c r="K822" s="121"/>
      <c r="L822" s="122"/>
      <c r="N822" s="32" t="str">
        <f t="shared" si="16"/>
        <v/>
      </c>
    </row>
    <row r="823" spans="1:14" outlineLevel="1" x14ac:dyDescent="0.25">
      <c r="A823" s="118"/>
      <c r="B823" s="119"/>
      <c r="C823" s="119"/>
      <c r="D823" s="119"/>
      <c r="E823" s="119"/>
      <c r="F823" s="120"/>
      <c r="G823" s="121"/>
      <c r="H823" s="121"/>
      <c r="I823" s="121"/>
      <c r="J823" s="121"/>
      <c r="K823" s="121"/>
      <c r="L823" s="122"/>
      <c r="N823" s="32" t="str">
        <f t="shared" si="16"/>
        <v/>
      </c>
    </row>
    <row r="824" spans="1:14" outlineLevel="1" x14ac:dyDescent="0.25">
      <c r="A824" s="118"/>
      <c r="B824" s="119"/>
      <c r="C824" s="119"/>
      <c r="D824" s="119"/>
      <c r="E824" s="119"/>
      <c r="F824" s="120"/>
      <c r="G824" s="121"/>
      <c r="H824" s="121"/>
      <c r="I824" s="121"/>
      <c r="J824" s="121"/>
      <c r="K824" s="121"/>
      <c r="L824" s="122"/>
      <c r="N824" s="32" t="str">
        <f t="shared" si="16"/>
        <v/>
      </c>
    </row>
    <row r="825" spans="1:14" outlineLevel="1" x14ac:dyDescent="0.25">
      <c r="A825" s="118"/>
      <c r="B825" s="119"/>
      <c r="C825" s="119"/>
      <c r="D825" s="119"/>
      <c r="E825" s="119"/>
      <c r="F825" s="120"/>
      <c r="G825" s="121"/>
      <c r="H825" s="121"/>
      <c r="I825" s="121"/>
      <c r="J825" s="121"/>
      <c r="K825" s="121"/>
      <c r="L825" s="122"/>
      <c r="N825" s="32" t="str">
        <f t="shared" si="16"/>
        <v/>
      </c>
    </row>
    <row r="826" spans="1:14" outlineLevel="1" x14ac:dyDescent="0.25">
      <c r="A826" s="118"/>
      <c r="B826" s="119"/>
      <c r="C826" s="119"/>
      <c r="D826" s="119"/>
      <c r="E826" s="119"/>
      <c r="F826" s="120"/>
      <c r="G826" s="121"/>
      <c r="H826" s="121"/>
      <c r="I826" s="121"/>
      <c r="J826" s="121"/>
      <c r="K826" s="121"/>
      <c r="L826" s="122"/>
      <c r="N826" s="32" t="str">
        <f t="shared" si="16"/>
        <v/>
      </c>
    </row>
    <row r="827" spans="1:14" outlineLevel="1" x14ac:dyDescent="0.25">
      <c r="A827" s="118"/>
      <c r="B827" s="119"/>
      <c r="C827" s="119"/>
      <c r="D827" s="119"/>
      <c r="E827" s="119"/>
      <c r="F827" s="120"/>
      <c r="G827" s="121"/>
      <c r="H827" s="121"/>
      <c r="I827" s="121"/>
      <c r="J827" s="121"/>
      <c r="K827" s="121"/>
      <c r="L827" s="122"/>
      <c r="N827" s="32" t="str">
        <f t="shared" si="16"/>
        <v/>
      </c>
    </row>
    <row r="828" spans="1:14" outlineLevel="1" x14ac:dyDescent="0.25">
      <c r="A828" s="118"/>
      <c r="B828" s="119"/>
      <c r="C828" s="119"/>
      <c r="D828" s="119"/>
      <c r="E828" s="119"/>
      <c r="F828" s="120"/>
      <c r="G828" s="121"/>
      <c r="H828" s="121"/>
      <c r="I828" s="121"/>
      <c r="J828" s="121"/>
      <c r="K828" s="121"/>
      <c r="L828" s="122"/>
      <c r="N828" s="32" t="str">
        <f t="shared" si="16"/>
        <v/>
      </c>
    </row>
    <row r="829" spans="1:14" outlineLevel="1" x14ac:dyDescent="0.25">
      <c r="A829" s="118"/>
      <c r="B829" s="119"/>
      <c r="C829" s="119"/>
      <c r="D829" s="119"/>
      <c r="E829" s="119"/>
      <c r="F829" s="120"/>
      <c r="G829" s="121"/>
      <c r="H829" s="121"/>
      <c r="I829" s="121"/>
      <c r="J829" s="121"/>
      <c r="K829" s="121"/>
      <c r="L829" s="122"/>
      <c r="N829" s="32" t="str">
        <f t="shared" si="16"/>
        <v/>
      </c>
    </row>
    <row r="830" spans="1:14" outlineLevel="1" x14ac:dyDescent="0.25">
      <c r="A830" s="118"/>
      <c r="B830" s="119"/>
      <c r="C830" s="119"/>
      <c r="D830" s="119"/>
      <c r="E830" s="119"/>
      <c r="F830" s="120"/>
      <c r="G830" s="121"/>
      <c r="H830" s="121"/>
      <c r="I830" s="121"/>
      <c r="J830" s="121"/>
      <c r="K830" s="121"/>
      <c r="L830" s="122"/>
      <c r="N830" s="32" t="str">
        <f t="shared" si="16"/>
        <v/>
      </c>
    </row>
    <row r="831" spans="1:14" outlineLevel="1" x14ac:dyDescent="0.25">
      <c r="A831" s="118"/>
      <c r="B831" s="119"/>
      <c r="C831" s="119"/>
      <c r="D831" s="119"/>
      <c r="E831" s="119"/>
      <c r="F831" s="120"/>
      <c r="G831" s="121"/>
      <c r="H831" s="121"/>
      <c r="I831" s="121"/>
      <c r="J831" s="121"/>
      <c r="K831" s="121"/>
      <c r="L831" s="122"/>
      <c r="N831" s="32" t="str">
        <f t="shared" si="16"/>
        <v/>
      </c>
    </row>
    <row r="832" spans="1:14" outlineLevel="1" x14ac:dyDescent="0.25">
      <c r="A832" s="118"/>
      <c r="B832" s="119"/>
      <c r="C832" s="119"/>
      <c r="D832" s="119"/>
      <c r="E832" s="119"/>
      <c r="F832" s="120"/>
      <c r="G832" s="121"/>
      <c r="H832" s="121"/>
      <c r="I832" s="121"/>
      <c r="J832" s="121"/>
      <c r="K832" s="121"/>
      <c r="L832" s="122"/>
      <c r="N832" s="32" t="str">
        <f t="shared" si="16"/>
        <v/>
      </c>
    </row>
    <row r="833" spans="1:14" outlineLevel="1" x14ac:dyDescent="0.25">
      <c r="A833" s="118"/>
      <c r="B833" s="119"/>
      <c r="C833" s="119"/>
      <c r="D833" s="119"/>
      <c r="E833" s="119"/>
      <c r="F833" s="120"/>
      <c r="G833" s="121"/>
      <c r="H833" s="121"/>
      <c r="I833" s="121"/>
      <c r="J833" s="121"/>
      <c r="K833" s="121"/>
      <c r="L833" s="122"/>
      <c r="N833" s="32" t="str">
        <f t="shared" si="16"/>
        <v/>
      </c>
    </row>
    <row r="834" spans="1:14" outlineLevel="1" x14ac:dyDescent="0.25">
      <c r="A834" s="118"/>
      <c r="B834" s="119"/>
      <c r="C834" s="119"/>
      <c r="D834" s="119"/>
      <c r="E834" s="119"/>
      <c r="F834" s="120"/>
      <c r="G834" s="121"/>
      <c r="H834" s="121"/>
      <c r="I834" s="121"/>
      <c r="J834" s="121"/>
      <c r="K834" s="121"/>
      <c r="L834" s="122"/>
      <c r="N834" s="32" t="str">
        <f t="shared" si="16"/>
        <v/>
      </c>
    </row>
    <row r="835" spans="1:14" outlineLevel="1" x14ac:dyDescent="0.25">
      <c r="A835" s="118"/>
      <c r="B835" s="119"/>
      <c r="C835" s="119"/>
      <c r="D835" s="119"/>
      <c r="E835" s="119"/>
      <c r="F835" s="120"/>
      <c r="G835" s="121"/>
      <c r="H835" s="121"/>
      <c r="I835" s="121"/>
      <c r="J835" s="121"/>
      <c r="K835" s="121"/>
      <c r="L835" s="122"/>
      <c r="N835" s="32" t="str">
        <f t="shared" si="16"/>
        <v/>
      </c>
    </row>
    <row r="836" spans="1:14" outlineLevel="1" x14ac:dyDescent="0.25">
      <c r="A836" s="118"/>
      <c r="B836" s="119"/>
      <c r="C836" s="119"/>
      <c r="D836" s="119"/>
      <c r="E836" s="119"/>
      <c r="F836" s="120"/>
      <c r="G836" s="121"/>
      <c r="H836" s="121"/>
      <c r="I836" s="121"/>
      <c r="J836" s="121"/>
      <c r="K836" s="121"/>
      <c r="L836" s="122"/>
      <c r="N836" s="32" t="str">
        <f t="shared" si="16"/>
        <v/>
      </c>
    </row>
    <row r="837" spans="1:14" outlineLevel="1" x14ac:dyDescent="0.25">
      <c r="A837" s="118"/>
      <c r="B837" s="119"/>
      <c r="C837" s="119"/>
      <c r="D837" s="119"/>
      <c r="E837" s="119"/>
      <c r="F837" s="120"/>
      <c r="G837" s="121"/>
      <c r="H837" s="121"/>
      <c r="I837" s="121"/>
      <c r="J837" s="121"/>
      <c r="K837" s="121"/>
      <c r="L837" s="122"/>
      <c r="N837" s="32" t="str">
        <f t="shared" si="16"/>
        <v/>
      </c>
    </row>
    <row r="838" spans="1:14" outlineLevel="1" x14ac:dyDescent="0.25">
      <c r="A838" s="118"/>
      <c r="B838" s="119"/>
      <c r="C838" s="119"/>
      <c r="D838" s="119"/>
      <c r="E838" s="119"/>
      <c r="F838" s="120"/>
      <c r="G838" s="121"/>
      <c r="H838" s="121"/>
      <c r="I838" s="121"/>
      <c r="J838" s="121"/>
      <c r="K838" s="121"/>
      <c r="L838" s="122"/>
      <c r="N838" s="32" t="str">
        <f t="shared" si="16"/>
        <v/>
      </c>
    </row>
    <row r="839" spans="1:14" outlineLevel="1" x14ac:dyDescent="0.25">
      <c r="A839" s="118"/>
      <c r="B839" s="119"/>
      <c r="C839" s="119"/>
      <c r="D839" s="119"/>
      <c r="E839" s="119"/>
      <c r="F839" s="120"/>
      <c r="G839" s="121"/>
      <c r="H839" s="121"/>
      <c r="I839" s="121"/>
      <c r="J839" s="121"/>
      <c r="K839" s="121"/>
      <c r="L839" s="122"/>
      <c r="N839" s="32" t="str">
        <f t="shared" si="16"/>
        <v/>
      </c>
    </row>
    <row r="840" spans="1:14" outlineLevel="1" x14ac:dyDescent="0.25">
      <c r="A840" s="118"/>
      <c r="B840" s="119"/>
      <c r="C840" s="119"/>
      <c r="D840" s="119"/>
      <c r="E840" s="119"/>
      <c r="F840" s="120"/>
      <c r="G840" s="121"/>
      <c r="H840" s="121"/>
      <c r="I840" s="121"/>
      <c r="J840" s="121"/>
      <c r="K840" s="121"/>
      <c r="L840" s="122"/>
      <c r="N840" s="32" t="str">
        <f t="shared" si="16"/>
        <v/>
      </c>
    </row>
    <row r="841" spans="1:14" outlineLevel="1" x14ac:dyDescent="0.25">
      <c r="A841" s="118"/>
      <c r="B841" s="119"/>
      <c r="C841" s="119"/>
      <c r="D841" s="119"/>
      <c r="E841" s="119"/>
      <c r="F841" s="120"/>
      <c r="G841" s="121"/>
      <c r="H841" s="121"/>
      <c r="I841" s="121"/>
      <c r="J841" s="121"/>
      <c r="K841" s="121"/>
      <c r="L841" s="122"/>
      <c r="N841" s="32" t="str">
        <f t="shared" si="16"/>
        <v/>
      </c>
    </row>
    <row r="842" spans="1:14" outlineLevel="1" x14ac:dyDescent="0.25">
      <c r="A842" s="118"/>
      <c r="B842" s="119"/>
      <c r="C842" s="119"/>
      <c r="D842" s="119"/>
      <c r="E842" s="119"/>
      <c r="F842" s="120"/>
      <c r="G842" s="121"/>
      <c r="H842" s="121"/>
      <c r="I842" s="121"/>
      <c r="J842" s="121"/>
      <c r="K842" s="121"/>
      <c r="L842" s="122"/>
      <c r="N842" s="32" t="str">
        <f t="shared" si="16"/>
        <v/>
      </c>
    </row>
    <row r="843" spans="1:14" outlineLevel="1" x14ac:dyDescent="0.25">
      <c r="A843" s="118"/>
      <c r="B843" s="119"/>
      <c r="C843" s="119"/>
      <c r="D843" s="119"/>
      <c r="E843" s="119"/>
      <c r="F843" s="120"/>
      <c r="G843" s="121"/>
      <c r="H843" s="121"/>
      <c r="I843" s="121"/>
      <c r="J843" s="121"/>
      <c r="K843" s="121"/>
      <c r="L843" s="122"/>
      <c r="N843" s="32" t="str">
        <f t="shared" si="16"/>
        <v/>
      </c>
    </row>
    <row r="844" spans="1:14" outlineLevel="1" x14ac:dyDescent="0.25">
      <c r="A844" s="118"/>
      <c r="B844" s="119"/>
      <c r="C844" s="119"/>
      <c r="D844" s="119"/>
      <c r="E844" s="119"/>
      <c r="F844" s="120"/>
      <c r="G844" s="121"/>
      <c r="H844" s="121"/>
      <c r="I844" s="121"/>
      <c r="J844" s="121"/>
      <c r="K844" s="121"/>
      <c r="L844" s="122"/>
      <c r="N844" s="32" t="str">
        <f t="shared" si="16"/>
        <v/>
      </c>
    </row>
    <row r="845" spans="1:14" outlineLevel="1" x14ac:dyDescent="0.25">
      <c r="A845" s="118"/>
      <c r="B845" s="119"/>
      <c r="C845" s="119"/>
      <c r="D845" s="119"/>
      <c r="E845" s="119"/>
      <c r="F845" s="120"/>
      <c r="G845" s="121"/>
      <c r="H845" s="121"/>
      <c r="I845" s="121"/>
      <c r="J845" s="121"/>
      <c r="K845" s="121"/>
      <c r="L845" s="122"/>
      <c r="N845" s="32" t="str">
        <f t="shared" si="16"/>
        <v/>
      </c>
    </row>
    <row r="846" spans="1:14" outlineLevel="1" x14ac:dyDescent="0.25">
      <c r="A846" s="118"/>
      <c r="B846" s="119"/>
      <c r="C846" s="119"/>
      <c r="D846" s="119"/>
      <c r="E846" s="119"/>
      <c r="F846" s="120"/>
      <c r="G846" s="121"/>
      <c r="H846" s="121"/>
      <c r="I846" s="121"/>
      <c r="J846" s="121"/>
      <c r="K846" s="121"/>
      <c r="L846" s="122"/>
      <c r="N846" s="32" t="str">
        <f t="shared" si="16"/>
        <v/>
      </c>
    </row>
    <row r="847" spans="1:14" outlineLevel="1" x14ac:dyDescent="0.25">
      <c r="A847" s="118"/>
      <c r="B847" s="119"/>
      <c r="C847" s="119"/>
      <c r="D847" s="119"/>
      <c r="E847" s="119"/>
      <c r="F847" s="120"/>
      <c r="G847" s="121"/>
      <c r="H847" s="121"/>
      <c r="I847" s="121"/>
      <c r="J847" s="121"/>
      <c r="K847" s="121"/>
      <c r="L847" s="122"/>
      <c r="N847" s="32" t="str">
        <f t="shared" si="16"/>
        <v/>
      </c>
    </row>
    <row r="848" spans="1:14" outlineLevel="1" x14ac:dyDescent="0.25">
      <c r="A848" s="118"/>
      <c r="B848" s="119"/>
      <c r="C848" s="119"/>
      <c r="D848" s="119"/>
      <c r="E848" s="119"/>
      <c r="F848" s="120"/>
      <c r="G848" s="121"/>
      <c r="H848" s="121"/>
      <c r="I848" s="121"/>
      <c r="J848" s="121"/>
      <c r="K848" s="121"/>
      <c r="L848" s="122"/>
      <c r="N848" s="32" t="str">
        <f t="shared" si="16"/>
        <v/>
      </c>
    </row>
    <row r="849" spans="1:14" outlineLevel="1" x14ac:dyDescent="0.25">
      <c r="A849" s="118"/>
      <c r="B849" s="119"/>
      <c r="C849" s="119"/>
      <c r="D849" s="119"/>
      <c r="E849" s="119"/>
      <c r="F849" s="120"/>
      <c r="G849" s="121"/>
      <c r="H849" s="121"/>
      <c r="I849" s="121"/>
      <c r="J849" s="121"/>
      <c r="K849" s="121"/>
      <c r="L849" s="122"/>
      <c r="N849" s="32" t="str">
        <f t="shared" si="16"/>
        <v/>
      </c>
    </row>
    <row r="850" spans="1:14" outlineLevel="1" x14ac:dyDescent="0.25">
      <c r="A850" s="118"/>
      <c r="B850" s="119"/>
      <c r="C850" s="119"/>
      <c r="D850" s="119"/>
      <c r="E850" s="119"/>
      <c r="F850" s="120"/>
      <c r="G850" s="121"/>
      <c r="H850" s="121"/>
      <c r="I850" s="121"/>
      <c r="J850" s="121"/>
      <c r="K850" s="121"/>
      <c r="L850" s="122"/>
      <c r="N850" s="32" t="str">
        <f t="shared" si="16"/>
        <v/>
      </c>
    </row>
    <row r="851" spans="1:14" outlineLevel="1" x14ac:dyDescent="0.25">
      <c r="A851" s="118"/>
      <c r="B851" s="119"/>
      <c r="C851" s="119"/>
      <c r="D851" s="119"/>
      <c r="E851" s="119"/>
      <c r="F851" s="120"/>
      <c r="G851" s="121"/>
      <c r="H851" s="121"/>
      <c r="I851" s="121"/>
      <c r="J851" s="121"/>
      <c r="K851" s="121"/>
      <c r="L851" s="122"/>
      <c r="N851" s="32" t="str">
        <f t="shared" si="16"/>
        <v/>
      </c>
    </row>
    <row r="852" spans="1:14" outlineLevel="1" x14ac:dyDescent="0.25">
      <c r="A852" s="118"/>
      <c r="B852" s="119"/>
      <c r="C852" s="119"/>
      <c r="D852" s="119"/>
      <c r="E852" s="119"/>
      <c r="F852" s="120"/>
      <c r="G852" s="121"/>
      <c r="H852" s="121"/>
      <c r="I852" s="121"/>
      <c r="J852" s="121"/>
      <c r="K852" s="121"/>
      <c r="L852" s="122"/>
      <c r="N852" s="32" t="str">
        <f t="shared" si="16"/>
        <v/>
      </c>
    </row>
    <row r="853" spans="1:14" outlineLevel="1" x14ac:dyDescent="0.25">
      <c r="A853" s="118"/>
      <c r="B853" s="119"/>
      <c r="C853" s="119"/>
      <c r="D853" s="119"/>
      <c r="E853" s="119"/>
      <c r="F853" s="120"/>
      <c r="G853" s="121"/>
      <c r="H853" s="121"/>
      <c r="I853" s="121"/>
      <c r="J853" s="121"/>
      <c r="K853" s="121"/>
      <c r="L853" s="122"/>
      <c r="N853" s="32" t="str">
        <f t="shared" si="16"/>
        <v/>
      </c>
    </row>
    <row r="854" spans="1:14" outlineLevel="1" x14ac:dyDescent="0.25">
      <c r="A854" s="118"/>
      <c r="B854" s="119"/>
      <c r="C854" s="119"/>
      <c r="D854" s="119"/>
      <c r="E854" s="119"/>
      <c r="F854" s="120"/>
      <c r="G854" s="121"/>
      <c r="H854" s="121"/>
      <c r="I854" s="121"/>
      <c r="J854" s="121"/>
      <c r="K854" s="121"/>
      <c r="L854" s="122"/>
      <c r="N854" s="32" t="str">
        <f t="shared" si="16"/>
        <v/>
      </c>
    </row>
    <row r="855" spans="1:14" outlineLevel="1" x14ac:dyDescent="0.25">
      <c r="A855" s="118"/>
      <c r="B855" s="119"/>
      <c r="C855" s="119"/>
      <c r="D855" s="119"/>
      <c r="E855" s="119"/>
      <c r="F855" s="120"/>
      <c r="G855" s="121"/>
      <c r="H855" s="121"/>
      <c r="I855" s="121"/>
      <c r="J855" s="121"/>
      <c r="K855" s="121"/>
      <c r="L855" s="122"/>
      <c r="N855" s="32" t="str">
        <f t="shared" si="16"/>
        <v/>
      </c>
    </row>
    <row r="856" spans="1:14" outlineLevel="1" x14ac:dyDescent="0.25">
      <c r="A856" s="118"/>
      <c r="B856" s="119"/>
      <c r="C856" s="119"/>
      <c r="D856" s="119"/>
      <c r="E856" s="119"/>
      <c r="F856" s="120"/>
      <c r="G856" s="121"/>
      <c r="H856" s="121"/>
      <c r="I856" s="121"/>
      <c r="J856" s="121"/>
      <c r="K856" s="121"/>
      <c r="L856" s="122"/>
      <c r="N856" s="32" t="str">
        <f t="shared" si="16"/>
        <v/>
      </c>
    </row>
    <row r="857" spans="1:14" outlineLevel="1" x14ac:dyDescent="0.25">
      <c r="A857" s="118"/>
      <c r="B857" s="119"/>
      <c r="C857" s="119"/>
      <c r="D857" s="119"/>
      <c r="E857" s="119"/>
      <c r="F857" s="120"/>
      <c r="G857" s="121"/>
      <c r="H857" s="121"/>
      <c r="I857" s="121"/>
      <c r="J857" s="121"/>
      <c r="K857" s="121"/>
      <c r="L857" s="122"/>
      <c r="N857" s="32" t="str">
        <f t="shared" si="16"/>
        <v/>
      </c>
    </row>
    <row r="858" spans="1:14" outlineLevel="1" x14ac:dyDescent="0.25">
      <c r="A858" s="118"/>
      <c r="B858" s="119"/>
      <c r="C858" s="119"/>
      <c r="D858" s="119"/>
      <c r="E858" s="119"/>
      <c r="F858" s="120"/>
      <c r="G858" s="121"/>
      <c r="H858" s="121"/>
      <c r="I858" s="121"/>
      <c r="J858" s="121"/>
      <c r="K858" s="121"/>
      <c r="L858" s="122"/>
      <c r="N858" s="32" t="str">
        <f t="shared" si="16"/>
        <v/>
      </c>
    </row>
    <row r="859" spans="1:14" outlineLevel="1" x14ac:dyDescent="0.25">
      <c r="A859" s="118"/>
      <c r="B859" s="119"/>
      <c r="C859" s="119"/>
      <c r="D859" s="119"/>
      <c r="E859" s="119"/>
      <c r="F859" s="120"/>
      <c r="G859" s="121"/>
      <c r="H859" s="121"/>
      <c r="I859" s="121"/>
      <c r="J859" s="121"/>
      <c r="K859" s="121"/>
      <c r="L859" s="122"/>
      <c r="N859" s="32" t="str">
        <f t="shared" si="16"/>
        <v/>
      </c>
    </row>
    <row r="860" spans="1:14" outlineLevel="1" x14ac:dyDescent="0.25">
      <c r="A860" s="118"/>
      <c r="B860" s="119"/>
      <c r="C860" s="119"/>
      <c r="D860" s="119"/>
      <c r="E860" s="119"/>
      <c r="F860" s="120"/>
      <c r="G860" s="121"/>
      <c r="H860" s="121"/>
      <c r="I860" s="121"/>
      <c r="J860" s="121"/>
      <c r="K860" s="121"/>
      <c r="L860" s="122"/>
      <c r="N860" s="32" t="str">
        <f t="shared" si="16"/>
        <v/>
      </c>
    </row>
    <row r="861" spans="1:14" outlineLevel="1" x14ac:dyDescent="0.25">
      <c r="A861" s="118"/>
      <c r="B861" s="119"/>
      <c r="C861" s="119"/>
      <c r="D861" s="119"/>
      <c r="E861" s="119"/>
      <c r="F861" s="120"/>
      <c r="G861" s="121"/>
      <c r="H861" s="121"/>
      <c r="I861" s="121"/>
      <c r="J861" s="121"/>
      <c r="K861" s="121"/>
      <c r="L861" s="122"/>
      <c r="N861" s="32" t="str">
        <f t="shared" si="16"/>
        <v/>
      </c>
    </row>
    <row r="862" spans="1:14" outlineLevel="1" x14ac:dyDescent="0.25">
      <c r="A862" s="118"/>
      <c r="B862" s="119"/>
      <c r="C862" s="119"/>
      <c r="D862" s="119"/>
      <c r="E862" s="119"/>
      <c r="F862" s="120"/>
      <c r="G862" s="121"/>
      <c r="H862" s="121"/>
      <c r="I862" s="121"/>
      <c r="J862" s="121"/>
      <c r="K862" s="121"/>
      <c r="L862" s="122"/>
      <c r="N862" s="32" t="str">
        <f t="shared" si="16"/>
        <v/>
      </c>
    </row>
    <row r="863" spans="1:14" outlineLevel="1" x14ac:dyDescent="0.25">
      <c r="A863" s="118"/>
      <c r="B863" s="119"/>
      <c r="C863" s="119"/>
      <c r="D863" s="119"/>
      <c r="E863" s="119"/>
      <c r="F863" s="120"/>
      <c r="G863" s="121"/>
      <c r="H863" s="121"/>
      <c r="I863" s="121"/>
      <c r="J863" s="121"/>
      <c r="K863" s="121"/>
      <c r="L863" s="122"/>
      <c r="N863" s="32" t="str">
        <f t="shared" si="16"/>
        <v/>
      </c>
    </row>
    <row r="864" spans="1:14" outlineLevel="1" x14ac:dyDescent="0.25">
      <c r="A864" s="118"/>
      <c r="B864" s="119"/>
      <c r="C864" s="119"/>
      <c r="D864" s="119"/>
      <c r="E864" s="119"/>
      <c r="F864" s="120"/>
      <c r="G864" s="121"/>
      <c r="H864" s="121"/>
      <c r="I864" s="121"/>
      <c r="J864" s="121"/>
      <c r="K864" s="121"/>
      <c r="L864" s="122"/>
      <c r="N864" s="32" t="str">
        <f t="shared" si="16"/>
        <v/>
      </c>
    </row>
    <row r="865" spans="1:14" outlineLevel="1" x14ac:dyDescent="0.25">
      <c r="A865" s="118"/>
      <c r="B865" s="119"/>
      <c r="C865" s="119"/>
      <c r="D865" s="119"/>
      <c r="E865" s="119"/>
      <c r="F865" s="120"/>
      <c r="G865" s="121"/>
      <c r="H865" s="121"/>
      <c r="I865" s="121"/>
      <c r="J865" s="121"/>
      <c r="K865" s="121"/>
      <c r="L865" s="122"/>
      <c r="N865" s="32" t="str">
        <f t="shared" si="16"/>
        <v/>
      </c>
    </row>
    <row r="866" spans="1:14" outlineLevel="1" x14ac:dyDescent="0.25">
      <c r="A866" s="118"/>
      <c r="B866" s="119"/>
      <c r="C866" s="119"/>
      <c r="D866" s="119"/>
      <c r="E866" s="119"/>
      <c r="F866" s="120"/>
      <c r="G866" s="121"/>
      <c r="H866" s="121"/>
      <c r="I866" s="121"/>
      <c r="J866" s="121"/>
      <c r="K866" s="121"/>
      <c r="L866" s="122"/>
      <c r="N866" s="32" t="str">
        <f t="shared" si="16"/>
        <v/>
      </c>
    </row>
    <row r="867" spans="1:14" outlineLevel="1" x14ac:dyDescent="0.25">
      <c r="A867" s="118"/>
      <c r="B867" s="119"/>
      <c r="C867" s="119"/>
      <c r="D867" s="119"/>
      <c r="E867" s="119"/>
      <c r="F867" s="120"/>
      <c r="G867" s="121"/>
      <c r="H867" s="121"/>
      <c r="I867" s="121"/>
      <c r="J867" s="121"/>
      <c r="K867" s="121"/>
      <c r="L867" s="122"/>
      <c r="N867" s="32" t="str">
        <f t="shared" si="16"/>
        <v/>
      </c>
    </row>
    <row r="868" spans="1:14" outlineLevel="1" x14ac:dyDescent="0.25">
      <c r="A868" s="118"/>
      <c r="B868" s="119"/>
      <c r="C868" s="119"/>
      <c r="D868" s="119"/>
      <c r="E868" s="119"/>
      <c r="F868" s="120"/>
      <c r="G868" s="121"/>
      <c r="H868" s="121"/>
      <c r="I868" s="121"/>
      <c r="J868" s="121"/>
      <c r="K868" s="121"/>
      <c r="L868" s="122"/>
      <c r="N868" s="32" t="str">
        <f t="shared" si="16"/>
        <v/>
      </c>
    </row>
    <row r="869" spans="1:14" outlineLevel="1" x14ac:dyDescent="0.25">
      <c r="A869" s="118"/>
      <c r="B869" s="119"/>
      <c r="C869" s="119"/>
      <c r="D869" s="119"/>
      <c r="E869" s="119"/>
      <c r="F869" s="120"/>
      <c r="G869" s="121"/>
      <c r="H869" s="121"/>
      <c r="I869" s="121"/>
      <c r="J869" s="121"/>
      <c r="K869" s="121"/>
      <c r="L869" s="122"/>
      <c r="N869" s="32" t="str">
        <f t="shared" si="16"/>
        <v/>
      </c>
    </row>
    <row r="870" spans="1:14" outlineLevel="1" x14ac:dyDescent="0.25">
      <c r="A870" s="118"/>
      <c r="B870" s="119"/>
      <c r="C870" s="119"/>
      <c r="D870" s="119"/>
      <c r="E870" s="119"/>
      <c r="F870" s="120"/>
      <c r="G870" s="121"/>
      <c r="H870" s="121"/>
      <c r="I870" s="121"/>
      <c r="J870" s="121"/>
      <c r="K870" s="121"/>
      <c r="L870" s="122"/>
      <c r="N870" s="32" t="str">
        <f t="shared" si="16"/>
        <v/>
      </c>
    </row>
    <row r="871" spans="1:14" outlineLevel="1" x14ac:dyDescent="0.25">
      <c r="A871" s="118"/>
      <c r="B871" s="119"/>
      <c r="C871" s="119"/>
      <c r="D871" s="119"/>
      <c r="E871" s="119"/>
      <c r="F871" s="120"/>
      <c r="G871" s="121"/>
      <c r="H871" s="121"/>
      <c r="I871" s="121"/>
      <c r="J871" s="121"/>
      <c r="K871" s="121"/>
      <c r="L871" s="122"/>
      <c r="N871" s="32" t="str">
        <f t="shared" si="15"/>
        <v/>
      </c>
    </row>
    <row r="872" spans="1:14" outlineLevel="1" x14ac:dyDescent="0.25">
      <c r="A872" s="118"/>
      <c r="B872" s="119"/>
      <c r="C872" s="119"/>
      <c r="D872" s="119"/>
      <c r="E872" s="119"/>
      <c r="F872" s="120"/>
      <c r="G872" s="121"/>
      <c r="H872" s="121"/>
      <c r="I872" s="121"/>
      <c r="J872" s="121"/>
      <c r="K872" s="121"/>
      <c r="L872" s="122"/>
      <c r="N872" s="32" t="str">
        <f t="shared" si="15"/>
        <v/>
      </c>
    </row>
    <row r="873" spans="1:14" outlineLevel="1" x14ac:dyDescent="0.25">
      <c r="A873" s="118"/>
      <c r="B873" s="119"/>
      <c r="C873" s="119"/>
      <c r="D873" s="119"/>
      <c r="E873" s="119"/>
      <c r="F873" s="120"/>
      <c r="G873" s="121"/>
      <c r="H873" s="121"/>
      <c r="I873" s="121"/>
      <c r="J873" s="121"/>
      <c r="K873" s="121"/>
      <c r="L873" s="122"/>
      <c r="N873" s="32" t="str">
        <f t="shared" si="15"/>
        <v/>
      </c>
    </row>
    <row r="874" spans="1:14" outlineLevel="1" x14ac:dyDescent="0.25">
      <c r="A874" s="118"/>
      <c r="B874" s="119"/>
      <c r="C874" s="119"/>
      <c r="D874" s="119"/>
      <c r="E874" s="119"/>
      <c r="F874" s="120"/>
      <c r="G874" s="121"/>
      <c r="H874" s="121"/>
      <c r="I874" s="121"/>
      <c r="J874" s="121"/>
      <c r="K874" s="121"/>
      <c r="L874" s="122"/>
      <c r="N874" s="32" t="str">
        <f t="shared" ref="N874:N930" si="17">IF(ISBLANK(D874),IF(ISBLANK(E874),"",E874),D874)</f>
        <v/>
      </c>
    </row>
    <row r="875" spans="1:14" outlineLevel="1" x14ac:dyDescent="0.25">
      <c r="A875" s="118"/>
      <c r="B875" s="119"/>
      <c r="C875" s="119"/>
      <c r="D875" s="119"/>
      <c r="E875" s="119"/>
      <c r="F875" s="120"/>
      <c r="G875" s="121"/>
      <c r="H875" s="121"/>
      <c r="I875" s="121"/>
      <c r="J875" s="121"/>
      <c r="K875" s="121"/>
      <c r="L875" s="122"/>
      <c r="N875" s="32" t="str">
        <f t="shared" si="17"/>
        <v/>
      </c>
    </row>
    <row r="876" spans="1:14" outlineLevel="1" x14ac:dyDescent="0.25">
      <c r="A876" s="118"/>
      <c r="B876" s="119"/>
      <c r="C876" s="119"/>
      <c r="D876" s="119"/>
      <c r="E876" s="119"/>
      <c r="F876" s="120"/>
      <c r="G876" s="121"/>
      <c r="H876" s="121"/>
      <c r="I876" s="121"/>
      <c r="J876" s="121"/>
      <c r="K876" s="121"/>
      <c r="L876" s="122"/>
      <c r="N876" s="32" t="str">
        <f t="shared" si="17"/>
        <v/>
      </c>
    </row>
    <row r="877" spans="1:14" outlineLevel="1" x14ac:dyDescent="0.25">
      <c r="A877" s="118"/>
      <c r="B877" s="119"/>
      <c r="C877" s="119"/>
      <c r="D877" s="119"/>
      <c r="E877" s="119"/>
      <c r="F877" s="120"/>
      <c r="G877" s="121"/>
      <c r="H877" s="121"/>
      <c r="I877" s="121"/>
      <c r="J877" s="121"/>
      <c r="K877" s="121"/>
      <c r="L877" s="122"/>
      <c r="N877" s="32" t="str">
        <f t="shared" si="17"/>
        <v/>
      </c>
    </row>
    <row r="878" spans="1:14" outlineLevel="1" x14ac:dyDescent="0.25">
      <c r="A878" s="118"/>
      <c r="B878" s="119"/>
      <c r="C878" s="119"/>
      <c r="D878" s="119"/>
      <c r="E878" s="119"/>
      <c r="F878" s="120"/>
      <c r="G878" s="121"/>
      <c r="H878" s="121"/>
      <c r="I878" s="121"/>
      <c r="J878" s="121"/>
      <c r="K878" s="121"/>
      <c r="L878" s="122"/>
      <c r="N878" s="32" t="str">
        <f t="shared" si="17"/>
        <v/>
      </c>
    </row>
    <row r="879" spans="1:14" outlineLevel="1" x14ac:dyDescent="0.25">
      <c r="A879" s="118"/>
      <c r="B879" s="119"/>
      <c r="C879" s="119"/>
      <c r="D879" s="119"/>
      <c r="E879" s="119"/>
      <c r="F879" s="120"/>
      <c r="G879" s="121"/>
      <c r="H879" s="121"/>
      <c r="I879" s="121"/>
      <c r="J879" s="121"/>
      <c r="K879" s="121"/>
      <c r="L879" s="122"/>
      <c r="N879" s="32" t="str">
        <f t="shared" si="17"/>
        <v/>
      </c>
    </row>
    <row r="880" spans="1:14" outlineLevel="1" x14ac:dyDescent="0.25">
      <c r="A880" s="118"/>
      <c r="B880" s="119"/>
      <c r="C880" s="119"/>
      <c r="D880" s="119"/>
      <c r="E880" s="119"/>
      <c r="F880" s="120"/>
      <c r="G880" s="121"/>
      <c r="H880" s="121"/>
      <c r="I880" s="121"/>
      <c r="J880" s="121"/>
      <c r="K880" s="121"/>
      <c r="L880" s="122"/>
      <c r="N880" s="32" t="str">
        <f t="shared" si="17"/>
        <v/>
      </c>
    </row>
    <row r="881" spans="1:14" outlineLevel="1" x14ac:dyDescent="0.25">
      <c r="A881" s="118"/>
      <c r="B881" s="119"/>
      <c r="C881" s="119"/>
      <c r="D881" s="119"/>
      <c r="E881" s="119"/>
      <c r="F881" s="120"/>
      <c r="G881" s="121"/>
      <c r="H881" s="121"/>
      <c r="I881" s="121"/>
      <c r="J881" s="121"/>
      <c r="K881" s="121"/>
      <c r="L881" s="122"/>
      <c r="N881" s="32" t="str">
        <f t="shared" si="17"/>
        <v/>
      </c>
    </row>
    <row r="882" spans="1:14" outlineLevel="1" x14ac:dyDescent="0.25">
      <c r="A882" s="118"/>
      <c r="B882" s="119"/>
      <c r="C882" s="119"/>
      <c r="D882" s="119"/>
      <c r="E882" s="119"/>
      <c r="F882" s="120"/>
      <c r="G882" s="121"/>
      <c r="H882" s="121"/>
      <c r="I882" s="121"/>
      <c r="J882" s="121"/>
      <c r="K882" s="121"/>
      <c r="L882" s="122"/>
      <c r="N882" s="32" t="str">
        <f t="shared" si="17"/>
        <v/>
      </c>
    </row>
    <row r="883" spans="1:14" outlineLevel="1" x14ac:dyDescent="0.25">
      <c r="A883" s="118"/>
      <c r="B883" s="119"/>
      <c r="C883" s="119"/>
      <c r="D883" s="119"/>
      <c r="E883" s="119"/>
      <c r="F883" s="120"/>
      <c r="G883" s="121"/>
      <c r="H883" s="121"/>
      <c r="I883" s="121"/>
      <c r="J883" s="121"/>
      <c r="K883" s="121"/>
      <c r="L883" s="122"/>
      <c r="N883" s="32" t="str">
        <f t="shared" si="17"/>
        <v/>
      </c>
    </row>
    <row r="884" spans="1:14" outlineLevel="1" x14ac:dyDescent="0.25">
      <c r="A884" s="118"/>
      <c r="B884" s="119"/>
      <c r="C884" s="119"/>
      <c r="D884" s="119"/>
      <c r="E884" s="119"/>
      <c r="F884" s="120"/>
      <c r="G884" s="121"/>
      <c r="H884" s="121"/>
      <c r="I884" s="121"/>
      <c r="J884" s="121"/>
      <c r="K884" s="121"/>
      <c r="L884" s="122"/>
      <c r="N884" s="32" t="str">
        <f t="shared" si="17"/>
        <v/>
      </c>
    </row>
    <row r="885" spans="1:14" outlineLevel="1" x14ac:dyDescent="0.25">
      <c r="A885" s="118"/>
      <c r="B885" s="119"/>
      <c r="C885" s="119"/>
      <c r="D885" s="119"/>
      <c r="E885" s="119"/>
      <c r="F885" s="120"/>
      <c r="G885" s="121"/>
      <c r="H885" s="121"/>
      <c r="I885" s="121"/>
      <c r="J885" s="121"/>
      <c r="K885" s="121"/>
      <c r="L885" s="122"/>
      <c r="N885" s="32" t="str">
        <f t="shared" si="17"/>
        <v/>
      </c>
    </row>
    <row r="886" spans="1:14" outlineLevel="1" x14ac:dyDescent="0.25">
      <c r="A886" s="118"/>
      <c r="B886" s="119"/>
      <c r="C886" s="119"/>
      <c r="D886" s="119"/>
      <c r="E886" s="119"/>
      <c r="F886" s="120"/>
      <c r="G886" s="121"/>
      <c r="H886" s="121"/>
      <c r="I886" s="121"/>
      <c r="J886" s="121"/>
      <c r="K886" s="121"/>
      <c r="L886" s="122"/>
      <c r="N886" s="32" t="str">
        <f t="shared" si="17"/>
        <v/>
      </c>
    </row>
    <row r="887" spans="1:14" outlineLevel="1" x14ac:dyDescent="0.25">
      <c r="A887" s="118"/>
      <c r="B887" s="119"/>
      <c r="C887" s="119"/>
      <c r="D887" s="119"/>
      <c r="E887" s="119"/>
      <c r="F887" s="120"/>
      <c r="G887" s="121"/>
      <c r="H887" s="121"/>
      <c r="I887" s="121"/>
      <c r="J887" s="121"/>
      <c r="K887" s="121"/>
      <c r="L887" s="122"/>
      <c r="N887" s="32" t="str">
        <f t="shared" si="17"/>
        <v/>
      </c>
    </row>
    <row r="888" spans="1:14" outlineLevel="1" x14ac:dyDescent="0.25">
      <c r="A888" s="118"/>
      <c r="B888" s="119"/>
      <c r="C888" s="119"/>
      <c r="D888" s="119"/>
      <c r="E888" s="119"/>
      <c r="F888" s="120"/>
      <c r="G888" s="121"/>
      <c r="H888" s="121"/>
      <c r="I888" s="121"/>
      <c r="J888" s="121"/>
      <c r="K888" s="121"/>
      <c r="L888" s="122"/>
      <c r="N888" s="32" t="str">
        <f t="shared" si="17"/>
        <v/>
      </c>
    </row>
    <row r="889" spans="1:14" outlineLevel="1" x14ac:dyDescent="0.25">
      <c r="A889" s="118"/>
      <c r="B889" s="119"/>
      <c r="C889" s="119"/>
      <c r="D889" s="119"/>
      <c r="E889" s="119"/>
      <c r="F889" s="120"/>
      <c r="G889" s="121"/>
      <c r="H889" s="121"/>
      <c r="I889" s="121"/>
      <c r="J889" s="121"/>
      <c r="K889" s="121"/>
      <c r="L889" s="122"/>
      <c r="N889" s="32" t="str">
        <f t="shared" si="17"/>
        <v/>
      </c>
    </row>
    <row r="890" spans="1:14" outlineLevel="1" x14ac:dyDescent="0.25">
      <c r="A890" s="118"/>
      <c r="B890" s="119"/>
      <c r="C890" s="119"/>
      <c r="D890" s="119"/>
      <c r="E890" s="119"/>
      <c r="F890" s="120"/>
      <c r="G890" s="121"/>
      <c r="H890" s="121"/>
      <c r="I890" s="121"/>
      <c r="J890" s="121"/>
      <c r="K890" s="121"/>
      <c r="L890" s="122"/>
      <c r="N890" s="32" t="str">
        <f t="shared" si="17"/>
        <v/>
      </c>
    </row>
    <row r="891" spans="1:14" outlineLevel="1" x14ac:dyDescent="0.25">
      <c r="A891" s="118"/>
      <c r="B891" s="119"/>
      <c r="C891" s="119"/>
      <c r="D891" s="119"/>
      <c r="E891" s="119"/>
      <c r="F891" s="120"/>
      <c r="G891" s="121"/>
      <c r="H891" s="121"/>
      <c r="I891" s="121"/>
      <c r="J891" s="121"/>
      <c r="K891" s="121"/>
      <c r="L891" s="122"/>
      <c r="N891" s="32" t="str">
        <f t="shared" si="17"/>
        <v/>
      </c>
    </row>
    <row r="892" spans="1:14" outlineLevel="1" x14ac:dyDescent="0.25">
      <c r="A892" s="118"/>
      <c r="B892" s="119"/>
      <c r="C892" s="119"/>
      <c r="D892" s="119"/>
      <c r="E892" s="119"/>
      <c r="F892" s="120"/>
      <c r="G892" s="121"/>
      <c r="H892" s="121"/>
      <c r="I892" s="121"/>
      <c r="J892" s="121"/>
      <c r="K892" s="121"/>
      <c r="L892" s="122"/>
      <c r="N892" s="32" t="str">
        <f t="shared" si="17"/>
        <v/>
      </c>
    </row>
    <row r="893" spans="1:14" outlineLevel="1" x14ac:dyDescent="0.25">
      <c r="A893" s="118"/>
      <c r="B893" s="119"/>
      <c r="C893" s="119"/>
      <c r="D893" s="119"/>
      <c r="E893" s="119"/>
      <c r="F893" s="120"/>
      <c r="G893" s="121"/>
      <c r="H893" s="121"/>
      <c r="I893" s="121"/>
      <c r="J893" s="121"/>
      <c r="K893" s="121"/>
      <c r="L893" s="122"/>
      <c r="N893" s="32" t="str">
        <f t="shared" si="17"/>
        <v/>
      </c>
    </row>
    <row r="894" spans="1:14" outlineLevel="1" x14ac:dyDescent="0.25">
      <c r="A894" s="118"/>
      <c r="B894" s="119"/>
      <c r="C894" s="119"/>
      <c r="D894" s="119"/>
      <c r="E894" s="119"/>
      <c r="F894" s="120"/>
      <c r="G894" s="121"/>
      <c r="H894" s="121"/>
      <c r="I894" s="121"/>
      <c r="J894" s="121"/>
      <c r="K894" s="121"/>
      <c r="L894" s="122"/>
      <c r="N894" s="32" t="str">
        <f t="shared" si="17"/>
        <v/>
      </c>
    </row>
    <row r="895" spans="1:14" outlineLevel="1" x14ac:dyDescent="0.25">
      <c r="A895" s="118"/>
      <c r="B895" s="119"/>
      <c r="C895" s="119"/>
      <c r="D895" s="119"/>
      <c r="E895" s="119"/>
      <c r="F895" s="120"/>
      <c r="G895" s="121"/>
      <c r="H895" s="121"/>
      <c r="I895" s="121"/>
      <c r="J895" s="121"/>
      <c r="K895" s="121"/>
      <c r="L895" s="122"/>
      <c r="N895" s="32" t="str">
        <f t="shared" si="17"/>
        <v/>
      </c>
    </row>
    <row r="896" spans="1:14" outlineLevel="1" x14ac:dyDescent="0.25">
      <c r="A896" s="118"/>
      <c r="B896" s="119"/>
      <c r="C896" s="119"/>
      <c r="D896" s="119"/>
      <c r="E896" s="119"/>
      <c r="F896" s="120"/>
      <c r="G896" s="121"/>
      <c r="H896" s="121"/>
      <c r="I896" s="121"/>
      <c r="J896" s="121"/>
      <c r="K896" s="121"/>
      <c r="L896" s="122"/>
      <c r="N896" s="32" t="str">
        <f t="shared" si="17"/>
        <v/>
      </c>
    </row>
    <row r="897" spans="1:14" outlineLevel="1" x14ac:dyDescent="0.25">
      <c r="A897" s="118"/>
      <c r="B897" s="119"/>
      <c r="C897" s="119"/>
      <c r="D897" s="119"/>
      <c r="E897" s="119"/>
      <c r="F897" s="120"/>
      <c r="G897" s="121"/>
      <c r="H897" s="121"/>
      <c r="I897" s="121"/>
      <c r="J897" s="121"/>
      <c r="K897" s="121"/>
      <c r="L897" s="122"/>
      <c r="N897" s="32" t="str">
        <f t="shared" si="17"/>
        <v/>
      </c>
    </row>
    <row r="898" spans="1:14" outlineLevel="1" x14ac:dyDescent="0.25">
      <c r="A898" s="118"/>
      <c r="B898" s="119"/>
      <c r="C898" s="119"/>
      <c r="D898" s="119"/>
      <c r="E898" s="119"/>
      <c r="F898" s="120"/>
      <c r="G898" s="121"/>
      <c r="H898" s="121"/>
      <c r="I898" s="121"/>
      <c r="J898" s="121"/>
      <c r="K898" s="121"/>
      <c r="L898" s="122"/>
      <c r="N898" s="32" t="str">
        <f t="shared" si="17"/>
        <v/>
      </c>
    </row>
    <row r="899" spans="1:14" outlineLevel="1" x14ac:dyDescent="0.25">
      <c r="A899" s="118"/>
      <c r="B899" s="119"/>
      <c r="C899" s="119"/>
      <c r="D899" s="119"/>
      <c r="E899" s="119"/>
      <c r="F899" s="120"/>
      <c r="G899" s="121"/>
      <c r="H899" s="121"/>
      <c r="I899" s="121"/>
      <c r="J899" s="121"/>
      <c r="K899" s="121"/>
      <c r="L899" s="122"/>
      <c r="N899" s="32" t="str">
        <f t="shared" si="17"/>
        <v/>
      </c>
    </row>
    <row r="900" spans="1:14" outlineLevel="1" x14ac:dyDescent="0.25">
      <c r="A900" s="118"/>
      <c r="B900" s="119"/>
      <c r="C900" s="119"/>
      <c r="D900" s="119"/>
      <c r="E900" s="119"/>
      <c r="F900" s="120"/>
      <c r="G900" s="121"/>
      <c r="H900" s="121"/>
      <c r="I900" s="121"/>
      <c r="J900" s="121"/>
      <c r="K900" s="121"/>
      <c r="L900" s="122"/>
      <c r="N900" s="32" t="str">
        <f t="shared" si="17"/>
        <v/>
      </c>
    </row>
    <row r="901" spans="1:14" outlineLevel="1" x14ac:dyDescent="0.25">
      <c r="A901" s="118"/>
      <c r="B901" s="119"/>
      <c r="C901" s="119"/>
      <c r="D901" s="119"/>
      <c r="E901" s="119"/>
      <c r="F901" s="120"/>
      <c r="G901" s="121"/>
      <c r="H901" s="121"/>
      <c r="I901" s="121"/>
      <c r="J901" s="121"/>
      <c r="K901" s="121"/>
      <c r="L901" s="122"/>
      <c r="N901" s="32" t="str">
        <f t="shared" si="17"/>
        <v/>
      </c>
    </row>
    <row r="902" spans="1:14" outlineLevel="1" x14ac:dyDescent="0.25">
      <c r="A902" s="118"/>
      <c r="B902" s="119"/>
      <c r="C902" s="119"/>
      <c r="D902" s="119"/>
      <c r="E902" s="119"/>
      <c r="F902" s="120"/>
      <c r="G902" s="121"/>
      <c r="H902" s="121"/>
      <c r="I902" s="121"/>
      <c r="J902" s="121"/>
      <c r="K902" s="121"/>
      <c r="L902" s="122"/>
      <c r="N902" s="32" t="str">
        <f t="shared" si="17"/>
        <v/>
      </c>
    </row>
    <row r="903" spans="1:14" outlineLevel="1" x14ac:dyDescent="0.25">
      <c r="A903" s="118"/>
      <c r="B903" s="119"/>
      <c r="C903" s="119"/>
      <c r="D903" s="119"/>
      <c r="E903" s="119"/>
      <c r="F903" s="120"/>
      <c r="G903" s="121"/>
      <c r="H903" s="121"/>
      <c r="I903" s="121"/>
      <c r="J903" s="121"/>
      <c r="K903" s="121"/>
      <c r="L903" s="122"/>
      <c r="N903" s="32" t="str">
        <f t="shared" si="17"/>
        <v/>
      </c>
    </row>
    <row r="904" spans="1:14" outlineLevel="1" x14ac:dyDescent="0.25">
      <c r="A904" s="118"/>
      <c r="B904" s="119"/>
      <c r="C904" s="119"/>
      <c r="D904" s="119"/>
      <c r="E904" s="119"/>
      <c r="F904" s="120"/>
      <c r="G904" s="121"/>
      <c r="H904" s="121"/>
      <c r="I904" s="121"/>
      <c r="J904" s="121"/>
      <c r="K904" s="121"/>
      <c r="L904" s="122"/>
      <c r="N904" s="32" t="str">
        <f t="shared" si="17"/>
        <v/>
      </c>
    </row>
    <row r="905" spans="1:14" outlineLevel="1" x14ac:dyDescent="0.25">
      <c r="A905" s="118"/>
      <c r="B905" s="119"/>
      <c r="C905" s="119"/>
      <c r="D905" s="119"/>
      <c r="E905" s="119"/>
      <c r="F905" s="120"/>
      <c r="G905" s="121"/>
      <c r="H905" s="121"/>
      <c r="I905" s="121"/>
      <c r="J905" s="121"/>
      <c r="K905" s="121"/>
      <c r="L905" s="122"/>
      <c r="N905" s="32" t="str">
        <f t="shared" si="17"/>
        <v/>
      </c>
    </row>
    <row r="906" spans="1:14" outlineLevel="1" x14ac:dyDescent="0.25">
      <c r="A906" s="118"/>
      <c r="B906" s="119"/>
      <c r="C906" s="119"/>
      <c r="D906" s="119"/>
      <c r="E906" s="119"/>
      <c r="F906" s="120"/>
      <c r="G906" s="121"/>
      <c r="H906" s="121"/>
      <c r="I906" s="121"/>
      <c r="J906" s="121"/>
      <c r="K906" s="121"/>
      <c r="L906" s="122"/>
      <c r="N906" s="32" t="str">
        <f t="shared" si="17"/>
        <v/>
      </c>
    </row>
    <row r="907" spans="1:14" outlineLevel="1" x14ac:dyDescent="0.25">
      <c r="A907" s="118"/>
      <c r="B907" s="119"/>
      <c r="C907" s="119"/>
      <c r="D907" s="119"/>
      <c r="E907" s="119"/>
      <c r="F907" s="120"/>
      <c r="G907" s="121"/>
      <c r="H907" s="121"/>
      <c r="I907" s="121"/>
      <c r="J907" s="121"/>
      <c r="K907" s="121"/>
      <c r="L907" s="122"/>
      <c r="N907" s="32" t="str">
        <f t="shared" si="17"/>
        <v/>
      </c>
    </row>
    <row r="908" spans="1:14" outlineLevel="1" x14ac:dyDescent="0.25">
      <c r="A908" s="118"/>
      <c r="B908" s="119"/>
      <c r="C908" s="119"/>
      <c r="D908" s="119"/>
      <c r="E908" s="119"/>
      <c r="F908" s="120"/>
      <c r="G908" s="121"/>
      <c r="H908" s="121"/>
      <c r="I908" s="121"/>
      <c r="J908" s="121"/>
      <c r="K908" s="121"/>
      <c r="L908" s="122"/>
      <c r="N908" s="32" t="str">
        <f t="shared" si="17"/>
        <v/>
      </c>
    </row>
    <row r="909" spans="1:14" outlineLevel="1" x14ac:dyDescent="0.25">
      <c r="A909" s="118"/>
      <c r="B909" s="119"/>
      <c r="C909" s="119"/>
      <c r="D909" s="119"/>
      <c r="E909" s="119"/>
      <c r="F909" s="120"/>
      <c r="G909" s="121"/>
      <c r="H909" s="121"/>
      <c r="I909" s="121"/>
      <c r="J909" s="121"/>
      <c r="K909" s="121"/>
      <c r="L909" s="122"/>
      <c r="N909" s="32" t="str">
        <f t="shared" si="17"/>
        <v/>
      </c>
    </row>
    <row r="910" spans="1:14" outlineLevel="1" x14ac:dyDescent="0.25">
      <c r="A910" s="118"/>
      <c r="B910" s="119"/>
      <c r="C910" s="119"/>
      <c r="D910" s="119"/>
      <c r="E910" s="119"/>
      <c r="F910" s="120"/>
      <c r="G910" s="121"/>
      <c r="H910" s="121"/>
      <c r="I910" s="121"/>
      <c r="J910" s="121"/>
      <c r="K910" s="121"/>
      <c r="L910" s="122"/>
      <c r="N910" s="32" t="str">
        <f t="shared" si="17"/>
        <v/>
      </c>
    </row>
    <row r="911" spans="1:14" outlineLevel="1" x14ac:dyDescent="0.25">
      <c r="A911" s="118"/>
      <c r="B911" s="119"/>
      <c r="C911" s="119"/>
      <c r="D911" s="119"/>
      <c r="E911" s="119"/>
      <c r="F911" s="120"/>
      <c r="G911" s="121"/>
      <c r="H911" s="121"/>
      <c r="I911" s="121"/>
      <c r="J911" s="121"/>
      <c r="K911" s="121"/>
      <c r="L911" s="122"/>
      <c r="N911" s="32" t="str">
        <f t="shared" si="17"/>
        <v/>
      </c>
    </row>
    <row r="912" spans="1:14" outlineLevel="1" x14ac:dyDescent="0.25">
      <c r="A912" s="118"/>
      <c r="B912" s="119"/>
      <c r="C912" s="119"/>
      <c r="D912" s="119"/>
      <c r="E912" s="119"/>
      <c r="F912" s="120"/>
      <c r="G912" s="121"/>
      <c r="H912" s="121"/>
      <c r="I912" s="121"/>
      <c r="J912" s="121"/>
      <c r="K912" s="121"/>
      <c r="L912" s="122"/>
      <c r="N912" s="32" t="str">
        <f t="shared" si="17"/>
        <v/>
      </c>
    </row>
    <row r="913" spans="1:14" outlineLevel="1" x14ac:dyDescent="0.25">
      <c r="A913" s="118"/>
      <c r="B913" s="119"/>
      <c r="C913" s="119"/>
      <c r="D913" s="119"/>
      <c r="E913" s="119"/>
      <c r="F913" s="120"/>
      <c r="G913" s="121"/>
      <c r="H913" s="121"/>
      <c r="I913" s="121"/>
      <c r="J913" s="121"/>
      <c r="K913" s="121"/>
      <c r="L913" s="122"/>
      <c r="N913" s="32" t="str">
        <f t="shared" si="17"/>
        <v/>
      </c>
    </row>
    <row r="914" spans="1:14" outlineLevel="1" x14ac:dyDescent="0.25">
      <c r="A914" s="118"/>
      <c r="B914" s="119"/>
      <c r="C914" s="119"/>
      <c r="D914" s="119"/>
      <c r="E914" s="119"/>
      <c r="F914" s="120"/>
      <c r="G914" s="121"/>
      <c r="H914" s="121"/>
      <c r="I914" s="121"/>
      <c r="J914" s="121"/>
      <c r="K914" s="121"/>
      <c r="L914" s="122"/>
      <c r="N914" s="32" t="str">
        <f t="shared" si="17"/>
        <v/>
      </c>
    </row>
    <row r="915" spans="1:14" outlineLevel="1" x14ac:dyDescent="0.25">
      <c r="A915" s="118"/>
      <c r="B915" s="119"/>
      <c r="C915" s="119"/>
      <c r="D915" s="119"/>
      <c r="E915" s="119"/>
      <c r="F915" s="120"/>
      <c r="G915" s="121"/>
      <c r="H915" s="121"/>
      <c r="I915" s="121"/>
      <c r="J915" s="121"/>
      <c r="K915" s="121"/>
      <c r="L915" s="122"/>
      <c r="N915" s="32" t="str">
        <f t="shared" si="17"/>
        <v/>
      </c>
    </row>
    <row r="916" spans="1:14" outlineLevel="1" x14ac:dyDescent="0.25">
      <c r="A916" s="118"/>
      <c r="B916" s="119"/>
      <c r="C916" s="119"/>
      <c r="D916" s="119"/>
      <c r="E916" s="119"/>
      <c r="F916" s="120"/>
      <c r="G916" s="121"/>
      <c r="H916" s="121"/>
      <c r="I916" s="121"/>
      <c r="J916" s="121"/>
      <c r="K916" s="121"/>
      <c r="L916" s="122"/>
      <c r="N916" s="32" t="str">
        <f t="shared" si="17"/>
        <v/>
      </c>
    </row>
    <row r="917" spans="1:14" outlineLevel="1" x14ac:dyDescent="0.25">
      <c r="A917" s="118"/>
      <c r="B917" s="119"/>
      <c r="C917" s="119"/>
      <c r="D917" s="119"/>
      <c r="E917" s="119"/>
      <c r="F917" s="120"/>
      <c r="G917" s="121"/>
      <c r="H917" s="121"/>
      <c r="I917" s="121"/>
      <c r="J917" s="121"/>
      <c r="K917" s="121"/>
      <c r="L917" s="122"/>
      <c r="N917" s="32" t="str">
        <f t="shared" si="17"/>
        <v/>
      </c>
    </row>
    <row r="918" spans="1:14" outlineLevel="1" x14ac:dyDescent="0.25">
      <c r="A918" s="118"/>
      <c r="B918" s="119"/>
      <c r="C918" s="119"/>
      <c r="D918" s="119"/>
      <c r="E918" s="119"/>
      <c r="F918" s="120"/>
      <c r="G918" s="121"/>
      <c r="H918" s="121"/>
      <c r="I918" s="121"/>
      <c r="J918" s="121"/>
      <c r="K918" s="121"/>
      <c r="L918" s="122"/>
      <c r="N918" s="32" t="str">
        <f t="shared" si="17"/>
        <v/>
      </c>
    </row>
    <row r="919" spans="1:14" outlineLevel="1" x14ac:dyDescent="0.25">
      <c r="A919" s="118"/>
      <c r="B919" s="119"/>
      <c r="C919" s="119"/>
      <c r="D919" s="119"/>
      <c r="E919" s="119"/>
      <c r="F919" s="120"/>
      <c r="G919" s="121"/>
      <c r="H919" s="121"/>
      <c r="I919" s="121"/>
      <c r="J919" s="121"/>
      <c r="K919" s="121"/>
      <c r="L919" s="122"/>
      <c r="N919" s="32" t="str">
        <f t="shared" si="17"/>
        <v/>
      </c>
    </row>
    <row r="920" spans="1:14" outlineLevel="1" x14ac:dyDescent="0.25">
      <c r="A920" s="118"/>
      <c r="B920" s="119"/>
      <c r="C920" s="119"/>
      <c r="D920" s="119"/>
      <c r="E920" s="119"/>
      <c r="F920" s="120"/>
      <c r="G920" s="121"/>
      <c r="H920" s="121"/>
      <c r="I920" s="121"/>
      <c r="J920" s="121"/>
      <c r="K920" s="121"/>
      <c r="L920" s="122"/>
      <c r="N920" s="32" t="str">
        <f t="shared" si="17"/>
        <v/>
      </c>
    </row>
    <row r="921" spans="1:14" outlineLevel="1" x14ac:dyDescent="0.25">
      <c r="A921" s="118"/>
      <c r="B921" s="119"/>
      <c r="C921" s="119"/>
      <c r="D921" s="119"/>
      <c r="E921" s="119"/>
      <c r="F921" s="120"/>
      <c r="G921" s="121"/>
      <c r="H921" s="121"/>
      <c r="I921" s="121"/>
      <c r="J921" s="121"/>
      <c r="K921" s="121"/>
      <c r="L921" s="122"/>
      <c r="N921" s="32" t="str">
        <f t="shared" si="17"/>
        <v/>
      </c>
    </row>
    <row r="922" spans="1:14" outlineLevel="1" x14ac:dyDescent="0.25">
      <c r="A922" s="118"/>
      <c r="B922" s="119"/>
      <c r="C922" s="119"/>
      <c r="D922" s="119"/>
      <c r="E922" s="119"/>
      <c r="F922" s="120"/>
      <c r="G922" s="121"/>
      <c r="H922" s="121"/>
      <c r="I922" s="121"/>
      <c r="J922" s="121"/>
      <c r="K922" s="121"/>
      <c r="L922" s="122"/>
      <c r="N922" s="32" t="str">
        <f t="shared" si="17"/>
        <v/>
      </c>
    </row>
    <row r="923" spans="1:14" outlineLevel="1" x14ac:dyDescent="0.25">
      <c r="A923" s="118"/>
      <c r="B923" s="119"/>
      <c r="C923" s="119"/>
      <c r="D923" s="119"/>
      <c r="E923" s="119"/>
      <c r="F923" s="120"/>
      <c r="G923" s="121"/>
      <c r="H923" s="121"/>
      <c r="I923" s="121"/>
      <c r="J923" s="121"/>
      <c r="K923" s="121"/>
      <c r="L923" s="122"/>
      <c r="N923" s="32" t="str">
        <f t="shared" si="17"/>
        <v/>
      </c>
    </row>
    <row r="924" spans="1:14" outlineLevel="1" x14ac:dyDescent="0.25">
      <c r="A924" s="118"/>
      <c r="B924" s="119"/>
      <c r="C924" s="119"/>
      <c r="D924" s="119"/>
      <c r="E924" s="119"/>
      <c r="F924" s="120"/>
      <c r="G924" s="121"/>
      <c r="H924" s="121"/>
      <c r="I924" s="121"/>
      <c r="J924" s="121"/>
      <c r="K924" s="121"/>
      <c r="L924" s="122"/>
      <c r="N924" s="32" t="str">
        <f t="shared" si="17"/>
        <v/>
      </c>
    </row>
    <row r="925" spans="1:14" outlineLevel="1" x14ac:dyDescent="0.25">
      <c r="A925" s="118"/>
      <c r="B925" s="119"/>
      <c r="C925" s="119"/>
      <c r="D925" s="119"/>
      <c r="E925" s="119"/>
      <c r="F925" s="120"/>
      <c r="G925" s="121"/>
      <c r="H925" s="121"/>
      <c r="I925" s="121"/>
      <c r="J925" s="121"/>
      <c r="K925" s="121"/>
      <c r="L925" s="122"/>
      <c r="N925" s="32" t="str">
        <f t="shared" si="17"/>
        <v/>
      </c>
    </row>
    <row r="926" spans="1:14" outlineLevel="1" x14ac:dyDescent="0.25">
      <c r="A926" s="118"/>
      <c r="B926" s="119"/>
      <c r="C926" s="119"/>
      <c r="D926" s="119"/>
      <c r="E926" s="119"/>
      <c r="F926" s="120"/>
      <c r="G926" s="121"/>
      <c r="H926" s="121"/>
      <c r="I926" s="121"/>
      <c r="J926" s="121"/>
      <c r="K926" s="121"/>
      <c r="L926" s="122"/>
      <c r="N926" s="32" t="str">
        <f t="shared" si="17"/>
        <v/>
      </c>
    </row>
    <row r="927" spans="1:14" outlineLevel="1" x14ac:dyDescent="0.25">
      <c r="A927" s="118"/>
      <c r="B927" s="119"/>
      <c r="C927" s="119"/>
      <c r="D927" s="119"/>
      <c r="E927" s="119"/>
      <c r="F927" s="120"/>
      <c r="G927" s="121"/>
      <c r="H927" s="121"/>
      <c r="I927" s="121"/>
      <c r="J927" s="121"/>
      <c r="K927" s="121"/>
      <c r="L927" s="122"/>
      <c r="N927" s="32" t="str">
        <f t="shared" si="17"/>
        <v/>
      </c>
    </row>
    <row r="928" spans="1:14" outlineLevel="1" x14ac:dyDescent="0.25">
      <c r="A928" s="118"/>
      <c r="B928" s="119"/>
      <c r="C928" s="119"/>
      <c r="D928" s="119"/>
      <c r="E928" s="119"/>
      <c r="F928" s="120"/>
      <c r="G928" s="121"/>
      <c r="H928" s="121"/>
      <c r="I928" s="121"/>
      <c r="J928" s="121"/>
      <c r="K928" s="121"/>
      <c r="L928" s="122"/>
      <c r="N928" s="32" t="str">
        <f t="shared" si="17"/>
        <v/>
      </c>
    </row>
    <row r="929" spans="1:14" outlineLevel="1" x14ac:dyDescent="0.25">
      <c r="A929" s="118"/>
      <c r="B929" s="119"/>
      <c r="C929" s="119"/>
      <c r="D929" s="119"/>
      <c r="E929" s="119"/>
      <c r="F929" s="120"/>
      <c r="G929" s="121"/>
      <c r="H929" s="121"/>
      <c r="I929" s="121"/>
      <c r="J929" s="121"/>
      <c r="K929" s="121"/>
      <c r="L929" s="122"/>
      <c r="N929" s="32" t="str">
        <f t="shared" si="17"/>
        <v/>
      </c>
    </row>
    <row r="930" spans="1:14" outlineLevel="1" x14ac:dyDescent="0.25">
      <c r="A930" s="118"/>
      <c r="B930" s="119"/>
      <c r="C930" s="119"/>
      <c r="D930" s="119"/>
      <c r="E930" s="119"/>
      <c r="F930" s="120"/>
      <c r="G930" s="121"/>
      <c r="H930" s="121"/>
      <c r="I930" s="121"/>
      <c r="J930" s="121"/>
      <c r="K930" s="121"/>
      <c r="L930" s="122"/>
      <c r="N930" s="32" t="str">
        <f t="shared" si="17"/>
        <v/>
      </c>
    </row>
    <row r="931" spans="1:14" outlineLevel="1" x14ac:dyDescent="0.25">
      <c r="A931" s="118"/>
      <c r="B931" s="119"/>
      <c r="C931" s="119"/>
      <c r="D931" s="119"/>
      <c r="E931" s="119"/>
      <c r="F931" s="120"/>
      <c r="G931" s="121"/>
      <c r="H931" s="121"/>
      <c r="I931" s="121"/>
      <c r="J931" s="121"/>
      <c r="K931" s="121"/>
      <c r="L931" s="122"/>
      <c r="N931" s="32" t="str">
        <f t="shared" si="15"/>
        <v/>
      </c>
    </row>
    <row r="932" spans="1:14" outlineLevel="1" x14ac:dyDescent="0.25">
      <c r="A932" s="118"/>
      <c r="B932" s="119"/>
      <c r="C932" s="119"/>
      <c r="D932" s="119"/>
      <c r="E932" s="119"/>
      <c r="F932" s="120"/>
      <c r="G932" s="121"/>
      <c r="H932" s="121"/>
      <c r="I932" s="121"/>
      <c r="J932" s="121"/>
      <c r="K932" s="121"/>
      <c r="L932" s="122"/>
      <c r="N932" s="32" t="str">
        <f t="shared" si="15"/>
        <v/>
      </c>
    </row>
    <row r="933" spans="1:14" outlineLevel="1" x14ac:dyDescent="0.25">
      <c r="A933" s="118"/>
      <c r="B933" s="119"/>
      <c r="C933" s="119"/>
      <c r="D933" s="119"/>
      <c r="E933" s="119"/>
      <c r="F933" s="120"/>
      <c r="G933" s="121"/>
      <c r="H933" s="121"/>
      <c r="I933" s="121"/>
      <c r="J933" s="121"/>
      <c r="K933" s="121"/>
      <c r="L933" s="122"/>
      <c r="N933" s="32" t="str">
        <f t="shared" si="15"/>
        <v/>
      </c>
    </row>
    <row r="934" spans="1:14" outlineLevel="1" x14ac:dyDescent="0.25">
      <c r="A934" s="118"/>
      <c r="B934" s="119"/>
      <c r="C934" s="119"/>
      <c r="D934" s="119"/>
      <c r="E934" s="119"/>
      <c r="F934" s="120"/>
      <c r="G934" s="121"/>
      <c r="H934" s="121"/>
      <c r="I934" s="121"/>
      <c r="J934" s="121"/>
      <c r="K934" s="121"/>
      <c r="L934" s="122"/>
      <c r="N934" s="32" t="str">
        <f t="shared" si="15"/>
        <v/>
      </c>
    </row>
    <row r="935" spans="1:14" outlineLevel="1" x14ac:dyDescent="0.25">
      <c r="A935" s="118"/>
      <c r="B935" s="119"/>
      <c r="C935" s="119"/>
      <c r="D935" s="119"/>
      <c r="E935" s="119"/>
      <c r="F935" s="120"/>
      <c r="G935" s="121"/>
      <c r="H935" s="121"/>
      <c r="I935" s="121"/>
      <c r="J935" s="121"/>
      <c r="K935" s="121"/>
      <c r="L935" s="122"/>
      <c r="N935" s="32" t="str">
        <f t="shared" si="15"/>
        <v/>
      </c>
    </row>
    <row r="936" spans="1:14" outlineLevel="1" x14ac:dyDescent="0.25">
      <c r="A936" s="118"/>
      <c r="B936" s="119"/>
      <c r="C936" s="119"/>
      <c r="D936" s="119"/>
      <c r="E936" s="119"/>
      <c r="F936" s="120"/>
      <c r="G936" s="121"/>
      <c r="H936" s="121"/>
      <c r="I936" s="121"/>
      <c r="J936" s="121"/>
      <c r="K936" s="121"/>
      <c r="L936" s="122"/>
      <c r="N936" s="32" t="str">
        <f t="shared" si="15"/>
        <v/>
      </c>
    </row>
    <row r="937" spans="1:14" outlineLevel="1" x14ac:dyDescent="0.25">
      <c r="A937" s="118"/>
      <c r="B937" s="119"/>
      <c r="C937" s="119"/>
      <c r="D937" s="119"/>
      <c r="E937" s="119"/>
      <c r="F937" s="120"/>
      <c r="G937" s="121"/>
      <c r="H937" s="121"/>
      <c r="I937" s="121"/>
      <c r="J937" s="121"/>
      <c r="K937" s="121"/>
      <c r="L937" s="122"/>
      <c r="N937" s="32" t="str">
        <f t="shared" si="15"/>
        <v/>
      </c>
    </row>
    <row r="938" spans="1:14" outlineLevel="1" x14ac:dyDescent="0.25">
      <c r="A938" s="118"/>
      <c r="B938" s="119"/>
      <c r="C938" s="119"/>
      <c r="D938" s="119"/>
      <c r="E938" s="119"/>
      <c r="F938" s="120"/>
      <c r="G938" s="121"/>
      <c r="H938" s="121"/>
      <c r="I938" s="121"/>
      <c r="J938" s="121"/>
      <c r="K938" s="121"/>
      <c r="L938" s="122"/>
      <c r="N938" s="32" t="str">
        <f t="shared" si="15"/>
        <v/>
      </c>
    </row>
    <row r="939" spans="1:14" outlineLevel="1" x14ac:dyDescent="0.25">
      <c r="A939" s="118"/>
      <c r="B939" s="119"/>
      <c r="C939" s="119"/>
      <c r="D939" s="119"/>
      <c r="E939" s="119"/>
      <c r="F939" s="120"/>
      <c r="G939" s="121"/>
      <c r="H939" s="121"/>
      <c r="I939" s="121"/>
      <c r="J939" s="121"/>
      <c r="K939" s="121"/>
      <c r="L939" s="122"/>
      <c r="N939" s="32" t="str">
        <f t="shared" si="15"/>
        <v/>
      </c>
    </row>
    <row r="940" spans="1:14" outlineLevel="1" x14ac:dyDescent="0.25">
      <c r="A940" s="118"/>
      <c r="B940" s="119"/>
      <c r="C940" s="119"/>
      <c r="D940" s="119"/>
      <c r="E940" s="119"/>
      <c r="F940" s="120"/>
      <c r="G940" s="121"/>
      <c r="H940" s="121"/>
      <c r="I940" s="121"/>
      <c r="J940" s="121"/>
      <c r="K940" s="121"/>
      <c r="L940" s="122"/>
      <c r="N940" s="32" t="str">
        <f t="shared" si="15"/>
        <v/>
      </c>
    </row>
    <row r="941" spans="1:14" outlineLevel="1" x14ac:dyDescent="0.25">
      <c r="A941" s="118"/>
      <c r="B941" s="119"/>
      <c r="C941" s="119"/>
      <c r="D941" s="119"/>
      <c r="E941" s="119"/>
      <c r="F941" s="120"/>
      <c r="G941" s="121"/>
      <c r="H941" s="121"/>
      <c r="I941" s="121"/>
      <c r="J941" s="121"/>
      <c r="K941" s="121"/>
      <c r="L941" s="122"/>
      <c r="N941" s="32" t="str">
        <f t="shared" si="15"/>
        <v/>
      </c>
    </row>
    <row r="942" spans="1:14" outlineLevel="1" x14ac:dyDescent="0.25">
      <c r="A942" s="118"/>
      <c r="B942" s="119"/>
      <c r="C942" s="119"/>
      <c r="D942" s="119"/>
      <c r="E942" s="119"/>
      <c r="F942" s="120"/>
      <c r="G942" s="121"/>
      <c r="H942" s="121"/>
      <c r="I942" s="121"/>
      <c r="J942" s="121"/>
      <c r="K942" s="121"/>
      <c r="L942" s="122"/>
      <c r="N942" s="32" t="str">
        <f t="shared" si="15"/>
        <v/>
      </c>
    </row>
    <row r="943" spans="1:14" outlineLevel="1" x14ac:dyDescent="0.25">
      <c r="A943" s="118"/>
      <c r="B943" s="119"/>
      <c r="C943" s="119"/>
      <c r="D943" s="119"/>
      <c r="E943" s="119"/>
      <c r="F943" s="120"/>
      <c r="G943" s="121"/>
      <c r="H943" s="121"/>
      <c r="I943" s="121"/>
      <c r="J943" s="121"/>
      <c r="K943" s="121"/>
      <c r="L943" s="122"/>
      <c r="N943" s="32" t="str">
        <f t="shared" si="15"/>
        <v/>
      </c>
    </row>
    <row r="944" spans="1:14" outlineLevel="1" x14ac:dyDescent="0.25">
      <c r="A944" s="118"/>
      <c r="B944" s="119"/>
      <c r="C944" s="119"/>
      <c r="D944" s="119"/>
      <c r="E944" s="119"/>
      <c r="F944" s="120"/>
      <c r="G944" s="121"/>
      <c r="H944" s="121"/>
      <c r="I944" s="121"/>
      <c r="J944" s="121"/>
      <c r="K944" s="121"/>
      <c r="L944" s="122"/>
      <c r="N944" s="32" t="str">
        <f t="shared" si="15"/>
        <v/>
      </c>
    </row>
    <row r="945" spans="1:14" outlineLevel="1" x14ac:dyDescent="0.25">
      <c r="A945" s="118"/>
      <c r="B945" s="119"/>
      <c r="C945" s="119"/>
      <c r="D945" s="119"/>
      <c r="E945" s="119"/>
      <c r="F945" s="120"/>
      <c r="G945" s="121"/>
      <c r="H945" s="121"/>
      <c r="I945" s="121"/>
      <c r="J945" s="121"/>
      <c r="K945" s="121"/>
      <c r="L945" s="122"/>
      <c r="N945" s="32" t="str">
        <f t="shared" si="15"/>
        <v/>
      </c>
    </row>
    <row r="946" spans="1:14" outlineLevel="1" x14ac:dyDescent="0.25">
      <c r="A946" s="118"/>
      <c r="B946" s="119"/>
      <c r="C946" s="119"/>
      <c r="D946" s="119"/>
      <c r="E946" s="119"/>
      <c r="F946" s="120"/>
      <c r="G946" s="121"/>
      <c r="H946" s="121"/>
      <c r="I946" s="121"/>
      <c r="J946" s="121"/>
      <c r="K946" s="121"/>
      <c r="L946" s="122"/>
      <c r="N946" s="32" t="str">
        <f t="shared" si="15"/>
        <v/>
      </c>
    </row>
    <row r="947" spans="1:14" outlineLevel="1" x14ac:dyDescent="0.25">
      <c r="A947" s="118"/>
      <c r="B947" s="119"/>
      <c r="C947" s="119"/>
      <c r="D947" s="119"/>
      <c r="E947" s="119"/>
      <c r="F947" s="120"/>
      <c r="G947" s="121"/>
      <c r="H947" s="121"/>
      <c r="I947" s="121"/>
      <c r="J947" s="121"/>
      <c r="K947" s="121"/>
      <c r="L947" s="122"/>
      <c r="N947" s="32" t="str">
        <f t="shared" si="15"/>
        <v/>
      </c>
    </row>
    <row r="948" spans="1:14" outlineLevel="1" x14ac:dyDescent="0.25">
      <c r="A948" s="118"/>
      <c r="B948" s="119"/>
      <c r="C948" s="119"/>
      <c r="D948" s="119"/>
      <c r="E948" s="119"/>
      <c r="F948" s="120"/>
      <c r="G948" s="121"/>
      <c r="H948" s="121"/>
      <c r="I948" s="121"/>
      <c r="J948" s="121"/>
      <c r="K948" s="121"/>
      <c r="L948" s="122"/>
      <c r="N948" s="32" t="str">
        <f t="shared" si="15"/>
        <v/>
      </c>
    </row>
    <row r="949" spans="1:14" outlineLevel="1" x14ac:dyDescent="0.25">
      <c r="A949" s="118"/>
      <c r="B949" s="119"/>
      <c r="C949" s="119"/>
      <c r="D949" s="119"/>
      <c r="E949" s="119"/>
      <c r="F949" s="120"/>
      <c r="G949" s="121"/>
      <c r="H949" s="121"/>
      <c r="I949" s="121"/>
      <c r="J949" s="121"/>
      <c r="K949" s="121"/>
      <c r="L949" s="122"/>
      <c r="N949" s="32" t="str">
        <f t="shared" si="15"/>
        <v/>
      </c>
    </row>
    <row r="950" spans="1:14" outlineLevel="1" x14ac:dyDescent="0.25">
      <c r="A950" s="118"/>
      <c r="B950" s="119"/>
      <c r="C950" s="119"/>
      <c r="D950" s="119"/>
      <c r="E950" s="119"/>
      <c r="F950" s="120"/>
      <c r="G950" s="121"/>
      <c r="H950" s="121"/>
      <c r="I950" s="121"/>
      <c r="J950" s="121"/>
      <c r="K950" s="121"/>
      <c r="L950" s="122"/>
      <c r="N950" s="32" t="str">
        <f t="shared" si="15"/>
        <v/>
      </c>
    </row>
    <row r="951" spans="1:14" outlineLevel="1" x14ac:dyDescent="0.25">
      <c r="A951" s="118"/>
      <c r="B951" s="119"/>
      <c r="C951" s="119"/>
      <c r="D951" s="119"/>
      <c r="E951" s="119"/>
      <c r="F951" s="120"/>
      <c r="G951" s="121"/>
      <c r="H951" s="121"/>
      <c r="I951" s="121"/>
      <c r="J951" s="121"/>
      <c r="K951" s="121"/>
      <c r="L951" s="122"/>
      <c r="N951" s="32" t="str">
        <f t="shared" si="15"/>
        <v/>
      </c>
    </row>
    <row r="952" spans="1:14" outlineLevel="1" x14ac:dyDescent="0.25">
      <c r="A952" s="118"/>
      <c r="B952" s="119"/>
      <c r="C952" s="119"/>
      <c r="D952" s="119"/>
      <c r="E952" s="119"/>
      <c r="F952" s="120"/>
      <c r="G952" s="121"/>
      <c r="H952" s="121"/>
      <c r="I952" s="121"/>
      <c r="J952" s="121"/>
      <c r="K952" s="121"/>
      <c r="L952" s="122"/>
      <c r="N952" s="32" t="str">
        <f t="shared" si="15"/>
        <v/>
      </c>
    </row>
    <row r="953" spans="1:14" outlineLevel="1" x14ac:dyDescent="0.25">
      <c r="A953" s="118"/>
      <c r="B953" s="119"/>
      <c r="C953" s="119"/>
      <c r="D953" s="119"/>
      <c r="E953" s="119"/>
      <c r="F953" s="120"/>
      <c r="G953" s="121"/>
      <c r="H953" s="121"/>
      <c r="I953" s="121"/>
      <c r="J953" s="121"/>
      <c r="K953" s="121"/>
      <c r="L953" s="122"/>
      <c r="N953" s="32" t="str">
        <f t="shared" si="15"/>
        <v/>
      </c>
    </row>
    <row r="954" spans="1:14" outlineLevel="1" x14ac:dyDescent="0.25">
      <c r="A954" s="118"/>
      <c r="B954" s="119"/>
      <c r="C954" s="119"/>
      <c r="D954" s="119"/>
      <c r="E954" s="119"/>
      <c r="F954" s="120"/>
      <c r="G954" s="121"/>
      <c r="H954" s="121"/>
      <c r="I954" s="121"/>
      <c r="J954" s="121"/>
      <c r="K954" s="121"/>
      <c r="L954" s="122"/>
      <c r="N954" s="32" t="str">
        <f t="shared" si="15"/>
        <v/>
      </c>
    </row>
    <row r="955" spans="1:14" outlineLevel="1" x14ac:dyDescent="0.25">
      <c r="A955" s="118"/>
      <c r="B955" s="119"/>
      <c r="C955" s="119"/>
      <c r="D955" s="119"/>
      <c r="E955" s="119"/>
      <c r="F955" s="120"/>
      <c r="G955" s="121"/>
      <c r="H955" s="121"/>
      <c r="I955" s="121"/>
      <c r="J955" s="121"/>
      <c r="K955" s="121"/>
      <c r="L955" s="122"/>
      <c r="N955" s="32" t="str">
        <f t="shared" si="15"/>
        <v/>
      </c>
    </row>
    <row r="956" spans="1:14" outlineLevel="1" x14ac:dyDescent="0.25">
      <c r="A956" s="118"/>
      <c r="B956" s="119"/>
      <c r="C956" s="119"/>
      <c r="D956" s="119"/>
      <c r="E956" s="119"/>
      <c r="F956" s="120"/>
      <c r="G956" s="121"/>
      <c r="H956" s="121"/>
      <c r="I956" s="121"/>
      <c r="J956" s="121"/>
      <c r="K956" s="121"/>
      <c r="L956" s="122"/>
      <c r="N956" s="32" t="str">
        <f t="shared" si="15"/>
        <v/>
      </c>
    </row>
    <row r="957" spans="1:14" outlineLevel="1" x14ac:dyDescent="0.25">
      <c r="A957" s="118"/>
      <c r="B957" s="119"/>
      <c r="C957" s="119"/>
      <c r="D957" s="119"/>
      <c r="E957" s="119"/>
      <c r="F957" s="120"/>
      <c r="G957" s="121"/>
      <c r="H957" s="121"/>
      <c r="I957" s="121"/>
      <c r="J957" s="121"/>
      <c r="K957" s="121"/>
      <c r="L957" s="122"/>
      <c r="N957" s="32" t="str">
        <f t="shared" si="15"/>
        <v/>
      </c>
    </row>
    <row r="958" spans="1:14" outlineLevel="1" x14ac:dyDescent="0.25">
      <c r="A958" s="118"/>
      <c r="B958" s="119"/>
      <c r="C958" s="119"/>
      <c r="D958" s="119"/>
      <c r="E958" s="119"/>
      <c r="F958" s="120"/>
      <c r="G958" s="121"/>
      <c r="H958" s="121"/>
      <c r="I958" s="121"/>
      <c r="J958" s="121"/>
      <c r="K958" s="121"/>
      <c r="L958" s="122"/>
      <c r="N958" s="32" t="str">
        <f t="shared" si="15"/>
        <v/>
      </c>
    </row>
    <row r="959" spans="1:14" outlineLevel="1" x14ac:dyDescent="0.25">
      <c r="A959" s="118"/>
      <c r="B959" s="119"/>
      <c r="C959" s="119"/>
      <c r="D959" s="119"/>
      <c r="E959" s="119"/>
      <c r="F959" s="120"/>
      <c r="G959" s="121"/>
      <c r="H959" s="121"/>
      <c r="I959" s="121"/>
      <c r="J959" s="121"/>
      <c r="K959" s="121"/>
      <c r="L959" s="122"/>
      <c r="N959" s="32" t="str">
        <f t="shared" si="15"/>
        <v/>
      </c>
    </row>
    <row r="960" spans="1:14" outlineLevel="1" x14ac:dyDescent="0.25">
      <c r="A960" s="118"/>
      <c r="B960" s="119"/>
      <c r="C960" s="119"/>
      <c r="D960" s="119"/>
      <c r="E960" s="119"/>
      <c r="F960" s="120"/>
      <c r="G960" s="121"/>
      <c r="H960" s="121"/>
      <c r="I960" s="121"/>
      <c r="J960" s="121"/>
      <c r="K960" s="121"/>
      <c r="L960" s="122"/>
      <c r="N960" s="32" t="str">
        <f t="shared" si="15"/>
        <v/>
      </c>
    </row>
    <row r="961" spans="1:14" outlineLevel="1" x14ac:dyDescent="0.25">
      <c r="A961" s="118"/>
      <c r="B961" s="119"/>
      <c r="C961" s="119"/>
      <c r="D961" s="119"/>
      <c r="E961" s="119"/>
      <c r="F961" s="120"/>
      <c r="G961" s="121"/>
      <c r="H961" s="121"/>
      <c r="I961" s="121"/>
      <c r="J961" s="121"/>
      <c r="K961" s="121"/>
      <c r="L961" s="122"/>
      <c r="N961" s="32" t="str">
        <f t="shared" si="15"/>
        <v/>
      </c>
    </row>
    <row r="962" spans="1:14" outlineLevel="1" x14ac:dyDescent="0.25">
      <c r="A962" s="118"/>
      <c r="B962" s="119"/>
      <c r="C962" s="119"/>
      <c r="D962" s="119"/>
      <c r="E962" s="119"/>
      <c r="F962" s="120"/>
      <c r="G962" s="121"/>
      <c r="H962" s="121"/>
      <c r="I962" s="121"/>
      <c r="J962" s="121"/>
      <c r="K962" s="121"/>
      <c r="L962" s="122"/>
      <c r="N962" s="32" t="str">
        <f t="shared" si="15"/>
        <v/>
      </c>
    </row>
    <row r="963" spans="1:14" outlineLevel="1" x14ac:dyDescent="0.25">
      <c r="A963" s="118"/>
      <c r="B963" s="119"/>
      <c r="C963" s="119"/>
      <c r="D963" s="119"/>
      <c r="E963" s="119"/>
      <c r="F963" s="120"/>
      <c r="G963" s="121"/>
      <c r="H963" s="121"/>
      <c r="I963" s="121"/>
      <c r="J963" s="121"/>
      <c r="K963" s="121"/>
      <c r="L963" s="122"/>
      <c r="N963" s="32" t="str">
        <f t="shared" si="15"/>
        <v/>
      </c>
    </row>
    <row r="964" spans="1:14" outlineLevel="1" x14ac:dyDescent="0.25">
      <c r="A964" s="118"/>
      <c r="B964" s="119"/>
      <c r="C964" s="119"/>
      <c r="D964" s="119"/>
      <c r="E964" s="119"/>
      <c r="F964" s="120"/>
      <c r="G964" s="121"/>
      <c r="H964" s="121"/>
      <c r="I964" s="121"/>
      <c r="J964" s="121"/>
      <c r="K964" s="121"/>
      <c r="L964" s="122"/>
      <c r="N964" s="32" t="str">
        <f t="shared" si="15"/>
        <v/>
      </c>
    </row>
    <row r="965" spans="1:14" outlineLevel="1" x14ac:dyDescent="0.25">
      <c r="A965" s="118"/>
      <c r="B965" s="119"/>
      <c r="C965" s="119"/>
      <c r="D965" s="119"/>
      <c r="E965" s="119"/>
      <c r="F965" s="120"/>
      <c r="G965" s="121"/>
      <c r="H965" s="121"/>
      <c r="I965" s="121"/>
      <c r="J965" s="121"/>
      <c r="K965" s="121"/>
      <c r="L965" s="122"/>
      <c r="N965" s="32" t="str">
        <f t="shared" si="15"/>
        <v/>
      </c>
    </row>
    <row r="966" spans="1:14" outlineLevel="1" x14ac:dyDescent="0.25">
      <c r="A966" s="118"/>
      <c r="B966" s="119"/>
      <c r="C966" s="119"/>
      <c r="D966" s="119"/>
      <c r="E966" s="119"/>
      <c r="F966" s="120"/>
      <c r="G966" s="121"/>
      <c r="H966" s="121"/>
      <c r="I966" s="121"/>
      <c r="J966" s="121"/>
      <c r="K966" s="121"/>
      <c r="L966" s="122"/>
      <c r="N966" s="32" t="str">
        <f t="shared" si="15"/>
        <v/>
      </c>
    </row>
    <row r="967" spans="1:14" outlineLevel="1" x14ac:dyDescent="0.25">
      <c r="A967" s="118"/>
      <c r="B967" s="119"/>
      <c r="C967" s="119"/>
      <c r="D967" s="119"/>
      <c r="E967" s="119"/>
      <c r="F967" s="120"/>
      <c r="G967" s="121"/>
      <c r="H967" s="121"/>
      <c r="I967" s="121"/>
      <c r="J967" s="121"/>
      <c r="K967" s="121"/>
      <c r="L967" s="122"/>
      <c r="N967" s="32" t="str">
        <f t="shared" si="15"/>
        <v/>
      </c>
    </row>
    <row r="968" spans="1:14" outlineLevel="1" x14ac:dyDescent="0.25">
      <c r="A968" s="118"/>
      <c r="B968" s="119"/>
      <c r="C968" s="119"/>
      <c r="D968" s="119"/>
      <c r="E968" s="119"/>
      <c r="F968" s="120"/>
      <c r="G968" s="121"/>
      <c r="H968" s="121"/>
      <c r="I968" s="121"/>
      <c r="J968" s="121"/>
      <c r="K968" s="121"/>
      <c r="L968" s="122"/>
      <c r="N968" s="32" t="str">
        <f t="shared" si="15"/>
        <v/>
      </c>
    </row>
    <row r="969" spans="1:14" outlineLevel="1" x14ac:dyDescent="0.25">
      <c r="A969" s="118"/>
      <c r="B969" s="119"/>
      <c r="C969" s="119"/>
      <c r="D969" s="119"/>
      <c r="E969" s="119"/>
      <c r="F969" s="120"/>
      <c r="G969" s="121"/>
      <c r="H969" s="121"/>
      <c r="I969" s="121"/>
      <c r="J969" s="121"/>
      <c r="K969" s="121"/>
      <c r="L969" s="122"/>
      <c r="N969" s="32" t="str">
        <f t="shared" si="15"/>
        <v/>
      </c>
    </row>
    <row r="970" spans="1:14" outlineLevel="1" x14ac:dyDescent="0.25">
      <c r="A970" s="118"/>
      <c r="B970" s="119"/>
      <c r="C970" s="119"/>
      <c r="D970" s="119"/>
      <c r="E970" s="119"/>
      <c r="F970" s="120"/>
      <c r="G970" s="121"/>
      <c r="H970" s="121"/>
      <c r="I970" s="121"/>
      <c r="J970" s="121"/>
      <c r="K970" s="121"/>
      <c r="L970" s="122"/>
      <c r="N970" s="32" t="str">
        <f t="shared" si="15"/>
        <v/>
      </c>
    </row>
    <row r="971" spans="1:14" outlineLevel="1" x14ac:dyDescent="0.25">
      <c r="A971" s="118"/>
      <c r="B971" s="119"/>
      <c r="C971" s="119"/>
      <c r="D971" s="119"/>
      <c r="E971" s="119"/>
      <c r="F971" s="120"/>
      <c r="G971" s="121"/>
      <c r="H971" s="121"/>
      <c r="I971" s="121"/>
      <c r="J971" s="121"/>
      <c r="K971" s="121"/>
      <c r="L971" s="122"/>
      <c r="N971" s="32" t="str">
        <f t="shared" si="15"/>
        <v/>
      </c>
    </row>
    <row r="972" spans="1:14" outlineLevel="1" x14ac:dyDescent="0.25">
      <c r="A972" s="118"/>
      <c r="B972" s="119"/>
      <c r="C972" s="119"/>
      <c r="D972" s="119"/>
      <c r="E972" s="119"/>
      <c r="F972" s="120"/>
      <c r="G972" s="121"/>
      <c r="H972" s="121"/>
      <c r="I972" s="121"/>
      <c r="J972" s="121"/>
      <c r="K972" s="121"/>
      <c r="L972" s="122"/>
      <c r="N972" s="32" t="str">
        <f t="shared" si="15"/>
        <v/>
      </c>
    </row>
    <row r="973" spans="1:14" outlineLevel="1" x14ac:dyDescent="0.25">
      <c r="A973" s="118"/>
      <c r="B973" s="119"/>
      <c r="C973" s="119"/>
      <c r="D973" s="119"/>
      <c r="E973" s="119"/>
      <c r="F973" s="120"/>
      <c r="G973" s="121"/>
      <c r="H973" s="121"/>
      <c r="I973" s="121"/>
      <c r="J973" s="121"/>
      <c r="K973" s="121"/>
      <c r="L973" s="122"/>
      <c r="N973" s="32" t="str">
        <f t="shared" si="15"/>
        <v/>
      </c>
    </row>
    <row r="974" spans="1:14" outlineLevel="1" x14ac:dyDescent="0.25">
      <c r="A974" s="118"/>
      <c r="B974" s="119"/>
      <c r="C974" s="119"/>
      <c r="D974" s="119"/>
      <c r="E974" s="119"/>
      <c r="F974" s="120"/>
      <c r="G974" s="121"/>
      <c r="H974" s="121"/>
      <c r="I974" s="121"/>
      <c r="J974" s="121"/>
      <c r="K974" s="121"/>
      <c r="L974" s="122"/>
      <c r="N974" s="32" t="str">
        <f t="shared" si="15"/>
        <v/>
      </c>
    </row>
    <row r="975" spans="1:14" outlineLevel="1" x14ac:dyDescent="0.25">
      <c r="A975" s="118"/>
      <c r="B975" s="119"/>
      <c r="C975" s="119"/>
      <c r="D975" s="119"/>
      <c r="E975" s="119"/>
      <c r="F975" s="120"/>
      <c r="G975" s="121"/>
      <c r="H975" s="121"/>
      <c r="I975" s="121"/>
      <c r="J975" s="121"/>
      <c r="K975" s="121"/>
      <c r="L975" s="122"/>
      <c r="N975" s="32" t="str">
        <f t="shared" si="15"/>
        <v/>
      </c>
    </row>
    <row r="976" spans="1:14" outlineLevel="1" x14ac:dyDescent="0.25">
      <c r="A976" s="118"/>
      <c r="B976" s="119"/>
      <c r="C976" s="119"/>
      <c r="D976" s="119"/>
      <c r="E976" s="119"/>
      <c r="F976" s="120"/>
      <c r="G976" s="121"/>
      <c r="H976" s="121"/>
      <c r="I976" s="121"/>
      <c r="J976" s="121"/>
      <c r="K976" s="121"/>
      <c r="L976" s="122"/>
      <c r="N976" s="32" t="str">
        <f t="shared" si="15"/>
        <v/>
      </c>
    </row>
    <row r="977" spans="1:14" outlineLevel="1" x14ac:dyDescent="0.25">
      <c r="A977" s="118"/>
      <c r="B977" s="119"/>
      <c r="C977" s="119"/>
      <c r="D977" s="119"/>
      <c r="E977" s="119"/>
      <c r="F977" s="120"/>
      <c r="G977" s="121"/>
      <c r="H977" s="121"/>
      <c r="I977" s="121"/>
      <c r="J977" s="121"/>
      <c r="K977" s="121"/>
      <c r="L977" s="122"/>
      <c r="N977" s="32" t="str">
        <f t="shared" si="15"/>
        <v/>
      </c>
    </row>
    <row r="978" spans="1:14" outlineLevel="1" x14ac:dyDescent="0.25">
      <c r="A978" s="118"/>
      <c r="B978" s="119"/>
      <c r="C978" s="119"/>
      <c r="D978" s="119"/>
      <c r="E978" s="119"/>
      <c r="F978" s="120"/>
      <c r="G978" s="121"/>
      <c r="H978" s="121"/>
      <c r="I978" s="121"/>
      <c r="J978" s="121"/>
      <c r="K978" s="121"/>
      <c r="L978" s="122"/>
      <c r="N978" s="32" t="str">
        <f t="shared" si="15"/>
        <v/>
      </c>
    </row>
    <row r="979" spans="1:14" outlineLevel="1" x14ac:dyDescent="0.25">
      <c r="A979" s="118"/>
      <c r="B979" s="119"/>
      <c r="C979" s="119"/>
      <c r="D979" s="119"/>
      <c r="E979" s="119"/>
      <c r="F979" s="120"/>
      <c r="G979" s="121"/>
      <c r="H979" s="121"/>
      <c r="I979" s="121"/>
      <c r="J979" s="121"/>
      <c r="K979" s="121"/>
      <c r="L979" s="122"/>
      <c r="N979" s="32" t="str">
        <f t="shared" si="15"/>
        <v/>
      </c>
    </row>
    <row r="980" spans="1:14" outlineLevel="1" x14ac:dyDescent="0.25">
      <c r="A980" s="118"/>
      <c r="B980" s="119"/>
      <c r="C980" s="119"/>
      <c r="D980" s="119"/>
      <c r="E980" s="119"/>
      <c r="F980" s="120"/>
      <c r="G980" s="121"/>
      <c r="H980" s="121"/>
      <c r="I980" s="121"/>
      <c r="J980" s="121"/>
      <c r="K980" s="121"/>
      <c r="L980" s="122"/>
      <c r="N980" s="32" t="str">
        <f t="shared" si="15"/>
        <v/>
      </c>
    </row>
    <row r="981" spans="1:14" outlineLevel="1" x14ac:dyDescent="0.25">
      <c r="A981" s="118"/>
      <c r="B981" s="119"/>
      <c r="C981" s="119"/>
      <c r="D981" s="119"/>
      <c r="E981" s="119"/>
      <c r="F981" s="120"/>
      <c r="G981" s="121"/>
      <c r="H981" s="121"/>
      <c r="I981" s="121"/>
      <c r="J981" s="121"/>
      <c r="K981" s="121"/>
      <c r="L981" s="122"/>
      <c r="N981" s="32" t="str">
        <f t="shared" si="15"/>
        <v/>
      </c>
    </row>
    <row r="982" spans="1:14" outlineLevel="1" x14ac:dyDescent="0.25">
      <c r="A982" s="118"/>
      <c r="B982" s="119"/>
      <c r="C982" s="119"/>
      <c r="D982" s="119"/>
      <c r="E982" s="119"/>
      <c r="F982" s="120"/>
      <c r="G982" s="121"/>
      <c r="H982" s="121"/>
      <c r="I982" s="121"/>
      <c r="J982" s="121"/>
      <c r="K982" s="121"/>
      <c r="L982" s="122"/>
      <c r="N982" s="32" t="str">
        <f t="shared" si="15"/>
        <v/>
      </c>
    </row>
    <row r="983" spans="1:14" outlineLevel="1" x14ac:dyDescent="0.25">
      <c r="A983" s="118"/>
      <c r="B983" s="119"/>
      <c r="C983" s="119"/>
      <c r="D983" s="119"/>
      <c r="E983" s="119"/>
      <c r="F983" s="120"/>
      <c r="G983" s="121"/>
      <c r="H983" s="121"/>
      <c r="I983" s="121"/>
      <c r="J983" s="121"/>
      <c r="K983" s="121"/>
      <c r="L983" s="122"/>
      <c r="N983" s="32" t="str">
        <f t="shared" si="15"/>
        <v/>
      </c>
    </row>
    <row r="984" spans="1:14" outlineLevel="1" x14ac:dyDescent="0.25">
      <c r="A984" s="118"/>
      <c r="B984" s="119"/>
      <c r="C984" s="119"/>
      <c r="D984" s="119"/>
      <c r="E984" s="119"/>
      <c r="F984" s="120"/>
      <c r="G984" s="121"/>
      <c r="H984" s="121"/>
      <c r="I984" s="121"/>
      <c r="J984" s="121"/>
      <c r="K984" s="121"/>
      <c r="L984" s="122"/>
      <c r="N984" s="32" t="str">
        <f t="shared" si="15"/>
        <v/>
      </c>
    </row>
    <row r="985" spans="1:14" outlineLevel="1" x14ac:dyDescent="0.25">
      <c r="A985" s="118"/>
      <c r="B985" s="119"/>
      <c r="C985" s="119"/>
      <c r="D985" s="119"/>
      <c r="E985" s="119"/>
      <c r="F985" s="120"/>
      <c r="G985" s="121"/>
      <c r="H985" s="121"/>
      <c r="I985" s="121"/>
      <c r="J985" s="121"/>
      <c r="K985" s="121"/>
      <c r="L985" s="122"/>
      <c r="N985" s="32" t="str">
        <f t="shared" si="15"/>
        <v/>
      </c>
    </row>
    <row r="986" spans="1:14" outlineLevel="1" x14ac:dyDescent="0.25">
      <c r="A986" s="118"/>
      <c r="B986" s="119"/>
      <c r="C986" s="119"/>
      <c r="D986" s="119"/>
      <c r="E986" s="119"/>
      <c r="F986" s="120"/>
      <c r="G986" s="121"/>
      <c r="H986" s="121"/>
      <c r="I986" s="121"/>
      <c r="J986" s="121"/>
      <c r="K986" s="121"/>
      <c r="L986" s="122"/>
      <c r="N986" s="32" t="str">
        <f t="shared" si="15"/>
        <v/>
      </c>
    </row>
    <row r="987" spans="1:14" outlineLevel="1" x14ac:dyDescent="0.25">
      <c r="A987" s="118"/>
      <c r="B987" s="119"/>
      <c r="C987" s="119"/>
      <c r="D987" s="119"/>
      <c r="E987" s="119"/>
      <c r="F987" s="120"/>
      <c r="G987" s="121"/>
      <c r="H987" s="121"/>
      <c r="I987" s="121"/>
      <c r="J987" s="121"/>
      <c r="K987" s="121"/>
      <c r="L987" s="122"/>
      <c r="N987" s="32" t="str">
        <f t="shared" si="15"/>
        <v/>
      </c>
    </row>
    <row r="988" spans="1:14" outlineLevel="1" x14ac:dyDescent="0.25">
      <c r="A988" s="118"/>
      <c r="B988" s="119"/>
      <c r="C988" s="119"/>
      <c r="D988" s="119"/>
      <c r="E988" s="119"/>
      <c r="F988" s="120"/>
      <c r="G988" s="121"/>
      <c r="H988" s="121"/>
      <c r="I988" s="121"/>
      <c r="J988" s="121"/>
      <c r="K988" s="121"/>
      <c r="L988" s="122"/>
      <c r="N988" s="32" t="str">
        <f t="shared" si="15"/>
        <v/>
      </c>
    </row>
    <row r="989" spans="1:14" outlineLevel="1" x14ac:dyDescent="0.25">
      <c r="A989" s="118"/>
      <c r="B989" s="119"/>
      <c r="C989" s="119"/>
      <c r="D989" s="119"/>
      <c r="E989" s="119"/>
      <c r="F989" s="120"/>
      <c r="G989" s="121"/>
      <c r="H989" s="121"/>
      <c r="I989" s="121"/>
      <c r="J989" s="121"/>
      <c r="K989" s="121"/>
      <c r="L989" s="122"/>
      <c r="N989" s="32" t="str">
        <f t="shared" si="15"/>
        <v/>
      </c>
    </row>
    <row r="990" spans="1:14" outlineLevel="1" x14ac:dyDescent="0.25">
      <c r="A990" s="118"/>
      <c r="B990" s="119"/>
      <c r="C990" s="119"/>
      <c r="D990" s="119"/>
      <c r="E990" s="119"/>
      <c r="F990" s="120"/>
      <c r="G990" s="121"/>
      <c r="H990" s="121"/>
      <c r="I990" s="121"/>
      <c r="J990" s="121"/>
      <c r="K990" s="121"/>
      <c r="L990" s="122"/>
      <c r="N990" s="32" t="str">
        <f t="shared" si="15"/>
        <v/>
      </c>
    </row>
    <row r="991" spans="1:14" outlineLevel="1" x14ac:dyDescent="0.25">
      <c r="A991" s="118"/>
      <c r="B991" s="119"/>
      <c r="C991" s="119"/>
      <c r="D991" s="119"/>
      <c r="E991" s="119"/>
      <c r="F991" s="120"/>
      <c r="G991" s="121"/>
      <c r="H991" s="121"/>
      <c r="I991" s="121"/>
      <c r="J991" s="121"/>
      <c r="K991" s="121"/>
      <c r="L991" s="122"/>
      <c r="N991" s="32" t="str">
        <f t="shared" si="15"/>
        <v/>
      </c>
    </row>
    <row r="992" spans="1:14" outlineLevel="1" x14ac:dyDescent="0.25">
      <c r="A992" s="118"/>
      <c r="B992" s="119"/>
      <c r="C992" s="119"/>
      <c r="D992" s="119"/>
      <c r="E992" s="119"/>
      <c r="F992" s="120"/>
      <c r="G992" s="121"/>
      <c r="H992" s="121"/>
      <c r="I992" s="121"/>
      <c r="J992" s="121"/>
      <c r="K992" s="121"/>
      <c r="L992" s="122"/>
      <c r="N992" s="32" t="str">
        <f t="shared" si="15"/>
        <v/>
      </c>
    </row>
    <row r="993" spans="1:16" outlineLevel="1" x14ac:dyDescent="0.25">
      <c r="A993" s="118"/>
      <c r="B993" s="119"/>
      <c r="C993" s="119"/>
      <c r="D993" s="119"/>
      <c r="E993" s="119"/>
      <c r="F993" s="120"/>
      <c r="G993" s="121"/>
      <c r="H993" s="121"/>
      <c r="I993" s="121"/>
      <c r="J993" s="121"/>
      <c r="K993" s="121"/>
      <c r="L993" s="122"/>
      <c r="N993" s="32" t="str">
        <f t="shared" si="15"/>
        <v/>
      </c>
    </row>
    <row r="994" spans="1:16" outlineLevel="1" x14ac:dyDescent="0.25">
      <c r="A994" s="118"/>
      <c r="B994" s="119"/>
      <c r="C994" s="119"/>
      <c r="D994" s="119"/>
      <c r="E994" s="119"/>
      <c r="F994" s="120"/>
      <c r="G994" s="121"/>
      <c r="H994" s="121"/>
      <c r="I994" s="121"/>
      <c r="J994" s="121"/>
      <c r="K994" s="121"/>
      <c r="L994" s="122"/>
      <c r="N994" s="32" t="str">
        <f t="shared" si="15"/>
        <v/>
      </c>
    </row>
    <row r="995" spans="1:16" outlineLevel="1" x14ac:dyDescent="0.25">
      <c r="A995" s="118"/>
      <c r="B995" s="119"/>
      <c r="C995" s="119"/>
      <c r="D995" s="119"/>
      <c r="E995" s="119"/>
      <c r="F995" s="120"/>
      <c r="G995" s="121"/>
      <c r="H995" s="121"/>
      <c r="I995" s="121"/>
      <c r="J995" s="121"/>
      <c r="K995" s="121"/>
      <c r="L995" s="122"/>
      <c r="N995" s="32" t="str">
        <f t="shared" si="15"/>
        <v/>
      </c>
    </row>
    <row r="996" spans="1:16" outlineLevel="1" x14ac:dyDescent="0.25">
      <c r="A996" s="118"/>
      <c r="B996" s="119"/>
      <c r="C996" s="119"/>
      <c r="D996" s="119"/>
      <c r="E996" s="119"/>
      <c r="F996" s="120"/>
      <c r="G996" s="121"/>
      <c r="H996" s="121"/>
      <c r="I996" s="121"/>
      <c r="J996" s="121"/>
      <c r="K996" s="121"/>
      <c r="L996" s="122"/>
      <c r="N996" s="32" t="str">
        <f t="shared" si="15"/>
        <v/>
      </c>
    </row>
    <row r="997" spans="1:16" outlineLevel="1" x14ac:dyDescent="0.25">
      <c r="A997" s="77"/>
      <c r="B997" s="78"/>
      <c r="C997" s="78"/>
      <c r="D997" s="78"/>
      <c r="E997" s="78"/>
      <c r="F997" s="79"/>
      <c r="G997" s="10"/>
      <c r="H997" s="10"/>
      <c r="I997" s="10"/>
      <c r="J997" s="10"/>
      <c r="K997" s="10"/>
      <c r="L997" s="104"/>
      <c r="N997" s="32" t="str">
        <f t="shared" si="15"/>
        <v/>
      </c>
    </row>
    <row r="998" spans="1:16" ht="15.75" outlineLevel="1" thickBot="1" x14ac:dyDescent="0.3">
      <c r="A998" s="94"/>
      <c r="B998" s="81"/>
      <c r="C998" s="81"/>
      <c r="D998" s="81"/>
      <c r="E998" s="81"/>
      <c r="F998" s="82"/>
      <c r="G998" s="83"/>
      <c r="H998" s="83"/>
      <c r="I998" s="83"/>
      <c r="J998" s="83"/>
      <c r="K998" s="83"/>
      <c r="L998" s="105"/>
      <c r="N998" s="32" t="str">
        <f t="shared" si="15"/>
        <v/>
      </c>
    </row>
    <row r="999" spans="1:16" outlineLevel="1" x14ac:dyDescent="0.25">
      <c r="A999" s="84"/>
      <c r="B999" s="85"/>
      <c r="C999" s="24"/>
      <c r="D999" s="24"/>
      <c r="E999" s="24"/>
      <c r="G999" s="24"/>
      <c r="H999" s="85"/>
      <c r="I999" s="85"/>
      <c r="L999" s="85"/>
      <c r="N999" s="32" t="str">
        <f t="shared" si="15"/>
        <v/>
      </c>
    </row>
    <row r="1000" spans="1:16" ht="15.75" outlineLevel="1" thickBot="1" x14ac:dyDescent="0.3">
      <c r="A1000" s="55" t="s">
        <v>78</v>
      </c>
      <c r="L1000" s="85"/>
    </row>
    <row r="1001" spans="1:16" s="223" customFormat="1" ht="30.75" outlineLevel="1" thickBot="1" x14ac:dyDescent="0.3">
      <c r="A1001" s="221" t="s">
        <v>51</v>
      </c>
      <c r="B1001" s="220" t="s">
        <v>52</v>
      </c>
      <c r="C1001" s="211" t="s">
        <v>39</v>
      </c>
      <c r="D1001" s="211" t="s">
        <v>1877</v>
      </c>
      <c r="E1001" s="211" t="s">
        <v>55</v>
      </c>
      <c r="F1001" s="211" t="s">
        <v>56</v>
      </c>
      <c r="G1001" s="211" t="s">
        <v>57</v>
      </c>
      <c r="H1001" s="211" t="s">
        <v>63</v>
      </c>
      <c r="I1001" s="219" t="s">
        <v>64</v>
      </c>
      <c r="J1001" s="219" t="s">
        <v>65</v>
      </c>
      <c r="K1001" s="220" t="s">
        <v>66</v>
      </c>
      <c r="L1001" s="220" t="s">
        <v>79</v>
      </c>
      <c r="M1001" s="220" t="s">
        <v>80</v>
      </c>
      <c r="N1001" s="220" t="s">
        <v>81</v>
      </c>
      <c r="O1001" s="222"/>
      <c r="P1001" s="213"/>
    </row>
    <row r="1002" spans="1:16" outlineLevel="1" x14ac:dyDescent="0.25">
      <c r="A1002" s="73"/>
      <c r="B1002" s="74"/>
      <c r="C1002" s="74"/>
      <c r="D1002" s="74"/>
      <c r="E1002" s="74"/>
      <c r="F1002" s="76"/>
      <c r="G1002" s="76"/>
      <c r="H1002" s="76"/>
      <c r="I1002" s="115"/>
      <c r="J1002" s="115"/>
      <c r="K1002" s="115"/>
      <c r="L1002" s="115"/>
      <c r="M1002" s="115"/>
      <c r="N1002" s="114"/>
    </row>
    <row r="1003" spans="1:16" outlineLevel="1" x14ac:dyDescent="0.25">
      <c r="A1003" s="118"/>
      <c r="B1003" s="119"/>
      <c r="C1003" s="119"/>
      <c r="D1003" s="119"/>
      <c r="E1003" s="119"/>
      <c r="F1003" s="121"/>
      <c r="G1003" s="121"/>
      <c r="H1003" s="121"/>
      <c r="I1003" s="133"/>
      <c r="J1003" s="133"/>
      <c r="K1003" s="133"/>
      <c r="L1003" s="133"/>
      <c r="M1003" s="133"/>
      <c r="N1003" s="122"/>
    </row>
    <row r="1004" spans="1:16" outlineLevel="1" x14ac:dyDescent="0.25">
      <c r="A1004" s="118"/>
      <c r="B1004" s="119"/>
      <c r="C1004" s="119"/>
      <c r="D1004" s="119"/>
      <c r="E1004" s="119"/>
      <c r="F1004" s="121"/>
      <c r="G1004" s="121"/>
      <c r="H1004" s="121"/>
      <c r="I1004" s="133"/>
      <c r="J1004" s="133"/>
      <c r="K1004" s="133"/>
      <c r="L1004" s="133"/>
      <c r="M1004" s="133"/>
      <c r="N1004" s="122"/>
    </row>
    <row r="1005" spans="1:16" outlineLevel="1" x14ac:dyDescent="0.25">
      <c r="A1005" s="118"/>
      <c r="B1005" s="119"/>
      <c r="C1005" s="119"/>
      <c r="D1005" s="119"/>
      <c r="E1005" s="119"/>
      <c r="F1005" s="121"/>
      <c r="G1005" s="121"/>
      <c r="H1005" s="121"/>
      <c r="I1005" s="133"/>
      <c r="J1005" s="133"/>
      <c r="K1005" s="133"/>
      <c r="L1005" s="133"/>
      <c r="M1005" s="133"/>
      <c r="N1005" s="122"/>
    </row>
    <row r="1006" spans="1:16" outlineLevel="1" x14ac:dyDescent="0.25">
      <c r="A1006" s="118"/>
      <c r="B1006" s="119"/>
      <c r="C1006" s="119"/>
      <c r="D1006" s="119"/>
      <c r="E1006" s="119"/>
      <c r="F1006" s="121"/>
      <c r="G1006" s="121"/>
      <c r="H1006" s="121"/>
      <c r="I1006" s="133"/>
      <c r="J1006" s="133"/>
      <c r="K1006" s="133"/>
      <c r="L1006" s="133"/>
      <c r="M1006" s="133"/>
      <c r="N1006" s="122"/>
    </row>
    <row r="1007" spans="1:16" outlineLevel="1" x14ac:dyDescent="0.25">
      <c r="A1007" s="118"/>
      <c r="B1007" s="119"/>
      <c r="C1007" s="119"/>
      <c r="D1007" s="119"/>
      <c r="E1007" s="119"/>
      <c r="F1007" s="121"/>
      <c r="G1007" s="121"/>
      <c r="H1007" s="121"/>
      <c r="I1007" s="133"/>
      <c r="J1007" s="133"/>
      <c r="K1007" s="133"/>
      <c r="L1007" s="133"/>
      <c r="M1007" s="133"/>
      <c r="N1007" s="122"/>
    </row>
    <row r="1008" spans="1:16" outlineLevel="1" x14ac:dyDescent="0.25">
      <c r="A1008" s="118"/>
      <c r="B1008" s="119"/>
      <c r="C1008" s="119"/>
      <c r="D1008" s="119"/>
      <c r="E1008" s="119"/>
      <c r="F1008" s="121"/>
      <c r="G1008" s="121"/>
      <c r="H1008" s="121"/>
      <c r="I1008" s="133"/>
      <c r="J1008" s="133"/>
      <c r="K1008" s="133"/>
      <c r="L1008" s="133"/>
      <c r="M1008" s="133"/>
      <c r="N1008" s="122"/>
    </row>
    <row r="1009" spans="1:14" outlineLevel="1" x14ac:dyDescent="0.25">
      <c r="A1009" s="118"/>
      <c r="B1009" s="119"/>
      <c r="C1009" s="119"/>
      <c r="D1009" s="119"/>
      <c r="E1009" s="119"/>
      <c r="F1009" s="121"/>
      <c r="G1009" s="121"/>
      <c r="H1009" s="121"/>
      <c r="I1009" s="133"/>
      <c r="J1009" s="133"/>
      <c r="K1009" s="133"/>
      <c r="L1009" s="133"/>
      <c r="M1009" s="133"/>
      <c r="N1009" s="122"/>
    </row>
    <row r="1010" spans="1:14" outlineLevel="1" x14ac:dyDescent="0.25">
      <c r="A1010" s="118"/>
      <c r="B1010" s="119"/>
      <c r="C1010" s="119"/>
      <c r="D1010" s="119"/>
      <c r="E1010" s="119"/>
      <c r="F1010" s="121"/>
      <c r="G1010" s="121"/>
      <c r="H1010" s="121"/>
      <c r="I1010" s="133"/>
      <c r="J1010" s="133"/>
      <c r="K1010" s="133"/>
      <c r="L1010" s="133"/>
      <c r="M1010" s="133"/>
      <c r="N1010" s="122"/>
    </row>
    <row r="1011" spans="1:14" outlineLevel="1" x14ac:dyDescent="0.25">
      <c r="A1011" s="118"/>
      <c r="B1011" s="119"/>
      <c r="C1011" s="119"/>
      <c r="D1011" s="119"/>
      <c r="E1011" s="119"/>
      <c r="F1011" s="121"/>
      <c r="G1011" s="121"/>
      <c r="H1011" s="121"/>
      <c r="I1011" s="133"/>
      <c r="J1011" s="133"/>
      <c r="K1011" s="133"/>
      <c r="L1011" s="133"/>
      <c r="M1011" s="133"/>
      <c r="N1011" s="122"/>
    </row>
    <row r="1012" spans="1:14" outlineLevel="1" x14ac:dyDescent="0.25">
      <c r="A1012" s="118"/>
      <c r="B1012" s="119"/>
      <c r="C1012" s="119"/>
      <c r="D1012" s="119"/>
      <c r="E1012" s="119"/>
      <c r="F1012" s="121"/>
      <c r="G1012" s="121"/>
      <c r="H1012" s="121"/>
      <c r="I1012" s="133"/>
      <c r="J1012" s="133"/>
      <c r="K1012" s="133"/>
      <c r="L1012" s="133"/>
      <c r="M1012" s="133"/>
      <c r="N1012" s="122"/>
    </row>
    <row r="1013" spans="1:14" outlineLevel="1" x14ac:dyDescent="0.25">
      <c r="A1013" s="118"/>
      <c r="B1013" s="119"/>
      <c r="C1013" s="119"/>
      <c r="D1013" s="119"/>
      <c r="E1013" s="119"/>
      <c r="F1013" s="121"/>
      <c r="G1013" s="121"/>
      <c r="H1013" s="121"/>
      <c r="I1013" s="133"/>
      <c r="J1013" s="133"/>
      <c r="K1013" s="133"/>
      <c r="L1013" s="133"/>
      <c r="M1013" s="133"/>
      <c r="N1013" s="122"/>
    </row>
    <row r="1014" spans="1:14" outlineLevel="1" x14ac:dyDescent="0.25">
      <c r="A1014" s="118"/>
      <c r="B1014" s="119"/>
      <c r="C1014" s="119"/>
      <c r="D1014" s="119"/>
      <c r="E1014" s="119"/>
      <c r="F1014" s="121"/>
      <c r="G1014" s="121"/>
      <c r="H1014" s="121"/>
      <c r="I1014" s="133"/>
      <c r="J1014" s="133"/>
      <c r="K1014" s="133"/>
      <c r="L1014" s="133"/>
      <c r="M1014" s="133"/>
      <c r="N1014" s="122"/>
    </row>
    <row r="1015" spans="1:14" outlineLevel="1" x14ac:dyDescent="0.25">
      <c r="A1015" s="118"/>
      <c r="B1015" s="119"/>
      <c r="C1015" s="119"/>
      <c r="D1015" s="119"/>
      <c r="E1015" s="119"/>
      <c r="F1015" s="121"/>
      <c r="G1015" s="121"/>
      <c r="H1015" s="121"/>
      <c r="I1015" s="133"/>
      <c r="J1015" s="133"/>
      <c r="K1015" s="133"/>
      <c r="L1015" s="133"/>
      <c r="M1015" s="133"/>
      <c r="N1015" s="122"/>
    </row>
    <row r="1016" spans="1:14" outlineLevel="1" x14ac:dyDescent="0.25">
      <c r="A1016" s="118"/>
      <c r="B1016" s="119"/>
      <c r="C1016" s="119"/>
      <c r="D1016" s="119"/>
      <c r="E1016" s="119"/>
      <c r="F1016" s="121"/>
      <c r="G1016" s="121"/>
      <c r="H1016" s="121"/>
      <c r="I1016" s="133"/>
      <c r="J1016" s="133"/>
      <c r="K1016" s="133"/>
      <c r="L1016" s="133"/>
      <c r="M1016" s="133"/>
      <c r="N1016" s="122"/>
    </row>
    <row r="1017" spans="1:14" outlineLevel="1" x14ac:dyDescent="0.25">
      <c r="A1017" s="118"/>
      <c r="B1017" s="119"/>
      <c r="C1017" s="119"/>
      <c r="D1017" s="119"/>
      <c r="E1017" s="119"/>
      <c r="F1017" s="121"/>
      <c r="G1017" s="121"/>
      <c r="H1017" s="121"/>
      <c r="I1017" s="133"/>
      <c r="J1017" s="133"/>
      <c r="K1017" s="133"/>
      <c r="L1017" s="133"/>
      <c r="M1017" s="133"/>
      <c r="N1017" s="122"/>
    </row>
    <row r="1018" spans="1:14" outlineLevel="1" x14ac:dyDescent="0.25">
      <c r="A1018" s="118"/>
      <c r="B1018" s="119"/>
      <c r="C1018" s="119"/>
      <c r="D1018" s="119"/>
      <c r="E1018" s="119"/>
      <c r="F1018" s="121"/>
      <c r="G1018" s="121"/>
      <c r="H1018" s="121"/>
      <c r="I1018" s="133"/>
      <c r="J1018" s="133"/>
      <c r="K1018" s="133"/>
      <c r="L1018" s="133"/>
      <c r="M1018" s="133"/>
      <c r="N1018" s="122"/>
    </row>
    <row r="1019" spans="1:14" outlineLevel="1" x14ac:dyDescent="0.25">
      <c r="A1019" s="118"/>
      <c r="B1019" s="119"/>
      <c r="C1019" s="119"/>
      <c r="D1019" s="119"/>
      <c r="E1019" s="119"/>
      <c r="F1019" s="121"/>
      <c r="G1019" s="121"/>
      <c r="H1019" s="121"/>
      <c r="I1019" s="133"/>
      <c r="J1019" s="133"/>
      <c r="K1019" s="133"/>
      <c r="L1019" s="133"/>
      <c r="M1019" s="133"/>
      <c r="N1019" s="122"/>
    </row>
    <row r="1020" spans="1:14" outlineLevel="1" x14ac:dyDescent="0.25">
      <c r="A1020" s="118"/>
      <c r="B1020" s="119"/>
      <c r="C1020" s="119"/>
      <c r="D1020" s="119"/>
      <c r="E1020" s="119"/>
      <c r="F1020" s="121"/>
      <c r="G1020" s="121"/>
      <c r="H1020" s="121"/>
      <c r="I1020" s="133"/>
      <c r="J1020" s="133"/>
      <c r="K1020" s="133"/>
      <c r="L1020" s="133"/>
      <c r="M1020" s="133"/>
      <c r="N1020" s="122"/>
    </row>
    <row r="1021" spans="1:14" outlineLevel="1" x14ac:dyDescent="0.25">
      <c r="A1021" s="118"/>
      <c r="B1021" s="119"/>
      <c r="C1021" s="119"/>
      <c r="D1021" s="119"/>
      <c r="E1021" s="119"/>
      <c r="F1021" s="121"/>
      <c r="G1021" s="121"/>
      <c r="H1021" s="121"/>
      <c r="I1021" s="133"/>
      <c r="J1021" s="133"/>
      <c r="K1021" s="133"/>
      <c r="L1021" s="133"/>
      <c r="M1021" s="133"/>
      <c r="N1021" s="122"/>
    </row>
    <row r="1022" spans="1:14" outlineLevel="1" x14ac:dyDescent="0.25">
      <c r="A1022" s="118"/>
      <c r="B1022" s="119"/>
      <c r="C1022" s="119"/>
      <c r="D1022" s="119"/>
      <c r="E1022" s="119"/>
      <c r="F1022" s="121"/>
      <c r="G1022" s="121"/>
      <c r="H1022" s="121"/>
      <c r="I1022" s="133"/>
      <c r="J1022" s="133"/>
      <c r="K1022" s="133"/>
      <c r="L1022" s="133"/>
      <c r="M1022" s="133"/>
      <c r="N1022" s="122"/>
    </row>
    <row r="1023" spans="1:14" outlineLevel="1" x14ac:dyDescent="0.25">
      <c r="A1023" s="118"/>
      <c r="B1023" s="119"/>
      <c r="C1023" s="119"/>
      <c r="D1023" s="119"/>
      <c r="E1023" s="119"/>
      <c r="F1023" s="121"/>
      <c r="G1023" s="121"/>
      <c r="H1023" s="121"/>
      <c r="I1023" s="133"/>
      <c r="J1023" s="133"/>
      <c r="K1023" s="133"/>
      <c r="L1023" s="133"/>
      <c r="M1023" s="133"/>
      <c r="N1023" s="122"/>
    </row>
    <row r="1024" spans="1:14" outlineLevel="1" x14ac:dyDescent="0.25">
      <c r="A1024" s="118"/>
      <c r="B1024" s="119"/>
      <c r="C1024" s="119"/>
      <c r="D1024" s="119"/>
      <c r="E1024" s="119"/>
      <c r="F1024" s="121"/>
      <c r="G1024" s="121"/>
      <c r="H1024" s="121"/>
      <c r="I1024" s="133"/>
      <c r="J1024" s="133"/>
      <c r="K1024" s="133"/>
      <c r="L1024" s="133"/>
      <c r="M1024" s="133"/>
      <c r="N1024" s="122"/>
    </row>
    <row r="1025" spans="1:14" outlineLevel="1" x14ac:dyDescent="0.25">
      <c r="A1025" s="118"/>
      <c r="B1025" s="119"/>
      <c r="C1025" s="119"/>
      <c r="D1025" s="119"/>
      <c r="E1025" s="119"/>
      <c r="F1025" s="121"/>
      <c r="G1025" s="121"/>
      <c r="H1025" s="121"/>
      <c r="I1025" s="133"/>
      <c r="J1025" s="133"/>
      <c r="K1025" s="133"/>
      <c r="L1025" s="133"/>
      <c r="M1025" s="133"/>
      <c r="N1025" s="122"/>
    </row>
    <row r="1026" spans="1:14" outlineLevel="1" x14ac:dyDescent="0.25">
      <c r="A1026" s="118"/>
      <c r="B1026" s="119"/>
      <c r="C1026" s="119"/>
      <c r="D1026" s="119"/>
      <c r="E1026" s="119"/>
      <c r="F1026" s="121"/>
      <c r="G1026" s="121"/>
      <c r="H1026" s="121"/>
      <c r="I1026" s="133"/>
      <c r="J1026" s="133"/>
      <c r="K1026" s="133"/>
      <c r="L1026" s="133"/>
      <c r="M1026" s="133"/>
      <c r="N1026" s="122"/>
    </row>
    <row r="1027" spans="1:14" outlineLevel="1" x14ac:dyDescent="0.25">
      <c r="A1027" s="118"/>
      <c r="B1027" s="119"/>
      <c r="C1027" s="119"/>
      <c r="D1027" s="119"/>
      <c r="E1027" s="119"/>
      <c r="F1027" s="121"/>
      <c r="G1027" s="121"/>
      <c r="H1027" s="121"/>
      <c r="I1027" s="133"/>
      <c r="J1027" s="133"/>
      <c r="K1027" s="133"/>
      <c r="L1027" s="133"/>
      <c r="M1027" s="133"/>
      <c r="N1027" s="122"/>
    </row>
    <row r="1028" spans="1:14" outlineLevel="1" x14ac:dyDescent="0.25">
      <c r="A1028" s="118"/>
      <c r="B1028" s="119"/>
      <c r="C1028" s="119"/>
      <c r="D1028" s="119"/>
      <c r="E1028" s="119"/>
      <c r="F1028" s="121"/>
      <c r="G1028" s="121"/>
      <c r="H1028" s="121"/>
      <c r="I1028" s="133"/>
      <c r="J1028" s="133"/>
      <c r="K1028" s="133"/>
      <c r="L1028" s="133"/>
      <c r="M1028" s="133"/>
      <c r="N1028" s="122"/>
    </row>
    <row r="1029" spans="1:14" outlineLevel="1" x14ac:dyDescent="0.25">
      <c r="A1029" s="118"/>
      <c r="B1029" s="119"/>
      <c r="C1029" s="119"/>
      <c r="D1029" s="119"/>
      <c r="E1029" s="119"/>
      <c r="F1029" s="121"/>
      <c r="G1029" s="121"/>
      <c r="H1029" s="121"/>
      <c r="I1029" s="133"/>
      <c r="J1029" s="133"/>
      <c r="K1029" s="133"/>
      <c r="L1029" s="133"/>
      <c r="M1029" s="133"/>
      <c r="N1029" s="122"/>
    </row>
    <row r="1030" spans="1:14" outlineLevel="1" x14ac:dyDescent="0.25">
      <c r="A1030" s="118"/>
      <c r="B1030" s="119"/>
      <c r="C1030" s="119"/>
      <c r="D1030" s="119"/>
      <c r="E1030" s="119"/>
      <c r="F1030" s="121"/>
      <c r="G1030" s="121"/>
      <c r="H1030" s="121"/>
      <c r="I1030" s="133"/>
      <c r="J1030" s="133"/>
      <c r="K1030" s="133"/>
      <c r="L1030" s="133"/>
      <c r="M1030" s="133"/>
      <c r="N1030" s="122"/>
    </row>
    <row r="1031" spans="1:14" outlineLevel="1" x14ac:dyDescent="0.25">
      <c r="A1031" s="118"/>
      <c r="B1031" s="119"/>
      <c r="C1031" s="119"/>
      <c r="D1031" s="119"/>
      <c r="E1031" s="119"/>
      <c r="F1031" s="121"/>
      <c r="G1031" s="121"/>
      <c r="H1031" s="121"/>
      <c r="I1031" s="133"/>
      <c r="J1031" s="133"/>
      <c r="K1031" s="133"/>
      <c r="L1031" s="133"/>
      <c r="M1031" s="133"/>
      <c r="N1031" s="122"/>
    </row>
    <row r="1032" spans="1:14" outlineLevel="1" x14ac:dyDescent="0.25">
      <c r="A1032" s="118"/>
      <c r="B1032" s="119"/>
      <c r="C1032" s="119"/>
      <c r="D1032" s="119"/>
      <c r="E1032" s="119"/>
      <c r="F1032" s="121"/>
      <c r="G1032" s="121"/>
      <c r="H1032" s="121"/>
      <c r="I1032" s="133"/>
      <c r="J1032" s="133"/>
      <c r="K1032" s="133"/>
      <c r="L1032" s="133"/>
      <c r="M1032" s="133"/>
      <c r="N1032" s="122"/>
    </row>
    <row r="1033" spans="1:14" outlineLevel="1" x14ac:dyDescent="0.25">
      <c r="A1033" s="118"/>
      <c r="B1033" s="119"/>
      <c r="C1033" s="119"/>
      <c r="D1033" s="119"/>
      <c r="E1033" s="119"/>
      <c r="F1033" s="121"/>
      <c r="G1033" s="121"/>
      <c r="H1033" s="121"/>
      <c r="I1033" s="133"/>
      <c r="J1033" s="133"/>
      <c r="K1033" s="133"/>
      <c r="L1033" s="133"/>
      <c r="M1033" s="133"/>
      <c r="N1033" s="122"/>
    </row>
    <row r="1034" spans="1:14" outlineLevel="1" x14ac:dyDescent="0.25">
      <c r="A1034" s="118"/>
      <c r="B1034" s="119"/>
      <c r="C1034" s="119"/>
      <c r="D1034" s="119"/>
      <c r="E1034" s="119"/>
      <c r="F1034" s="121"/>
      <c r="G1034" s="121"/>
      <c r="H1034" s="121"/>
      <c r="I1034" s="133"/>
      <c r="J1034" s="133"/>
      <c r="K1034" s="133"/>
      <c r="L1034" s="133"/>
      <c r="M1034" s="133"/>
      <c r="N1034" s="122"/>
    </row>
    <row r="1035" spans="1:14" outlineLevel="1" x14ac:dyDescent="0.25">
      <c r="A1035" s="118"/>
      <c r="B1035" s="119"/>
      <c r="C1035" s="119"/>
      <c r="D1035" s="119"/>
      <c r="E1035" s="119"/>
      <c r="F1035" s="121"/>
      <c r="G1035" s="121"/>
      <c r="H1035" s="121"/>
      <c r="I1035" s="133"/>
      <c r="J1035" s="133"/>
      <c r="K1035" s="133"/>
      <c r="L1035" s="133"/>
      <c r="M1035" s="133"/>
      <c r="N1035" s="122"/>
    </row>
    <row r="1036" spans="1:14" outlineLevel="1" x14ac:dyDescent="0.25">
      <c r="A1036" s="118"/>
      <c r="B1036" s="119"/>
      <c r="C1036" s="119"/>
      <c r="D1036" s="119"/>
      <c r="E1036" s="119"/>
      <c r="F1036" s="121"/>
      <c r="G1036" s="121"/>
      <c r="H1036" s="121"/>
      <c r="I1036" s="133"/>
      <c r="J1036" s="133"/>
      <c r="K1036" s="133"/>
      <c r="L1036" s="133"/>
      <c r="M1036" s="133"/>
      <c r="N1036" s="122"/>
    </row>
    <row r="1037" spans="1:14" outlineLevel="1" x14ac:dyDescent="0.25">
      <c r="A1037" s="118"/>
      <c r="B1037" s="119"/>
      <c r="C1037" s="119"/>
      <c r="D1037" s="119"/>
      <c r="E1037" s="119"/>
      <c r="F1037" s="121"/>
      <c r="G1037" s="121"/>
      <c r="H1037" s="121"/>
      <c r="I1037" s="133"/>
      <c r="J1037" s="133"/>
      <c r="K1037" s="133"/>
      <c r="L1037" s="133"/>
      <c r="M1037" s="133"/>
      <c r="N1037" s="122"/>
    </row>
    <row r="1038" spans="1:14" outlineLevel="1" x14ac:dyDescent="0.25">
      <c r="A1038" s="118"/>
      <c r="B1038" s="119"/>
      <c r="C1038" s="119"/>
      <c r="D1038" s="119"/>
      <c r="E1038" s="119"/>
      <c r="F1038" s="121"/>
      <c r="G1038" s="121"/>
      <c r="H1038" s="121"/>
      <c r="I1038" s="133"/>
      <c r="J1038" s="133"/>
      <c r="K1038" s="133"/>
      <c r="L1038" s="133"/>
      <c r="M1038" s="133"/>
      <c r="N1038" s="122"/>
    </row>
    <row r="1039" spans="1:14" outlineLevel="1" x14ac:dyDescent="0.25">
      <c r="A1039" s="118"/>
      <c r="B1039" s="119"/>
      <c r="C1039" s="119"/>
      <c r="D1039" s="119"/>
      <c r="E1039" s="119"/>
      <c r="F1039" s="121"/>
      <c r="G1039" s="121"/>
      <c r="H1039" s="121"/>
      <c r="I1039" s="133"/>
      <c r="J1039" s="133"/>
      <c r="K1039" s="133"/>
      <c r="L1039" s="133"/>
      <c r="M1039" s="133"/>
      <c r="N1039" s="122"/>
    </row>
    <row r="1040" spans="1:14" outlineLevel="1" x14ac:dyDescent="0.25">
      <c r="A1040" s="118"/>
      <c r="B1040" s="119"/>
      <c r="C1040" s="119"/>
      <c r="D1040" s="119"/>
      <c r="E1040" s="119"/>
      <c r="F1040" s="121"/>
      <c r="G1040" s="121"/>
      <c r="H1040" s="121"/>
      <c r="I1040" s="133"/>
      <c r="J1040" s="133"/>
      <c r="K1040" s="133"/>
      <c r="L1040" s="133"/>
      <c r="M1040" s="133"/>
      <c r="N1040" s="122"/>
    </row>
    <row r="1041" spans="1:14" outlineLevel="1" x14ac:dyDescent="0.25">
      <c r="A1041" s="118"/>
      <c r="B1041" s="119"/>
      <c r="C1041" s="119"/>
      <c r="D1041" s="119"/>
      <c r="E1041" s="119"/>
      <c r="F1041" s="121"/>
      <c r="G1041" s="121"/>
      <c r="H1041" s="121"/>
      <c r="I1041" s="133"/>
      <c r="J1041" s="133"/>
      <c r="K1041" s="133"/>
      <c r="L1041" s="133"/>
      <c r="M1041" s="133"/>
      <c r="N1041" s="122"/>
    </row>
    <row r="1042" spans="1:14" outlineLevel="1" x14ac:dyDescent="0.25">
      <c r="A1042" s="118"/>
      <c r="B1042" s="119"/>
      <c r="C1042" s="119"/>
      <c r="D1042" s="119"/>
      <c r="E1042" s="119"/>
      <c r="F1042" s="121"/>
      <c r="G1042" s="121"/>
      <c r="H1042" s="121"/>
      <c r="I1042" s="133"/>
      <c r="J1042" s="133"/>
      <c r="K1042" s="133"/>
      <c r="L1042" s="133"/>
      <c r="M1042" s="133"/>
      <c r="N1042" s="122"/>
    </row>
    <row r="1043" spans="1:14" outlineLevel="1" x14ac:dyDescent="0.25">
      <c r="A1043" s="118"/>
      <c r="B1043" s="119"/>
      <c r="C1043" s="119"/>
      <c r="D1043" s="119"/>
      <c r="E1043" s="119"/>
      <c r="F1043" s="121"/>
      <c r="G1043" s="121"/>
      <c r="H1043" s="121"/>
      <c r="I1043" s="133"/>
      <c r="J1043" s="133"/>
      <c r="K1043" s="133"/>
      <c r="L1043" s="133"/>
      <c r="M1043" s="133"/>
      <c r="N1043" s="122"/>
    </row>
    <row r="1044" spans="1:14" outlineLevel="1" x14ac:dyDescent="0.25">
      <c r="A1044" s="118"/>
      <c r="B1044" s="119"/>
      <c r="C1044" s="119"/>
      <c r="D1044" s="119"/>
      <c r="E1044" s="119"/>
      <c r="F1044" s="121"/>
      <c r="G1044" s="121"/>
      <c r="H1044" s="121"/>
      <c r="I1044" s="133"/>
      <c r="J1044" s="133"/>
      <c r="K1044" s="133"/>
      <c r="L1044" s="133"/>
      <c r="M1044" s="133"/>
      <c r="N1044" s="122"/>
    </row>
    <row r="1045" spans="1:14" outlineLevel="1" x14ac:dyDescent="0.25">
      <c r="A1045" s="118"/>
      <c r="B1045" s="119"/>
      <c r="C1045" s="119"/>
      <c r="D1045" s="119"/>
      <c r="E1045" s="119"/>
      <c r="F1045" s="121"/>
      <c r="G1045" s="121"/>
      <c r="H1045" s="121"/>
      <c r="I1045" s="133"/>
      <c r="J1045" s="133"/>
      <c r="K1045" s="133"/>
      <c r="L1045" s="133"/>
      <c r="M1045" s="133"/>
      <c r="N1045" s="122"/>
    </row>
    <row r="1046" spans="1:14" outlineLevel="1" x14ac:dyDescent="0.25">
      <c r="A1046" s="118"/>
      <c r="B1046" s="119"/>
      <c r="C1046" s="119"/>
      <c r="D1046" s="119"/>
      <c r="E1046" s="119"/>
      <c r="F1046" s="121"/>
      <c r="G1046" s="121"/>
      <c r="H1046" s="121"/>
      <c r="I1046" s="133"/>
      <c r="J1046" s="133"/>
      <c r="K1046" s="133"/>
      <c r="L1046" s="133"/>
      <c r="M1046" s="133"/>
      <c r="N1046" s="122"/>
    </row>
    <row r="1047" spans="1:14" outlineLevel="1" x14ac:dyDescent="0.25">
      <c r="A1047" s="118"/>
      <c r="B1047" s="119"/>
      <c r="C1047" s="119"/>
      <c r="D1047" s="119"/>
      <c r="E1047" s="119"/>
      <c r="F1047" s="121"/>
      <c r="G1047" s="121"/>
      <c r="H1047" s="121"/>
      <c r="I1047" s="133"/>
      <c r="J1047" s="133"/>
      <c r="K1047" s="133"/>
      <c r="L1047" s="133"/>
      <c r="M1047" s="133"/>
      <c r="N1047" s="122"/>
    </row>
    <row r="1048" spans="1:14" outlineLevel="1" x14ac:dyDescent="0.25">
      <c r="A1048" s="118"/>
      <c r="B1048" s="119"/>
      <c r="C1048" s="119"/>
      <c r="D1048" s="119"/>
      <c r="E1048" s="119"/>
      <c r="F1048" s="121"/>
      <c r="G1048" s="121"/>
      <c r="H1048" s="121"/>
      <c r="I1048" s="133"/>
      <c r="J1048" s="133"/>
      <c r="K1048" s="133"/>
      <c r="L1048" s="133"/>
      <c r="M1048" s="133"/>
      <c r="N1048" s="122"/>
    </row>
    <row r="1049" spans="1:14" outlineLevel="1" x14ac:dyDescent="0.25">
      <c r="A1049" s="118"/>
      <c r="B1049" s="119"/>
      <c r="C1049" s="119"/>
      <c r="D1049" s="119"/>
      <c r="E1049" s="119"/>
      <c r="F1049" s="121"/>
      <c r="G1049" s="121"/>
      <c r="H1049" s="121"/>
      <c r="I1049" s="133"/>
      <c r="J1049" s="133"/>
      <c r="K1049" s="133"/>
      <c r="L1049" s="133"/>
      <c r="M1049" s="133"/>
      <c r="N1049" s="122"/>
    </row>
    <row r="1050" spans="1:14" outlineLevel="1" x14ac:dyDescent="0.25">
      <c r="A1050" s="118"/>
      <c r="B1050" s="119"/>
      <c r="C1050" s="119"/>
      <c r="D1050" s="119"/>
      <c r="E1050" s="119"/>
      <c r="F1050" s="121"/>
      <c r="G1050" s="121"/>
      <c r="H1050" s="121"/>
      <c r="I1050" s="133"/>
      <c r="J1050" s="133"/>
      <c r="K1050" s="133"/>
      <c r="L1050" s="133"/>
      <c r="M1050" s="133"/>
      <c r="N1050" s="122"/>
    </row>
    <row r="1051" spans="1:14" outlineLevel="1" x14ac:dyDescent="0.25">
      <c r="A1051" s="118"/>
      <c r="B1051" s="119"/>
      <c r="C1051" s="119"/>
      <c r="D1051" s="119"/>
      <c r="E1051" s="119"/>
      <c r="F1051" s="121"/>
      <c r="G1051" s="121"/>
      <c r="H1051" s="121"/>
      <c r="I1051" s="133"/>
      <c r="J1051" s="133"/>
      <c r="K1051" s="133"/>
      <c r="L1051" s="133"/>
      <c r="M1051" s="133"/>
      <c r="N1051" s="122"/>
    </row>
    <row r="1052" spans="1:14" outlineLevel="1" x14ac:dyDescent="0.25">
      <c r="A1052" s="118"/>
      <c r="B1052" s="119"/>
      <c r="C1052" s="119"/>
      <c r="D1052" s="119"/>
      <c r="E1052" s="119"/>
      <c r="F1052" s="121"/>
      <c r="G1052" s="121"/>
      <c r="H1052" s="121"/>
      <c r="I1052" s="133"/>
      <c r="J1052" s="133"/>
      <c r="K1052" s="133"/>
      <c r="L1052" s="133"/>
      <c r="M1052" s="133"/>
      <c r="N1052" s="122"/>
    </row>
    <row r="1053" spans="1:14" outlineLevel="1" x14ac:dyDescent="0.25">
      <c r="A1053" s="118"/>
      <c r="B1053" s="119"/>
      <c r="C1053" s="119"/>
      <c r="D1053" s="119"/>
      <c r="E1053" s="119"/>
      <c r="F1053" s="121"/>
      <c r="G1053" s="121"/>
      <c r="H1053" s="121"/>
      <c r="I1053" s="133"/>
      <c r="J1053" s="133"/>
      <c r="K1053" s="133"/>
      <c r="L1053" s="133"/>
      <c r="M1053" s="133"/>
      <c r="N1053" s="122"/>
    </row>
    <row r="1054" spans="1:14" outlineLevel="1" x14ac:dyDescent="0.25">
      <c r="A1054" s="118"/>
      <c r="B1054" s="119"/>
      <c r="C1054" s="119"/>
      <c r="D1054" s="119"/>
      <c r="E1054" s="119"/>
      <c r="F1054" s="121"/>
      <c r="G1054" s="121"/>
      <c r="H1054" s="121"/>
      <c r="I1054" s="133"/>
      <c r="J1054" s="133"/>
      <c r="K1054" s="133"/>
      <c r="L1054" s="133"/>
      <c r="M1054" s="133"/>
      <c r="N1054" s="122"/>
    </row>
    <row r="1055" spans="1:14" outlineLevel="1" x14ac:dyDescent="0.25">
      <c r="A1055" s="118"/>
      <c r="B1055" s="119"/>
      <c r="C1055" s="119"/>
      <c r="D1055" s="119"/>
      <c r="E1055" s="119"/>
      <c r="F1055" s="121"/>
      <c r="G1055" s="121"/>
      <c r="H1055" s="121"/>
      <c r="I1055" s="133"/>
      <c r="J1055" s="133"/>
      <c r="K1055" s="133"/>
      <c r="L1055" s="133"/>
      <c r="M1055" s="133"/>
      <c r="N1055" s="122"/>
    </row>
    <row r="1056" spans="1:14" outlineLevel="1" x14ac:dyDescent="0.25">
      <c r="A1056" s="118"/>
      <c r="B1056" s="119"/>
      <c r="C1056" s="119"/>
      <c r="D1056" s="119"/>
      <c r="E1056" s="119"/>
      <c r="F1056" s="121"/>
      <c r="G1056" s="121"/>
      <c r="H1056" s="121"/>
      <c r="I1056" s="133"/>
      <c r="J1056" s="133"/>
      <c r="K1056" s="133"/>
      <c r="L1056" s="133"/>
      <c r="M1056" s="133"/>
      <c r="N1056" s="122"/>
    </row>
    <row r="1057" spans="1:14" outlineLevel="1" x14ac:dyDescent="0.25">
      <c r="A1057" s="118"/>
      <c r="B1057" s="119"/>
      <c r="C1057" s="119"/>
      <c r="D1057" s="119"/>
      <c r="E1057" s="119"/>
      <c r="F1057" s="121"/>
      <c r="G1057" s="121"/>
      <c r="H1057" s="121"/>
      <c r="I1057" s="133"/>
      <c r="J1057" s="133"/>
      <c r="K1057" s="133"/>
      <c r="L1057" s="133"/>
      <c r="M1057" s="133"/>
      <c r="N1057" s="122"/>
    </row>
    <row r="1058" spans="1:14" outlineLevel="1" x14ac:dyDescent="0.25">
      <c r="A1058" s="118"/>
      <c r="B1058" s="119"/>
      <c r="C1058" s="119"/>
      <c r="D1058" s="119"/>
      <c r="E1058" s="119"/>
      <c r="F1058" s="121"/>
      <c r="G1058" s="121"/>
      <c r="H1058" s="121"/>
      <c r="I1058" s="133"/>
      <c r="J1058" s="133"/>
      <c r="K1058" s="133"/>
      <c r="L1058" s="133"/>
      <c r="M1058" s="133"/>
      <c r="N1058" s="122"/>
    </row>
    <row r="1059" spans="1:14" outlineLevel="1" x14ac:dyDescent="0.25">
      <c r="A1059" s="118"/>
      <c r="B1059" s="119"/>
      <c r="C1059" s="119"/>
      <c r="D1059" s="119"/>
      <c r="E1059" s="119"/>
      <c r="F1059" s="121"/>
      <c r="G1059" s="121"/>
      <c r="H1059" s="121"/>
      <c r="I1059" s="133"/>
      <c r="J1059" s="133"/>
      <c r="K1059" s="133"/>
      <c r="L1059" s="133"/>
      <c r="M1059" s="133"/>
      <c r="N1059" s="122"/>
    </row>
    <row r="1060" spans="1:14" outlineLevel="1" x14ac:dyDescent="0.25">
      <c r="A1060" s="118"/>
      <c r="B1060" s="119"/>
      <c r="C1060" s="119"/>
      <c r="D1060" s="119"/>
      <c r="E1060" s="119"/>
      <c r="F1060" s="121"/>
      <c r="G1060" s="121"/>
      <c r="H1060" s="121"/>
      <c r="I1060" s="133"/>
      <c r="J1060" s="133"/>
      <c r="K1060" s="133"/>
      <c r="L1060" s="133"/>
      <c r="M1060" s="133"/>
      <c r="N1060" s="122"/>
    </row>
    <row r="1061" spans="1:14" outlineLevel="1" x14ac:dyDescent="0.25">
      <c r="A1061" s="118"/>
      <c r="B1061" s="119"/>
      <c r="C1061" s="119"/>
      <c r="D1061" s="119"/>
      <c r="E1061" s="119"/>
      <c r="F1061" s="121"/>
      <c r="G1061" s="121"/>
      <c r="H1061" s="121"/>
      <c r="I1061" s="133"/>
      <c r="J1061" s="133"/>
      <c r="K1061" s="133"/>
      <c r="L1061" s="133"/>
      <c r="M1061" s="133"/>
      <c r="N1061" s="122"/>
    </row>
    <row r="1062" spans="1:14" outlineLevel="1" x14ac:dyDescent="0.25">
      <c r="A1062" s="118"/>
      <c r="B1062" s="119"/>
      <c r="C1062" s="119"/>
      <c r="D1062" s="119"/>
      <c r="E1062" s="119"/>
      <c r="F1062" s="121"/>
      <c r="G1062" s="121"/>
      <c r="H1062" s="121"/>
      <c r="I1062" s="133"/>
      <c r="J1062" s="133"/>
      <c r="K1062" s="133"/>
      <c r="L1062" s="133"/>
      <c r="M1062" s="133"/>
      <c r="N1062" s="122"/>
    </row>
    <row r="1063" spans="1:14" outlineLevel="1" x14ac:dyDescent="0.25">
      <c r="A1063" s="118"/>
      <c r="B1063" s="119"/>
      <c r="C1063" s="119"/>
      <c r="D1063" s="119"/>
      <c r="E1063" s="119"/>
      <c r="F1063" s="121"/>
      <c r="G1063" s="121"/>
      <c r="H1063" s="121"/>
      <c r="I1063" s="133"/>
      <c r="J1063" s="133"/>
      <c r="K1063" s="133"/>
      <c r="L1063" s="133"/>
      <c r="M1063" s="133"/>
      <c r="N1063" s="122"/>
    </row>
    <row r="1064" spans="1:14" outlineLevel="1" x14ac:dyDescent="0.25">
      <c r="A1064" s="118"/>
      <c r="B1064" s="119"/>
      <c r="C1064" s="119"/>
      <c r="D1064" s="119"/>
      <c r="E1064" s="119"/>
      <c r="F1064" s="121"/>
      <c r="G1064" s="121"/>
      <c r="H1064" s="121"/>
      <c r="I1064" s="133"/>
      <c r="J1064" s="133"/>
      <c r="K1064" s="133"/>
      <c r="L1064" s="133"/>
      <c r="M1064" s="133"/>
      <c r="N1064" s="122"/>
    </row>
    <row r="1065" spans="1:14" outlineLevel="1" x14ac:dyDescent="0.25">
      <c r="A1065" s="118"/>
      <c r="B1065" s="119"/>
      <c r="C1065" s="119"/>
      <c r="D1065" s="119"/>
      <c r="E1065" s="119"/>
      <c r="F1065" s="121"/>
      <c r="G1065" s="121"/>
      <c r="H1065" s="121"/>
      <c r="I1065" s="133"/>
      <c r="J1065" s="133"/>
      <c r="K1065" s="133"/>
      <c r="L1065" s="133"/>
      <c r="M1065" s="133"/>
      <c r="N1065" s="122"/>
    </row>
    <row r="1066" spans="1:14" outlineLevel="1" x14ac:dyDescent="0.25">
      <c r="A1066" s="118"/>
      <c r="B1066" s="119"/>
      <c r="C1066" s="119"/>
      <c r="D1066" s="119"/>
      <c r="E1066" s="119"/>
      <c r="F1066" s="121"/>
      <c r="G1066" s="121"/>
      <c r="H1066" s="121"/>
      <c r="I1066" s="133"/>
      <c r="J1066" s="133"/>
      <c r="K1066" s="133"/>
      <c r="L1066" s="133"/>
      <c r="M1066" s="133"/>
      <c r="N1066" s="122"/>
    </row>
    <row r="1067" spans="1:14" outlineLevel="1" x14ac:dyDescent="0.25">
      <c r="A1067" s="118"/>
      <c r="B1067" s="119"/>
      <c r="C1067" s="119"/>
      <c r="D1067" s="119"/>
      <c r="E1067" s="119"/>
      <c r="F1067" s="121"/>
      <c r="G1067" s="121"/>
      <c r="H1067" s="121"/>
      <c r="I1067" s="133"/>
      <c r="J1067" s="133"/>
      <c r="K1067" s="133"/>
      <c r="L1067" s="133"/>
      <c r="M1067" s="133"/>
      <c r="N1067" s="122"/>
    </row>
    <row r="1068" spans="1:14" outlineLevel="1" x14ac:dyDescent="0.25">
      <c r="A1068" s="118"/>
      <c r="B1068" s="119"/>
      <c r="C1068" s="119"/>
      <c r="D1068" s="119"/>
      <c r="E1068" s="119"/>
      <c r="F1068" s="121"/>
      <c r="G1068" s="121"/>
      <c r="H1068" s="121"/>
      <c r="I1068" s="133"/>
      <c r="J1068" s="133"/>
      <c r="K1068" s="133"/>
      <c r="L1068" s="133"/>
      <c r="M1068" s="133"/>
      <c r="N1068" s="122"/>
    </row>
    <row r="1069" spans="1:14" outlineLevel="1" x14ac:dyDescent="0.25">
      <c r="A1069" s="118"/>
      <c r="B1069" s="119"/>
      <c r="C1069" s="119"/>
      <c r="D1069" s="119"/>
      <c r="E1069" s="119"/>
      <c r="F1069" s="121"/>
      <c r="G1069" s="121"/>
      <c r="H1069" s="121"/>
      <c r="I1069" s="133"/>
      <c r="J1069" s="133"/>
      <c r="K1069" s="133"/>
      <c r="L1069" s="133"/>
      <c r="M1069" s="133"/>
      <c r="N1069" s="122"/>
    </row>
    <row r="1070" spans="1:14" outlineLevel="1" x14ac:dyDescent="0.25">
      <c r="A1070" s="118"/>
      <c r="B1070" s="119"/>
      <c r="C1070" s="119"/>
      <c r="D1070" s="119"/>
      <c r="E1070" s="119"/>
      <c r="F1070" s="121"/>
      <c r="G1070" s="121"/>
      <c r="H1070" s="121"/>
      <c r="I1070" s="133"/>
      <c r="J1070" s="133"/>
      <c r="K1070" s="133"/>
      <c r="L1070" s="133"/>
      <c r="M1070" s="133"/>
      <c r="N1070" s="122"/>
    </row>
    <row r="1071" spans="1:14" outlineLevel="1" x14ac:dyDescent="0.25">
      <c r="A1071" s="118"/>
      <c r="B1071" s="119"/>
      <c r="C1071" s="119"/>
      <c r="D1071" s="119"/>
      <c r="E1071" s="119"/>
      <c r="F1071" s="121"/>
      <c r="G1071" s="121"/>
      <c r="H1071" s="121"/>
      <c r="I1071" s="133"/>
      <c r="J1071" s="133"/>
      <c r="K1071" s="133"/>
      <c r="L1071" s="133"/>
      <c r="M1071" s="133"/>
      <c r="N1071" s="122"/>
    </row>
    <row r="1072" spans="1:14" outlineLevel="1" x14ac:dyDescent="0.25">
      <c r="A1072" s="118"/>
      <c r="B1072" s="119"/>
      <c r="C1072" s="119"/>
      <c r="D1072" s="119"/>
      <c r="E1072" s="119"/>
      <c r="F1072" s="121"/>
      <c r="G1072" s="121"/>
      <c r="H1072" s="121"/>
      <c r="I1072" s="133"/>
      <c r="J1072" s="133"/>
      <c r="K1072" s="133"/>
      <c r="L1072" s="133"/>
      <c r="M1072" s="133"/>
      <c r="N1072" s="122"/>
    </row>
    <row r="1073" spans="1:14" outlineLevel="1" x14ac:dyDescent="0.25">
      <c r="A1073" s="118"/>
      <c r="B1073" s="119"/>
      <c r="C1073" s="119"/>
      <c r="D1073" s="119"/>
      <c r="E1073" s="119"/>
      <c r="F1073" s="121"/>
      <c r="G1073" s="121"/>
      <c r="H1073" s="121"/>
      <c r="I1073" s="133"/>
      <c r="J1073" s="133"/>
      <c r="K1073" s="133"/>
      <c r="L1073" s="133"/>
      <c r="M1073" s="133"/>
      <c r="N1073" s="122"/>
    </row>
    <row r="1074" spans="1:14" outlineLevel="1" x14ac:dyDescent="0.25">
      <c r="A1074" s="118"/>
      <c r="B1074" s="119"/>
      <c r="C1074" s="119"/>
      <c r="D1074" s="119"/>
      <c r="E1074" s="119"/>
      <c r="F1074" s="121"/>
      <c r="G1074" s="121"/>
      <c r="H1074" s="121"/>
      <c r="I1074" s="133"/>
      <c r="J1074" s="133"/>
      <c r="K1074" s="133"/>
      <c r="L1074" s="133"/>
      <c r="M1074" s="133"/>
      <c r="N1074" s="122"/>
    </row>
    <row r="1075" spans="1:14" outlineLevel="1" x14ac:dyDescent="0.25">
      <c r="A1075" s="118"/>
      <c r="B1075" s="119"/>
      <c r="C1075" s="119"/>
      <c r="D1075" s="119"/>
      <c r="E1075" s="119"/>
      <c r="F1075" s="121"/>
      <c r="G1075" s="121"/>
      <c r="H1075" s="121"/>
      <c r="I1075" s="133"/>
      <c r="J1075" s="133"/>
      <c r="K1075" s="133"/>
      <c r="L1075" s="133"/>
      <c r="M1075" s="133"/>
      <c r="N1075" s="122"/>
    </row>
    <row r="1076" spans="1:14" outlineLevel="1" x14ac:dyDescent="0.25">
      <c r="A1076" s="118"/>
      <c r="B1076" s="119"/>
      <c r="C1076" s="119"/>
      <c r="D1076" s="119"/>
      <c r="E1076" s="119"/>
      <c r="F1076" s="121"/>
      <c r="G1076" s="121"/>
      <c r="H1076" s="121"/>
      <c r="I1076" s="133"/>
      <c r="J1076" s="133"/>
      <c r="K1076" s="133"/>
      <c r="L1076" s="133"/>
      <c r="M1076" s="133"/>
      <c r="N1076" s="122"/>
    </row>
    <row r="1077" spans="1:14" outlineLevel="1" x14ac:dyDescent="0.25">
      <c r="A1077" s="118"/>
      <c r="B1077" s="119"/>
      <c r="C1077" s="119"/>
      <c r="D1077" s="119"/>
      <c r="E1077" s="119"/>
      <c r="F1077" s="121"/>
      <c r="G1077" s="121"/>
      <c r="H1077" s="121"/>
      <c r="I1077" s="133"/>
      <c r="J1077" s="133"/>
      <c r="K1077" s="133"/>
      <c r="L1077" s="133"/>
      <c r="M1077" s="133"/>
      <c r="N1077" s="122"/>
    </row>
    <row r="1078" spans="1:14" outlineLevel="1" x14ac:dyDescent="0.25">
      <c r="A1078" s="118"/>
      <c r="B1078" s="119"/>
      <c r="C1078" s="119"/>
      <c r="D1078" s="119"/>
      <c r="E1078" s="119"/>
      <c r="F1078" s="121"/>
      <c r="G1078" s="121"/>
      <c r="H1078" s="121"/>
      <c r="I1078" s="133"/>
      <c r="J1078" s="133"/>
      <c r="K1078" s="133"/>
      <c r="L1078" s="133"/>
      <c r="M1078" s="133"/>
      <c r="N1078" s="122"/>
    </row>
    <row r="1079" spans="1:14" outlineLevel="1" x14ac:dyDescent="0.25">
      <c r="A1079" s="118"/>
      <c r="B1079" s="119"/>
      <c r="C1079" s="119"/>
      <c r="D1079" s="119"/>
      <c r="E1079" s="119"/>
      <c r="F1079" s="121"/>
      <c r="G1079" s="121"/>
      <c r="H1079" s="121"/>
      <c r="I1079" s="133"/>
      <c r="J1079" s="133"/>
      <c r="K1079" s="133"/>
      <c r="L1079" s="133"/>
      <c r="M1079" s="133"/>
      <c r="N1079" s="122"/>
    </row>
    <row r="1080" spans="1:14" outlineLevel="1" x14ac:dyDescent="0.25">
      <c r="A1080" s="118"/>
      <c r="B1080" s="119"/>
      <c r="C1080" s="119"/>
      <c r="D1080" s="119"/>
      <c r="E1080" s="119"/>
      <c r="F1080" s="121"/>
      <c r="G1080" s="121"/>
      <c r="H1080" s="121"/>
      <c r="I1080" s="133"/>
      <c r="J1080" s="133"/>
      <c r="K1080" s="133"/>
      <c r="L1080" s="133"/>
      <c r="M1080" s="133"/>
      <c r="N1080" s="122"/>
    </row>
    <row r="1081" spans="1:14" outlineLevel="1" x14ac:dyDescent="0.25">
      <c r="A1081" s="118"/>
      <c r="B1081" s="119"/>
      <c r="C1081" s="119"/>
      <c r="D1081" s="119"/>
      <c r="E1081" s="119"/>
      <c r="F1081" s="121"/>
      <c r="G1081" s="121"/>
      <c r="H1081" s="121"/>
      <c r="I1081" s="133"/>
      <c r="J1081" s="133"/>
      <c r="K1081" s="133"/>
      <c r="L1081" s="133"/>
      <c r="M1081" s="133"/>
      <c r="N1081" s="122"/>
    </row>
    <row r="1082" spans="1:14" outlineLevel="1" x14ac:dyDescent="0.25">
      <c r="A1082" s="118"/>
      <c r="B1082" s="119"/>
      <c r="C1082" s="119"/>
      <c r="D1082" s="119"/>
      <c r="E1082" s="119"/>
      <c r="F1082" s="121"/>
      <c r="G1082" s="121"/>
      <c r="H1082" s="121"/>
      <c r="I1082" s="133"/>
      <c r="J1082" s="133"/>
      <c r="K1082" s="133"/>
      <c r="L1082" s="133"/>
      <c r="M1082" s="133"/>
      <c r="N1082" s="122"/>
    </row>
    <row r="1083" spans="1:14" outlineLevel="1" x14ac:dyDescent="0.25">
      <c r="A1083" s="118"/>
      <c r="B1083" s="119"/>
      <c r="C1083" s="119"/>
      <c r="D1083" s="119"/>
      <c r="E1083" s="119"/>
      <c r="F1083" s="121"/>
      <c r="G1083" s="121"/>
      <c r="H1083" s="121"/>
      <c r="I1083" s="133"/>
      <c r="J1083" s="133"/>
      <c r="K1083" s="133"/>
      <c r="L1083" s="133"/>
      <c r="M1083" s="133"/>
      <c r="N1083" s="122"/>
    </row>
    <row r="1084" spans="1:14" outlineLevel="1" x14ac:dyDescent="0.25">
      <c r="A1084" s="118"/>
      <c r="B1084" s="119"/>
      <c r="C1084" s="119"/>
      <c r="D1084" s="119"/>
      <c r="E1084" s="119"/>
      <c r="F1084" s="121"/>
      <c r="G1084" s="121"/>
      <c r="H1084" s="121"/>
      <c r="I1084" s="133"/>
      <c r="J1084" s="133"/>
      <c r="K1084" s="133"/>
      <c r="L1084" s="133"/>
      <c r="M1084" s="133"/>
      <c r="N1084" s="122"/>
    </row>
    <row r="1085" spans="1:14" outlineLevel="1" x14ac:dyDescent="0.25">
      <c r="A1085" s="118"/>
      <c r="B1085" s="119"/>
      <c r="C1085" s="119"/>
      <c r="D1085" s="119"/>
      <c r="E1085" s="119"/>
      <c r="F1085" s="121"/>
      <c r="G1085" s="121"/>
      <c r="H1085" s="121"/>
      <c r="I1085" s="133"/>
      <c r="J1085" s="133"/>
      <c r="K1085" s="133"/>
      <c r="L1085" s="133"/>
      <c r="M1085" s="133"/>
      <c r="N1085" s="122"/>
    </row>
    <row r="1086" spans="1:14" outlineLevel="1" x14ac:dyDescent="0.25">
      <c r="A1086" s="118"/>
      <c r="B1086" s="119"/>
      <c r="C1086" s="119"/>
      <c r="D1086" s="119"/>
      <c r="E1086" s="119"/>
      <c r="F1086" s="121"/>
      <c r="G1086" s="121"/>
      <c r="H1086" s="121"/>
      <c r="I1086" s="133"/>
      <c r="J1086" s="133"/>
      <c r="K1086" s="133"/>
      <c r="L1086" s="133"/>
      <c r="M1086" s="133"/>
      <c r="N1086" s="122"/>
    </row>
    <row r="1087" spans="1:14" outlineLevel="1" x14ac:dyDescent="0.25">
      <c r="A1087" s="118"/>
      <c r="B1087" s="119"/>
      <c r="C1087" s="119"/>
      <c r="D1087" s="119"/>
      <c r="E1087" s="119"/>
      <c r="F1087" s="121"/>
      <c r="G1087" s="121"/>
      <c r="H1087" s="121"/>
      <c r="I1087" s="133"/>
      <c r="J1087" s="133"/>
      <c r="K1087" s="133"/>
      <c r="L1087" s="133"/>
      <c r="M1087" s="133"/>
      <c r="N1087" s="122"/>
    </row>
    <row r="1088" spans="1:14" outlineLevel="1" x14ac:dyDescent="0.25">
      <c r="A1088" s="118"/>
      <c r="B1088" s="119"/>
      <c r="C1088" s="119"/>
      <c r="D1088" s="119"/>
      <c r="E1088" s="119"/>
      <c r="F1088" s="121"/>
      <c r="G1088" s="121"/>
      <c r="H1088" s="121"/>
      <c r="I1088" s="133"/>
      <c r="J1088" s="133"/>
      <c r="K1088" s="133"/>
      <c r="L1088" s="133"/>
      <c r="M1088" s="133"/>
      <c r="N1088" s="122"/>
    </row>
    <row r="1089" spans="1:14" outlineLevel="1" x14ac:dyDescent="0.25">
      <c r="A1089" s="118"/>
      <c r="B1089" s="119"/>
      <c r="C1089" s="119"/>
      <c r="D1089" s="119"/>
      <c r="E1089" s="119"/>
      <c r="F1089" s="121"/>
      <c r="G1089" s="121"/>
      <c r="H1089" s="121"/>
      <c r="I1089" s="133"/>
      <c r="J1089" s="133"/>
      <c r="K1089" s="133"/>
      <c r="L1089" s="133"/>
      <c r="M1089" s="133"/>
      <c r="N1089" s="122"/>
    </row>
    <row r="1090" spans="1:14" outlineLevel="1" x14ac:dyDescent="0.25">
      <c r="A1090" s="118"/>
      <c r="B1090" s="119"/>
      <c r="C1090" s="119"/>
      <c r="D1090" s="119"/>
      <c r="E1090" s="119"/>
      <c r="F1090" s="121"/>
      <c r="G1090" s="121"/>
      <c r="H1090" s="121"/>
      <c r="I1090" s="133"/>
      <c r="J1090" s="133"/>
      <c r="K1090" s="133"/>
      <c r="L1090" s="133"/>
      <c r="M1090" s="133"/>
      <c r="N1090" s="122"/>
    </row>
    <row r="1091" spans="1:14" outlineLevel="1" x14ac:dyDescent="0.25">
      <c r="A1091" s="118"/>
      <c r="B1091" s="119"/>
      <c r="C1091" s="119"/>
      <c r="D1091" s="119"/>
      <c r="E1091" s="119"/>
      <c r="F1091" s="121"/>
      <c r="G1091" s="121"/>
      <c r="H1091" s="121"/>
      <c r="I1091" s="133"/>
      <c r="J1091" s="133"/>
      <c r="K1091" s="133"/>
      <c r="L1091" s="133"/>
      <c r="M1091" s="133"/>
      <c r="N1091" s="122"/>
    </row>
    <row r="1092" spans="1:14" outlineLevel="1" x14ac:dyDescent="0.25">
      <c r="A1092" s="118"/>
      <c r="B1092" s="119"/>
      <c r="C1092" s="119"/>
      <c r="D1092" s="119"/>
      <c r="E1092" s="119"/>
      <c r="F1092" s="121"/>
      <c r="G1092" s="121"/>
      <c r="H1092" s="121"/>
      <c r="I1092" s="133"/>
      <c r="J1092" s="133"/>
      <c r="K1092" s="133"/>
      <c r="L1092" s="133"/>
      <c r="M1092" s="133"/>
      <c r="N1092" s="122"/>
    </row>
    <row r="1093" spans="1:14" outlineLevel="1" x14ac:dyDescent="0.25">
      <c r="A1093" s="118"/>
      <c r="B1093" s="119"/>
      <c r="C1093" s="119"/>
      <c r="D1093" s="119"/>
      <c r="E1093" s="119"/>
      <c r="F1093" s="121"/>
      <c r="G1093" s="121"/>
      <c r="H1093" s="121"/>
      <c r="I1093" s="133"/>
      <c r="J1093" s="133"/>
      <c r="K1093" s="133"/>
      <c r="L1093" s="133"/>
      <c r="M1093" s="133"/>
      <c r="N1093" s="122"/>
    </row>
    <row r="1094" spans="1:14" outlineLevel="1" x14ac:dyDescent="0.25">
      <c r="A1094" s="118"/>
      <c r="B1094" s="119"/>
      <c r="C1094" s="119"/>
      <c r="D1094" s="119"/>
      <c r="E1094" s="119"/>
      <c r="F1094" s="121"/>
      <c r="G1094" s="121"/>
      <c r="H1094" s="121"/>
      <c r="I1094" s="133"/>
      <c r="J1094" s="133"/>
      <c r="K1094" s="133"/>
      <c r="L1094" s="133"/>
      <c r="M1094" s="133"/>
      <c r="N1094" s="122"/>
    </row>
    <row r="1095" spans="1:14" outlineLevel="1" x14ac:dyDescent="0.25">
      <c r="A1095" s="118"/>
      <c r="B1095" s="119"/>
      <c r="C1095" s="119"/>
      <c r="D1095" s="119"/>
      <c r="E1095" s="119"/>
      <c r="F1095" s="121"/>
      <c r="G1095" s="121"/>
      <c r="H1095" s="121"/>
      <c r="I1095" s="133"/>
      <c r="J1095" s="133"/>
      <c r="K1095" s="133"/>
      <c r="L1095" s="133"/>
      <c r="M1095" s="133"/>
      <c r="N1095" s="122"/>
    </row>
    <row r="1096" spans="1:14" outlineLevel="1" x14ac:dyDescent="0.25">
      <c r="A1096" s="118"/>
      <c r="B1096" s="119"/>
      <c r="C1096" s="119"/>
      <c r="D1096" s="119"/>
      <c r="E1096" s="119"/>
      <c r="F1096" s="121"/>
      <c r="G1096" s="121"/>
      <c r="H1096" s="121"/>
      <c r="I1096" s="133"/>
      <c r="J1096" s="133"/>
      <c r="K1096" s="133"/>
      <c r="L1096" s="133"/>
      <c r="M1096" s="133"/>
      <c r="N1096" s="122"/>
    </row>
    <row r="1097" spans="1:14" outlineLevel="1" x14ac:dyDescent="0.25">
      <c r="A1097" s="118"/>
      <c r="B1097" s="119"/>
      <c r="C1097" s="119"/>
      <c r="D1097" s="119"/>
      <c r="E1097" s="119"/>
      <c r="F1097" s="121"/>
      <c r="G1097" s="121"/>
      <c r="H1097" s="121"/>
      <c r="I1097" s="133"/>
      <c r="J1097" s="133"/>
      <c r="K1097" s="133"/>
      <c r="L1097" s="133"/>
      <c r="M1097" s="133"/>
      <c r="N1097" s="122"/>
    </row>
    <row r="1098" spans="1:14" outlineLevel="1" x14ac:dyDescent="0.25">
      <c r="A1098" s="118"/>
      <c r="B1098" s="119"/>
      <c r="C1098" s="119"/>
      <c r="D1098" s="119"/>
      <c r="E1098" s="119"/>
      <c r="F1098" s="121"/>
      <c r="G1098" s="121"/>
      <c r="H1098" s="121"/>
      <c r="I1098" s="133"/>
      <c r="J1098" s="133"/>
      <c r="K1098" s="133"/>
      <c r="L1098" s="133"/>
      <c r="M1098" s="133"/>
      <c r="N1098" s="122"/>
    </row>
    <row r="1099" spans="1:14" outlineLevel="1" x14ac:dyDescent="0.25">
      <c r="A1099" s="118"/>
      <c r="B1099" s="119"/>
      <c r="C1099" s="119"/>
      <c r="D1099" s="119"/>
      <c r="E1099" s="119"/>
      <c r="F1099" s="121"/>
      <c r="G1099" s="121"/>
      <c r="H1099" s="121"/>
      <c r="I1099" s="133"/>
      <c r="J1099" s="133"/>
      <c r="K1099" s="133"/>
      <c r="L1099" s="133"/>
      <c r="M1099" s="133"/>
      <c r="N1099" s="122"/>
    </row>
    <row r="1100" spans="1:14" outlineLevel="1" x14ac:dyDescent="0.25">
      <c r="A1100" s="118"/>
      <c r="B1100" s="119"/>
      <c r="C1100" s="119"/>
      <c r="D1100" s="119"/>
      <c r="E1100" s="119"/>
      <c r="F1100" s="121"/>
      <c r="G1100" s="121"/>
      <c r="H1100" s="121"/>
      <c r="I1100" s="133"/>
      <c r="J1100" s="133"/>
      <c r="K1100" s="133"/>
      <c r="L1100" s="133"/>
      <c r="M1100" s="133"/>
      <c r="N1100" s="122"/>
    </row>
    <row r="1101" spans="1:14" outlineLevel="1" x14ac:dyDescent="0.25">
      <c r="A1101" s="118"/>
      <c r="B1101" s="119"/>
      <c r="C1101" s="119"/>
      <c r="D1101" s="119"/>
      <c r="E1101" s="119"/>
      <c r="F1101" s="121"/>
      <c r="G1101" s="121"/>
      <c r="H1101" s="121"/>
      <c r="I1101" s="133"/>
      <c r="J1101" s="133"/>
      <c r="K1101" s="133"/>
      <c r="L1101" s="133"/>
      <c r="M1101" s="133"/>
      <c r="N1101" s="122"/>
    </row>
    <row r="1102" spans="1:14" outlineLevel="1" x14ac:dyDescent="0.25">
      <c r="A1102" s="118"/>
      <c r="B1102" s="119"/>
      <c r="C1102" s="119"/>
      <c r="D1102" s="119"/>
      <c r="E1102" s="119"/>
      <c r="F1102" s="121"/>
      <c r="G1102" s="121"/>
      <c r="H1102" s="121"/>
      <c r="I1102" s="133"/>
      <c r="J1102" s="133"/>
      <c r="K1102" s="133"/>
      <c r="L1102" s="133"/>
      <c r="M1102" s="133"/>
      <c r="N1102" s="122"/>
    </row>
    <row r="1103" spans="1:14" outlineLevel="1" x14ac:dyDescent="0.25">
      <c r="A1103" s="118"/>
      <c r="B1103" s="119"/>
      <c r="C1103" s="119"/>
      <c r="D1103" s="119"/>
      <c r="E1103" s="119"/>
      <c r="F1103" s="121"/>
      <c r="G1103" s="121"/>
      <c r="H1103" s="121"/>
      <c r="I1103" s="133"/>
      <c r="J1103" s="133"/>
      <c r="K1103" s="133"/>
      <c r="L1103" s="133"/>
      <c r="M1103" s="133"/>
      <c r="N1103" s="122"/>
    </row>
    <row r="1104" spans="1:14" outlineLevel="1" x14ac:dyDescent="0.25">
      <c r="A1104" s="118"/>
      <c r="B1104" s="119"/>
      <c r="C1104" s="119"/>
      <c r="D1104" s="119"/>
      <c r="E1104" s="119"/>
      <c r="F1104" s="121"/>
      <c r="G1104" s="121"/>
      <c r="H1104" s="121"/>
      <c r="I1104" s="133"/>
      <c r="J1104" s="133"/>
      <c r="K1104" s="133"/>
      <c r="L1104" s="133"/>
      <c r="M1104" s="133"/>
      <c r="N1104" s="122"/>
    </row>
    <row r="1105" spans="1:14" outlineLevel="1" x14ac:dyDescent="0.25">
      <c r="A1105" s="118"/>
      <c r="B1105" s="119"/>
      <c r="C1105" s="119"/>
      <c r="D1105" s="119"/>
      <c r="E1105" s="119"/>
      <c r="F1105" s="121"/>
      <c r="G1105" s="121"/>
      <c r="H1105" s="121"/>
      <c r="I1105" s="133"/>
      <c r="J1105" s="133"/>
      <c r="K1105" s="133"/>
      <c r="L1105" s="133"/>
      <c r="M1105" s="133"/>
      <c r="N1105" s="122"/>
    </row>
    <row r="1106" spans="1:14" outlineLevel="1" x14ac:dyDescent="0.25">
      <c r="A1106" s="118"/>
      <c r="B1106" s="119"/>
      <c r="C1106" s="119"/>
      <c r="D1106" s="119"/>
      <c r="E1106" s="119"/>
      <c r="F1106" s="121"/>
      <c r="G1106" s="121"/>
      <c r="H1106" s="121"/>
      <c r="I1106" s="133"/>
      <c r="J1106" s="133"/>
      <c r="K1106" s="133"/>
      <c r="L1106" s="133"/>
      <c r="M1106" s="133"/>
      <c r="N1106" s="122"/>
    </row>
    <row r="1107" spans="1:14" outlineLevel="1" x14ac:dyDescent="0.25">
      <c r="A1107" s="118"/>
      <c r="B1107" s="119"/>
      <c r="C1107" s="119"/>
      <c r="D1107" s="119"/>
      <c r="E1107" s="119"/>
      <c r="F1107" s="121"/>
      <c r="G1107" s="121"/>
      <c r="H1107" s="121"/>
      <c r="I1107" s="133"/>
      <c r="J1107" s="133"/>
      <c r="K1107" s="133"/>
      <c r="L1107" s="133"/>
      <c r="M1107" s="133"/>
      <c r="N1107" s="122"/>
    </row>
    <row r="1108" spans="1:14" outlineLevel="1" x14ac:dyDescent="0.25">
      <c r="A1108" s="118"/>
      <c r="B1108" s="119"/>
      <c r="C1108" s="119"/>
      <c r="D1108" s="119"/>
      <c r="E1108" s="119"/>
      <c r="F1108" s="121"/>
      <c r="G1108" s="121"/>
      <c r="H1108" s="121"/>
      <c r="I1108" s="133"/>
      <c r="J1108" s="133"/>
      <c r="K1108" s="133"/>
      <c r="L1108" s="133"/>
      <c r="M1108" s="133"/>
      <c r="N1108" s="122"/>
    </row>
    <row r="1109" spans="1:14" outlineLevel="1" x14ac:dyDescent="0.25">
      <c r="A1109" s="118"/>
      <c r="B1109" s="119"/>
      <c r="C1109" s="119"/>
      <c r="D1109" s="119"/>
      <c r="E1109" s="119"/>
      <c r="F1109" s="121"/>
      <c r="G1109" s="121"/>
      <c r="H1109" s="121"/>
      <c r="I1109" s="133"/>
      <c r="J1109" s="133"/>
      <c r="K1109" s="133"/>
      <c r="L1109" s="133"/>
      <c r="M1109" s="133"/>
      <c r="N1109" s="122"/>
    </row>
    <row r="1110" spans="1:14" outlineLevel="1" x14ac:dyDescent="0.25">
      <c r="A1110" s="118"/>
      <c r="B1110" s="119"/>
      <c r="C1110" s="119"/>
      <c r="D1110" s="119"/>
      <c r="E1110" s="119"/>
      <c r="F1110" s="121"/>
      <c r="G1110" s="121"/>
      <c r="H1110" s="121"/>
      <c r="I1110" s="133"/>
      <c r="J1110" s="133"/>
      <c r="K1110" s="133"/>
      <c r="L1110" s="133"/>
      <c r="M1110" s="133"/>
      <c r="N1110" s="122"/>
    </row>
    <row r="1111" spans="1:14" outlineLevel="1" x14ac:dyDescent="0.25">
      <c r="A1111" s="118"/>
      <c r="B1111" s="119"/>
      <c r="C1111" s="119"/>
      <c r="D1111" s="119"/>
      <c r="E1111" s="119"/>
      <c r="F1111" s="121"/>
      <c r="G1111" s="121"/>
      <c r="H1111" s="121"/>
      <c r="I1111" s="133"/>
      <c r="J1111" s="133"/>
      <c r="K1111" s="133"/>
      <c r="L1111" s="133"/>
      <c r="M1111" s="133"/>
      <c r="N1111" s="122"/>
    </row>
    <row r="1112" spans="1:14" outlineLevel="1" x14ac:dyDescent="0.25">
      <c r="A1112" s="118"/>
      <c r="B1112" s="119"/>
      <c r="C1112" s="119"/>
      <c r="D1112" s="119"/>
      <c r="E1112" s="119"/>
      <c r="F1112" s="121"/>
      <c r="G1112" s="121"/>
      <c r="H1112" s="121"/>
      <c r="I1112" s="133"/>
      <c r="J1112" s="133"/>
      <c r="K1112" s="133"/>
      <c r="L1112" s="133"/>
      <c r="M1112" s="133"/>
      <c r="N1112" s="122"/>
    </row>
    <row r="1113" spans="1:14" outlineLevel="1" x14ac:dyDescent="0.25">
      <c r="A1113" s="118"/>
      <c r="B1113" s="119"/>
      <c r="C1113" s="119"/>
      <c r="D1113" s="119"/>
      <c r="E1113" s="119"/>
      <c r="F1113" s="121"/>
      <c r="G1113" s="121"/>
      <c r="H1113" s="121"/>
      <c r="I1113" s="133"/>
      <c r="J1113" s="133"/>
      <c r="K1113" s="133"/>
      <c r="L1113" s="133"/>
      <c r="M1113" s="133"/>
      <c r="N1113" s="122"/>
    </row>
    <row r="1114" spans="1:14" outlineLevel="1" x14ac:dyDescent="0.25">
      <c r="A1114" s="118"/>
      <c r="B1114" s="119"/>
      <c r="C1114" s="119"/>
      <c r="D1114" s="119"/>
      <c r="E1114" s="119"/>
      <c r="F1114" s="121"/>
      <c r="G1114" s="121"/>
      <c r="H1114" s="121"/>
      <c r="I1114" s="133"/>
      <c r="J1114" s="133"/>
      <c r="K1114" s="133"/>
      <c r="L1114" s="133"/>
      <c r="M1114" s="133"/>
      <c r="N1114" s="122"/>
    </row>
    <row r="1115" spans="1:14" outlineLevel="1" x14ac:dyDescent="0.25">
      <c r="A1115" s="118"/>
      <c r="B1115" s="119"/>
      <c r="C1115" s="119"/>
      <c r="D1115" s="119"/>
      <c r="E1115" s="119"/>
      <c r="F1115" s="121"/>
      <c r="G1115" s="121"/>
      <c r="H1115" s="121"/>
      <c r="I1115" s="133"/>
      <c r="J1115" s="133"/>
      <c r="K1115" s="133"/>
      <c r="L1115" s="133"/>
      <c r="M1115" s="133"/>
      <c r="N1115" s="122"/>
    </row>
    <row r="1116" spans="1:14" outlineLevel="1" x14ac:dyDescent="0.25">
      <c r="A1116" s="118"/>
      <c r="B1116" s="119"/>
      <c r="C1116" s="119"/>
      <c r="D1116" s="119"/>
      <c r="E1116" s="119"/>
      <c r="F1116" s="121"/>
      <c r="G1116" s="121"/>
      <c r="H1116" s="121"/>
      <c r="I1116" s="133"/>
      <c r="J1116" s="133"/>
      <c r="K1116" s="133"/>
      <c r="L1116" s="133"/>
      <c r="M1116" s="133"/>
      <c r="N1116" s="122"/>
    </row>
    <row r="1117" spans="1:14" outlineLevel="1" x14ac:dyDescent="0.25">
      <c r="A1117" s="118"/>
      <c r="B1117" s="119"/>
      <c r="C1117" s="119"/>
      <c r="D1117" s="119"/>
      <c r="E1117" s="119"/>
      <c r="F1117" s="121"/>
      <c r="G1117" s="121"/>
      <c r="H1117" s="121"/>
      <c r="I1117" s="133"/>
      <c r="J1117" s="133"/>
      <c r="K1117" s="133"/>
      <c r="L1117" s="133"/>
      <c r="M1117" s="133"/>
      <c r="N1117" s="122"/>
    </row>
    <row r="1118" spans="1:14" outlineLevel="1" x14ac:dyDescent="0.25">
      <c r="A1118" s="118"/>
      <c r="B1118" s="119"/>
      <c r="C1118" s="119"/>
      <c r="D1118" s="119"/>
      <c r="E1118" s="119"/>
      <c r="F1118" s="121"/>
      <c r="G1118" s="121"/>
      <c r="H1118" s="121"/>
      <c r="I1118" s="133"/>
      <c r="J1118" s="133"/>
      <c r="K1118" s="133"/>
      <c r="L1118" s="133"/>
      <c r="M1118" s="133"/>
      <c r="N1118" s="122"/>
    </row>
    <row r="1119" spans="1:14" outlineLevel="1" x14ac:dyDescent="0.25">
      <c r="A1119" s="118"/>
      <c r="B1119" s="119"/>
      <c r="C1119" s="119"/>
      <c r="D1119" s="119"/>
      <c r="E1119" s="119"/>
      <c r="F1119" s="121"/>
      <c r="G1119" s="121"/>
      <c r="H1119" s="121"/>
      <c r="I1119" s="133"/>
      <c r="J1119" s="133"/>
      <c r="K1119" s="133"/>
      <c r="L1119" s="133"/>
      <c r="M1119" s="133"/>
      <c r="N1119" s="122"/>
    </row>
    <row r="1120" spans="1:14" outlineLevel="1" x14ac:dyDescent="0.25">
      <c r="A1120" s="118"/>
      <c r="B1120" s="119"/>
      <c r="C1120" s="119"/>
      <c r="D1120" s="119"/>
      <c r="E1120" s="119"/>
      <c r="F1120" s="121"/>
      <c r="G1120" s="121"/>
      <c r="H1120" s="121"/>
      <c r="I1120" s="133"/>
      <c r="J1120" s="133"/>
      <c r="K1120" s="133"/>
      <c r="L1120" s="133"/>
      <c r="M1120" s="133"/>
      <c r="N1120" s="122"/>
    </row>
    <row r="1121" spans="1:14" outlineLevel="1" x14ac:dyDescent="0.25">
      <c r="A1121" s="118"/>
      <c r="B1121" s="119"/>
      <c r="C1121" s="119"/>
      <c r="D1121" s="119"/>
      <c r="E1121" s="119"/>
      <c r="F1121" s="121"/>
      <c r="G1121" s="121"/>
      <c r="H1121" s="121"/>
      <c r="I1121" s="133"/>
      <c r="J1121" s="133"/>
      <c r="K1121" s="133"/>
      <c r="L1121" s="133"/>
      <c r="M1121" s="133"/>
      <c r="N1121" s="122"/>
    </row>
    <row r="1122" spans="1:14" outlineLevel="1" x14ac:dyDescent="0.25">
      <c r="A1122" s="118"/>
      <c r="B1122" s="119"/>
      <c r="C1122" s="119"/>
      <c r="D1122" s="119"/>
      <c r="E1122" s="119"/>
      <c r="F1122" s="121"/>
      <c r="G1122" s="121"/>
      <c r="H1122" s="121"/>
      <c r="I1122" s="133"/>
      <c r="J1122" s="133"/>
      <c r="K1122" s="133"/>
      <c r="L1122" s="133"/>
      <c r="M1122" s="133"/>
      <c r="N1122" s="122"/>
    </row>
    <row r="1123" spans="1:14" outlineLevel="1" x14ac:dyDescent="0.25">
      <c r="A1123" s="118"/>
      <c r="B1123" s="119"/>
      <c r="C1123" s="119"/>
      <c r="D1123" s="119"/>
      <c r="E1123" s="119"/>
      <c r="F1123" s="121"/>
      <c r="G1123" s="121"/>
      <c r="H1123" s="121"/>
      <c r="I1123" s="133"/>
      <c r="J1123" s="133"/>
      <c r="K1123" s="133"/>
      <c r="L1123" s="133"/>
      <c r="M1123" s="133"/>
      <c r="N1123" s="122"/>
    </row>
    <row r="1124" spans="1:14" outlineLevel="1" x14ac:dyDescent="0.25">
      <c r="A1124" s="118"/>
      <c r="B1124" s="119"/>
      <c r="C1124" s="119"/>
      <c r="D1124" s="119"/>
      <c r="E1124" s="119"/>
      <c r="F1124" s="121"/>
      <c r="G1124" s="121"/>
      <c r="H1124" s="121"/>
      <c r="I1124" s="133"/>
      <c r="J1124" s="133"/>
      <c r="K1124" s="133"/>
      <c r="L1124" s="133"/>
      <c r="M1124" s="133"/>
      <c r="N1124" s="122"/>
    </row>
    <row r="1125" spans="1:14" outlineLevel="1" x14ac:dyDescent="0.25">
      <c r="A1125" s="118"/>
      <c r="B1125" s="119"/>
      <c r="C1125" s="119"/>
      <c r="D1125" s="119"/>
      <c r="E1125" s="119"/>
      <c r="F1125" s="121"/>
      <c r="G1125" s="121"/>
      <c r="H1125" s="121"/>
      <c r="I1125" s="133"/>
      <c r="J1125" s="133"/>
      <c r="K1125" s="133"/>
      <c r="L1125" s="133"/>
      <c r="M1125" s="133"/>
      <c r="N1125" s="122"/>
    </row>
    <row r="1126" spans="1:14" outlineLevel="1" x14ac:dyDescent="0.25">
      <c r="A1126" s="118"/>
      <c r="B1126" s="119"/>
      <c r="C1126" s="119"/>
      <c r="D1126" s="119"/>
      <c r="E1126" s="119"/>
      <c r="F1126" s="121"/>
      <c r="G1126" s="121"/>
      <c r="H1126" s="121"/>
      <c r="I1126" s="133"/>
      <c r="J1126" s="133"/>
      <c r="K1126" s="133"/>
      <c r="L1126" s="133"/>
      <c r="M1126" s="133"/>
      <c r="N1126" s="122"/>
    </row>
    <row r="1127" spans="1:14" outlineLevel="1" x14ac:dyDescent="0.25">
      <c r="A1127" s="118"/>
      <c r="B1127" s="119"/>
      <c r="C1127" s="119"/>
      <c r="D1127" s="119"/>
      <c r="E1127" s="119"/>
      <c r="F1127" s="121"/>
      <c r="G1127" s="121"/>
      <c r="H1127" s="121"/>
      <c r="I1127" s="133"/>
      <c r="J1127" s="133"/>
      <c r="K1127" s="133"/>
      <c r="L1127" s="133"/>
      <c r="M1127" s="133"/>
      <c r="N1127" s="122"/>
    </row>
    <row r="1128" spans="1:14" outlineLevel="1" x14ac:dyDescent="0.25">
      <c r="A1128" s="118"/>
      <c r="B1128" s="119"/>
      <c r="C1128" s="119"/>
      <c r="D1128" s="119"/>
      <c r="E1128" s="119"/>
      <c r="F1128" s="121"/>
      <c r="G1128" s="121"/>
      <c r="H1128" s="121"/>
      <c r="I1128" s="133"/>
      <c r="J1128" s="133"/>
      <c r="K1128" s="133"/>
      <c r="L1128" s="133"/>
      <c r="M1128" s="133"/>
      <c r="N1128" s="122"/>
    </row>
    <row r="1129" spans="1:14" outlineLevel="1" x14ac:dyDescent="0.25">
      <c r="A1129" s="118"/>
      <c r="B1129" s="119"/>
      <c r="C1129" s="119"/>
      <c r="D1129" s="119"/>
      <c r="E1129" s="119"/>
      <c r="F1129" s="121"/>
      <c r="G1129" s="121"/>
      <c r="H1129" s="121"/>
      <c r="I1129" s="133"/>
      <c r="J1129" s="133"/>
      <c r="K1129" s="133"/>
      <c r="L1129" s="133"/>
      <c r="M1129" s="133"/>
      <c r="N1129" s="122"/>
    </row>
    <row r="1130" spans="1:14" outlineLevel="1" x14ac:dyDescent="0.25">
      <c r="A1130" s="118"/>
      <c r="B1130" s="119"/>
      <c r="C1130" s="119"/>
      <c r="D1130" s="119"/>
      <c r="E1130" s="119"/>
      <c r="F1130" s="121"/>
      <c r="G1130" s="121"/>
      <c r="H1130" s="121"/>
      <c r="I1130" s="133"/>
      <c r="J1130" s="133"/>
      <c r="K1130" s="133"/>
      <c r="L1130" s="133"/>
      <c r="M1130" s="133"/>
      <c r="N1130" s="122"/>
    </row>
    <row r="1131" spans="1:14" outlineLevel="1" x14ac:dyDescent="0.25">
      <c r="A1131" s="118"/>
      <c r="B1131" s="119"/>
      <c r="C1131" s="119"/>
      <c r="D1131" s="119"/>
      <c r="E1131" s="119"/>
      <c r="F1131" s="121"/>
      <c r="G1131" s="121"/>
      <c r="H1131" s="121"/>
      <c r="I1131" s="133"/>
      <c r="J1131" s="133"/>
      <c r="K1131" s="133"/>
      <c r="L1131" s="133"/>
      <c r="M1131" s="133"/>
      <c r="N1131" s="122"/>
    </row>
    <row r="1132" spans="1:14" outlineLevel="1" x14ac:dyDescent="0.25">
      <c r="A1132" s="118"/>
      <c r="B1132" s="119"/>
      <c r="C1132" s="119"/>
      <c r="D1132" s="119"/>
      <c r="E1132" s="119"/>
      <c r="F1132" s="121"/>
      <c r="G1132" s="121"/>
      <c r="H1132" s="121"/>
      <c r="I1132" s="133"/>
      <c r="J1132" s="133"/>
      <c r="K1132" s="133"/>
      <c r="L1132" s="133"/>
      <c r="M1132" s="133"/>
      <c r="N1132" s="122"/>
    </row>
    <row r="1133" spans="1:14" outlineLevel="1" x14ac:dyDescent="0.25">
      <c r="A1133" s="118"/>
      <c r="B1133" s="119"/>
      <c r="C1133" s="119"/>
      <c r="D1133" s="119"/>
      <c r="E1133" s="119"/>
      <c r="F1133" s="121"/>
      <c r="G1133" s="121"/>
      <c r="H1133" s="121"/>
      <c r="I1133" s="133"/>
      <c r="J1133" s="133"/>
      <c r="K1133" s="133"/>
      <c r="L1133" s="133"/>
      <c r="M1133" s="133"/>
      <c r="N1133" s="122"/>
    </row>
    <row r="1134" spans="1:14" outlineLevel="1" x14ac:dyDescent="0.25">
      <c r="A1134" s="118"/>
      <c r="B1134" s="119"/>
      <c r="C1134" s="119"/>
      <c r="D1134" s="119"/>
      <c r="E1134" s="119"/>
      <c r="F1134" s="121"/>
      <c r="G1134" s="121"/>
      <c r="H1134" s="121"/>
      <c r="I1134" s="133"/>
      <c r="J1134" s="133"/>
      <c r="K1134" s="133"/>
      <c r="L1134" s="133"/>
      <c r="M1134" s="133"/>
      <c r="N1134" s="122"/>
    </row>
    <row r="1135" spans="1:14" outlineLevel="1" x14ac:dyDescent="0.25">
      <c r="A1135" s="118"/>
      <c r="B1135" s="119"/>
      <c r="C1135" s="119"/>
      <c r="D1135" s="119"/>
      <c r="E1135" s="119"/>
      <c r="F1135" s="121"/>
      <c r="G1135" s="121"/>
      <c r="H1135" s="121"/>
      <c r="I1135" s="133"/>
      <c r="J1135" s="133"/>
      <c r="K1135" s="133"/>
      <c r="L1135" s="133"/>
      <c r="M1135" s="133"/>
      <c r="N1135" s="122"/>
    </row>
    <row r="1136" spans="1:14" outlineLevel="1" x14ac:dyDescent="0.25">
      <c r="A1136" s="118"/>
      <c r="B1136" s="119"/>
      <c r="C1136" s="119"/>
      <c r="D1136" s="119"/>
      <c r="E1136" s="119"/>
      <c r="F1136" s="121"/>
      <c r="G1136" s="121"/>
      <c r="H1136" s="121"/>
      <c r="I1136" s="133"/>
      <c r="J1136" s="133"/>
      <c r="K1136" s="133"/>
      <c r="L1136" s="133"/>
      <c r="M1136" s="133"/>
      <c r="N1136" s="122"/>
    </row>
    <row r="1137" spans="1:14" outlineLevel="1" x14ac:dyDescent="0.25">
      <c r="A1137" s="118"/>
      <c r="B1137" s="119"/>
      <c r="C1137" s="119"/>
      <c r="D1137" s="119"/>
      <c r="E1137" s="119"/>
      <c r="F1137" s="121"/>
      <c r="G1137" s="121"/>
      <c r="H1137" s="121"/>
      <c r="I1137" s="133"/>
      <c r="J1137" s="133"/>
      <c r="K1137" s="133"/>
      <c r="L1137" s="133"/>
      <c r="M1137" s="133"/>
      <c r="N1137" s="122"/>
    </row>
    <row r="1138" spans="1:14" outlineLevel="1" x14ac:dyDescent="0.25">
      <c r="A1138" s="118"/>
      <c r="B1138" s="119"/>
      <c r="C1138" s="119"/>
      <c r="D1138" s="119"/>
      <c r="E1138" s="119"/>
      <c r="F1138" s="121"/>
      <c r="G1138" s="121"/>
      <c r="H1138" s="121"/>
      <c r="I1138" s="133"/>
      <c r="J1138" s="133"/>
      <c r="K1138" s="133"/>
      <c r="L1138" s="133"/>
      <c r="M1138" s="133"/>
      <c r="N1138" s="122"/>
    </row>
    <row r="1139" spans="1:14" outlineLevel="1" x14ac:dyDescent="0.25">
      <c r="A1139" s="118"/>
      <c r="B1139" s="119"/>
      <c r="C1139" s="119"/>
      <c r="D1139" s="119"/>
      <c r="E1139" s="119"/>
      <c r="F1139" s="121"/>
      <c r="G1139" s="121"/>
      <c r="H1139" s="121"/>
      <c r="I1139" s="133"/>
      <c r="J1139" s="133"/>
      <c r="K1139" s="133"/>
      <c r="L1139" s="133"/>
      <c r="M1139" s="133"/>
      <c r="N1139" s="122"/>
    </row>
    <row r="1140" spans="1:14" outlineLevel="1" x14ac:dyDescent="0.25">
      <c r="A1140" s="118"/>
      <c r="B1140" s="119"/>
      <c r="C1140" s="119"/>
      <c r="D1140" s="119"/>
      <c r="E1140" s="119"/>
      <c r="F1140" s="121"/>
      <c r="G1140" s="121"/>
      <c r="H1140" s="121"/>
      <c r="I1140" s="133"/>
      <c r="J1140" s="133"/>
      <c r="K1140" s="133"/>
      <c r="L1140" s="133"/>
      <c r="M1140" s="133"/>
      <c r="N1140" s="122"/>
    </row>
    <row r="1141" spans="1:14" outlineLevel="1" x14ac:dyDescent="0.25">
      <c r="A1141" s="118"/>
      <c r="B1141" s="119"/>
      <c r="C1141" s="119"/>
      <c r="D1141" s="119"/>
      <c r="E1141" s="119"/>
      <c r="F1141" s="121"/>
      <c r="G1141" s="121"/>
      <c r="H1141" s="121"/>
      <c r="I1141" s="133"/>
      <c r="J1141" s="133"/>
      <c r="K1141" s="133"/>
      <c r="L1141" s="133"/>
      <c r="M1141" s="133"/>
      <c r="N1141" s="122"/>
    </row>
    <row r="1142" spans="1:14" outlineLevel="1" x14ac:dyDescent="0.25">
      <c r="A1142" s="118"/>
      <c r="B1142" s="119"/>
      <c r="C1142" s="119"/>
      <c r="D1142" s="119"/>
      <c r="E1142" s="119"/>
      <c r="F1142" s="121"/>
      <c r="G1142" s="121"/>
      <c r="H1142" s="121"/>
      <c r="I1142" s="133"/>
      <c r="J1142" s="133"/>
      <c r="K1142" s="133"/>
      <c r="L1142" s="133"/>
      <c r="M1142" s="133"/>
      <c r="N1142" s="122"/>
    </row>
    <row r="1143" spans="1:14" outlineLevel="1" x14ac:dyDescent="0.25">
      <c r="A1143" s="118"/>
      <c r="B1143" s="119"/>
      <c r="C1143" s="119"/>
      <c r="D1143" s="119"/>
      <c r="E1143" s="119"/>
      <c r="F1143" s="121"/>
      <c r="G1143" s="121"/>
      <c r="H1143" s="121"/>
      <c r="I1143" s="133"/>
      <c r="J1143" s="133"/>
      <c r="K1143" s="133"/>
      <c r="L1143" s="133"/>
      <c r="M1143" s="133"/>
      <c r="N1143" s="122"/>
    </row>
    <row r="1144" spans="1:14" outlineLevel="1" x14ac:dyDescent="0.25">
      <c r="A1144" s="118"/>
      <c r="B1144" s="119"/>
      <c r="C1144" s="119"/>
      <c r="D1144" s="119"/>
      <c r="E1144" s="119"/>
      <c r="F1144" s="121"/>
      <c r="G1144" s="121"/>
      <c r="H1144" s="121"/>
      <c r="I1144" s="133"/>
      <c r="J1144" s="133"/>
      <c r="K1144" s="133"/>
      <c r="L1144" s="133"/>
      <c r="M1144" s="133"/>
      <c r="N1144" s="122"/>
    </row>
    <row r="1145" spans="1:14" outlineLevel="1" x14ac:dyDescent="0.25">
      <c r="A1145" s="118"/>
      <c r="B1145" s="119"/>
      <c r="C1145" s="119"/>
      <c r="D1145" s="119"/>
      <c r="E1145" s="119"/>
      <c r="F1145" s="121"/>
      <c r="G1145" s="121"/>
      <c r="H1145" s="121"/>
      <c r="I1145" s="133"/>
      <c r="J1145" s="133"/>
      <c r="K1145" s="133"/>
      <c r="L1145" s="133"/>
      <c r="M1145" s="133"/>
      <c r="N1145" s="122"/>
    </row>
    <row r="1146" spans="1:14" outlineLevel="1" x14ac:dyDescent="0.25">
      <c r="A1146" s="118"/>
      <c r="B1146" s="119"/>
      <c r="C1146" s="119"/>
      <c r="D1146" s="119"/>
      <c r="E1146" s="119"/>
      <c r="F1146" s="121"/>
      <c r="G1146" s="121"/>
      <c r="H1146" s="121"/>
      <c r="I1146" s="133"/>
      <c r="J1146" s="133"/>
      <c r="K1146" s="133"/>
      <c r="L1146" s="133"/>
      <c r="M1146" s="133"/>
      <c r="N1146" s="122"/>
    </row>
    <row r="1147" spans="1:14" outlineLevel="1" x14ac:dyDescent="0.25">
      <c r="A1147" s="118"/>
      <c r="B1147" s="119"/>
      <c r="C1147" s="119"/>
      <c r="D1147" s="119"/>
      <c r="E1147" s="119"/>
      <c r="F1147" s="121"/>
      <c r="G1147" s="121"/>
      <c r="H1147" s="121"/>
      <c r="I1147" s="133"/>
      <c r="J1147" s="133"/>
      <c r="K1147" s="133"/>
      <c r="L1147" s="133"/>
      <c r="M1147" s="133"/>
      <c r="N1147" s="122"/>
    </row>
    <row r="1148" spans="1:14" outlineLevel="1" x14ac:dyDescent="0.25">
      <c r="A1148" s="118"/>
      <c r="B1148" s="119"/>
      <c r="C1148" s="119"/>
      <c r="D1148" s="119"/>
      <c r="E1148" s="119"/>
      <c r="F1148" s="121"/>
      <c r="G1148" s="121"/>
      <c r="H1148" s="121"/>
      <c r="I1148" s="133"/>
      <c r="J1148" s="133"/>
      <c r="K1148" s="133"/>
      <c r="L1148" s="133"/>
      <c r="M1148" s="133"/>
      <c r="N1148" s="122"/>
    </row>
    <row r="1149" spans="1:14" outlineLevel="1" x14ac:dyDescent="0.25">
      <c r="A1149" s="118"/>
      <c r="B1149" s="119"/>
      <c r="C1149" s="119"/>
      <c r="D1149" s="119"/>
      <c r="E1149" s="119"/>
      <c r="F1149" s="121"/>
      <c r="G1149" s="121"/>
      <c r="H1149" s="121"/>
      <c r="I1149" s="133"/>
      <c r="J1149" s="133"/>
      <c r="K1149" s="133"/>
      <c r="L1149" s="133"/>
      <c r="M1149" s="133"/>
      <c r="N1149" s="122"/>
    </row>
    <row r="1150" spans="1:14" outlineLevel="1" x14ac:dyDescent="0.25">
      <c r="A1150" s="118"/>
      <c r="B1150" s="119"/>
      <c r="C1150" s="119"/>
      <c r="D1150" s="119"/>
      <c r="E1150" s="119"/>
      <c r="F1150" s="121"/>
      <c r="G1150" s="121"/>
      <c r="H1150" s="121"/>
      <c r="I1150" s="133"/>
      <c r="J1150" s="133"/>
      <c r="K1150" s="133"/>
      <c r="L1150" s="133"/>
      <c r="M1150" s="133"/>
      <c r="N1150" s="122"/>
    </row>
    <row r="1151" spans="1:14" outlineLevel="1" x14ac:dyDescent="0.25">
      <c r="A1151" s="118"/>
      <c r="B1151" s="119"/>
      <c r="C1151" s="119"/>
      <c r="D1151" s="119"/>
      <c r="E1151" s="119"/>
      <c r="F1151" s="121"/>
      <c r="G1151" s="121"/>
      <c r="H1151" s="121"/>
      <c r="I1151" s="133"/>
      <c r="J1151" s="133"/>
      <c r="K1151" s="133"/>
      <c r="L1151" s="133"/>
      <c r="M1151" s="133"/>
      <c r="N1151" s="122"/>
    </row>
    <row r="1152" spans="1:14" outlineLevel="1" x14ac:dyDescent="0.25">
      <c r="A1152" s="118"/>
      <c r="B1152" s="119"/>
      <c r="C1152" s="119"/>
      <c r="D1152" s="119"/>
      <c r="E1152" s="119"/>
      <c r="F1152" s="121"/>
      <c r="G1152" s="121"/>
      <c r="H1152" s="121"/>
      <c r="I1152" s="133"/>
      <c r="J1152" s="133"/>
      <c r="K1152" s="133"/>
      <c r="L1152" s="133"/>
      <c r="M1152" s="133"/>
      <c r="N1152" s="122"/>
    </row>
    <row r="1153" spans="1:14" outlineLevel="1" x14ac:dyDescent="0.25">
      <c r="A1153" s="118"/>
      <c r="B1153" s="119"/>
      <c r="C1153" s="119"/>
      <c r="D1153" s="119"/>
      <c r="E1153" s="119"/>
      <c r="F1153" s="121"/>
      <c r="G1153" s="121"/>
      <c r="H1153" s="121"/>
      <c r="I1153" s="133"/>
      <c r="J1153" s="133"/>
      <c r="K1153" s="133"/>
      <c r="L1153" s="133"/>
      <c r="M1153" s="133"/>
      <c r="N1153" s="122"/>
    </row>
    <row r="1154" spans="1:14" outlineLevel="1" x14ac:dyDescent="0.25">
      <c r="A1154" s="118"/>
      <c r="B1154" s="119"/>
      <c r="C1154" s="119"/>
      <c r="D1154" s="119"/>
      <c r="E1154" s="119"/>
      <c r="F1154" s="121"/>
      <c r="G1154" s="121"/>
      <c r="H1154" s="121"/>
      <c r="I1154" s="133"/>
      <c r="J1154" s="133"/>
      <c r="K1154" s="133"/>
      <c r="L1154" s="133"/>
      <c r="M1154" s="133"/>
      <c r="N1154" s="122"/>
    </row>
    <row r="1155" spans="1:14" outlineLevel="1" x14ac:dyDescent="0.25">
      <c r="A1155" s="118"/>
      <c r="B1155" s="119"/>
      <c r="C1155" s="119"/>
      <c r="D1155" s="119"/>
      <c r="E1155" s="119"/>
      <c r="F1155" s="121"/>
      <c r="G1155" s="121"/>
      <c r="H1155" s="121"/>
      <c r="I1155" s="133"/>
      <c r="J1155" s="133"/>
      <c r="K1155" s="133"/>
      <c r="L1155" s="133"/>
      <c r="M1155" s="133"/>
      <c r="N1155" s="122"/>
    </row>
    <row r="1156" spans="1:14" outlineLevel="1" x14ac:dyDescent="0.25">
      <c r="A1156" s="118"/>
      <c r="B1156" s="119"/>
      <c r="C1156" s="119"/>
      <c r="D1156" s="119"/>
      <c r="E1156" s="119"/>
      <c r="F1156" s="121"/>
      <c r="G1156" s="121"/>
      <c r="H1156" s="121"/>
      <c r="I1156" s="133"/>
      <c r="J1156" s="133"/>
      <c r="K1156" s="133"/>
      <c r="L1156" s="133"/>
      <c r="M1156" s="133"/>
      <c r="N1156" s="122"/>
    </row>
    <row r="1157" spans="1:14" outlineLevel="1" x14ac:dyDescent="0.25">
      <c r="A1157" s="118"/>
      <c r="B1157" s="119"/>
      <c r="C1157" s="119"/>
      <c r="D1157" s="119"/>
      <c r="E1157" s="119"/>
      <c r="F1157" s="121"/>
      <c r="G1157" s="121"/>
      <c r="H1157" s="121"/>
      <c r="I1157" s="133"/>
      <c r="J1157" s="133"/>
      <c r="K1157" s="133"/>
      <c r="L1157" s="133"/>
      <c r="M1157" s="133"/>
      <c r="N1157" s="122"/>
    </row>
    <row r="1158" spans="1:14" outlineLevel="1" x14ac:dyDescent="0.25">
      <c r="A1158" s="118"/>
      <c r="B1158" s="119"/>
      <c r="C1158" s="119"/>
      <c r="D1158" s="119"/>
      <c r="E1158" s="119"/>
      <c r="F1158" s="121"/>
      <c r="G1158" s="121"/>
      <c r="H1158" s="121"/>
      <c r="I1158" s="133"/>
      <c r="J1158" s="133"/>
      <c r="K1158" s="133"/>
      <c r="L1158" s="133"/>
      <c r="M1158" s="133"/>
      <c r="N1158" s="122"/>
    </row>
    <row r="1159" spans="1:14" outlineLevel="1" x14ac:dyDescent="0.25">
      <c r="A1159" s="118"/>
      <c r="B1159" s="119"/>
      <c r="C1159" s="119"/>
      <c r="D1159" s="119"/>
      <c r="E1159" s="119"/>
      <c r="F1159" s="121"/>
      <c r="G1159" s="121"/>
      <c r="H1159" s="121"/>
      <c r="I1159" s="133"/>
      <c r="J1159" s="133"/>
      <c r="K1159" s="133"/>
      <c r="L1159" s="133"/>
      <c r="M1159" s="133"/>
      <c r="N1159" s="122"/>
    </row>
    <row r="1160" spans="1:14" outlineLevel="1" x14ac:dyDescent="0.25">
      <c r="A1160" s="118"/>
      <c r="B1160" s="119"/>
      <c r="C1160" s="119"/>
      <c r="D1160" s="119"/>
      <c r="E1160" s="119"/>
      <c r="F1160" s="121"/>
      <c r="G1160" s="121"/>
      <c r="H1160" s="121"/>
      <c r="I1160" s="133"/>
      <c r="J1160" s="133"/>
      <c r="K1160" s="133"/>
      <c r="L1160" s="133"/>
      <c r="M1160" s="133"/>
      <c r="N1160" s="122"/>
    </row>
    <row r="1161" spans="1:14" outlineLevel="1" x14ac:dyDescent="0.25">
      <c r="A1161" s="118"/>
      <c r="B1161" s="119"/>
      <c r="C1161" s="119"/>
      <c r="D1161" s="119"/>
      <c r="E1161" s="119"/>
      <c r="F1161" s="121"/>
      <c r="G1161" s="121"/>
      <c r="H1161" s="121"/>
      <c r="I1161" s="133"/>
      <c r="J1161" s="133"/>
      <c r="K1161" s="133"/>
      <c r="L1161" s="133"/>
      <c r="M1161" s="133"/>
      <c r="N1161" s="122"/>
    </row>
    <row r="1162" spans="1:14" outlineLevel="1" x14ac:dyDescent="0.25">
      <c r="A1162" s="118"/>
      <c r="B1162" s="119"/>
      <c r="C1162" s="119"/>
      <c r="D1162" s="119"/>
      <c r="E1162" s="119"/>
      <c r="F1162" s="121"/>
      <c r="G1162" s="121"/>
      <c r="H1162" s="121"/>
      <c r="I1162" s="133"/>
      <c r="J1162" s="133"/>
      <c r="K1162" s="133"/>
      <c r="L1162" s="133"/>
      <c r="M1162" s="133"/>
      <c r="N1162" s="122"/>
    </row>
    <row r="1163" spans="1:14" outlineLevel="1" x14ac:dyDescent="0.25">
      <c r="A1163" s="118"/>
      <c r="B1163" s="119"/>
      <c r="C1163" s="119"/>
      <c r="D1163" s="119"/>
      <c r="E1163" s="119"/>
      <c r="F1163" s="121"/>
      <c r="G1163" s="121"/>
      <c r="H1163" s="121"/>
      <c r="I1163" s="133"/>
      <c r="J1163" s="133"/>
      <c r="K1163" s="133"/>
      <c r="L1163" s="133"/>
      <c r="M1163" s="133"/>
      <c r="N1163" s="122"/>
    </row>
    <row r="1164" spans="1:14" outlineLevel="1" x14ac:dyDescent="0.25">
      <c r="A1164" s="118"/>
      <c r="B1164" s="119"/>
      <c r="C1164" s="119"/>
      <c r="D1164" s="119"/>
      <c r="E1164" s="119"/>
      <c r="F1164" s="121"/>
      <c r="G1164" s="121"/>
      <c r="H1164" s="121"/>
      <c r="I1164" s="133"/>
      <c r="J1164" s="133"/>
      <c r="K1164" s="133"/>
      <c r="L1164" s="133"/>
      <c r="M1164" s="133"/>
      <c r="N1164" s="122"/>
    </row>
    <row r="1165" spans="1:14" outlineLevel="1" x14ac:dyDescent="0.25">
      <c r="A1165" s="118"/>
      <c r="B1165" s="119"/>
      <c r="C1165" s="119"/>
      <c r="D1165" s="119"/>
      <c r="E1165" s="119"/>
      <c r="F1165" s="121"/>
      <c r="G1165" s="121"/>
      <c r="H1165" s="121"/>
      <c r="I1165" s="133"/>
      <c r="J1165" s="133"/>
      <c r="K1165" s="133"/>
      <c r="L1165" s="133"/>
      <c r="M1165" s="133"/>
      <c r="N1165" s="122"/>
    </row>
    <row r="1166" spans="1:14" outlineLevel="1" x14ac:dyDescent="0.25">
      <c r="A1166" s="118"/>
      <c r="B1166" s="119"/>
      <c r="C1166" s="119"/>
      <c r="D1166" s="119"/>
      <c r="E1166" s="119"/>
      <c r="F1166" s="121"/>
      <c r="G1166" s="121"/>
      <c r="H1166" s="121"/>
      <c r="I1166" s="133"/>
      <c r="J1166" s="133"/>
      <c r="K1166" s="133"/>
      <c r="L1166" s="133"/>
      <c r="M1166" s="133"/>
      <c r="N1166" s="122"/>
    </row>
    <row r="1167" spans="1:14" outlineLevel="1" x14ac:dyDescent="0.25">
      <c r="A1167" s="118"/>
      <c r="B1167" s="119"/>
      <c r="C1167" s="119"/>
      <c r="D1167" s="119"/>
      <c r="E1167" s="119"/>
      <c r="F1167" s="121"/>
      <c r="G1167" s="121"/>
      <c r="H1167" s="121"/>
      <c r="I1167" s="133"/>
      <c r="J1167" s="133"/>
      <c r="K1167" s="133"/>
      <c r="L1167" s="133"/>
      <c r="M1167" s="133"/>
      <c r="N1167" s="122"/>
    </row>
    <row r="1168" spans="1:14" outlineLevel="1" x14ac:dyDescent="0.25">
      <c r="A1168" s="118"/>
      <c r="B1168" s="119"/>
      <c r="C1168" s="119"/>
      <c r="D1168" s="119"/>
      <c r="E1168" s="119"/>
      <c r="F1168" s="121"/>
      <c r="G1168" s="121"/>
      <c r="H1168" s="121"/>
      <c r="I1168" s="133"/>
      <c r="J1168" s="133"/>
      <c r="K1168" s="133"/>
      <c r="L1168" s="133"/>
      <c r="M1168" s="133"/>
      <c r="N1168" s="122"/>
    </row>
    <row r="1169" spans="1:14" outlineLevel="1" x14ac:dyDescent="0.25">
      <c r="A1169" s="118"/>
      <c r="B1169" s="119"/>
      <c r="C1169" s="119"/>
      <c r="D1169" s="119"/>
      <c r="E1169" s="119"/>
      <c r="F1169" s="121"/>
      <c r="G1169" s="121"/>
      <c r="H1169" s="121"/>
      <c r="I1169" s="133"/>
      <c r="J1169" s="133"/>
      <c r="K1169" s="133"/>
      <c r="L1169" s="133"/>
      <c r="M1169" s="133"/>
      <c r="N1169" s="122"/>
    </row>
    <row r="1170" spans="1:14" outlineLevel="1" x14ac:dyDescent="0.25">
      <c r="A1170" s="118"/>
      <c r="B1170" s="119"/>
      <c r="C1170" s="119"/>
      <c r="D1170" s="119"/>
      <c r="E1170" s="119"/>
      <c r="F1170" s="121"/>
      <c r="G1170" s="121"/>
      <c r="H1170" s="121"/>
      <c r="I1170" s="133"/>
      <c r="J1170" s="133"/>
      <c r="K1170" s="133"/>
      <c r="L1170" s="133"/>
      <c r="M1170" s="133"/>
      <c r="N1170" s="122"/>
    </row>
    <row r="1171" spans="1:14" outlineLevel="1" x14ac:dyDescent="0.25">
      <c r="A1171" s="118"/>
      <c r="B1171" s="119"/>
      <c r="C1171" s="119"/>
      <c r="D1171" s="119"/>
      <c r="E1171" s="119"/>
      <c r="F1171" s="121"/>
      <c r="G1171" s="121"/>
      <c r="H1171" s="121"/>
      <c r="I1171" s="133"/>
      <c r="J1171" s="133"/>
      <c r="K1171" s="133"/>
      <c r="L1171" s="133"/>
      <c r="M1171" s="133"/>
      <c r="N1171" s="122"/>
    </row>
    <row r="1172" spans="1:14" outlineLevel="1" x14ac:dyDescent="0.25">
      <c r="A1172" s="118"/>
      <c r="B1172" s="119"/>
      <c r="C1172" s="119"/>
      <c r="D1172" s="119"/>
      <c r="E1172" s="119"/>
      <c r="F1172" s="121"/>
      <c r="G1172" s="121"/>
      <c r="H1172" s="121"/>
      <c r="I1172" s="133"/>
      <c r="J1172" s="133"/>
      <c r="K1172" s="133"/>
      <c r="L1172" s="133"/>
      <c r="M1172" s="133"/>
      <c r="N1172" s="122"/>
    </row>
    <row r="1173" spans="1:14" outlineLevel="1" x14ac:dyDescent="0.25">
      <c r="A1173" s="118"/>
      <c r="B1173" s="119"/>
      <c r="C1173" s="119"/>
      <c r="D1173" s="119"/>
      <c r="E1173" s="119"/>
      <c r="F1173" s="121"/>
      <c r="G1173" s="121"/>
      <c r="H1173" s="121"/>
      <c r="I1173" s="133"/>
      <c r="J1173" s="133"/>
      <c r="K1173" s="133"/>
      <c r="L1173" s="133"/>
      <c r="M1173" s="133"/>
      <c r="N1173" s="122"/>
    </row>
    <row r="1174" spans="1:14" outlineLevel="1" x14ac:dyDescent="0.25">
      <c r="A1174" s="118"/>
      <c r="B1174" s="119"/>
      <c r="C1174" s="119"/>
      <c r="D1174" s="119"/>
      <c r="E1174" s="119"/>
      <c r="F1174" s="121"/>
      <c r="G1174" s="121"/>
      <c r="H1174" s="121"/>
      <c r="I1174" s="133"/>
      <c r="J1174" s="133"/>
      <c r="K1174" s="133"/>
      <c r="L1174" s="133"/>
      <c r="M1174" s="133"/>
      <c r="N1174" s="122"/>
    </row>
    <row r="1175" spans="1:14" outlineLevel="1" x14ac:dyDescent="0.25">
      <c r="A1175" s="118"/>
      <c r="B1175" s="119"/>
      <c r="C1175" s="119"/>
      <c r="D1175" s="119"/>
      <c r="E1175" s="119"/>
      <c r="F1175" s="121"/>
      <c r="G1175" s="121"/>
      <c r="H1175" s="121"/>
      <c r="I1175" s="133"/>
      <c r="J1175" s="133"/>
      <c r="K1175" s="133"/>
      <c r="L1175" s="133"/>
      <c r="M1175" s="133"/>
      <c r="N1175" s="122"/>
    </row>
    <row r="1176" spans="1:14" outlineLevel="1" x14ac:dyDescent="0.25">
      <c r="A1176" s="118"/>
      <c r="B1176" s="119"/>
      <c r="C1176" s="119"/>
      <c r="D1176" s="119"/>
      <c r="E1176" s="119"/>
      <c r="F1176" s="121"/>
      <c r="G1176" s="121"/>
      <c r="H1176" s="121"/>
      <c r="I1176" s="133"/>
      <c r="J1176" s="133"/>
      <c r="K1176" s="133"/>
      <c r="L1176" s="133"/>
      <c r="M1176" s="133"/>
      <c r="N1176" s="122"/>
    </row>
    <row r="1177" spans="1:14" outlineLevel="1" x14ac:dyDescent="0.25">
      <c r="A1177" s="118"/>
      <c r="B1177" s="119"/>
      <c r="C1177" s="119"/>
      <c r="D1177" s="119"/>
      <c r="E1177" s="119"/>
      <c r="F1177" s="121"/>
      <c r="G1177" s="121"/>
      <c r="H1177" s="121"/>
      <c r="I1177" s="133"/>
      <c r="J1177" s="133"/>
      <c r="K1177" s="133"/>
      <c r="L1177" s="133"/>
      <c r="M1177" s="133"/>
      <c r="N1177" s="122"/>
    </row>
    <row r="1178" spans="1:14" outlineLevel="1" x14ac:dyDescent="0.25">
      <c r="A1178" s="118"/>
      <c r="B1178" s="119"/>
      <c r="C1178" s="119"/>
      <c r="D1178" s="119"/>
      <c r="E1178" s="119"/>
      <c r="F1178" s="121"/>
      <c r="G1178" s="121"/>
      <c r="H1178" s="121"/>
      <c r="I1178" s="133"/>
      <c r="J1178" s="133"/>
      <c r="K1178" s="133"/>
      <c r="L1178" s="133"/>
      <c r="M1178" s="133"/>
      <c r="N1178" s="122"/>
    </row>
    <row r="1179" spans="1:14" outlineLevel="1" x14ac:dyDescent="0.25">
      <c r="A1179" s="118"/>
      <c r="B1179" s="119"/>
      <c r="C1179" s="119"/>
      <c r="D1179" s="119"/>
      <c r="E1179" s="119"/>
      <c r="F1179" s="121"/>
      <c r="G1179" s="121"/>
      <c r="H1179" s="121"/>
      <c r="I1179" s="133"/>
      <c r="J1179" s="133"/>
      <c r="K1179" s="133"/>
      <c r="L1179" s="133"/>
      <c r="M1179" s="133"/>
      <c r="N1179" s="122"/>
    </row>
    <row r="1180" spans="1:14" outlineLevel="1" x14ac:dyDescent="0.25">
      <c r="A1180" s="118"/>
      <c r="B1180" s="119"/>
      <c r="C1180" s="119"/>
      <c r="D1180" s="119"/>
      <c r="E1180" s="119"/>
      <c r="F1180" s="121"/>
      <c r="G1180" s="121"/>
      <c r="H1180" s="121"/>
      <c r="I1180" s="133"/>
      <c r="J1180" s="133"/>
      <c r="K1180" s="133"/>
      <c r="L1180" s="133"/>
      <c r="M1180" s="133"/>
      <c r="N1180" s="122"/>
    </row>
    <row r="1181" spans="1:14" outlineLevel="1" x14ac:dyDescent="0.25">
      <c r="A1181" s="118"/>
      <c r="B1181" s="119"/>
      <c r="C1181" s="119"/>
      <c r="D1181" s="119"/>
      <c r="E1181" s="119"/>
      <c r="F1181" s="121"/>
      <c r="G1181" s="121"/>
      <c r="H1181" s="121"/>
      <c r="I1181" s="133"/>
      <c r="J1181" s="133"/>
      <c r="K1181" s="133"/>
      <c r="L1181" s="133"/>
      <c r="M1181" s="133"/>
      <c r="N1181" s="122"/>
    </row>
    <row r="1182" spans="1:14" outlineLevel="1" x14ac:dyDescent="0.25">
      <c r="A1182" s="118"/>
      <c r="B1182" s="119"/>
      <c r="C1182" s="119"/>
      <c r="D1182" s="119"/>
      <c r="E1182" s="119"/>
      <c r="F1182" s="121"/>
      <c r="G1182" s="121"/>
      <c r="H1182" s="121"/>
      <c r="I1182" s="133"/>
      <c r="J1182" s="133"/>
      <c r="K1182" s="133"/>
      <c r="L1182" s="133"/>
      <c r="M1182" s="133"/>
      <c r="N1182" s="122"/>
    </row>
    <row r="1183" spans="1:14" outlineLevel="1" x14ac:dyDescent="0.25">
      <c r="A1183" s="118"/>
      <c r="B1183" s="119"/>
      <c r="C1183" s="119"/>
      <c r="D1183" s="119"/>
      <c r="E1183" s="119"/>
      <c r="F1183" s="121"/>
      <c r="G1183" s="121"/>
      <c r="H1183" s="121"/>
      <c r="I1183" s="133"/>
      <c r="J1183" s="133"/>
      <c r="K1183" s="133"/>
      <c r="L1183" s="133"/>
      <c r="M1183" s="133"/>
      <c r="N1183" s="122"/>
    </row>
    <row r="1184" spans="1:14" outlineLevel="1" x14ac:dyDescent="0.25">
      <c r="A1184" s="118"/>
      <c r="B1184" s="119"/>
      <c r="C1184" s="119"/>
      <c r="D1184" s="119"/>
      <c r="E1184" s="119"/>
      <c r="F1184" s="121"/>
      <c r="G1184" s="121"/>
      <c r="H1184" s="121"/>
      <c r="I1184" s="133"/>
      <c r="J1184" s="133"/>
      <c r="K1184" s="133"/>
      <c r="L1184" s="133"/>
      <c r="M1184" s="133"/>
      <c r="N1184" s="122"/>
    </row>
    <row r="1185" spans="1:14" outlineLevel="1" x14ac:dyDescent="0.25">
      <c r="A1185" s="118"/>
      <c r="B1185" s="119"/>
      <c r="C1185" s="119"/>
      <c r="D1185" s="119"/>
      <c r="E1185" s="119"/>
      <c r="F1185" s="121"/>
      <c r="G1185" s="121"/>
      <c r="H1185" s="121"/>
      <c r="I1185" s="133"/>
      <c r="J1185" s="133"/>
      <c r="K1185" s="133"/>
      <c r="L1185" s="133"/>
      <c r="M1185" s="133"/>
      <c r="N1185" s="122"/>
    </row>
    <row r="1186" spans="1:14" outlineLevel="1" x14ac:dyDescent="0.25">
      <c r="A1186" s="118"/>
      <c r="B1186" s="119"/>
      <c r="C1186" s="119"/>
      <c r="D1186" s="119"/>
      <c r="E1186" s="119"/>
      <c r="F1186" s="121"/>
      <c r="G1186" s="121"/>
      <c r="H1186" s="121"/>
      <c r="I1186" s="133"/>
      <c r="J1186" s="133"/>
      <c r="K1186" s="133"/>
      <c r="L1186" s="133"/>
      <c r="M1186" s="133"/>
      <c r="N1186" s="122"/>
    </row>
    <row r="1187" spans="1:14" outlineLevel="1" x14ac:dyDescent="0.25">
      <c r="A1187" s="118"/>
      <c r="B1187" s="119"/>
      <c r="C1187" s="119"/>
      <c r="D1187" s="119"/>
      <c r="E1187" s="119"/>
      <c r="F1187" s="121"/>
      <c r="G1187" s="121"/>
      <c r="H1187" s="121"/>
      <c r="I1187" s="133"/>
      <c r="J1187" s="133"/>
      <c r="K1187" s="133"/>
      <c r="L1187" s="133"/>
      <c r="M1187" s="133"/>
      <c r="N1187" s="122"/>
    </row>
    <row r="1188" spans="1:14" outlineLevel="1" x14ac:dyDescent="0.25">
      <c r="A1188" s="118"/>
      <c r="B1188" s="119"/>
      <c r="C1188" s="119"/>
      <c r="D1188" s="119"/>
      <c r="E1188" s="119"/>
      <c r="F1188" s="121"/>
      <c r="G1188" s="121"/>
      <c r="H1188" s="121"/>
      <c r="I1188" s="133"/>
      <c r="J1188" s="133"/>
      <c r="K1188" s="133"/>
      <c r="L1188" s="133"/>
      <c r="M1188" s="133"/>
      <c r="N1188" s="122"/>
    </row>
    <row r="1189" spans="1:14" outlineLevel="1" x14ac:dyDescent="0.25">
      <c r="A1189" s="118"/>
      <c r="B1189" s="119"/>
      <c r="C1189" s="119"/>
      <c r="D1189" s="119"/>
      <c r="E1189" s="119"/>
      <c r="F1189" s="121"/>
      <c r="G1189" s="121"/>
      <c r="H1189" s="121"/>
      <c r="I1189" s="133"/>
      <c r="J1189" s="133"/>
      <c r="K1189" s="133"/>
      <c r="L1189" s="133"/>
      <c r="M1189" s="133"/>
      <c r="N1189" s="122"/>
    </row>
    <row r="1190" spans="1:14" outlineLevel="1" x14ac:dyDescent="0.25">
      <c r="A1190" s="118"/>
      <c r="B1190" s="119"/>
      <c r="C1190" s="119"/>
      <c r="D1190" s="119"/>
      <c r="E1190" s="119"/>
      <c r="F1190" s="121"/>
      <c r="G1190" s="121"/>
      <c r="H1190" s="121"/>
      <c r="I1190" s="133"/>
      <c r="J1190" s="133"/>
      <c r="K1190" s="133"/>
      <c r="L1190" s="133"/>
      <c r="M1190" s="133"/>
      <c r="N1190" s="122"/>
    </row>
    <row r="1191" spans="1:14" outlineLevel="1" x14ac:dyDescent="0.25">
      <c r="A1191" s="118"/>
      <c r="B1191" s="119"/>
      <c r="C1191" s="119"/>
      <c r="D1191" s="119"/>
      <c r="E1191" s="119"/>
      <c r="F1191" s="121"/>
      <c r="G1191" s="121"/>
      <c r="H1191" s="121"/>
      <c r="I1191" s="133"/>
      <c r="J1191" s="133"/>
      <c r="K1191" s="133"/>
      <c r="L1191" s="133"/>
      <c r="M1191" s="133"/>
      <c r="N1191" s="122"/>
    </row>
    <row r="1192" spans="1:14" outlineLevel="1" x14ac:dyDescent="0.25">
      <c r="A1192" s="118"/>
      <c r="B1192" s="119"/>
      <c r="C1192" s="119"/>
      <c r="D1192" s="119"/>
      <c r="E1192" s="119"/>
      <c r="F1192" s="121"/>
      <c r="G1192" s="121"/>
      <c r="H1192" s="121"/>
      <c r="I1192" s="133"/>
      <c r="J1192" s="133"/>
      <c r="K1192" s="133"/>
      <c r="L1192" s="133"/>
      <c r="M1192" s="133"/>
      <c r="N1192" s="122"/>
    </row>
    <row r="1193" spans="1:14" outlineLevel="1" x14ac:dyDescent="0.25">
      <c r="A1193" s="118"/>
      <c r="B1193" s="119"/>
      <c r="C1193" s="119"/>
      <c r="D1193" s="119"/>
      <c r="E1193" s="119"/>
      <c r="F1193" s="121"/>
      <c r="G1193" s="121"/>
      <c r="H1193" s="121"/>
      <c r="I1193" s="133"/>
      <c r="J1193" s="133"/>
      <c r="K1193" s="133"/>
      <c r="L1193" s="133"/>
      <c r="M1193" s="133"/>
      <c r="N1193" s="122"/>
    </row>
    <row r="1194" spans="1:14" outlineLevel="1" x14ac:dyDescent="0.25">
      <c r="A1194" s="118"/>
      <c r="B1194" s="119"/>
      <c r="C1194" s="119"/>
      <c r="D1194" s="119"/>
      <c r="E1194" s="119"/>
      <c r="F1194" s="121"/>
      <c r="G1194" s="121"/>
      <c r="H1194" s="121"/>
      <c r="I1194" s="133"/>
      <c r="J1194" s="133"/>
      <c r="K1194" s="133"/>
      <c r="L1194" s="133"/>
      <c r="M1194" s="133"/>
      <c r="N1194" s="122"/>
    </row>
    <row r="1195" spans="1:14" outlineLevel="1" x14ac:dyDescent="0.25">
      <c r="A1195" s="118"/>
      <c r="B1195" s="119"/>
      <c r="C1195" s="119"/>
      <c r="D1195" s="119"/>
      <c r="E1195" s="119"/>
      <c r="F1195" s="121"/>
      <c r="G1195" s="121"/>
      <c r="H1195" s="121"/>
      <c r="I1195" s="133"/>
      <c r="J1195" s="133"/>
      <c r="K1195" s="133"/>
      <c r="L1195" s="133"/>
      <c r="M1195" s="133"/>
      <c r="N1195" s="122"/>
    </row>
    <row r="1196" spans="1:14" outlineLevel="1" x14ac:dyDescent="0.25">
      <c r="A1196" s="118"/>
      <c r="B1196" s="119"/>
      <c r="C1196" s="119"/>
      <c r="D1196" s="119"/>
      <c r="E1196" s="119"/>
      <c r="F1196" s="121"/>
      <c r="G1196" s="121"/>
      <c r="H1196" s="121"/>
      <c r="I1196" s="133"/>
      <c r="J1196" s="133"/>
      <c r="K1196" s="133"/>
      <c r="L1196" s="133"/>
      <c r="M1196" s="133"/>
      <c r="N1196" s="122"/>
    </row>
    <row r="1197" spans="1:14" outlineLevel="1" x14ac:dyDescent="0.25">
      <c r="A1197" s="118"/>
      <c r="B1197" s="119"/>
      <c r="C1197" s="119"/>
      <c r="D1197" s="119"/>
      <c r="E1197" s="119"/>
      <c r="F1197" s="121"/>
      <c r="G1197" s="121"/>
      <c r="H1197" s="121"/>
      <c r="I1197" s="133"/>
      <c r="J1197" s="133"/>
      <c r="K1197" s="133"/>
      <c r="L1197" s="133"/>
      <c r="M1197" s="133"/>
      <c r="N1197" s="122"/>
    </row>
    <row r="1198" spans="1:14" outlineLevel="1" x14ac:dyDescent="0.25">
      <c r="A1198" s="118"/>
      <c r="B1198" s="119"/>
      <c r="C1198" s="119"/>
      <c r="D1198" s="119"/>
      <c r="E1198" s="119"/>
      <c r="F1198" s="121"/>
      <c r="G1198" s="121"/>
      <c r="H1198" s="121"/>
      <c r="I1198" s="133"/>
      <c r="J1198" s="133"/>
      <c r="K1198" s="133"/>
      <c r="L1198" s="133"/>
      <c r="M1198" s="133"/>
      <c r="N1198" s="122"/>
    </row>
    <row r="1199" spans="1:14" outlineLevel="1" x14ac:dyDescent="0.25">
      <c r="A1199" s="118"/>
      <c r="B1199" s="119"/>
      <c r="C1199" s="119"/>
      <c r="D1199" s="119"/>
      <c r="E1199" s="119"/>
      <c r="F1199" s="121"/>
      <c r="G1199" s="121"/>
      <c r="H1199" s="121"/>
      <c r="I1199" s="133"/>
      <c r="J1199" s="133"/>
      <c r="K1199" s="133"/>
      <c r="L1199" s="133"/>
      <c r="M1199" s="133"/>
      <c r="N1199" s="122"/>
    </row>
    <row r="1200" spans="1:14" outlineLevel="1" x14ac:dyDescent="0.25">
      <c r="A1200" s="77"/>
      <c r="B1200" s="78"/>
      <c r="C1200" s="78"/>
      <c r="D1200" s="78"/>
      <c r="E1200" s="78"/>
      <c r="F1200" s="10"/>
      <c r="G1200" s="10"/>
      <c r="H1200" s="10"/>
      <c r="I1200" s="87"/>
      <c r="J1200" s="87"/>
      <c r="K1200" s="87"/>
      <c r="L1200" s="87"/>
      <c r="M1200" s="87"/>
      <c r="N1200" s="104"/>
    </row>
    <row r="1201" spans="1:15" outlineLevel="1" x14ac:dyDescent="0.25">
      <c r="A1201" s="77"/>
      <c r="B1201" s="78"/>
      <c r="C1201" s="78"/>
      <c r="D1201" s="78"/>
      <c r="E1201" s="78"/>
      <c r="F1201" s="10"/>
      <c r="G1201" s="10"/>
      <c r="H1201" s="10"/>
      <c r="I1201" s="87"/>
      <c r="J1201" s="87"/>
      <c r="K1201" s="87"/>
      <c r="L1201" s="87"/>
      <c r="M1201" s="87"/>
      <c r="N1201" s="104"/>
    </row>
    <row r="1202" spans="1:15" ht="15.75" outlineLevel="1" thickBot="1" x14ac:dyDescent="0.3">
      <c r="A1202" s="80"/>
      <c r="B1202" s="81"/>
      <c r="C1202" s="81"/>
      <c r="D1202" s="81"/>
      <c r="E1202" s="81"/>
      <c r="F1202" s="83"/>
      <c r="G1202" s="83"/>
      <c r="H1202" s="83"/>
      <c r="I1202" s="89"/>
      <c r="J1202" s="89"/>
      <c r="K1202" s="89"/>
      <c r="L1202" s="89"/>
      <c r="M1202" s="89"/>
      <c r="N1202" s="105"/>
    </row>
    <row r="1203" spans="1:15" ht="15.75" thickBot="1" x14ac:dyDescent="0.3">
      <c r="A1203" s="85"/>
      <c r="B1203" s="85"/>
      <c r="C1203" s="24"/>
      <c r="D1203" s="24"/>
      <c r="E1203" s="24"/>
      <c r="H1203" s="471" t="s">
        <v>82</v>
      </c>
      <c r="I1203" s="472"/>
      <c r="J1203" s="472"/>
      <c r="K1203" s="473"/>
      <c r="L1203" s="471" t="s">
        <v>83</v>
      </c>
      <c r="M1203" s="472"/>
      <c r="N1203" s="473"/>
    </row>
    <row r="1204" spans="1:15" ht="15.75" thickBot="1" x14ac:dyDescent="0.3">
      <c r="A1204" s="474" t="s">
        <v>84</v>
      </c>
      <c r="B1204" s="474"/>
      <c r="C1204" s="474"/>
      <c r="D1204" s="474"/>
      <c r="E1204" s="474"/>
      <c r="G1204" s="24"/>
      <c r="H1204" s="85"/>
      <c r="I1204" s="85"/>
    </row>
    <row r="1205" spans="1:15" ht="15.75" outlineLevel="1" thickBot="1" x14ac:dyDescent="0.3">
      <c r="A1205" s="70" t="s">
        <v>68</v>
      </c>
      <c r="B1205" s="57" t="s">
        <v>69</v>
      </c>
      <c r="C1205" s="95" t="s">
        <v>70</v>
      </c>
      <c r="D1205" s="95" t="s">
        <v>85</v>
      </c>
      <c r="E1205" s="95" t="s">
        <v>6</v>
      </c>
      <c r="G1205" s="44"/>
      <c r="H1205" s="44"/>
      <c r="I1205" s="44"/>
    </row>
    <row r="1206" spans="1:15" outlineLevel="1" x14ac:dyDescent="0.25">
      <c r="A1206" s="96"/>
      <c r="B1206" s="97"/>
      <c r="C1206" s="74"/>
      <c r="D1206" s="74"/>
      <c r="E1206" s="98"/>
      <c r="L1206" s="85"/>
      <c r="O1206" s="22"/>
    </row>
    <row r="1207" spans="1:15" outlineLevel="1" x14ac:dyDescent="0.25">
      <c r="A1207" s="134"/>
      <c r="B1207" s="135"/>
      <c r="C1207" s="119"/>
      <c r="D1207" s="119"/>
      <c r="E1207" s="136"/>
      <c r="L1207" s="85"/>
    </row>
    <row r="1208" spans="1:15" outlineLevel="1" x14ac:dyDescent="0.25">
      <c r="A1208" s="134"/>
      <c r="B1208" s="135"/>
      <c r="C1208" s="119"/>
      <c r="D1208" s="119"/>
      <c r="E1208" s="136"/>
      <c r="L1208" s="85"/>
    </row>
    <row r="1209" spans="1:15" outlineLevel="1" x14ac:dyDescent="0.25">
      <c r="A1209" s="134"/>
      <c r="B1209" s="135"/>
      <c r="C1209" s="119"/>
      <c r="D1209" s="119"/>
      <c r="E1209" s="136"/>
      <c r="L1209" s="85"/>
    </row>
    <row r="1210" spans="1:15" outlineLevel="1" x14ac:dyDescent="0.25">
      <c r="A1210" s="99"/>
      <c r="B1210" s="100"/>
      <c r="C1210" s="78"/>
      <c r="D1210" s="78"/>
      <c r="E1210" s="101"/>
    </row>
    <row r="1211" spans="1:15" outlineLevel="1" x14ac:dyDescent="0.25">
      <c r="A1211" s="99"/>
      <c r="B1211" s="100"/>
      <c r="C1211" s="78"/>
      <c r="D1211" s="78"/>
      <c r="E1211" s="101"/>
    </row>
    <row r="1212" spans="1:15" outlineLevel="1" x14ac:dyDescent="0.25">
      <c r="A1212" s="134"/>
      <c r="B1212" s="135"/>
      <c r="C1212" s="119"/>
      <c r="D1212" s="119"/>
      <c r="E1212" s="136"/>
      <c r="L1212" s="85"/>
      <c r="O1212" s="22"/>
    </row>
    <row r="1213" spans="1:15" outlineLevel="1" x14ac:dyDescent="0.25">
      <c r="A1213" s="99"/>
      <c r="B1213" s="100"/>
      <c r="C1213" s="78"/>
      <c r="D1213" s="78"/>
      <c r="E1213" s="101"/>
      <c r="O1213" s="22"/>
    </row>
    <row r="1214" spans="1:15" outlineLevel="1" x14ac:dyDescent="0.25">
      <c r="A1214" s="99"/>
      <c r="B1214" s="100"/>
      <c r="C1214" s="78"/>
      <c r="D1214" s="78"/>
      <c r="E1214" s="101"/>
      <c r="O1214" s="22"/>
    </row>
    <row r="1215" spans="1:15" outlineLevel="1" x14ac:dyDescent="0.25">
      <c r="A1215" s="134"/>
      <c r="B1215" s="135"/>
      <c r="C1215" s="119"/>
      <c r="D1215" s="119"/>
      <c r="E1215" s="136"/>
      <c r="L1215" s="85"/>
      <c r="O1215" s="22"/>
    </row>
    <row r="1216" spans="1:15" outlineLevel="1" x14ac:dyDescent="0.25">
      <c r="A1216" s="134"/>
      <c r="B1216" s="135"/>
      <c r="C1216" s="119"/>
      <c r="D1216" s="119"/>
      <c r="E1216" s="136"/>
      <c r="L1216" s="85"/>
      <c r="O1216" s="22"/>
    </row>
    <row r="1217" spans="1:15" outlineLevel="1" x14ac:dyDescent="0.25">
      <c r="A1217" s="134"/>
      <c r="B1217" s="135"/>
      <c r="C1217" s="119"/>
      <c r="D1217" s="119"/>
      <c r="E1217" s="136"/>
      <c r="L1217" s="85"/>
      <c r="O1217" s="22"/>
    </row>
    <row r="1218" spans="1:15" outlineLevel="1" x14ac:dyDescent="0.25">
      <c r="A1218" s="99"/>
      <c r="B1218" s="100"/>
      <c r="C1218" s="78"/>
      <c r="D1218" s="78"/>
      <c r="E1218" s="101"/>
      <c r="O1218" s="22"/>
    </row>
    <row r="1219" spans="1:15" outlineLevel="1" x14ac:dyDescent="0.25">
      <c r="A1219" s="99"/>
      <c r="B1219" s="100"/>
      <c r="C1219" s="78"/>
      <c r="D1219" s="78"/>
      <c r="E1219" s="101"/>
    </row>
    <row r="1220" spans="1:15" outlineLevel="1" x14ac:dyDescent="0.25">
      <c r="A1220" s="99"/>
      <c r="B1220" s="100"/>
      <c r="C1220" s="78"/>
      <c r="D1220" s="78"/>
      <c r="E1220" s="101"/>
    </row>
    <row r="1221" spans="1:15" outlineLevel="1" x14ac:dyDescent="0.25">
      <c r="A1221" s="134"/>
      <c r="B1221" s="135"/>
      <c r="C1221" s="119"/>
      <c r="D1221" s="119"/>
      <c r="E1221" s="136"/>
      <c r="L1221" s="85"/>
    </row>
    <row r="1222" spans="1:15" outlineLevel="1" x14ac:dyDescent="0.25">
      <c r="A1222" s="134"/>
      <c r="B1222" s="135"/>
      <c r="C1222" s="119"/>
      <c r="D1222" s="119"/>
      <c r="E1222" s="136"/>
      <c r="L1222" s="85"/>
    </row>
    <row r="1223" spans="1:15" outlineLevel="1" x14ac:dyDescent="0.25">
      <c r="A1223" s="134"/>
      <c r="B1223" s="135"/>
      <c r="C1223" s="119"/>
      <c r="D1223" s="119"/>
      <c r="E1223" s="136"/>
      <c r="L1223" s="85"/>
    </row>
    <row r="1224" spans="1:15" outlineLevel="1" x14ac:dyDescent="0.25">
      <c r="A1224" s="99"/>
      <c r="B1224" s="100"/>
      <c r="C1224" s="78"/>
      <c r="D1224" s="78"/>
      <c r="E1224" s="101"/>
    </row>
    <row r="1225" spans="1:15" outlineLevel="1" x14ac:dyDescent="0.25">
      <c r="A1225" s="99"/>
      <c r="B1225" s="100"/>
      <c r="C1225" s="78"/>
      <c r="D1225" s="78"/>
      <c r="E1225" s="101"/>
    </row>
    <row r="1226" spans="1:15" outlineLevel="1" x14ac:dyDescent="0.25">
      <c r="A1226" s="134"/>
      <c r="B1226" s="135"/>
      <c r="C1226" s="119"/>
      <c r="D1226" s="119"/>
      <c r="E1226" s="136"/>
      <c r="L1226" s="85"/>
      <c r="O1226" s="22"/>
    </row>
    <row r="1227" spans="1:15" outlineLevel="1" x14ac:dyDescent="0.25">
      <c r="A1227" s="134"/>
      <c r="B1227" s="135"/>
      <c r="C1227" s="119"/>
      <c r="D1227" s="119"/>
      <c r="E1227" s="136"/>
      <c r="L1227" s="85"/>
      <c r="O1227" s="22"/>
    </row>
    <row r="1228" spans="1:15" outlineLevel="1" x14ac:dyDescent="0.25">
      <c r="A1228" s="99"/>
      <c r="B1228" s="100"/>
      <c r="C1228" s="78"/>
      <c r="D1228" s="78"/>
      <c r="E1228" s="101"/>
      <c r="O1228" s="22"/>
    </row>
    <row r="1229" spans="1:15" outlineLevel="1" x14ac:dyDescent="0.25">
      <c r="A1229" s="99"/>
      <c r="B1229" s="100"/>
      <c r="C1229" s="78"/>
      <c r="D1229" s="78"/>
      <c r="E1229" s="101"/>
      <c r="O1229" s="22"/>
    </row>
    <row r="1230" spans="1:15" outlineLevel="1" x14ac:dyDescent="0.25">
      <c r="A1230" s="134"/>
      <c r="B1230" s="135"/>
      <c r="C1230" s="119"/>
      <c r="D1230" s="119"/>
      <c r="E1230" s="136"/>
      <c r="L1230" s="85"/>
      <c r="O1230" s="22"/>
    </row>
    <row r="1231" spans="1:15" outlineLevel="1" x14ac:dyDescent="0.25">
      <c r="A1231" s="134"/>
      <c r="B1231" s="135"/>
      <c r="C1231" s="119"/>
      <c r="D1231" s="119"/>
      <c r="E1231" s="136"/>
      <c r="L1231" s="85"/>
      <c r="O1231" s="22"/>
    </row>
    <row r="1232" spans="1:15" outlineLevel="1" x14ac:dyDescent="0.25">
      <c r="A1232" s="134"/>
      <c r="B1232" s="135"/>
      <c r="C1232" s="119"/>
      <c r="D1232" s="119"/>
      <c r="E1232" s="136"/>
      <c r="L1232" s="85"/>
      <c r="O1232" s="22"/>
    </row>
    <row r="1233" spans="1:15" outlineLevel="1" x14ac:dyDescent="0.25">
      <c r="A1233" s="134"/>
      <c r="B1233" s="135"/>
      <c r="C1233" s="119"/>
      <c r="D1233" s="119"/>
      <c r="E1233" s="136"/>
      <c r="L1233" s="85"/>
    </row>
    <row r="1234" spans="1:15" outlineLevel="1" x14ac:dyDescent="0.25">
      <c r="A1234" s="134"/>
      <c r="B1234" s="135"/>
      <c r="C1234" s="119"/>
      <c r="D1234" s="119"/>
      <c r="E1234" s="136"/>
      <c r="L1234" s="85"/>
    </row>
    <row r="1235" spans="1:15" outlineLevel="1" x14ac:dyDescent="0.25">
      <c r="A1235" s="99"/>
      <c r="B1235" s="100"/>
      <c r="C1235" s="78"/>
      <c r="D1235" s="78"/>
      <c r="E1235" s="101"/>
    </row>
    <row r="1236" spans="1:15" outlineLevel="1" x14ac:dyDescent="0.25">
      <c r="A1236" s="99"/>
      <c r="B1236" s="100"/>
      <c r="C1236" s="78"/>
      <c r="D1236" s="78"/>
      <c r="E1236" s="101"/>
    </row>
    <row r="1237" spans="1:15" outlineLevel="1" x14ac:dyDescent="0.25">
      <c r="A1237" s="134"/>
      <c r="B1237" s="135"/>
      <c r="C1237" s="119"/>
      <c r="D1237" s="119"/>
      <c r="E1237" s="136"/>
      <c r="L1237" s="85"/>
      <c r="O1237" s="22"/>
    </row>
    <row r="1238" spans="1:15" outlineLevel="1" x14ac:dyDescent="0.25">
      <c r="A1238" s="134"/>
      <c r="B1238" s="135"/>
      <c r="C1238" s="119"/>
      <c r="D1238" s="119"/>
      <c r="E1238" s="136"/>
      <c r="L1238" s="85"/>
      <c r="O1238" s="22"/>
    </row>
    <row r="1239" spans="1:15" outlineLevel="1" x14ac:dyDescent="0.25">
      <c r="A1239" s="99"/>
      <c r="B1239" s="100"/>
      <c r="C1239" s="78"/>
      <c r="D1239" s="78"/>
      <c r="E1239" s="101"/>
      <c r="O1239" s="22"/>
    </row>
    <row r="1240" spans="1:15" outlineLevel="1" x14ac:dyDescent="0.25">
      <c r="A1240" s="99"/>
      <c r="B1240" s="100"/>
      <c r="C1240" s="78"/>
      <c r="D1240" s="78"/>
      <c r="E1240" s="101"/>
      <c r="O1240" s="22"/>
    </row>
    <row r="1241" spans="1:15" outlineLevel="1" x14ac:dyDescent="0.25">
      <c r="A1241" s="134"/>
      <c r="B1241" s="135"/>
      <c r="C1241" s="119"/>
      <c r="D1241" s="119"/>
      <c r="E1241" s="136"/>
      <c r="L1241" s="85"/>
      <c r="O1241" s="22"/>
    </row>
    <row r="1242" spans="1:15" outlineLevel="1" x14ac:dyDescent="0.25">
      <c r="A1242" s="134"/>
      <c r="B1242" s="135"/>
      <c r="C1242" s="119"/>
      <c r="D1242" s="119"/>
      <c r="E1242" s="136"/>
      <c r="L1242" s="85"/>
      <c r="O1242" s="22"/>
    </row>
    <row r="1243" spans="1:15" outlineLevel="1" x14ac:dyDescent="0.25">
      <c r="A1243" s="134"/>
      <c r="B1243" s="135"/>
      <c r="C1243" s="119"/>
      <c r="D1243" s="119"/>
      <c r="E1243" s="136"/>
      <c r="L1243" s="85"/>
      <c r="O1243" s="22"/>
    </row>
    <row r="1244" spans="1:15" outlineLevel="1" x14ac:dyDescent="0.25">
      <c r="A1244" s="99"/>
      <c r="B1244" s="100"/>
      <c r="C1244" s="78"/>
      <c r="D1244" s="78"/>
      <c r="E1244" s="101"/>
      <c r="O1244" s="22"/>
    </row>
    <row r="1245" spans="1:15" outlineLevel="1" x14ac:dyDescent="0.25">
      <c r="A1245" s="99"/>
      <c r="B1245" s="100"/>
      <c r="C1245" s="78"/>
      <c r="D1245" s="78"/>
      <c r="E1245" s="101"/>
    </row>
    <row r="1246" spans="1:15" outlineLevel="1" x14ac:dyDescent="0.25">
      <c r="A1246" s="99"/>
      <c r="B1246" s="100"/>
      <c r="C1246" s="78"/>
      <c r="D1246" s="78"/>
      <c r="E1246" s="101"/>
    </row>
    <row r="1247" spans="1:15" outlineLevel="1" x14ac:dyDescent="0.25">
      <c r="A1247" s="134"/>
      <c r="B1247" s="135"/>
      <c r="C1247" s="119"/>
      <c r="D1247" s="119"/>
      <c r="E1247" s="136"/>
      <c r="L1247" s="85"/>
    </row>
    <row r="1248" spans="1:15" outlineLevel="1" x14ac:dyDescent="0.25">
      <c r="A1248" s="134"/>
      <c r="B1248" s="135"/>
      <c r="C1248" s="119"/>
      <c r="D1248" s="119"/>
      <c r="E1248" s="136"/>
      <c r="L1248" s="85"/>
    </row>
    <row r="1249" spans="1:15" outlineLevel="1" x14ac:dyDescent="0.25">
      <c r="A1249" s="134"/>
      <c r="B1249" s="135"/>
      <c r="C1249" s="119"/>
      <c r="D1249" s="119"/>
      <c r="E1249" s="136"/>
      <c r="L1249" s="85"/>
    </row>
    <row r="1250" spans="1:15" outlineLevel="1" x14ac:dyDescent="0.25">
      <c r="A1250" s="99"/>
      <c r="B1250" s="100"/>
      <c r="C1250" s="78"/>
      <c r="D1250" s="78"/>
      <c r="E1250" s="101"/>
    </row>
    <row r="1251" spans="1:15" outlineLevel="1" x14ac:dyDescent="0.25">
      <c r="A1251" s="99"/>
      <c r="B1251" s="100"/>
      <c r="C1251" s="78"/>
      <c r="D1251" s="78"/>
      <c r="E1251" s="101"/>
    </row>
    <row r="1252" spans="1:15" outlineLevel="1" x14ac:dyDescent="0.25">
      <c r="A1252" s="134"/>
      <c r="B1252" s="135"/>
      <c r="C1252" s="119"/>
      <c r="D1252" s="119"/>
      <c r="E1252" s="136"/>
      <c r="L1252" s="85"/>
      <c r="O1252" s="22"/>
    </row>
    <row r="1253" spans="1:15" outlineLevel="1" x14ac:dyDescent="0.25">
      <c r="A1253" s="134"/>
      <c r="B1253" s="135"/>
      <c r="C1253" s="119"/>
      <c r="D1253" s="119"/>
      <c r="E1253" s="136"/>
      <c r="L1253" s="85"/>
      <c r="O1253" s="22"/>
    </row>
    <row r="1254" spans="1:15" outlineLevel="1" x14ac:dyDescent="0.25">
      <c r="A1254" s="99"/>
      <c r="B1254" s="100"/>
      <c r="C1254" s="78"/>
      <c r="D1254" s="78"/>
      <c r="E1254" s="101"/>
      <c r="O1254" s="22"/>
    </row>
    <row r="1255" spans="1:15" outlineLevel="1" x14ac:dyDescent="0.25">
      <c r="A1255" s="99"/>
      <c r="B1255" s="100"/>
      <c r="C1255" s="78"/>
      <c r="D1255" s="78"/>
      <c r="E1255" s="101"/>
      <c r="O1255" s="22"/>
    </row>
    <row r="1256" spans="1:15" outlineLevel="1" x14ac:dyDescent="0.25">
      <c r="A1256" s="134"/>
      <c r="B1256" s="135"/>
      <c r="C1256" s="119"/>
      <c r="D1256" s="119"/>
      <c r="E1256" s="136"/>
      <c r="L1256" s="85"/>
      <c r="O1256" s="22"/>
    </row>
    <row r="1257" spans="1:15" outlineLevel="1" x14ac:dyDescent="0.25">
      <c r="A1257" s="134"/>
      <c r="B1257" s="135"/>
      <c r="C1257" s="119"/>
      <c r="D1257" s="119"/>
      <c r="E1257" s="136"/>
      <c r="L1257" s="85"/>
      <c r="O1257" s="22"/>
    </row>
    <row r="1258" spans="1:15" outlineLevel="1" x14ac:dyDescent="0.25">
      <c r="A1258" s="134"/>
      <c r="B1258" s="135"/>
      <c r="C1258" s="119"/>
      <c r="D1258" s="119"/>
      <c r="E1258" s="136"/>
      <c r="L1258" s="85"/>
      <c r="O1258" s="22"/>
    </row>
    <row r="1259" spans="1:15" outlineLevel="1" x14ac:dyDescent="0.25">
      <c r="A1259" s="99"/>
      <c r="B1259" s="100"/>
      <c r="C1259" s="78"/>
      <c r="D1259" s="78"/>
      <c r="E1259" s="101"/>
    </row>
    <row r="1260" spans="1:15" outlineLevel="1" x14ac:dyDescent="0.25">
      <c r="A1260" s="134"/>
      <c r="B1260" s="135"/>
      <c r="C1260" s="119"/>
      <c r="D1260" s="119"/>
      <c r="E1260" s="136"/>
      <c r="L1260" s="85"/>
    </row>
    <row r="1261" spans="1:15" outlineLevel="1" x14ac:dyDescent="0.25">
      <c r="A1261" s="134"/>
      <c r="B1261" s="135"/>
      <c r="C1261" s="119"/>
      <c r="D1261" s="119"/>
      <c r="E1261" s="136"/>
      <c r="L1261" s="85"/>
    </row>
    <row r="1262" spans="1:15" outlineLevel="1" x14ac:dyDescent="0.25">
      <c r="A1262" s="99"/>
      <c r="B1262" s="100"/>
      <c r="C1262" s="78"/>
      <c r="D1262" s="78"/>
      <c r="E1262" s="101"/>
    </row>
    <row r="1263" spans="1:15" outlineLevel="1" x14ac:dyDescent="0.25">
      <c r="A1263" s="99"/>
      <c r="B1263" s="100"/>
      <c r="C1263" s="78"/>
      <c r="D1263" s="78"/>
      <c r="E1263" s="101"/>
    </row>
    <row r="1264" spans="1:15" outlineLevel="1" x14ac:dyDescent="0.25">
      <c r="A1264" s="134"/>
      <c r="B1264" s="135"/>
      <c r="C1264" s="119"/>
      <c r="D1264" s="119"/>
      <c r="E1264" s="136"/>
      <c r="L1264" s="85"/>
      <c r="O1264" s="22"/>
    </row>
    <row r="1265" spans="1:15" outlineLevel="1" x14ac:dyDescent="0.25">
      <c r="A1265" s="134"/>
      <c r="B1265" s="135"/>
      <c r="C1265" s="119"/>
      <c r="D1265" s="119"/>
      <c r="E1265" s="136"/>
      <c r="L1265" s="85"/>
      <c r="O1265" s="22"/>
    </row>
    <row r="1266" spans="1:15" outlineLevel="1" x14ac:dyDescent="0.25">
      <c r="A1266" s="99"/>
      <c r="B1266" s="100"/>
      <c r="C1266" s="78"/>
      <c r="D1266" s="78"/>
      <c r="E1266" s="101"/>
      <c r="O1266" s="22"/>
    </row>
    <row r="1267" spans="1:15" outlineLevel="1" x14ac:dyDescent="0.25">
      <c r="A1267" s="99"/>
      <c r="B1267" s="100"/>
      <c r="C1267" s="78"/>
      <c r="D1267" s="78"/>
      <c r="E1267" s="101"/>
      <c r="O1267" s="22"/>
    </row>
    <row r="1268" spans="1:15" outlineLevel="1" x14ac:dyDescent="0.25">
      <c r="A1268" s="134"/>
      <c r="B1268" s="135"/>
      <c r="C1268" s="119"/>
      <c r="D1268" s="119"/>
      <c r="E1268" s="136"/>
      <c r="L1268" s="85"/>
      <c r="O1268" s="22"/>
    </row>
    <row r="1269" spans="1:15" outlineLevel="1" x14ac:dyDescent="0.25">
      <c r="A1269" s="134"/>
      <c r="B1269" s="135"/>
      <c r="C1269" s="119"/>
      <c r="D1269" s="119"/>
      <c r="E1269" s="136"/>
      <c r="L1269" s="85"/>
      <c r="O1269" s="22"/>
    </row>
    <row r="1270" spans="1:15" outlineLevel="1" x14ac:dyDescent="0.25">
      <c r="A1270" s="134"/>
      <c r="B1270" s="135"/>
      <c r="C1270" s="119"/>
      <c r="D1270" s="119"/>
      <c r="E1270" s="136"/>
      <c r="L1270" s="85"/>
      <c r="O1270" s="22"/>
    </row>
    <row r="1271" spans="1:15" outlineLevel="1" x14ac:dyDescent="0.25">
      <c r="A1271" s="99"/>
      <c r="B1271" s="100"/>
      <c r="C1271" s="78"/>
      <c r="D1271" s="78"/>
      <c r="E1271" s="101"/>
      <c r="O1271" s="22"/>
    </row>
    <row r="1272" spans="1:15" outlineLevel="1" x14ac:dyDescent="0.25">
      <c r="A1272" s="99"/>
      <c r="B1272" s="100"/>
      <c r="C1272" s="78"/>
      <c r="D1272" s="78"/>
      <c r="E1272" s="101"/>
    </row>
    <row r="1273" spans="1:15" outlineLevel="1" x14ac:dyDescent="0.25">
      <c r="A1273" s="99"/>
      <c r="B1273" s="100"/>
      <c r="C1273" s="78"/>
      <c r="D1273" s="78"/>
      <c r="E1273" s="101"/>
    </row>
    <row r="1274" spans="1:15" outlineLevel="1" x14ac:dyDescent="0.25">
      <c r="A1274" s="134"/>
      <c r="B1274" s="135"/>
      <c r="C1274" s="119"/>
      <c r="D1274" s="119"/>
      <c r="E1274" s="136"/>
      <c r="L1274" s="85"/>
    </row>
    <row r="1275" spans="1:15" outlineLevel="1" x14ac:dyDescent="0.25">
      <c r="A1275" s="134"/>
      <c r="B1275" s="135"/>
      <c r="C1275" s="119"/>
      <c r="D1275" s="119"/>
      <c r="E1275" s="136"/>
      <c r="L1275" s="85"/>
    </row>
    <row r="1276" spans="1:15" outlineLevel="1" x14ac:dyDescent="0.25">
      <c r="A1276" s="134"/>
      <c r="B1276" s="135"/>
      <c r="C1276" s="119"/>
      <c r="D1276" s="119"/>
      <c r="E1276" s="136"/>
      <c r="L1276" s="85"/>
    </row>
    <row r="1277" spans="1:15" outlineLevel="1" x14ac:dyDescent="0.25">
      <c r="A1277" s="99"/>
      <c r="B1277" s="100"/>
      <c r="C1277" s="78"/>
      <c r="D1277" s="78"/>
      <c r="E1277" s="101"/>
    </row>
    <row r="1278" spans="1:15" outlineLevel="1" x14ac:dyDescent="0.25">
      <c r="A1278" s="99"/>
      <c r="B1278" s="100"/>
      <c r="C1278" s="78"/>
      <c r="D1278" s="78"/>
      <c r="E1278" s="101"/>
    </row>
    <row r="1279" spans="1:15" outlineLevel="1" x14ac:dyDescent="0.25">
      <c r="A1279" s="134"/>
      <c r="B1279" s="135"/>
      <c r="C1279" s="119"/>
      <c r="D1279" s="119"/>
      <c r="E1279" s="136"/>
      <c r="L1279" s="85"/>
      <c r="O1279" s="22"/>
    </row>
    <row r="1280" spans="1:15" outlineLevel="1" x14ac:dyDescent="0.25">
      <c r="A1280" s="134"/>
      <c r="B1280" s="135"/>
      <c r="C1280" s="119"/>
      <c r="D1280" s="119"/>
      <c r="E1280" s="136"/>
      <c r="L1280" s="85"/>
      <c r="O1280" s="22"/>
    </row>
    <row r="1281" spans="1:15" outlineLevel="1" x14ac:dyDescent="0.25">
      <c r="A1281" s="99"/>
      <c r="B1281" s="100"/>
      <c r="C1281" s="78"/>
      <c r="D1281" s="78"/>
      <c r="E1281" s="101"/>
      <c r="O1281" s="22"/>
    </row>
    <row r="1282" spans="1:15" outlineLevel="1" x14ac:dyDescent="0.25">
      <c r="A1282" s="99"/>
      <c r="B1282" s="100"/>
      <c r="C1282" s="78"/>
      <c r="D1282" s="78"/>
      <c r="E1282" s="101"/>
      <c r="O1282" s="22"/>
    </row>
    <row r="1283" spans="1:15" outlineLevel="1" x14ac:dyDescent="0.25">
      <c r="A1283" s="134"/>
      <c r="B1283" s="135"/>
      <c r="C1283" s="119"/>
      <c r="D1283" s="119"/>
      <c r="E1283" s="136"/>
      <c r="L1283" s="85"/>
      <c r="O1283" s="22"/>
    </row>
    <row r="1284" spans="1:15" outlineLevel="1" x14ac:dyDescent="0.25">
      <c r="A1284" s="134"/>
      <c r="B1284" s="135"/>
      <c r="C1284" s="119"/>
      <c r="D1284" s="119"/>
      <c r="E1284" s="136"/>
      <c r="L1284" s="85"/>
      <c r="O1284" s="22"/>
    </row>
    <row r="1285" spans="1:15" outlineLevel="1" x14ac:dyDescent="0.25">
      <c r="A1285" s="134"/>
      <c r="B1285" s="135"/>
      <c r="C1285" s="119"/>
      <c r="D1285" s="119"/>
      <c r="E1285" s="136"/>
      <c r="L1285" s="85"/>
      <c r="O1285" s="22"/>
    </row>
    <row r="1286" spans="1:15" outlineLevel="1" x14ac:dyDescent="0.25">
      <c r="A1286" s="134"/>
      <c r="B1286" s="135"/>
      <c r="C1286" s="119"/>
      <c r="D1286" s="119"/>
      <c r="E1286" s="136"/>
      <c r="L1286" s="85"/>
    </row>
    <row r="1287" spans="1:15" outlineLevel="1" x14ac:dyDescent="0.25">
      <c r="A1287" s="134"/>
      <c r="B1287" s="135"/>
      <c r="C1287" s="119"/>
      <c r="D1287" s="119"/>
      <c r="E1287" s="136"/>
      <c r="L1287" s="85"/>
    </row>
    <row r="1288" spans="1:15" outlineLevel="1" x14ac:dyDescent="0.25">
      <c r="A1288" s="99"/>
      <c r="B1288" s="100"/>
      <c r="C1288" s="78"/>
      <c r="D1288" s="78"/>
      <c r="E1288" s="101"/>
    </row>
    <row r="1289" spans="1:15" outlineLevel="1" x14ac:dyDescent="0.25">
      <c r="A1289" s="99"/>
      <c r="B1289" s="100"/>
      <c r="C1289" s="78"/>
      <c r="D1289" s="78"/>
      <c r="E1289" s="101"/>
    </row>
    <row r="1290" spans="1:15" outlineLevel="1" x14ac:dyDescent="0.25">
      <c r="A1290" s="134"/>
      <c r="B1290" s="135"/>
      <c r="C1290" s="119"/>
      <c r="D1290" s="119"/>
      <c r="E1290" s="136"/>
      <c r="L1290" s="85"/>
      <c r="O1290" s="22"/>
    </row>
    <row r="1291" spans="1:15" outlineLevel="1" x14ac:dyDescent="0.25">
      <c r="A1291" s="134"/>
      <c r="B1291" s="135"/>
      <c r="C1291" s="119"/>
      <c r="D1291" s="119"/>
      <c r="E1291" s="136"/>
      <c r="L1291" s="85"/>
      <c r="O1291" s="22"/>
    </row>
    <row r="1292" spans="1:15" outlineLevel="1" x14ac:dyDescent="0.25">
      <c r="A1292" s="99"/>
      <c r="B1292" s="100"/>
      <c r="C1292" s="78"/>
      <c r="D1292" s="78"/>
      <c r="E1292" s="101"/>
      <c r="O1292" s="22"/>
    </row>
    <row r="1293" spans="1:15" outlineLevel="1" x14ac:dyDescent="0.25">
      <c r="A1293" s="99"/>
      <c r="B1293" s="100"/>
      <c r="C1293" s="78"/>
      <c r="D1293" s="78"/>
      <c r="E1293" s="101"/>
      <c r="O1293" s="22"/>
    </row>
    <row r="1294" spans="1:15" outlineLevel="1" x14ac:dyDescent="0.25">
      <c r="A1294" s="134"/>
      <c r="B1294" s="135"/>
      <c r="C1294" s="119"/>
      <c r="D1294" s="119"/>
      <c r="E1294" s="136"/>
      <c r="L1294" s="85"/>
      <c r="O1294" s="22"/>
    </row>
    <row r="1295" spans="1:15" outlineLevel="1" x14ac:dyDescent="0.25">
      <c r="A1295" s="134"/>
      <c r="B1295" s="135"/>
      <c r="C1295" s="119"/>
      <c r="D1295" s="119"/>
      <c r="E1295" s="136"/>
      <c r="L1295" s="85"/>
      <c r="O1295" s="22"/>
    </row>
    <row r="1296" spans="1:15" outlineLevel="1" x14ac:dyDescent="0.25">
      <c r="A1296" s="134"/>
      <c r="B1296" s="135"/>
      <c r="C1296" s="119"/>
      <c r="D1296" s="119"/>
      <c r="E1296" s="136"/>
      <c r="L1296" s="85"/>
      <c r="O1296" s="22"/>
    </row>
    <row r="1297" spans="1:15" outlineLevel="1" x14ac:dyDescent="0.25">
      <c r="A1297" s="99"/>
      <c r="B1297" s="100"/>
      <c r="C1297" s="78"/>
      <c r="D1297" s="78"/>
      <c r="E1297" s="101"/>
      <c r="O1297" s="22"/>
    </row>
    <row r="1298" spans="1:15" outlineLevel="1" x14ac:dyDescent="0.25">
      <c r="A1298" s="99"/>
      <c r="B1298" s="100"/>
      <c r="C1298" s="78"/>
      <c r="D1298" s="78"/>
      <c r="E1298" s="101"/>
    </row>
    <row r="1299" spans="1:15" outlineLevel="1" x14ac:dyDescent="0.25">
      <c r="A1299" s="99"/>
      <c r="B1299" s="100"/>
      <c r="C1299" s="78"/>
      <c r="D1299" s="78"/>
      <c r="E1299" s="101"/>
    </row>
    <row r="1300" spans="1:15" outlineLevel="1" x14ac:dyDescent="0.25">
      <c r="A1300" s="134"/>
      <c r="B1300" s="135"/>
      <c r="C1300" s="119"/>
      <c r="D1300" s="119"/>
      <c r="E1300" s="136"/>
      <c r="L1300" s="85"/>
    </row>
    <row r="1301" spans="1:15" outlineLevel="1" x14ac:dyDescent="0.25">
      <c r="A1301" s="134"/>
      <c r="B1301" s="135"/>
      <c r="C1301" s="119"/>
      <c r="D1301" s="119"/>
      <c r="E1301" s="136"/>
      <c r="L1301" s="85"/>
    </row>
    <row r="1302" spans="1:15" outlineLevel="1" x14ac:dyDescent="0.25">
      <c r="A1302" s="134"/>
      <c r="B1302" s="135"/>
      <c r="C1302" s="119"/>
      <c r="D1302" s="119"/>
      <c r="E1302" s="136"/>
      <c r="L1302" s="85"/>
    </row>
    <row r="1303" spans="1:15" outlineLevel="1" x14ac:dyDescent="0.25">
      <c r="A1303" s="99"/>
      <c r="B1303" s="100"/>
      <c r="C1303" s="78"/>
      <c r="D1303" s="78"/>
      <c r="E1303" s="101"/>
    </row>
    <row r="1304" spans="1:15" outlineLevel="1" x14ac:dyDescent="0.25">
      <c r="A1304" s="99"/>
      <c r="B1304" s="100"/>
      <c r="C1304" s="78"/>
      <c r="D1304" s="78"/>
      <c r="E1304" s="101"/>
    </row>
    <row r="1305" spans="1:15" outlineLevel="1" x14ac:dyDescent="0.25">
      <c r="A1305" s="134"/>
      <c r="B1305" s="135"/>
      <c r="C1305" s="119"/>
      <c r="D1305" s="119"/>
      <c r="E1305" s="136"/>
      <c r="L1305" s="85"/>
      <c r="O1305" s="22"/>
    </row>
    <row r="1306" spans="1:15" outlineLevel="1" x14ac:dyDescent="0.25">
      <c r="A1306" s="134"/>
      <c r="B1306" s="135"/>
      <c r="C1306" s="119"/>
      <c r="D1306" s="119"/>
      <c r="E1306" s="136"/>
      <c r="L1306" s="85"/>
      <c r="O1306" s="22"/>
    </row>
    <row r="1307" spans="1:15" outlineLevel="1" x14ac:dyDescent="0.25">
      <c r="A1307" s="99"/>
      <c r="B1307" s="100"/>
      <c r="C1307" s="78"/>
      <c r="D1307" s="78"/>
      <c r="E1307" s="101"/>
      <c r="O1307" s="22"/>
    </row>
    <row r="1308" spans="1:15" outlineLevel="1" x14ac:dyDescent="0.25">
      <c r="A1308" s="99"/>
      <c r="B1308" s="100"/>
      <c r="C1308" s="78"/>
      <c r="D1308" s="78"/>
      <c r="E1308" s="101"/>
      <c r="O1308" s="22"/>
    </row>
    <row r="1309" spans="1:15" outlineLevel="1" x14ac:dyDescent="0.25">
      <c r="A1309" s="134"/>
      <c r="B1309" s="135"/>
      <c r="C1309" s="119"/>
      <c r="D1309" s="119"/>
      <c r="E1309" s="136"/>
      <c r="L1309" s="85"/>
      <c r="O1309" s="22"/>
    </row>
    <row r="1310" spans="1:15" outlineLevel="1" x14ac:dyDescent="0.25">
      <c r="A1310" s="134"/>
      <c r="B1310" s="135"/>
      <c r="C1310" s="119"/>
      <c r="D1310" s="119"/>
      <c r="E1310" s="136"/>
      <c r="L1310" s="85"/>
      <c r="O1310" s="22"/>
    </row>
    <row r="1311" spans="1:15" outlineLevel="1" x14ac:dyDescent="0.25">
      <c r="A1311" s="134"/>
      <c r="B1311" s="135"/>
      <c r="C1311" s="119"/>
      <c r="D1311" s="119"/>
      <c r="E1311" s="136"/>
      <c r="L1311" s="85"/>
      <c r="O1311" s="22"/>
    </row>
    <row r="1312" spans="1:15" outlineLevel="1" x14ac:dyDescent="0.25">
      <c r="A1312" s="99"/>
      <c r="B1312" s="100"/>
      <c r="C1312" s="78"/>
      <c r="D1312" s="78"/>
      <c r="E1312" s="101"/>
      <c r="O1312" s="22"/>
    </row>
    <row r="1313" spans="1:15" outlineLevel="1" x14ac:dyDescent="0.25">
      <c r="A1313" s="134"/>
      <c r="B1313" s="135"/>
      <c r="C1313" s="119"/>
      <c r="D1313" s="119"/>
      <c r="E1313" s="136"/>
      <c r="L1313" s="85"/>
      <c r="O1313" s="22"/>
    </row>
    <row r="1314" spans="1:15" outlineLevel="1" x14ac:dyDescent="0.25">
      <c r="A1314" s="134"/>
      <c r="B1314" s="135"/>
      <c r="C1314" s="119"/>
      <c r="D1314" s="119"/>
      <c r="E1314" s="136"/>
      <c r="L1314" s="85"/>
      <c r="O1314" s="22"/>
    </row>
    <row r="1315" spans="1:15" outlineLevel="1" x14ac:dyDescent="0.25">
      <c r="A1315" s="99"/>
      <c r="B1315" s="100"/>
      <c r="C1315" s="78"/>
      <c r="D1315" s="78"/>
      <c r="E1315" s="101"/>
      <c r="O1315" s="22"/>
    </row>
    <row r="1316" spans="1:15" outlineLevel="1" x14ac:dyDescent="0.25">
      <c r="A1316" s="99"/>
      <c r="B1316" s="100"/>
      <c r="C1316" s="78"/>
      <c r="D1316" s="78"/>
      <c r="E1316" s="101"/>
      <c r="O1316" s="22"/>
    </row>
    <row r="1317" spans="1:15" outlineLevel="1" x14ac:dyDescent="0.25">
      <c r="A1317" s="134"/>
      <c r="B1317" s="135"/>
      <c r="C1317" s="119"/>
      <c r="D1317" s="119"/>
      <c r="E1317" s="136"/>
      <c r="L1317" s="85"/>
      <c r="O1317" s="22"/>
    </row>
    <row r="1318" spans="1:15" outlineLevel="1" x14ac:dyDescent="0.25">
      <c r="A1318" s="134"/>
      <c r="B1318" s="135"/>
      <c r="C1318" s="119"/>
      <c r="D1318" s="119"/>
      <c r="E1318" s="136"/>
      <c r="L1318" s="85"/>
      <c r="O1318" s="22"/>
    </row>
    <row r="1319" spans="1:15" outlineLevel="1" x14ac:dyDescent="0.25">
      <c r="A1319" s="134"/>
      <c r="B1319" s="135"/>
      <c r="C1319" s="119"/>
      <c r="D1319" s="119"/>
      <c r="E1319" s="136"/>
      <c r="L1319" s="85"/>
      <c r="O1319" s="22"/>
    </row>
    <row r="1320" spans="1:15" outlineLevel="1" x14ac:dyDescent="0.25">
      <c r="A1320" s="99"/>
      <c r="B1320" s="100"/>
      <c r="C1320" s="78"/>
      <c r="D1320" s="78"/>
      <c r="E1320" s="101"/>
      <c r="O1320" s="22"/>
    </row>
    <row r="1321" spans="1:15" outlineLevel="1" x14ac:dyDescent="0.25">
      <c r="A1321" s="99"/>
      <c r="B1321" s="100"/>
      <c r="C1321" s="78"/>
      <c r="D1321" s="78"/>
      <c r="E1321" s="101"/>
    </row>
    <row r="1322" spans="1:15" outlineLevel="1" x14ac:dyDescent="0.25">
      <c r="A1322" s="99"/>
      <c r="B1322" s="100"/>
      <c r="C1322" s="78"/>
      <c r="D1322" s="78"/>
      <c r="E1322" s="101"/>
    </row>
    <row r="1323" spans="1:15" outlineLevel="1" x14ac:dyDescent="0.25">
      <c r="A1323" s="134"/>
      <c r="B1323" s="135"/>
      <c r="C1323" s="119"/>
      <c r="D1323" s="119"/>
      <c r="E1323" s="136"/>
      <c r="L1323" s="85"/>
    </row>
    <row r="1324" spans="1:15" outlineLevel="1" x14ac:dyDescent="0.25">
      <c r="A1324" s="134"/>
      <c r="B1324" s="135"/>
      <c r="C1324" s="119"/>
      <c r="D1324" s="119"/>
      <c r="E1324" s="136"/>
      <c r="L1324" s="85"/>
    </row>
    <row r="1325" spans="1:15" outlineLevel="1" x14ac:dyDescent="0.25">
      <c r="A1325" s="134"/>
      <c r="B1325" s="135"/>
      <c r="C1325" s="119"/>
      <c r="D1325" s="119"/>
      <c r="E1325" s="136"/>
      <c r="L1325" s="85"/>
    </row>
    <row r="1326" spans="1:15" outlineLevel="1" x14ac:dyDescent="0.25">
      <c r="A1326" s="99"/>
      <c r="B1326" s="100"/>
      <c r="C1326" s="78"/>
      <c r="D1326" s="78"/>
      <c r="E1326" s="101"/>
    </row>
    <row r="1327" spans="1:15" outlineLevel="1" x14ac:dyDescent="0.25">
      <c r="A1327" s="99"/>
      <c r="B1327" s="100"/>
      <c r="C1327" s="78"/>
      <c r="D1327" s="78"/>
      <c r="E1327" s="101"/>
    </row>
    <row r="1328" spans="1:15" outlineLevel="1" x14ac:dyDescent="0.25">
      <c r="A1328" s="134"/>
      <c r="B1328" s="135"/>
      <c r="C1328" s="119"/>
      <c r="D1328" s="119"/>
      <c r="E1328" s="136"/>
      <c r="L1328" s="85"/>
      <c r="O1328" s="22"/>
    </row>
    <row r="1329" spans="1:15" outlineLevel="1" x14ac:dyDescent="0.25">
      <c r="A1329" s="134"/>
      <c r="B1329" s="135"/>
      <c r="C1329" s="119"/>
      <c r="D1329" s="119"/>
      <c r="E1329" s="136"/>
      <c r="L1329" s="85"/>
      <c r="O1329" s="22"/>
    </row>
    <row r="1330" spans="1:15" outlineLevel="1" x14ac:dyDescent="0.25">
      <c r="A1330" s="99"/>
      <c r="B1330" s="100"/>
      <c r="C1330" s="78"/>
      <c r="D1330" s="78"/>
      <c r="E1330" s="101"/>
      <c r="O1330" s="22"/>
    </row>
    <row r="1331" spans="1:15" outlineLevel="1" x14ac:dyDescent="0.25">
      <c r="A1331" s="99"/>
      <c r="B1331" s="100"/>
      <c r="C1331" s="78"/>
      <c r="D1331" s="78"/>
      <c r="E1331" s="101"/>
      <c r="O1331" s="22"/>
    </row>
    <row r="1332" spans="1:15" outlineLevel="1" x14ac:dyDescent="0.25">
      <c r="A1332" s="134"/>
      <c r="B1332" s="135"/>
      <c r="C1332" s="119"/>
      <c r="D1332" s="119"/>
      <c r="E1332" s="136"/>
      <c r="L1332" s="85"/>
      <c r="O1332" s="22"/>
    </row>
    <row r="1333" spans="1:15" outlineLevel="1" x14ac:dyDescent="0.25">
      <c r="A1333" s="134"/>
      <c r="B1333" s="135"/>
      <c r="C1333" s="119"/>
      <c r="D1333" s="119"/>
      <c r="E1333" s="136"/>
      <c r="L1333" s="85"/>
      <c r="O1333" s="22"/>
    </row>
    <row r="1334" spans="1:15" outlineLevel="1" x14ac:dyDescent="0.25">
      <c r="A1334" s="134"/>
      <c r="B1334" s="135"/>
      <c r="C1334" s="119"/>
      <c r="D1334" s="119"/>
      <c r="E1334" s="136"/>
      <c r="L1334" s="85"/>
      <c r="O1334" s="22"/>
    </row>
    <row r="1335" spans="1:15" outlineLevel="1" x14ac:dyDescent="0.25">
      <c r="A1335" s="134"/>
      <c r="B1335" s="135"/>
      <c r="C1335" s="119"/>
      <c r="D1335" s="119"/>
      <c r="E1335" s="136"/>
      <c r="L1335" s="85"/>
    </row>
    <row r="1336" spans="1:15" outlineLevel="1" x14ac:dyDescent="0.25">
      <c r="A1336" s="134"/>
      <c r="B1336" s="135"/>
      <c r="C1336" s="119"/>
      <c r="D1336" s="119"/>
      <c r="E1336" s="136"/>
      <c r="L1336" s="85"/>
    </row>
    <row r="1337" spans="1:15" outlineLevel="1" x14ac:dyDescent="0.25">
      <c r="A1337" s="99"/>
      <c r="B1337" s="100"/>
      <c r="C1337" s="78"/>
      <c r="D1337" s="78"/>
      <c r="E1337" s="101"/>
    </row>
    <row r="1338" spans="1:15" outlineLevel="1" x14ac:dyDescent="0.25">
      <c r="A1338" s="99"/>
      <c r="B1338" s="100"/>
      <c r="C1338" s="78"/>
      <c r="D1338" s="78"/>
      <c r="E1338" s="101"/>
    </row>
    <row r="1339" spans="1:15" outlineLevel="1" x14ac:dyDescent="0.25">
      <c r="A1339" s="134"/>
      <c r="B1339" s="135"/>
      <c r="C1339" s="119"/>
      <c r="D1339" s="119"/>
      <c r="E1339" s="136"/>
      <c r="L1339" s="85"/>
      <c r="O1339" s="22"/>
    </row>
    <row r="1340" spans="1:15" outlineLevel="1" x14ac:dyDescent="0.25">
      <c r="A1340" s="134"/>
      <c r="B1340" s="135"/>
      <c r="C1340" s="119"/>
      <c r="D1340" s="119"/>
      <c r="E1340" s="136"/>
      <c r="L1340" s="85"/>
      <c r="O1340" s="22"/>
    </row>
    <row r="1341" spans="1:15" outlineLevel="1" x14ac:dyDescent="0.25">
      <c r="A1341" s="99"/>
      <c r="B1341" s="100"/>
      <c r="C1341" s="78"/>
      <c r="D1341" s="78"/>
      <c r="E1341" s="101"/>
      <c r="O1341" s="22"/>
    </row>
    <row r="1342" spans="1:15" outlineLevel="1" x14ac:dyDescent="0.25">
      <c r="A1342" s="99"/>
      <c r="B1342" s="100"/>
      <c r="C1342" s="78"/>
      <c r="D1342" s="78"/>
      <c r="E1342" s="101"/>
      <c r="O1342" s="22"/>
    </row>
    <row r="1343" spans="1:15" outlineLevel="1" x14ac:dyDescent="0.25">
      <c r="A1343" s="134"/>
      <c r="B1343" s="135"/>
      <c r="C1343" s="119"/>
      <c r="D1343" s="119"/>
      <c r="E1343" s="136"/>
      <c r="L1343" s="85"/>
      <c r="O1343" s="22"/>
    </row>
    <row r="1344" spans="1:15" outlineLevel="1" x14ac:dyDescent="0.25">
      <c r="A1344" s="134"/>
      <c r="B1344" s="135"/>
      <c r="C1344" s="119"/>
      <c r="D1344" s="119"/>
      <c r="E1344" s="136"/>
      <c r="L1344" s="85"/>
      <c r="O1344" s="22"/>
    </row>
    <row r="1345" spans="1:15" outlineLevel="1" x14ac:dyDescent="0.25">
      <c r="A1345" s="134"/>
      <c r="B1345" s="135"/>
      <c r="C1345" s="119"/>
      <c r="D1345" s="119"/>
      <c r="E1345" s="136"/>
      <c r="L1345" s="85"/>
      <c r="O1345" s="22"/>
    </row>
    <row r="1346" spans="1:15" outlineLevel="1" x14ac:dyDescent="0.25">
      <c r="A1346" s="99"/>
      <c r="B1346" s="100"/>
      <c r="C1346" s="78"/>
      <c r="D1346" s="78"/>
      <c r="E1346" s="101"/>
      <c r="O1346" s="22"/>
    </row>
    <row r="1347" spans="1:15" outlineLevel="1" x14ac:dyDescent="0.25">
      <c r="A1347" s="99"/>
      <c r="B1347" s="100"/>
      <c r="C1347" s="78"/>
      <c r="D1347" s="78"/>
      <c r="E1347" s="101"/>
    </row>
    <row r="1348" spans="1:15" outlineLevel="1" x14ac:dyDescent="0.25">
      <c r="A1348" s="99"/>
      <c r="B1348" s="100"/>
      <c r="C1348" s="78"/>
      <c r="D1348" s="78"/>
      <c r="E1348" s="101"/>
    </row>
    <row r="1349" spans="1:15" outlineLevel="1" x14ac:dyDescent="0.25">
      <c r="A1349" s="134"/>
      <c r="B1349" s="135"/>
      <c r="C1349" s="119"/>
      <c r="D1349" s="119"/>
      <c r="E1349" s="136"/>
      <c r="L1349" s="85"/>
    </row>
    <row r="1350" spans="1:15" outlineLevel="1" x14ac:dyDescent="0.25">
      <c r="A1350" s="134"/>
      <c r="B1350" s="135"/>
      <c r="C1350" s="119"/>
      <c r="D1350" s="119"/>
      <c r="E1350" s="136"/>
      <c r="L1350" s="85"/>
    </row>
    <row r="1351" spans="1:15" outlineLevel="1" x14ac:dyDescent="0.25">
      <c r="A1351" s="134"/>
      <c r="B1351" s="135"/>
      <c r="C1351" s="119"/>
      <c r="D1351" s="119"/>
      <c r="E1351" s="136"/>
      <c r="L1351" s="85"/>
    </row>
    <row r="1352" spans="1:15" outlineLevel="1" x14ac:dyDescent="0.25">
      <c r="A1352" s="99"/>
      <c r="B1352" s="100"/>
      <c r="C1352" s="78"/>
      <c r="D1352" s="78"/>
      <c r="E1352" s="101"/>
    </row>
    <row r="1353" spans="1:15" outlineLevel="1" x14ac:dyDescent="0.25">
      <c r="A1353" s="99"/>
      <c r="B1353" s="100"/>
      <c r="C1353" s="78"/>
      <c r="D1353" s="78"/>
      <c r="E1353" s="101"/>
    </row>
    <row r="1354" spans="1:15" outlineLevel="1" x14ac:dyDescent="0.25">
      <c r="A1354" s="134"/>
      <c r="B1354" s="135"/>
      <c r="C1354" s="119"/>
      <c r="D1354" s="119"/>
      <c r="E1354" s="136"/>
      <c r="L1354" s="85"/>
      <c r="O1354" s="22"/>
    </row>
    <row r="1355" spans="1:15" outlineLevel="1" x14ac:dyDescent="0.25">
      <c r="A1355" s="134"/>
      <c r="B1355" s="135"/>
      <c r="C1355" s="119"/>
      <c r="D1355" s="119"/>
      <c r="E1355" s="136"/>
      <c r="L1355" s="85"/>
      <c r="O1355" s="22"/>
    </row>
    <row r="1356" spans="1:15" outlineLevel="1" x14ac:dyDescent="0.25">
      <c r="A1356" s="99"/>
      <c r="B1356" s="100"/>
      <c r="C1356" s="78"/>
      <c r="D1356" s="78"/>
      <c r="E1356" s="101"/>
      <c r="O1356" s="22"/>
    </row>
    <row r="1357" spans="1:15" outlineLevel="1" x14ac:dyDescent="0.25">
      <c r="A1357" s="99"/>
      <c r="B1357" s="100"/>
      <c r="C1357" s="78"/>
      <c r="D1357" s="78"/>
      <c r="E1357" s="101"/>
      <c r="O1357" s="22"/>
    </row>
    <row r="1358" spans="1:15" outlineLevel="1" x14ac:dyDescent="0.25">
      <c r="A1358" s="134"/>
      <c r="B1358" s="135"/>
      <c r="C1358" s="119"/>
      <c r="D1358" s="119"/>
      <c r="E1358" s="136"/>
      <c r="L1358" s="85"/>
      <c r="O1358" s="22"/>
    </row>
    <row r="1359" spans="1:15" outlineLevel="1" x14ac:dyDescent="0.25">
      <c r="A1359" s="134"/>
      <c r="B1359" s="135"/>
      <c r="C1359" s="119"/>
      <c r="D1359" s="119"/>
      <c r="E1359" s="136"/>
      <c r="L1359" s="85"/>
      <c r="O1359" s="22"/>
    </row>
    <row r="1360" spans="1:15" outlineLevel="1" x14ac:dyDescent="0.25">
      <c r="A1360" s="134"/>
      <c r="B1360" s="135"/>
      <c r="C1360" s="119"/>
      <c r="D1360" s="119"/>
      <c r="E1360" s="136"/>
      <c r="L1360" s="85"/>
      <c r="O1360" s="22"/>
    </row>
    <row r="1361" spans="1:15" outlineLevel="1" x14ac:dyDescent="0.25">
      <c r="A1361" s="99"/>
      <c r="B1361" s="100"/>
      <c r="C1361" s="78"/>
      <c r="D1361" s="78"/>
      <c r="E1361" s="101"/>
    </row>
    <row r="1362" spans="1:15" outlineLevel="1" x14ac:dyDescent="0.25">
      <c r="A1362" s="134"/>
      <c r="B1362" s="135"/>
      <c r="C1362" s="119"/>
      <c r="D1362" s="119"/>
      <c r="E1362" s="136"/>
      <c r="L1362" s="85"/>
    </row>
    <row r="1363" spans="1:15" outlineLevel="1" x14ac:dyDescent="0.25">
      <c r="A1363" s="134"/>
      <c r="B1363" s="135"/>
      <c r="C1363" s="119"/>
      <c r="D1363" s="119"/>
      <c r="E1363" s="136"/>
      <c r="L1363" s="85"/>
    </row>
    <row r="1364" spans="1:15" outlineLevel="1" x14ac:dyDescent="0.25">
      <c r="A1364" s="99"/>
      <c r="B1364" s="100"/>
      <c r="C1364" s="78"/>
      <c r="D1364" s="78"/>
      <c r="E1364" s="101"/>
    </row>
    <row r="1365" spans="1:15" outlineLevel="1" x14ac:dyDescent="0.25">
      <c r="A1365" s="99"/>
      <c r="B1365" s="100"/>
      <c r="C1365" s="78"/>
      <c r="D1365" s="78"/>
      <c r="E1365" s="101"/>
    </row>
    <row r="1366" spans="1:15" outlineLevel="1" x14ac:dyDescent="0.25">
      <c r="A1366" s="134"/>
      <c r="B1366" s="135"/>
      <c r="C1366" s="119"/>
      <c r="D1366" s="119"/>
      <c r="E1366" s="136"/>
      <c r="L1366" s="85"/>
      <c r="O1366" s="22"/>
    </row>
    <row r="1367" spans="1:15" outlineLevel="1" x14ac:dyDescent="0.25">
      <c r="A1367" s="134"/>
      <c r="B1367" s="135"/>
      <c r="C1367" s="119"/>
      <c r="D1367" s="119"/>
      <c r="E1367" s="136"/>
      <c r="L1367" s="85"/>
      <c r="O1367" s="22"/>
    </row>
    <row r="1368" spans="1:15" outlineLevel="1" x14ac:dyDescent="0.25">
      <c r="A1368" s="99"/>
      <c r="B1368" s="100"/>
      <c r="C1368" s="78"/>
      <c r="D1368" s="78"/>
      <c r="E1368" s="101"/>
      <c r="O1368" s="22"/>
    </row>
    <row r="1369" spans="1:15" outlineLevel="1" x14ac:dyDescent="0.25">
      <c r="A1369" s="99"/>
      <c r="B1369" s="100"/>
      <c r="C1369" s="78"/>
      <c r="D1369" s="78"/>
      <c r="E1369" s="101"/>
      <c r="O1369" s="22"/>
    </row>
    <row r="1370" spans="1:15" outlineLevel="1" x14ac:dyDescent="0.25">
      <c r="A1370" s="134"/>
      <c r="B1370" s="135"/>
      <c r="C1370" s="119"/>
      <c r="D1370" s="119"/>
      <c r="E1370" s="136"/>
      <c r="L1370" s="85"/>
      <c r="O1370" s="22"/>
    </row>
    <row r="1371" spans="1:15" outlineLevel="1" x14ac:dyDescent="0.25">
      <c r="A1371" s="134"/>
      <c r="B1371" s="135"/>
      <c r="C1371" s="119"/>
      <c r="D1371" s="119"/>
      <c r="E1371" s="136"/>
      <c r="L1371" s="85"/>
      <c r="O1371" s="22"/>
    </row>
    <row r="1372" spans="1:15" outlineLevel="1" x14ac:dyDescent="0.25">
      <c r="A1372" s="134"/>
      <c r="B1372" s="135"/>
      <c r="C1372" s="119"/>
      <c r="D1372" s="119"/>
      <c r="E1372" s="136"/>
      <c r="L1372" s="85"/>
      <c r="O1372" s="22"/>
    </row>
    <row r="1373" spans="1:15" outlineLevel="1" x14ac:dyDescent="0.25">
      <c r="A1373" s="99"/>
      <c r="B1373" s="100"/>
      <c r="C1373" s="78"/>
      <c r="D1373" s="78"/>
      <c r="E1373" s="101"/>
      <c r="O1373" s="22"/>
    </row>
    <row r="1374" spans="1:15" outlineLevel="1" x14ac:dyDescent="0.25">
      <c r="A1374" s="99"/>
      <c r="B1374" s="100"/>
      <c r="C1374" s="78"/>
      <c r="D1374" s="78"/>
      <c r="E1374" s="101"/>
    </row>
    <row r="1375" spans="1:15" outlineLevel="1" x14ac:dyDescent="0.25">
      <c r="A1375" s="99"/>
      <c r="B1375" s="100"/>
      <c r="C1375" s="78"/>
      <c r="D1375" s="78"/>
      <c r="E1375" s="101"/>
    </row>
    <row r="1376" spans="1:15" outlineLevel="1" x14ac:dyDescent="0.25">
      <c r="A1376" s="134"/>
      <c r="B1376" s="135"/>
      <c r="C1376" s="119"/>
      <c r="D1376" s="119"/>
      <c r="E1376" s="136"/>
      <c r="L1376" s="85"/>
    </row>
    <row r="1377" spans="1:15" outlineLevel="1" x14ac:dyDescent="0.25">
      <c r="A1377" s="134"/>
      <c r="B1377" s="135"/>
      <c r="C1377" s="119"/>
      <c r="D1377" s="119"/>
      <c r="E1377" s="136"/>
      <c r="L1377" s="85"/>
    </row>
    <row r="1378" spans="1:15" outlineLevel="1" x14ac:dyDescent="0.25">
      <c r="A1378" s="134"/>
      <c r="B1378" s="135"/>
      <c r="C1378" s="119"/>
      <c r="D1378" s="119"/>
      <c r="E1378" s="136"/>
      <c r="L1378" s="85"/>
    </row>
    <row r="1379" spans="1:15" outlineLevel="1" x14ac:dyDescent="0.25">
      <c r="A1379" s="134"/>
      <c r="B1379" s="135"/>
      <c r="C1379" s="119"/>
      <c r="D1379" s="119"/>
      <c r="E1379" s="136"/>
      <c r="L1379" s="85"/>
    </row>
    <row r="1380" spans="1:15" outlineLevel="1" x14ac:dyDescent="0.25">
      <c r="A1380" s="99"/>
      <c r="B1380" s="100"/>
      <c r="C1380" s="78"/>
      <c r="D1380" s="78"/>
      <c r="E1380" s="101"/>
    </row>
    <row r="1381" spans="1:15" outlineLevel="1" x14ac:dyDescent="0.25">
      <c r="A1381" s="99"/>
      <c r="B1381" s="100"/>
      <c r="C1381" s="78"/>
      <c r="D1381" s="78"/>
      <c r="E1381" s="101"/>
    </row>
    <row r="1382" spans="1:15" outlineLevel="1" x14ac:dyDescent="0.25">
      <c r="A1382" s="134"/>
      <c r="B1382" s="135"/>
      <c r="C1382" s="119"/>
      <c r="D1382" s="119"/>
      <c r="E1382" s="136"/>
      <c r="L1382" s="85"/>
      <c r="O1382" s="22"/>
    </row>
    <row r="1383" spans="1:15" outlineLevel="1" x14ac:dyDescent="0.25">
      <c r="A1383" s="134"/>
      <c r="B1383" s="135"/>
      <c r="C1383" s="119"/>
      <c r="D1383" s="119"/>
      <c r="E1383" s="136"/>
      <c r="L1383" s="85"/>
      <c r="O1383" s="22"/>
    </row>
    <row r="1384" spans="1:15" outlineLevel="1" x14ac:dyDescent="0.25">
      <c r="A1384" s="99"/>
      <c r="B1384" s="100"/>
      <c r="C1384" s="78"/>
      <c r="D1384" s="78"/>
      <c r="E1384" s="101"/>
      <c r="O1384" s="22"/>
    </row>
    <row r="1385" spans="1:15" outlineLevel="1" x14ac:dyDescent="0.25">
      <c r="A1385" s="99"/>
      <c r="B1385" s="100"/>
      <c r="C1385" s="78"/>
      <c r="D1385" s="78"/>
      <c r="E1385" s="101"/>
      <c r="O1385" s="22"/>
    </row>
    <row r="1386" spans="1:15" outlineLevel="1" x14ac:dyDescent="0.25">
      <c r="A1386" s="134"/>
      <c r="B1386" s="135"/>
      <c r="C1386" s="119"/>
      <c r="D1386" s="119"/>
      <c r="E1386" s="136"/>
      <c r="L1386" s="85"/>
      <c r="O1386" s="22"/>
    </row>
    <row r="1387" spans="1:15" outlineLevel="1" x14ac:dyDescent="0.25">
      <c r="A1387" s="134"/>
      <c r="B1387" s="135"/>
      <c r="C1387" s="119"/>
      <c r="D1387" s="119"/>
      <c r="E1387" s="136"/>
      <c r="L1387" s="85"/>
      <c r="O1387" s="22"/>
    </row>
    <row r="1388" spans="1:15" outlineLevel="1" x14ac:dyDescent="0.25">
      <c r="A1388" s="134"/>
      <c r="B1388" s="135"/>
      <c r="C1388" s="119"/>
      <c r="D1388" s="119"/>
      <c r="E1388" s="136"/>
      <c r="L1388" s="85"/>
      <c r="O1388" s="22"/>
    </row>
    <row r="1389" spans="1:15" outlineLevel="1" x14ac:dyDescent="0.25">
      <c r="A1389" s="99"/>
      <c r="B1389" s="100"/>
      <c r="C1389" s="78"/>
      <c r="D1389" s="78"/>
      <c r="E1389" s="101"/>
      <c r="O1389" s="22"/>
    </row>
    <row r="1390" spans="1:15" outlineLevel="1" x14ac:dyDescent="0.25">
      <c r="A1390" s="99"/>
      <c r="B1390" s="100"/>
      <c r="C1390" s="78"/>
      <c r="D1390" s="78"/>
      <c r="E1390" s="101"/>
    </row>
    <row r="1391" spans="1:15" outlineLevel="1" x14ac:dyDescent="0.25">
      <c r="A1391" s="99"/>
      <c r="B1391" s="100"/>
      <c r="C1391" s="78"/>
      <c r="D1391" s="78"/>
      <c r="E1391" s="101"/>
    </row>
    <row r="1392" spans="1:15" outlineLevel="1" x14ac:dyDescent="0.25">
      <c r="A1392" s="134"/>
      <c r="B1392" s="135"/>
      <c r="C1392" s="119"/>
      <c r="D1392" s="119"/>
      <c r="E1392" s="136"/>
      <c r="L1392" s="85"/>
    </row>
    <row r="1393" spans="1:15" outlineLevel="1" x14ac:dyDescent="0.25">
      <c r="A1393" s="134"/>
      <c r="B1393" s="135"/>
      <c r="C1393" s="119"/>
      <c r="D1393" s="119"/>
      <c r="E1393" s="136"/>
      <c r="L1393" s="85"/>
    </row>
    <row r="1394" spans="1:15" outlineLevel="1" x14ac:dyDescent="0.25">
      <c r="A1394" s="134"/>
      <c r="B1394" s="135"/>
      <c r="C1394" s="119"/>
      <c r="D1394" s="119"/>
      <c r="E1394" s="136"/>
      <c r="L1394" s="85"/>
    </row>
    <row r="1395" spans="1:15" outlineLevel="1" x14ac:dyDescent="0.25">
      <c r="A1395" s="99"/>
      <c r="B1395" s="100"/>
      <c r="C1395" s="78"/>
      <c r="D1395" s="78"/>
      <c r="E1395" s="101"/>
    </row>
    <row r="1396" spans="1:15" outlineLevel="1" x14ac:dyDescent="0.25">
      <c r="A1396" s="99"/>
      <c r="B1396" s="100"/>
      <c r="C1396" s="78"/>
      <c r="D1396" s="78"/>
      <c r="E1396" s="101"/>
    </row>
    <row r="1397" spans="1:15" outlineLevel="1" x14ac:dyDescent="0.25">
      <c r="A1397" s="134"/>
      <c r="B1397" s="135"/>
      <c r="C1397" s="119"/>
      <c r="D1397" s="119"/>
      <c r="E1397" s="136"/>
      <c r="L1397" s="85"/>
      <c r="O1397" s="22"/>
    </row>
    <row r="1398" spans="1:15" outlineLevel="1" x14ac:dyDescent="0.25">
      <c r="A1398" s="134"/>
      <c r="B1398" s="135"/>
      <c r="C1398" s="119"/>
      <c r="D1398" s="119"/>
      <c r="E1398" s="136"/>
      <c r="L1398" s="85"/>
      <c r="O1398" s="22"/>
    </row>
    <row r="1399" spans="1:15" outlineLevel="1" x14ac:dyDescent="0.25">
      <c r="A1399" s="99"/>
      <c r="B1399" s="100"/>
      <c r="C1399" s="78"/>
      <c r="D1399" s="78"/>
      <c r="E1399" s="101"/>
      <c r="O1399" s="22"/>
    </row>
    <row r="1400" spans="1:15" outlineLevel="1" x14ac:dyDescent="0.25">
      <c r="A1400" s="99"/>
      <c r="B1400" s="100"/>
      <c r="C1400" s="78"/>
      <c r="D1400" s="78"/>
      <c r="E1400" s="101"/>
      <c r="O1400" s="22"/>
    </row>
    <row r="1401" spans="1:15" outlineLevel="1" x14ac:dyDescent="0.25">
      <c r="A1401" s="134"/>
      <c r="B1401" s="135"/>
      <c r="C1401" s="119"/>
      <c r="D1401" s="119"/>
      <c r="E1401" s="136"/>
      <c r="L1401" s="85"/>
      <c r="O1401" s="22"/>
    </row>
    <row r="1402" spans="1:15" outlineLevel="1" x14ac:dyDescent="0.25">
      <c r="A1402" s="134"/>
      <c r="B1402" s="135"/>
      <c r="C1402" s="119"/>
      <c r="D1402" s="119"/>
      <c r="E1402" s="136"/>
      <c r="L1402" s="85"/>
      <c r="O1402" s="22"/>
    </row>
    <row r="1403" spans="1:15" outlineLevel="1" x14ac:dyDescent="0.25">
      <c r="A1403" s="134"/>
      <c r="B1403" s="135"/>
      <c r="C1403" s="119"/>
      <c r="D1403" s="119"/>
      <c r="E1403" s="136"/>
      <c r="L1403" s="85"/>
      <c r="O1403" s="22"/>
    </row>
    <row r="1404" spans="1:15" outlineLevel="1" x14ac:dyDescent="0.25">
      <c r="A1404" s="99"/>
      <c r="B1404" s="100"/>
      <c r="C1404" s="78"/>
      <c r="D1404" s="78"/>
      <c r="E1404" s="101"/>
      <c r="O1404" s="22"/>
    </row>
    <row r="1405" spans="1:15" outlineLevel="1" x14ac:dyDescent="0.25">
      <c r="A1405" s="99"/>
      <c r="B1405" s="100"/>
      <c r="C1405" s="78"/>
      <c r="D1405" s="78"/>
      <c r="E1405" s="101"/>
      <c r="O1405" s="22"/>
    </row>
    <row r="1406" spans="1:15" ht="15.75" outlineLevel="1" thickBot="1" x14ac:dyDescent="0.3">
      <c r="A1406" s="102"/>
      <c r="B1406" s="94"/>
      <c r="C1406" s="81"/>
      <c r="D1406" s="81"/>
      <c r="E1406" s="103"/>
      <c r="O1406" s="22"/>
    </row>
    <row r="1407" spans="1:15" x14ac:dyDescent="0.25">
      <c r="E1407" s="44"/>
      <c r="F1407" s="44"/>
      <c r="G1407" s="44"/>
      <c r="H1407" s="44"/>
      <c r="J1407" s="22"/>
      <c r="K1407" s="22"/>
      <c r="L1407" s="22"/>
      <c r="M1407" s="22"/>
      <c r="N1407" s="22"/>
      <c r="O1407" s="22"/>
    </row>
    <row r="1408" spans="1:15" ht="15.75" thickBot="1" x14ac:dyDescent="0.3">
      <c r="A1408" s="474" t="s">
        <v>86</v>
      </c>
      <c r="B1408" s="474"/>
      <c r="C1408" s="474"/>
      <c r="D1408" s="474"/>
      <c r="E1408" s="474"/>
      <c r="J1408" s="22"/>
      <c r="K1408" s="22"/>
      <c r="L1408" s="22"/>
      <c r="M1408" s="22"/>
      <c r="N1408" s="22"/>
      <c r="O1408" s="22"/>
    </row>
    <row r="1409" spans="1:15" outlineLevel="1" x14ac:dyDescent="0.25">
      <c r="A1409" s="25" t="s">
        <v>3</v>
      </c>
      <c r="B1409" s="26" t="s">
        <v>23</v>
      </c>
      <c r="C1409" s="44" t="s">
        <v>25</v>
      </c>
      <c r="J1409" s="22"/>
      <c r="K1409" s="22"/>
      <c r="L1409" s="22"/>
      <c r="M1409" s="22"/>
      <c r="N1409" s="22"/>
      <c r="O1409" s="22"/>
    </row>
    <row r="1410" spans="1:15" ht="15.75" outlineLevel="1" thickBot="1" x14ac:dyDescent="0.3">
      <c r="A1410" s="241" t="s">
        <v>87</v>
      </c>
      <c r="B1410" s="242"/>
      <c r="C1410" s="41"/>
      <c r="J1410" s="22"/>
      <c r="K1410" s="22"/>
      <c r="L1410" s="22"/>
      <c r="M1410" s="22"/>
      <c r="N1410" s="22"/>
      <c r="O1410" s="22"/>
    </row>
    <row r="1411" spans="1:15" ht="30.75" outlineLevel="1" thickBot="1" x14ac:dyDescent="0.3">
      <c r="A1411" s="248" t="s">
        <v>1895</v>
      </c>
      <c r="B1411" s="243"/>
      <c r="C1411" s="237" t="str">
        <f>IF(B1410=0,"NA",B1411/B1410)</f>
        <v>NA</v>
      </c>
      <c r="J1411" s="22"/>
      <c r="K1411" s="22"/>
      <c r="L1411" s="22"/>
      <c r="M1411" s="22"/>
      <c r="N1411" s="22"/>
      <c r="O1411" s="22"/>
    </row>
    <row r="1412" spans="1:15" ht="17.25" outlineLevel="1" x14ac:dyDescent="0.25">
      <c r="A1412" s="244" t="s">
        <v>1982</v>
      </c>
      <c r="B1412" s="245"/>
      <c r="C1412" s="116"/>
      <c r="J1412" s="22"/>
      <c r="K1412" s="22"/>
      <c r="L1412" s="22"/>
      <c r="M1412" s="22"/>
      <c r="N1412" s="22"/>
      <c r="O1412" s="22"/>
    </row>
    <row r="1413" spans="1:15" x14ac:dyDescent="0.25">
      <c r="E1413" s="24"/>
      <c r="G1413" s="44"/>
      <c r="H1413" s="44"/>
      <c r="I1413" s="85"/>
      <c r="J1413" s="22"/>
      <c r="K1413" s="22"/>
      <c r="L1413" s="22"/>
      <c r="M1413" s="22"/>
      <c r="N1413" s="22"/>
      <c r="O1413" s="22"/>
    </row>
    <row r="1414" spans="1:15" x14ac:dyDescent="0.25">
      <c r="A1414" s="2" t="s">
        <v>88</v>
      </c>
      <c r="B1414" s="2"/>
      <c r="C1414" s="2"/>
      <c r="D1414" s="2"/>
      <c r="E1414" s="2"/>
      <c r="G1414" s="24"/>
      <c r="H1414" s="85"/>
      <c r="I1414" s="85"/>
      <c r="J1414" s="22"/>
      <c r="K1414" s="22"/>
      <c r="L1414" s="22"/>
      <c r="M1414" s="22"/>
      <c r="N1414" s="22"/>
      <c r="O1414" s="22"/>
    </row>
    <row r="1415" spans="1:15" outlineLevel="1" x14ac:dyDescent="0.25">
      <c r="A1415" s="27" t="s">
        <v>3</v>
      </c>
      <c r="B1415" s="27" t="s">
        <v>4</v>
      </c>
      <c r="C1415" s="27" t="s">
        <v>5</v>
      </c>
      <c r="D1415" s="27" t="s">
        <v>18</v>
      </c>
      <c r="J1415" s="22"/>
      <c r="K1415" s="22"/>
      <c r="L1415" s="22"/>
      <c r="M1415" s="22"/>
      <c r="N1415" s="22"/>
      <c r="O1415" s="22"/>
    </row>
    <row r="1416" spans="1:15" outlineLevel="1" x14ac:dyDescent="0.25">
      <c r="A1416" s="24" t="s">
        <v>2089</v>
      </c>
      <c r="B1416" s="238"/>
      <c r="C1416" s="28" t="s">
        <v>8</v>
      </c>
      <c r="D1416" s="24"/>
      <c r="J1416" s="22"/>
      <c r="K1416" s="22"/>
      <c r="L1416" s="22"/>
      <c r="M1416" s="22"/>
      <c r="N1416" s="22"/>
      <c r="O1416" s="22"/>
    </row>
    <row r="1417" spans="1:15" outlineLevel="1" x14ac:dyDescent="0.25">
      <c r="A1417" s="24" t="s">
        <v>2090</v>
      </c>
      <c r="B1417" s="238"/>
      <c r="C1417" s="28"/>
      <c r="D1417" s="24"/>
      <c r="J1417" s="22"/>
      <c r="K1417" s="22"/>
      <c r="L1417" s="22"/>
      <c r="M1417" s="22"/>
      <c r="N1417" s="22"/>
      <c r="O1417" s="22"/>
    </row>
    <row r="1418" spans="1:15" outlineLevel="1" x14ac:dyDescent="0.25">
      <c r="A1418" s="24" t="s">
        <v>2091</v>
      </c>
      <c r="B1418" s="238"/>
      <c r="C1418" s="28"/>
      <c r="D1418" s="24"/>
      <c r="J1418" s="22"/>
      <c r="K1418" s="22"/>
      <c r="L1418" s="22"/>
      <c r="M1418" s="22"/>
      <c r="N1418" s="22"/>
      <c r="O1418" s="22"/>
    </row>
    <row r="1419" spans="1:15" outlineLevel="1" x14ac:dyDescent="0.25">
      <c r="A1419" s="24" t="s">
        <v>2092</v>
      </c>
      <c r="B1419" s="238"/>
      <c r="C1419" s="28"/>
      <c r="D1419" s="24"/>
      <c r="J1419" s="22"/>
      <c r="K1419" s="22"/>
      <c r="L1419" s="22"/>
      <c r="M1419" s="22"/>
      <c r="N1419" s="22"/>
      <c r="O1419" s="22"/>
    </row>
    <row r="1420" spans="1:15" outlineLevel="1" x14ac:dyDescent="0.25">
      <c r="A1420" s="24" t="s">
        <v>2093</v>
      </c>
      <c r="B1420" s="238"/>
      <c r="C1420" s="28"/>
      <c r="D1420" s="24"/>
      <c r="J1420" s="22"/>
      <c r="K1420" s="22"/>
      <c r="L1420" s="22"/>
      <c r="M1420" s="22"/>
      <c r="N1420" s="22"/>
      <c r="O1420" s="22"/>
    </row>
    <row r="1421" spans="1:15" outlineLevel="1" x14ac:dyDescent="0.25">
      <c r="A1421" s="24" t="s">
        <v>2094</v>
      </c>
      <c r="B1421" s="238"/>
      <c r="C1421" s="28"/>
      <c r="D1421" s="24"/>
      <c r="J1421" s="22"/>
      <c r="K1421" s="22"/>
      <c r="L1421" s="22"/>
      <c r="M1421" s="22"/>
      <c r="N1421" s="22"/>
      <c r="O1421" s="22"/>
    </row>
    <row r="1422" spans="1:15" outlineLevel="1" x14ac:dyDescent="0.25">
      <c r="A1422" s="24" t="s">
        <v>2095</v>
      </c>
      <c r="B1422" s="238"/>
      <c r="C1422" s="28"/>
      <c r="D1422" s="24"/>
      <c r="J1422" s="22"/>
      <c r="K1422" s="22"/>
      <c r="L1422" s="22"/>
      <c r="M1422" s="22"/>
      <c r="N1422" s="22"/>
      <c r="O1422" s="22"/>
    </row>
    <row r="1423" spans="1:15" outlineLevel="1" x14ac:dyDescent="0.25">
      <c r="A1423" s="24" t="s">
        <v>2096</v>
      </c>
      <c r="B1423" s="238"/>
      <c r="C1423" s="28"/>
      <c r="D1423" s="24"/>
      <c r="J1423" s="22"/>
      <c r="K1423" s="22"/>
      <c r="L1423" s="22"/>
      <c r="M1423" s="22"/>
      <c r="N1423" s="22"/>
      <c r="O1423" s="22"/>
    </row>
    <row r="1424" spans="1:15" outlineLevel="1" x14ac:dyDescent="0.25">
      <c r="A1424" s="24" t="s">
        <v>2097</v>
      </c>
      <c r="B1424" s="238"/>
      <c r="C1424" s="28"/>
      <c r="D1424" s="24"/>
      <c r="J1424" s="22"/>
      <c r="K1424" s="22"/>
      <c r="L1424" s="22"/>
      <c r="M1424" s="22"/>
      <c r="N1424" s="22"/>
      <c r="O1424" s="22"/>
    </row>
    <row r="1425" spans="1:15" outlineLevel="1" x14ac:dyDescent="0.25">
      <c r="A1425" s="24" t="s">
        <v>2098</v>
      </c>
      <c r="B1425" s="238"/>
      <c r="C1425" s="28"/>
      <c r="D1425" s="24"/>
      <c r="J1425" s="22"/>
      <c r="K1425" s="22"/>
      <c r="L1425" s="22"/>
      <c r="M1425" s="22"/>
      <c r="N1425" s="22"/>
      <c r="O1425" s="22"/>
    </row>
    <row r="1426" spans="1:15" outlineLevel="1" x14ac:dyDescent="0.25">
      <c r="A1426" s="24" t="s">
        <v>2099</v>
      </c>
      <c r="B1426" s="238"/>
      <c r="C1426" s="28"/>
      <c r="D1426" s="24"/>
      <c r="J1426" s="22"/>
      <c r="K1426" s="22"/>
      <c r="L1426" s="22"/>
      <c r="M1426" s="22"/>
      <c r="N1426" s="22"/>
      <c r="O1426" s="22"/>
    </row>
    <row r="1427" spans="1:15" outlineLevel="1" x14ac:dyDescent="0.25">
      <c r="A1427" s="24" t="s">
        <v>2100</v>
      </c>
      <c r="B1427" s="238"/>
      <c r="C1427" s="28"/>
      <c r="D1427" s="24"/>
      <c r="J1427" s="22"/>
      <c r="K1427" s="22"/>
      <c r="L1427" s="22"/>
      <c r="M1427" s="22"/>
      <c r="N1427" s="22"/>
      <c r="O1427" s="22"/>
    </row>
    <row r="1428" spans="1:15" outlineLevel="1" x14ac:dyDescent="0.25">
      <c r="A1428" s="24" t="s">
        <v>2101</v>
      </c>
      <c r="B1428" s="238"/>
      <c r="C1428" s="28"/>
      <c r="D1428" s="24"/>
      <c r="J1428" s="22"/>
      <c r="K1428" s="22"/>
      <c r="L1428" s="22"/>
      <c r="M1428" s="22"/>
      <c r="N1428" s="22"/>
      <c r="O1428" s="22"/>
    </row>
    <row r="1429" spans="1:15" outlineLevel="1" x14ac:dyDescent="0.25">
      <c r="A1429" s="24" t="s">
        <v>2102</v>
      </c>
      <c r="B1429" s="238"/>
      <c r="C1429" s="28"/>
      <c r="D1429" s="24"/>
      <c r="J1429" s="22"/>
      <c r="K1429" s="22"/>
      <c r="L1429" s="22"/>
      <c r="M1429" s="22"/>
      <c r="N1429" s="22"/>
      <c r="O1429" s="22"/>
    </row>
    <row r="1430" spans="1:15" outlineLevel="1" x14ac:dyDescent="0.25">
      <c r="A1430" s="24" t="s">
        <v>2103</v>
      </c>
      <c r="B1430" s="238"/>
      <c r="C1430" s="28"/>
      <c r="D1430" s="24"/>
      <c r="J1430" s="22"/>
      <c r="K1430" s="22"/>
      <c r="L1430" s="22"/>
      <c r="M1430" s="22"/>
      <c r="N1430" s="22"/>
      <c r="O1430" s="22"/>
    </row>
    <row r="1431" spans="1:15" outlineLevel="1" x14ac:dyDescent="0.25">
      <c r="A1431" s="24" t="s">
        <v>2104</v>
      </c>
      <c r="B1431" s="238"/>
      <c r="C1431" s="28"/>
      <c r="D1431" s="24"/>
      <c r="J1431" s="22"/>
      <c r="K1431" s="22"/>
      <c r="L1431" s="22"/>
      <c r="M1431" s="22"/>
      <c r="N1431" s="22"/>
      <c r="O1431" s="22"/>
    </row>
    <row r="1432" spans="1:15" outlineLevel="1" x14ac:dyDescent="0.25">
      <c r="A1432" s="24" t="s">
        <v>2105</v>
      </c>
      <c r="B1432" s="238"/>
      <c r="C1432" s="28"/>
      <c r="D1432" s="24"/>
      <c r="J1432" s="22"/>
      <c r="K1432" s="22"/>
      <c r="L1432" s="22"/>
      <c r="M1432" s="22"/>
      <c r="N1432" s="22"/>
      <c r="O1432" s="22"/>
    </row>
    <row r="1433" spans="1:15" outlineLevel="1" x14ac:dyDescent="0.25">
      <c r="A1433" s="24" t="s">
        <v>2106</v>
      </c>
      <c r="B1433" s="238"/>
      <c r="C1433" s="28"/>
      <c r="D1433" s="24"/>
      <c r="J1433" s="22"/>
      <c r="K1433" s="22"/>
      <c r="L1433" s="22"/>
      <c r="M1433" s="22"/>
      <c r="N1433" s="22"/>
      <c r="O1433" s="22"/>
    </row>
    <row r="1434" spans="1:15" outlineLevel="1" x14ac:dyDescent="0.25">
      <c r="A1434" s="24" t="s">
        <v>2107</v>
      </c>
      <c r="B1434" s="238"/>
      <c r="C1434" s="28"/>
      <c r="D1434" s="24"/>
      <c r="J1434" s="22"/>
      <c r="K1434" s="22"/>
      <c r="L1434" s="22"/>
      <c r="M1434" s="22"/>
      <c r="N1434" s="22"/>
      <c r="O1434" s="22"/>
    </row>
    <row r="1435" spans="1:15" outlineLevel="1" x14ac:dyDescent="0.25">
      <c r="A1435" s="24" t="s">
        <v>2108</v>
      </c>
      <c r="B1435" s="238"/>
      <c r="C1435" s="28"/>
      <c r="D1435" s="24"/>
      <c r="J1435" s="22"/>
      <c r="K1435" s="22"/>
      <c r="L1435" s="22"/>
      <c r="M1435" s="22"/>
      <c r="N1435" s="22"/>
      <c r="O1435" s="22"/>
    </row>
    <row r="1436" spans="1:15" outlineLevel="1" x14ac:dyDescent="0.25">
      <c r="A1436" s="24" t="s">
        <v>2109</v>
      </c>
      <c r="B1436" s="238"/>
      <c r="C1436" s="28"/>
      <c r="D1436" s="24"/>
      <c r="J1436" s="22"/>
      <c r="K1436" s="22"/>
      <c r="L1436" s="22"/>
      <c r="M1436" s="22"/>
      <c r="N1436" s="22"/>
      <c r="O1436" s="22"/>
    </row>
    <row r="1437" spans="1:15" outlineLevel="1" x14ac:dyDescent="0.25">
      <c r="A1437" s="24" t="s">
        <v>2110</v>
      </c>
      <c r="B1437" s="238"/>
      <c r="C1437" s="28"/>
      <c r="D1437" s="24"/>
      <c r="J1437" s="22"/>
      <c r="K1437" s="22"/>
      <c r="L1437" s="22"/>
      <c r="M1437" s="22"/>
      <c r="N1437" s="22"/>
      <c r="O1437" s="22"/>
    </row>
    <row r="1438" spans="1:15" outlineLevel="1" x14ac:dyDescent="0.25">
      <c r="A1438" s="24" t="s">
        <v>2111</v>
      </c>
      <c r="B1438" s="238"/>
      <c r="C1438" s="28"/>
      <c r="D1438" s="24"/>
      <c r="J1438" s="22"/>
      <c r="K1438" s="22"/>
      <c r="L1438" s="22"/>
      <c r="M1438" s="22"/>
      <c r="N1438" s="22"/>
      <c r="O1438" s="22"/>
    </row>
    <row r="1439" spans="1:15" outlineLevel="1" x14ac:dyDescent="0.25">
      <c r="A1439" s="24" t="s">
        <v>2112</v>
      </c>
      <c r="B1439" s="238"/>
      <c r="C1439" s="28"/>
      <c r="D1439" s="24"/>
      <c r="J1439" s="22"/>
      <c r="K1439" s="22"/>
      <c r="L1439" s="22"/>
      <c r="M1439" s="22"/>
      <c r="N1439" s="22"/>
      <c r="O1439" s="22"/>
    </row>
    <row r="1440" spans="1:15" outlineLevel="1" x14ac:dyDescent="0.25">
      <c r="A1440" s="24" t="s">
        <v>2113</v>
      </c>
      <c r="B1440" s="238"/>
      <c r="C1440" s="28"/>
      <c r="D1440" s="24"/>
      <c r="J1440" s="22"/>
      <c r="K1440" s="22"/>
      <c r="L1440" s="22"/>
      <c r="M1440" s="22"/>
      <c r="N1440" s="22"/>
      <c r="O1440" s="22"/>
    </row>
    <row r="1441" spans="1:15" outlineLevel="1" x14ac:dyDescent="0.25">
      <c r="A1441" s="24" t="s">
        <v>2114</v>
      </c>
      <c r="B1441" s="238"/>
      <c r="C1441" s="32" t="s">
        <v>20</v>
      </c>
      <c r="D1441" s="32" t="s">
        <v>21</v>
      </c>
      <c r="J1441" s="22"/>
      <c r="K1441" s="22"/>
      <c r="L1441" s="22"/>
      <c r="M1441" s="22"/>
      <c r="N1441" s="22"/>
      <c r="O1441" s="22"/>
    </row>
    <row r="1442" spans="1:15" outlineLevel="1" x14ac:dyDescent="0.25">
      <c r="A1442" s="24" t="s">
        <v>2115</v>
      </c>
      <c r="B1442" s="238"/>
      <c r="J1442" s="22"/>
      <c r="K1442" s="22"/>
      <c r="L1442" s="22"/>
      <c r="M1442" s="22"/>
      <c r="N1442" s="22"/>
      <c r="O1442" s="22"/>
    </row>
    <row r="1443" spans="1:15" outlineLevel="1" x14ac:dyDescent="0.25">
      <c r="A1443" s="24" t="s">
        <v>2116</v>
      </c>
      <c r="B1443" s="238"/>
      <c r="J1443" s="22"/>
      <c r="K1443" s="22"/>
      <c r="L1443" s="22"/>
      <c r="M1443" s="22"/>
      <c r="N1443" s="22"/>
      <c r="O1443" s="22"/>
    </row>
    <row r="1444" spans="1:15" outlineLevel="1" x14ac:dyDescent="0.25">
      <c r="A1444" s="24" t="s">
        <v>2117</v>
      </c>
      <c r="B1444" s="238"/>
      <c r="J1444" s="22"/>
      <c r="K1444" s="22"/>
      <c r="L1444" s="22"/>
      <c r="M1444" s="22"/>
      <c r="N1444" s="22"/>
      <c r="O1444" s="22"/>
    </row>
    <row r="1445" spans="1:15" outlineLevel="1" x14ac:dyDescent="0.25">
      <c r="A1445" s="24" t="s">
        <v>2118</v>
      </c>
      <c r="B1445" s="238"/>
      <c r="J1445" s="22"/>
      <c r="K1445" s="22"/>
      <c r="L1445" s="22"/>
      <c r="M1445" s="22"/>
      <c r="N1445" s="22"/>
      <c r="O1445" s="22"/>
    </row>
    <row r="1446" spans="1:15" outlineLevel="1" x14ac:dyDescent="0.25">
      <c r="A1446" s="24" t="s">
        <v>2119</v>
      </c>
      <c r="B1446" s="238"/>
      <c r="J1446" s="22"/>
      <c r="K1446" s="22"/>
      <c r="L1446" s="22"/>
      <c r="M1446" s="22"/>
      <c r="N1446" s="22"/>
      <c r="O1446" s="22"/>
    </row>
    <row r="1447" spans="1:15" outlineLevel="1" x14ac:dyDescent="0.25">
      <c r="A1447" s="24" t="s">
        <v>2120</v>
      </c>
      <c r="B1447" s="238"/>
      <c r="J1447" s="22"/>
      <c r="K1447" s="22"/>
      <c r="L1447" s="22"/>
      <c r="M1447" s="22"/>
      <c r="N1447" s="22"/>
      <c r="O1447" s="22"/>
    </row>
    <row r="1448" spans="1:15" outlineLevel="1" x14ac:dyDescent="0.25">
      <c r="A1448" s="24" t="s">
        <v>2121</v>
      </c>
      <c r="B1448" s="238"/>
      <c r="J1448" s="22"/>
      <c r="K1448" s="22"/>
      <c r="L1448" s="22"/>
      <c r="M1448" s="22"/>
      <c r="N1448" s="22"/>
      <c r="O1448" s="22"/>
    </row>
    <row r="1449" spans="1:15" outlineLevel="1" x14ac:dyDescent="0.25">
      <c r="A1449" s="24" t="s">
        <v>2122</v>
      </c>
      <c r="B1449" s="238"/>
      <c r="J1449" s="22"/>
      <c r="K1449" s="22"/>
      <c r="L1449" s="22"/>
      <c r="M1449" s="22"/>
      <c r="N1449" s="22"/>
      <c r="O1449" s="22"/>
    </row>
    <row r="1450" spans="1:15" outlineLevel="1" x14ac:dyDescent="0.25">
      <c r="A1450" s="24" t="s">
        <v>2123</v>
      </c>
      <c r="B1450" s="238"/>
      <c r="J1450" s="22"/>
      <c r="K1450" s="22"/>
      <c r="L1450" s="22"/>
      <c r="M1450" s="22"/>
      <c r="N1450" s="22"/>
      <c r="O1450" s="22"/>
    </row>
    <row r="1451" spans="1:15" outlineLevel="1" x14ac:dyDescent="0.25">
      <c r="A1451" s="24" t="s">
        <v>2124</v>
      </c>
      <c r="B1451" s="238"/>
      <c r="J1451" s="22"/>
      <c r="K1451" s="22"/>
      <c r="L1451" s="22"/>
      <c r="M1451" s="22"/>
      <c r="N1451" s="22"/>
      <c r="O1451" s="22"/>
    </row>
    <row r="1452" spans="1:15" outlineLevel="1" x14ac:dyDescent="0.25">
      <c r="A1452" s="24" t="s">
        <v>2125</v>
      </c>
      <c r="B1452" s="238"/>
      <c r="J1452" s="22"/>
      <c r="K1452" s="22"/>
      <c r="L1452" s="22"/>
      <c r="M1452" s="22"/>
      <c r="N1452" s="22"/>
      <c r="O1452" s="22"/>
    </row>
    <row r="1453" spans="1:15" outlineLevel="1" x14ac:dyDescent="0.25">
      <c r="A1453" s="24" t="s">
        <v>2126</v>
      </c>
      <c r="B1453" s="238"/>
      <c r="J1453" s="22"/>
      <c r="K1453" s="22"/>
      <c r="L1453" s="22"/>
      <c r="M1453" s="22"/>
      <c r="N1453" s="22"/>
      <c r="O1453" s="22"/>
    </row>
    <row r="1454" spans="1:15" outlineLevel="1" x14ac:dyDescent="0.25">
      <c r="A1454" s="24" t="s">
        <v>2127</v>
      </c>
      <c r="B1454" s="238"/>
      <c r="J1454" s="22"/>
      <c r="K1454" s="22"/>
      <c r="L1454" s="22"/>
      <c r="M1454" s="22"/>
      <c r="N1454" s="22"/>
      <c r="O1454" s="22"/>
    </row>
    <row r="1455" spans="1:15" outlineLevel="1" x14ac:dyDescent="0.25">
      <c r="A1455" s="24" t="s">
        <v>2128</v>
      </c>
      <c r="B1455" s="238"/>
      <c r="J1455" s="22"/>
      <c r="K1455" s="22"/>
      <c r="L1455" s="22"/>
      <c r="M1455" s="22"/>
      <c r="N1455" s="22"/>
      <c r="O1455" s="22"/>
    </row>
    <row r="1456" spans="1:15" outlineLevel="1" x14ac:dyDescent="0.25">
      <c r="A1456" s="24" t="s">
        <v>2129</v>
      </c>
      <c r="B1456" s="238"/>
      <c r="J1456" s="22"/>
      <c r="K1456" s="22"/>
      <c r="L1456" s="22"/>
      <c r="M1456" s="22"/>
      <c r="N1456" s="22"/>
      <c r="O1456" s="22"/>
    </row>
    <row r="1457" spans="1:15" outlineLevel="1" x14ac:dyDescent="0.25">
      <c r="A1457" s="24" t="s">
        <v>2130</v>
      </c>
      <c r="B1457" s="238"/>
      <c r="J1457" s="22"/>
      <c r="K1457" s="22"/>
      <c r="L1457" s="22"/>
      <c r="M1457" s="22"/>
      <c r="N1457" s="22"/>
      <c r="O1457" s="22"/>
    </row>
    <row r="1458" spans="1:15" outlineLevel="1" x14ac:dyDescent="0.25">
      <c r="A1458" s="24" t="s">
        <v>2131</v>
      </c>
      <c r="B1458" s="238"/>
      <c r="J1458" s="22"/>
      <c r="K1458" s="22"/>
      <c r="L1458" s="22"/>
      <c r="M1458" s="22"/>
      <c r="N1458" s="22"/>
      <c r="O1458" s="22"/>
    </row>
    <row r="1459" spans="1:15" outlineLevel="1" x14ac:dyDescent="0.25">
      <c r="A1459" s="24" t="s">
        <v>2132</v>
      </c>
      <c r="B1459" s="238"/>
      <c r="J1459" s="22"/>
      <c r="K1459" s="22"/>
      <c r="L1459" s="22"/>
      <c r="M1459" s="22"/>
      <c r="N1459" s="22"/>
      <c r="O1459" s="22"/>
    </row>
    <row r="1460" spans="1:15" outlineLevel="1" x14ac:dyDescent="0.25">
      <c r="A1460" s="24" t="s">
        <v>2133</v>
      </c>
      <c r="B1460" s="238"/>
      <c r="J1460" s="22"/>
      <c r="K1460" s="22"/>
      <c r="L1460" s="22"/>
      <c r="M1460" s="22"/>
      <c r="N1460" s="22"/>
      <c r="O1460" s="22"/>
    </row>
    <row r="1461" spans="1:15" outlineLevel="1" x14ac:dyDescent="0.25">
      <c r="A1461" s="24" t="s">
        <v>2134</v>
      </c>
      <c r="B1461" s="238"/>
      <c r="J1461" s="22"/>
      <c r="K1461" s="22"/>
      <c r="L1461" s="22"/>
      <c r="M1461" s="22"/>
      <c r="N1461" s="22"/>
      <c r="O1461" s="22"/>
    </row>
    <row r="1462" spans="1:15" outlineLevel="1" x14ac:dyDescent="0.25">
      <c r="A1462" s="24" t="s">
        <v>2135</v>
      </c>
      <c r="B1462" s="238"/>
      <c r="J1462" s="22"/>
      <c r="K1462" s="22"/>
      <c r="L1462" s="22"/>
      <c r="M1462" s="22"/>
      <c r="N1462" s="22"/>
      <c r="O1462" s="22"/>
    </row>
    <row r="1463" spans="1:15" outlineLevel="1" x14ac:dyDescent="0.25">
      <c r="A1463" s="24" t="s">
        <v>2136</v>
      </c>
      <c r="B1463" s="238"/>
      <c r="J1463" s="22"/>
      <c r="K1463" s="22"/>
      <c r="L1463" s="22"/>
      <c r="M1463" s="22"/>
      <c r="N1463" s="22"/>
      <c r="O1463" s="22"/>
    </row>
    <row r="1464" spans="1:15" outlineLevel="1" x14ac:dyDescent="0.25">
      <c r="A1464" s="24" t="s">
        <v>2137</v>
      </c>
      <c r="B1464" s="238"/>
      <c r="J1464" s="22"/>
      <c r="K1464" s="22"/>
      <c r="L1464" s="22"/>
      <c r="M1464" s="22"/>
      <c r="N1464" s="22"/>
      <c r="O1464" s="22"/>
    </row>
    <row r="1465" spans="1:15" outlineLevel="1" x14ac:dyDescent="0.25">
      <c r="A1465" s="24" t="s">
        <v>2138</v>
      </c>
      <c r="B1465" s="238"/>
      <c r="J1465" s="22"/>
      <c r="K1465" s="22"/>
      <c r="L1465" s="22"/>
      <c r="M1465" s="22"/>
      <c r="N1465" s="22"/>
      <c r="O1465" s="22"/>
    </row>
  </sheetData>
  <protectedRanges>
    <protectedRange algorithmName="SHA-512" hashValue="pu1ZB+A+lzIdsslLqpQWqzeAZYArJP8lsJ5kzLbAe0cMk9Q0np17aAQmKak0zdomLKCV2rFkEeAB290/ZNBBdw==" saltValue="sSWaXo6A9dtmoaRjEaDa9w==" spinCount="100000" sqref="B1416:B1465" name="Range16"/>
    <protectedRange algorithmName="SHA-512" hashValue="jWGrWbZ3QEveM4hKFvYz2zdVEYJfGT9YFEQibGAeUNI/GKWquzuWCLy9285LVEzMUNm3ShvWtrzFXmFaea6BdQ==" saltValue="h/rwOXXga8s3sa8tss8S0g==" spinCount="100000" sqref="A794:E794 B590:K590 B591:F591 A389:K589 A1002:N1202" name="Range14"/>
    <protectedRange algorithmName="SHA-512" hashValue="EVKGDfV/QHjaRxgyxgT0OlUucCTafy+QPMjN89MJU7GOVFl8KhJ5ku4b5r8JkafsuJlrXoshLuvpwAApe+C3Tw==" saltValue="LVawyW5PMcGaquXAKd5JSQ==" spinCount="100000" sqref="B119 F119 J119 N119 XEG119 XEK119 XEO119 Q119 U119 Y119 AC119 AG119 AK119 AO119 AS119 AW119 BA119 BE119 BI119 BM119 BQ119 BU119 BY119 CC119 CG119 CK119 CO119 CS119 CW119 DA119 DE119 DI119 DM119 DQ119 DU119 DY119 EC119 EG119 EK119 EO119 ES119 EW119 FA119 FE119 FI119 FM119 FQ119 FU119 FY119 GC119 GG119 GK119 GO119 GS119 GW119 HA119 HE119 HI119 HM119 HQ119 HU119 HY119 IC119 IG119 IK119 IO119 IS119 IW119 JA119 JE119 JI119 JM119 JQ119 JU119 JY119 KC119 KG119 KK119 KO119 KS119 KW119 LA119 LE119 LI119 LM119 LQ119 LU119 LY119 MC119 MG119 MK119 MO119 MS119 MW119 NA119 NE119 NI119 NM119 NQ119 NU119 NY119 OC119 OG119 OK119 OO119 OS119 OW119 PA119 PE119 PI119 PM119 PQ119 PU119 PY119 QC119 QG119 QK119 QO119 QS119 QW119 RA119 RE119 RI119 RM119 RQ119 RU119 RY119 SC119 SG119 SK119 SO119 SS119 SW119 TA119 TE119 TI119 TM119 TQ119 TU119 TY119 UC119 UG119 UK119 UO119 US119 UW119 VA119 VE119 VI119 VM119 VQ119 VU119 VY119 WC119 WG119 WK119 WO119 WS119 WW119 XA119 XE119 XI119 XM119 XQ119 XU119 XY119 YC119 YG119 YK119 YO119 YS119 YW119 ZA119 ZE119 ZI119 ZM119 ZQ119 ZU119 ZY119 AAC119 AAG119 AAK119 AAO119 AAS119 AAW119 ABA119 ABE119 ABI119 ABM119 ABQ119 ABU119 ABY119 ACC119 ACG119 ACK119 ACO119 ACS119 ACW119 ADA119 ADE119 ADI119 ADM119 ADQ119 ADU119 ADY119 AEC119 AEG119 AEK119 AEO119 AES119 AEW119 AFA119 AFE119 AFI119 AFM119 AFQ119 AFU119 AFY119 AGC119 AGG119 AGK119 AGO119 AGS119 AGW119 AHA119 AHE119 AHI119 AHM119 AHQ119 AHU119 AHY119 AIC119 AIG119 AIK119 AIO119 AIS119 AIW119 AJA119 AJE119 AJI119 AJM119 AJQ119 AJU119 AJY119 AKC119 AKG119 AKK119 AKO119 AKS119 AKW119 ALA119 ALE119 ALI119 ALM119 ALQ119 ALU119 ALY119 AMC119 AMG119 AMK119 AMO119 AMS119 AMW119 ANA119 ANE119 ANI119 ANM119 ANQ119 ANU119 ANY119 AOC119 AOG119 AOK119 AOO119 AOS119 AOW119 APA119 APE119 API119 APM119 APQ119 APU119 APY119 AQC119 AQG119 AQK119 AQO119 AQS119 AQW119 ARA119 ARE119 ARI119 ARM119 ARQ119 ARU119 ARY119 ASC119 ASG119 ASK119 ASO119 ASS119 ASW119 ATA119 ATE119 ATI119 ATM119 ATQ119 ATU119 ATY119 AUC119 AUG119 AUK119 AUO119 AUS119 AUW119 AVA119 AVE119 AVI119 AVM119 AVQ119 AVU119 AVY119 AWC119 AWG119 AWK119 AWO119 AWS119 AWW119 AXA119 AXE119 AXI119 AXM119 AXQ119 AXU119 AXY119 AYC119 AYG119 AYK119 AYO119 AYS119 AYW119 AZA119 AZE119 AZI119 AZM119 AZQ119 AZU119 AZY119 BAC119 BAG119 BAK119 BAO119 BAS119 BAW119 BBA119 BBE119 BBI119 BBM119 BBQ119 BBU119 BBY119 BCC119 BCG119 BCK119 BCO119 BCS119 BCW119 BDA119 BDE119 BDI119 BDM119 BDQ119 BDU119 BDY119 BEC119 BEG119 BEK119 BEO119 BES119 BEW119 BFA119 BFE119 BFI119 BFM119 BFQ119 BFU119 BFY119 BGC119 BGG119 BGK119 BGO119 BGS119 BGW119 BHA119 BHE119 BHI119 BHM119 BHQ119 BHU119 BHY119 BIC119 BIG119 BIK119 BIO119 BIS119 BIW119 BJA119 BJE119 BJI119 BJM119 BJQ119 BJU119 BJY119 BKC119 BKG119 BKK119 BKO119 BKS119 BKW119 BLA119 BLE119 BLI119 BLM119 BLQ119 BLU119 BLY119 BMC119 BMG119 BMK119 BMO119 BMS119 BMW119 BNA119 BNE119 BNI119 BNM119 BNQ119 BNU119 BNY119 BOC119 BOG119 BOK119 BOO119 BOS119 BOW119 BPA119 BPE119 BPI119 BPM119 BPQ119 BPU119 BPY119 BQC119 BQG119 BQK119 BQO119 BQS119 BQW119 BRA119 BRE119 BRI119 BRM119 BRQ119 BRU119 BRY119 BSC119 BSG119 BSK119 BSO119 BSS119 BSW119 BTA119 BTE119 BTI119 BTM119 BTQ119 BTU119 BTY119 BUC119 BUG119 BUK119 BUO119 BUS119 BUW119 BVA119 BVE119 BVI119 BVM119 BVQ119 BVU119 BVY119 BWC119 BWG119 BWK119 BWO119 BWS119 BWW119 BXA119 BXE119 BXI119 BXM119 BXQ119 BXU119 BXY119 BYC119 BYG119 BYK119 BYO119 BYS119 BYW119 BZA119 BZE119 BZI119 BZM119 BZQ119 BZU119 BZY119 CAC119 CAG119 CAK119 CAO119 CAS119 CAW119 CBA119 CBE119 CBI119 CBM119 CBQ119 CBU119 CBY119 CCC119 CCG119 CCK119 CCO119 CCS119 CCW119 CDA119 CDE119 CDI119 CDM119 CDQ119 CDU119 CDY119 CEC119 CEG119 CEK119 CEO119 CES119 CEW119 CFA119 CFE119 CFI119 CFM119 CFQ119 CFU119 CFY119 CGC119 CGG119 CGK119 CGO119 CGS119 CGW119 CHA119 CHE119 CHI119 CHM119 CHQ119 CHU119 CHY119 CIC119 CIG119 CIK119 CIO119 CIS119 CIW119 CJA119 CJE119 CJI119 CJM119 CJQ119 CJU119 CJY119 CKC119 CKG119 CKK119 CKO119 CKS119 CKW119 CLA119 CLE119 CLI119 CLM119 CLQ119 CLU119 CLY119 CMC119 CMG119 CMK119 CMO119 CMS119 CMW119 CNA119 CNE119 CNI119 CNM119 CNQ119 CNU119 CNY119 COC119 COG119 COK119 COO119 COS119 COW119 CPA119 CPE119 CPI119 CPM119 CPQ119 CPU119 CPY119 CQC119 CQG119 CQK119 CQO119 CQS119 CQW119 CRA119 CRE119 CRI119 CRM119 CRQ119 CRU119 CRY119 CSC119 CSG119 CSK119 CSO119 CSS119 CSW119 CTA119 CTE119 CTI119 CTM119 CTQ119 CTU119 CTY119 CUC119 CUG119 CUK119 CUO119 CUS119 CUW119 CVA119 CVE119 CVI119 CVM119 CVQ119 CVU119 CVY119 CWC119 CWG119 CWK119 CWO119 CWS119 CWW119 CXA119 CXE119 CXI119 CXM119 CXQ119 CXU119 CXY119 CYC119 CYG119 CYK119 CYO119 CYS119 CYW119 CZA119 CZE119 CZI119 CZM119 CZQ119 CZU119 CZY119 DAC119 DAG119 DAK119 DAO119 DAS119 DAW119 DBA119 DBE119 DBI119 DBM119 DBQ119 DBU119 DBY119 DCC119 DCG119 DCK119 DCO119 DCS119 DCW119 DDA119 DDE119 DDI119 DDM119 DDQ119 DDU119 DDY119 DEC119 DEG119 DEK119 DEO119 DES119 DEW119 DFA119 DFE119 DFI119 DFM119 DFQ119 DFU119 DFY119 DGC119 DGG119 DGK119 DGO119 DGS119 DGW119 DHA119 DHE119 DHI119 DHM119 DHQ119 DHU119 DHY119 DIC119 DIG119 DIK119 DIO119 DIS119 DIW119 DJA119 DJE119 DJI119 DJM119 DJQ119 DJU119 DJY119 DKC119 DKG119 DKK119 DKO119 DKS119 DKW119 DLA119 DLE119 DLI119 DLM119 DLQ119 DLU119 DLY119 DMC119 DMG119 DMK119 DMO119 DMS119 DMW119 DNA119 DNE119 DNI119 DNM119 DNQ119 DNU119 DNY119 DOC119 DOG119 DOK119 DOO119 DOS119 DOW119 DPA119 DPE119 DPI119 DPM119 DPQ119 DPU119 DPY119 DQC119 DQG119 DQK119 DQO119 DQS119 DQW119 DRA119 DRE119 DRI119 DRM119 DRQ119 DRU119 DRY119 DSC119 DSG119 DSK119 DSO119 DSS119 DSW119 DTA119 DTE119 DTI119 DTM119 DTQ119 DTU119 DTY119 DUC119 DUG119 DUK119 DUO119 DUS119 DUW119 DVA119 DVE119 DVI119 DVM119 DVQ119 DVU119 DVY119 DWC119 DWG119 DWK119 DWO119 DWS119 DWW119 DXA119 DXE119 DXI119 DXM119 DXQ119 DXU119 DXY119 DYC119 DYG119 DYK119 DYO119 DYS119 DYW119 DZA119 DZE119 DZI119 DZM119 DZQ119 DZU119 DZY119 EAC119 EAG119 EAK119 EAO119 EAS119 EAW119 EBA119 EBE119 EBI119 EBM119 EBQ119 EBU119 EBY119 ECC119 ECG119 ECK119 ECO119 ECS119 ECW119 EDA119 EDE119 EDI119 EDM119 EDQ119 EDU119 EDY119 EEC119 EEG119 EEK119 EEO119 EES119 EEW119 EFA119 EFE119 EFI119 EFM119 EFQ119 EFU119 EFY119 EGC119 EGG119 EGK119 EGO119 EGS119 EGW119 EHA119 EHE119 EHI119 EHM119 EHQ119 EHU119 EHY119 EIC119 EIG119 EIK119 EIO119 EIS119 EIW119 EJA119 EJE119 EJI119 EJM119 EJQ119 EJU119 EJY119 EKC119 EKG119 EKK119 EKO119 EKS119 EKW119 ELA119 ELE119 ELI119 ELM119 ELQ119 ELU119 ELY119 EMC119 EMG119 EMK119 EMO119 EMS119 EMW119 ENA119 ENE119 ENI119 ENM119 ENQ119 ENU119 ENY119 EOC119 EOG119 EOK119 EOO119 EOS119 EOW119 EPA119 EPE119 EPI119 EPM119 EPQ119 EPU119 EPY119 EQC119 EQG119 EQK119 EQO119 EQS119 EQW119 ERA119 ERE119 ERI119 ERM119 ERQ119 ERU119 ERY119 ESC119 ESG119 ESK119 ESO119 ESS119 ESW119 ETA119 ETE119 ETI119 ETM119 ETQ119 ETU119 ETY119 EUC119 EUG119 EUK119 EUO119 EUS119 EUW119 EVA119 EVE119 EVI119 EVM119 EVQ119 EVU119 EVY119 EWC119 EWG119 EWK119 EWO119 EWS119 EWW119 EXA119 EXE119 EXI119 EXM119 EXQ119 EXU119 EXY119 EYC119 EYG119 EYK119 EYO119 EYS119 EYW119 EZA119 EZE119 EZI119 EZM119 EZQ119 EZU119 EZY119 FAC119 FAG119 FAK119 FAO119 FAS119 FAW119 FBA119 FBE119 FBI119 FBM119 FBQ119 FBU119 FBY119 FCC119 FCG119 FCK119 FCO119 FCS119 FCW119 FDA119 FDE119 FDI119 FDM119 FDQ119 FDU119 FDY119 FEC119 FEG119 FEK119 FEO119 FES119 FEW119 FFA119 FFE119 FFI119 FFM119 FFQ119 FFU119 FFY119 FGC119 FGG119 FGK119 FGO119 FGS119 FGW119 FHA119 FHE119 FHI119 FHM119 FHQ119 FHU119 FHY119 FIC119 FIG119 FIK119 FIO119 FIS119 FIW119 FJA119 FJE119 FJI119 FJM119 FJQ119 FJU119 FJY119 FKC119 FKG119 FKK119 FKO119 FKS119 FKW119 FLA119 FLE119 FLI119 FLM119 FLQ119 FLU119 FLY119 FMC119 FMG119 FMK119 FMO119 FMS119 FMW119 FNA119 FNE119 FNI119 FNM119 FNQ119 FNU119 FNY119 FOC119 FOG119 FOK119 FOO119 FOS119 FOW119 FPA119 FPE119 FPI119 FPM119 FPQ119 FPU119 FPY119 FQC119 FQG119 FQK119 FQO119 FQS119 FQW119 FRA119 FRE119 FRI119 FRM119 FRQ119 FRU119 FRY119 FSC119 FSG119 FSK119 FSO119 FSS119 FSW119 FTA119 FTE119 FTI119 FTM119 FTQ119 FTU119 FTY119 FUC119 FUG119 FUK119 FUO119 FUS119 FUW119 FVA119 FVE119 FVI119 FVM119 FVQ119 FVU119 FVY119 FWC119 FWG119 FWK119 FWO119 FWS119 FWW119 FXA119 FXE119 FXI119 FXM119 FXQ119 FXU119 FXY119 FYC119 FYG119 FYK119 FYO119 FYS119 FYW119 FZA119 FZE119 FZI119 FZM119 FZQ119 FZU119 FZY119 GAC119 GAG119 GAK119 GAO119 GAS119 GAW119 GBA119 GBE119 GBI119 GBM119 GBQ119 GBU119 GBY119 GCC119 GCG119 GCK119 GCO119 GCS119 GCW119 GDA119 GDE119 GDI119 GDM119 GDQ119 GDU119 GDY119 GEC119 GEG119 GEK119 GEO119 GES119 GEW119 GFA119 GFE119 GFI119 GFM119 GFQ119 GFU119 GFY119 GGC119 GGG119 GGK119 GGO119 GGS119 GGW119 GHA119 GHE119 GHI119 GHM119 GHQ119 GHU119 GHY119 GIC119 GIG119 GIK119 GIO119 GIS119 GIW119 GJA119 GJE119 GJI119 GJM119 GJQ119 GJU119 GJY119 GKC119 GKG119 GKK119 GKO119 GKS119 GKW119 GLA119 GLE119 GLI119 GLM119 GLQ119 GLU119 GLY119 GMC119 GMG119 GMK119 GMO119 GMS119 GMW119 GNA119 GNE119 GNI119 GNM119 GNQ119 GNU119 GNY119 GOC119 GOG119 GOK119 GOO119 GOS119 GOW119 GPA119 GPE119 GPI119 GPM119 GPQ119 GPU119 GPY119 GQC119 GQG119 GQK119 GQO119 GQS119 GQW119 GRA119 GRE119 GRI119 GRM119 GRQ119 GRU119 GRY119 GSC119 GSG119 GSK119 GSO119 GSS119 GSW119 GTA119 GTE119 GTI119 GTM119 GTQ119 GTU119 GTY119 GUC119 GUG119 GUK119 GUO119 GUS119 GUW119 GVA119 GVE119 GVI119 GVM119 GVQ119 GVU119 GVY119 GWC119 GWG119 GWK119 GWO119 GWS119 GWW119 GXA119 GXE119 GXI119 GXM119 GXQ119 GXU119 GXY119 GYC119 GYG119 GYK119 GYO119 GYS119 GYW119 GZA119 GZE119 GZI119 GZM119 GZQ119 GZU119 GZY119 HAC119 HAG119 HAK119 HAO119 HAS119 HAW119 HBA119 HBE119 HBI119 HBM119 HBQ119 HBU119 HBY119 HCC119 HCG119 HCK119 HCO119 HCS119 HCW119 HDA119 HDE119 HDI119 HDM119 HDQ119 HDU119 HDY119 HEC119 HEG119 HEK119 HEO119 HES119 HEW119 HFA119 HFE119 HFI119 HFM119 HFQ119 HFU119 HFY119 HGC119 HGG119 HGK119 HGO119 HGS119 HGW119 HHA119 HHE119 HHI119 HHM119 HHQ119 HHU119 HHY119 HIC119 HIG119 HIK119 HIO119 HIS119 HIW119 HJA119 HJE119 HJI119 HJM119 HJQ119 HJU119 HJY119 HKC119 HKG119 HKK119 HKO119 HKS119 HKW119 HLA119 HLE119 HLI119 HLM119 HLQ119 HLU119 HLY119 HMC119 HMG119 HMK119 HMO119 HMS119 HMW119 HNA119 HNE119 HNI119 HNM119 HNQ119 HNU119 HNY119 HOC119 HOG119 HOK119 HOO119 HOS119 HOW119 HPA119 HPE119 HPI119 HPM119 HPQ119 HPU119 HPY119 HQC119 HQG119 HQK119 HQO119 HQS119 HQW119 HRA119 HRE119 HRI119 HRM119 HRQ119 HRU119 HRY119 HSC119 HSG119 HSK119 HSO119 HSS119 HSW119 HTA119 HTE119 HTI119 HTM119 HTQ119 HTU119 HTY119 HUC119 HUG119 HUK119 HUO119 HUS119 HUW119 HVA119 HVE119 HVI119 HVM119 HVQ119 HVU119 HVY119 HWC119 HWG119 HWK119 HWO119 HWS119 HWW119 HXA119 HXE119 HXI119 HXM119 HXQ119 HXU119 HXY119 HYC119 HYG119 HYK119 HYO119 HYS119 HYW119 HZA119 HZE119 HZI119 HZM119 HZQ119 HZU119 HZY119 IAC119 IAG119 IAK119 IAO119 IAS119 IAW119 IBA119 IBE119 IBI119 IBM119 IBQ119 IBU119 IBY119 ICC119 ICG119 ICK119 ICO119 ICS119 ICW119 IDA119 IDE119 IDI119 IDM119 IDQ119 IDU119 IDY119 IEC119 IEG119 IEK119 IEO119 IES119 IEW119 IFA119 IFE119 IFI119 IFM119 IFQ119 IFU119 IFY119 IGC119 IGG119 IGK119 IGO119 IGS119 IGW119 IHA119 IHE119 IHI119 IHM119 IHQ119 IHU119 IHY119 IIC119 IIG119 IIK119 IIO119 IIS119 IIW119 IJA119 IJE119 IJI119 IJM119 IJQ119 IJU119 IJY119 IKC119 IKG119 IKK119 IKO119 IKS119 IKW119 ILA119 ILE119 ILI119 ILM119 ILQ119 ILU119 ILY119 IMC119 IMG119 IMK119 IMO119 IMS119 IMW119 INA119 INE119 INI119 INM119 INQ119 INU119 INY119 IOC119 IOG119 IOK119 IOO119 IOS119 IOW119 IPA119 IPE119 IPI119 IPM119 IPQ119 IPU119 IPY119 IQC119 IQG119 IQK119 IQO119 IQS119 IQW119 IRA119 IRE119 IRI119 IRM119 IRQ119 IRU119 IRY119 ISC119 ISG119 ISK119 ISO119 ISS119 ISW119 ITA119 ITE119 ITI119 ITM119 ITQ119 ITU119 ITY119 IUC119 IUG119 IUK119 IUO119 IUS119 IUW119 IVA119 IVE119 IVI119 IVM119 IVQ119 IVU119 IVY119 IWC119 IWG119 IWK119 IWO119 IWS119 IWW119 IXA119 IXE119 IXI119 IXM119 IXQ119 IXU119 IXY119 IYC119 IYG119 IYK119 IYO119 IYS119 IYW119 IZA119 IZE119 IZI119 IZM119 IZQ119 IZU119 IZY119 JAC119 JAG119 JAK119 JAO119 JAS119 JAW119 JBA119 JBE119 JBI119 JBM119 JBQ119 JBU119 JBY119 JCC119 JCG119 JCK119 JCO119 JCS119 JCW119 JDA119 JDE119 JDI119 JDM119 JDQ119 JDU119 JDY119 JEC119 JEG119 JEK119 JEO119 JES119 JEW119 JFA119 JFE119 JFI119 JFM119 JFQ119 JFU119 JFY119 JGC119 JGG119 JGK119 JGO119 JGS119 JGW119 JHA119 JHE119 JHI119 JHM119 JHQ119 JHU119 JHY119 JIC119 JIG119 JIK119 JIO119 JIS119 JIW119 JJA119 JJE119 JJI119 JJM119 JJQ119 JJU119 JJY119 JKC119 JKG119 JKK119 JKO119 JKS119 JKW119 JLA119 JLE119 JLI119 JLM119 JLQ119 JLU119 JLY119 JMC119 JMG119 JMK119 JMO119 JMS119 JMW119 JNA119 JNE119 JNI119 JNM119 JNQ119 JNU119 JNY119 JOC119 JOG119 JOK119 JOO119 JOS119 JOW119 JPA119 JPE119 JPI119 JPM119 JPQ119 JPU119 JPY119 JQC119 JQG119 JQK119 JQO119 JQS119 JQW119 JRA119 JRE119 JRI119 JRM119 JRQ119 JRU119 JRY119 JSC119 JSG119 JSK119 JSO119 JSS119 JSW119 JTA119 JTE119 JTI119 JTM119 JTQ119 JTU119 JTY119 JUC119 JUG119 JUK119 JUO119 JUS119 JUW119 JVA119 JVE119 JVI119 JVM119 JVQ119 JVU119 JVY119 JWC119 JWG119 JWK119 JWO119 JWS119 JWW119 JXA119 JXE119 JXI119 JXM119 JXQ119 JXU119 JXY119 JYC119 JYG119 JYK119 JYO119 JYS119 JYW119 JZA119 JZE119 JZI119 JZM119 JZQ119 JZU119 JZY119 KAC119 KAG119 KAK119 KAO119 KAS119 KAW119 KBA119 KBE119 KBI119 KBM119 KBQ119 KBU119 KBY119 KCC119 KCG119 KCK119 KCO119 KCS119 KCW119 KDA119 KDE119 KDI119 KDM119 KDQ119 KDU119 KDY119 KEC119 KEG119 KEK119 KEO119 KES119 KEW119 KFA119 KFE119 KFI119 KFM119 KFQ119 KFU119 KFY119 KGC119 KGG119 KGK119 KGO119 KGS119 KGW119 KHA119 KHE119 KHI119 KHM119 KHQ119 KHU119 KHY119 KIC119 KIG119 KIK119 KIO119 KIS119 KIW119 KJA119 KJE119 KJI119 KJM119 KJQ119 KJU119 KJY119 KKC119 KKG119 KKK119 KKO119 KKS119 KKW119 KLA119 KLE119 KLI119 KLM119 KLQ119 KLU119 KLY119 KMC119 KMG119 KMK119 KMO119 KMS119 KMW119 KNA119 KNE119 KNI119 KNM119 KNQ119 KNU119 KNY119 KOC119 KOG119 KOK119 KOO119 KOS119 KOW119 KPA119 KPE119 KPI119 KPM119 KPQ119 KPU119 KPY119 KQC119 KQG119 KQK119 KQO119 KQS119 KQW119 KRA119 KRE119 KRI119 KRM119 KRQ119 KRU119 KRY119 KSC119 KSG119 KSK119 KSO119 KSS119 KSW119 KTA119 KTE119 KTI119 KTM119 KTQ119 KTU119 KTY119 KUC119 KUG119 KUK119 KUO119 KUS119 KUW119 KVA119 KVE119 KVI119 KVM119 KVQ119 KVU119 KVY119 KWC119 KWG119 KWK119 KWO119 KWS119 KWW119 KXA119 KXE119 KXI119 KXM119 KXQ119 KXU119 KXY119 KYC119 KYG119 KYK119 KYO119 KYS119 KYW119 KZA119 KZE119 KZI119 KZM119 KZQ119 KZU119 KZY119 LAC119 LAG119 LAK119 LAO119 LAS119 LAW119 LBA119 LBE119 LBI119 LBM119 LBQ119 LBU119 LBY119 LCC119 LCG119 LCK119 LCO119 LCS119 LCW119 LDA119 LDE119 LDI119 LDM119 LDQ119 LDU119 LDY119 LEC119 LEG119 LEK119 LEO119 LES119 LEW119 LFA119 LFE119 LFI119 LFM119 LFQ119 LFU119 LFY119 LGC119 LGG119 LGK119 LGO119 LGS119 LGW119 LHA119 LHE119 LHI119 LHM119 LHQ119 LHU119 LHY119 LIC119 LIG119 LIK119 LIO119 LIS119 LIW119 LJA119 LJE119 LJI119 LJM119 LJQ119 LJU119 LJY119 LKC119 LKG119 LKK119 LKO119 LKS119 LKW119 LLA119 LLE119 LLI119 LLM119 LLQ119 LLU119 LLY119 LMC119 LMG119 LMK119 LMO119 LMS119 LMW119 LNA119 LNE119 LNI119 LNM119 LNQ119 LNU119 LNY119 LOC119 LOG119 LOK119 LOO119 LOS119 LOW119 LPA119 LPE119 LPI119 LPM119 LPQ119 LPU119 LPY119 LQC119 LQG119 LQK119 LQO119 LQS119 LQW119 LRA119 LRE119 LRI119 LRM119 LRQ119 LRU119 LRY119 LSC119 LSG119 LSK119 LSO119 LSS119 LSW119 LTA119 LTE119 LTI119 LTM119 LTQ119 LTU119 LTY119 LUC119 LUG119 LUK119 LUO119 LUS119 LUW119 LVA119 LVE119 LVI119 LVM119 LVQ119 LVU119 LVY119 LWC119 LWG119 LWK119 LWO119 LWS119 LWW119 LXA119 LXE119 LXI119 LXM119 LXQ119 LXU119 LXY119 LYC119 LYG119 LYK119 LYO119 LYS119 LYW119 LZA119 LZE119 LZI119 LZM119 LZQ119 LZU119 LZY119 MAC119 MAG119 MAK119 MAO119 MAS119 MAW119 MBA119 MBE119 MBI119 MBM119 MBQ119 MBU119 MBY119 MCC119 MCG119 MCK119 MCO119 MCS119 MCW119 MDA119 MDE119 MDI119 MDM119 MDQ119 MDU119 MDY119 MEC119 MEG119 MEK119 MEO119 MES119 MEW119 MFA119 MFE119 MFI119 MFM119 MFQ119 MFU119 MFY119 MGC119 MGG119 MGK119 MGO119 MGS119 MGW119 MHA119 MHE119 MHI119 MHM119 MHQ119 MHU119 MHY119 MIC119 MIG119 MIK119 MIO119 MIS119 MIW119 MJA119 MJE119 MJI119 MJM119 MJQ119 MJU119 MJY119 MKC119 MKG119 MKK119 MKO119 MKS119 MKW119 MLA119 MLE119 MLI119 MLM119 MLQ119 MLU119 MLY119 MMC119 MMG119 MMK119 MMO119 MMS119 MMW119 MNA119 MNE119 MNI119 MNM119 MNQ119 MNU119 MNY119 MOC119 MOG119 MOK119 MOO119 MOS119 MOW119 MPA119 MPE119 MPI119 MPM119 MPQ119 MPU119 MPY119 MQC119 MQG119 MQK119 MQO119 MQS119 MQW119 MRA119 MRE119 MRI119 MRM119 MRQ119 MRU119 MRY119 MSC119 MSG119 MSK119 MSO119 MSS119 MSW119 MTA119 MTE119 MTI119 MTM119 MTQ119 MTU119 MTY119 MUC119 MUG119 MUK119 MUO119 MUS119 MUW119 MVA119 MVE119 MVI119 MVM119 MVQ119 MVU119 MVY119 MWC119 MWG119 MWK119 MWO119 MWS119 MWW119 MXA119 MXE119 MXI119 MXM119 MXQ119 MXU119 MXY119 MYC119 MYG119 MYK119 MYO119 MYS119 MYW119 MZA119 MZE119 MZI119 MZM119 MZQ119 MZU119 MZY119 NAC119 NAG119 NAK119 NAO119 NAS119 NAW119 NBA119 NBE119 NBI119 NBM119 NBQ119 NBU119 NBY119 NCC119 NCG119 NCK119 NCO119 NCS119 NCW119 NDA119 NDE119 NDI119 NDM119 NDQ119 NDU119 NDY119 NEC119 NEG119 NEK119 NEO119 NES119 NEW119 NFA119 NFE119 NFI119 NFM119 NFQ119 NFU119 NFY119 NGC119 NGG119 NGK119 NGO119 NGS119 NGW119 NHA119 NHE119 NHI119 NHM119 NHQ119 NHU119 NHY119 NIC119 NIG119 NIK119 NIO119 NIS119 NIW119 NJA119 NJE119 NJI119 NJM119 NJQ119 NJU119 NJY119 NKC119 NKG119 NKK119 NKO119 NKS119 NKW119 NLA119 NLE119 NLI119 NLM119 NLQ119 NLU119 NLY119 NMC119 NMG119 NMK119 NMO119 NMS119 NMW119 NNA119 NNE119 NNI119 NNM119 NNQ119 NNU119 NNY119 NOC119 NOG119 NOK119 NOO119 NOS119 NOW119 NPA119 NPE119 NPI119 NPM119 NPQ119 NPU119 NPY119 NQC119 NQG119 NQK119 NQO119 NQS119 NQW119 NRA119 NRE119 NRI119 NRM119 NRQ119 NRU119 NRY119 NSC119 NSG119 NSK119 NSO119 NSS119 NSW119 NTA119 NTE119 NTI119 NTM119 NTQ119 NTU119 NTY119 NUC119 NUG119 NUK119 NUO119 NUS119 NUW119 NVA119 NVE119 NVI119 NVM119 NVQ119 NVU119 NVY119 NWC119 NWG119 NWK119 NWO119 NWS119 NWW119 NXA119 NXE119 NXI119 NXM119 NXQ119 NXU119 NXY119 NYC119 NYG119 NYK119 NYO119 NYS119 NYW119 NZA119 NZE119 NZI119 NZM119 NZQ119 NZU119 NZY119 OAC119 OAG119 OAK119 OAO119 OAS119 OAW119 OBA119 OBE119 OBI119 OBM119 OBQ119 OBU119 OBY119 OCC119 OCG119 OCK119 OCO119 OCS119 OCW119 ODA119 ODE119 ODI119 ODM119 ODQ119 ODU119 ODY119 OEC119 OEG119 OEK119 OEO119 OES119 OEW119 OFA119 OFE119 OFI119 OFM119 OFQ119 OFU119 OFY119 OGC119 OGG119 OGK119 OGO119 OGS119 OGW119 OHA119 OHE119 OHI119 OHM119 OHQ119 OHU119 OHY119 OIC119 OIG119 OIK119 OIO119 OIS119 OIW119 OJA119 OJE119 OJI119 OJM119 OJQ119 OJU119 OJY119 OKC119 OKG119 OKK119 OKO119 OKS119 OKW119 OLA119 OLE119 OLI119 OLM119 OLQ119 OLU119 OLY119 OMC119 OMG119 OMK119 OMO119 OMS119 OMW119 ONA119 ONE119 ONI119 ONM119 ONQ119 ONU119 ONY119 OOC119 OOG119 OOK119 OOO119 OOS119 OOW119 OPA119 OPE119 OPI119 OPM119 OPQ119 OPU119 OPY119 OQC119 OQG119 OQK119 OQO119 OQS119 OQW119 ORA119 ORE119 ORI119 ORM119 ORQ119 ORU119 ORY119 OSC119 OSG119 OSK119 OSO119 OSS119 OSW119 OTA119 OTE119 OTI119 OTM119 OTQ119 OTU119 OTY119 OUC119 OUG119 OUK119 OUO119 OUS119 OUW119 OVA119 OVE119 OVI119 OVM119 OVQ119 OVU119 OVY119 OWC119 OWG119 OWK119 OWO119 OWS119 OWW119 OXA119 OXE119 OXI119 OXM119 OXQ119 OXU119 OXY119 OYC119 OYG119 OYK119 OYO119 OYS119 OYW119 OZA119 OZE119 OZI119 OZM119 OZQ119 OZU119 OZY119 PAC119 PAG119 PAK119 PAO119 PAS119 PAW119 PBA119 PBE119 PBI119 PBM119 PBQ119 PBU119 PBY119 PCC119 PCG119 PCK119 PCO119 PCS119 PCW119 PDA119 PDE119 PDI119 PDM119 PDQ119 PDU119 PDY119 PEC119 PEG119 PEK119 PEO119 PES119 PEW119 PFA119 PFE119 PFI119 PFM119 PFQ119 PFU119 PFY119 PGC119 PGG119 PGK119 PGO119 PGS119 PGW119 PHA119 PHE119 PHI119 PHM119 PHQ119 PHU119 PHY119 PIC119 PIG119 PIK119 PIO119 PIS119 PIW119 PJA119 PJE119 PJI119 PJM119 PJQ119 PJU119 PJY119 PKC119 PKG119 PKK119 PKO119 PKS119 PKW119 PLA119 PLE119 PLI119 PLM119 PLQ119 PLU119 PLY119 PMC119 PMG119 PMK119 PMO119 PMS119 PMW119 PNA119 PNE119 PNI119 PNM119 PNQ119 PNU119 PNY119 POC119 POG119 POK119 POO119 POS119 POW119 PPA119 PPE119 PPI119 PPM119 PPQ119 PPU119 PPY119 PQC119 PQG119 PQK119 PQO119 PQS119 PQW119 PRA119 PRE119 PRI119 PRM119 PRQ119 PRU119 PRY119 PSC119 PSG119 PSK119 PSO119 PSS119 PSW119 PTA119 PTE119 PTI119 PTM119 PTQ119 PTU119 PTY119 PUC119 PUG119 PUK119 PUO119 PUS119 PUW119 PVA119 PVE119 PVI119 PVM119 PVQ119 PVU119 PVY119 PWC119 PWG119 PWK119 PWO119 PWS119 PWW119 PXA119 PXE119 PXI119 PXM119 PXQ119 PXU119 PXY119 PYC119 PYG119 PYK119 PYO119 PYS119 PYW119 PZA119 PZE119 PZI119 PZM119 PZQ119 PZU119 PZY119 QAC119 QAG119 QAK119 QAO119 QAS119 QAW119 QBA119 QBE119 QBI119 QBM119 QBQ119 QBU119 QBY119 QCC119 QCG119 QCK119 QCO119 QCS119 QCW119 QDA119 QDE119 QDI119 QDM119 QDQ119 QDU119 QDY119 QEC119 QEG119 QEK119 QEO119 QES119 QEW119 QFA119 QFE119 QFI119 QFM119 QFQ119 QFU119 QFY119 QGC119 QGG119 QGK119 QGO119 QGS119 QGW119 QHA119 QHE119 QHI119 QHM119 QHQ119 QHU119 QHY119 QIC119 QIG119 QIK119 QIO119 QIS119 QIW119 QJA119 QJE119 QJI119 QJM119 QJQ119 QJU119 QJY119 QKC119 QKG119 QKK119 QKO119 QKS119 QKW119 QLA119 QLE119 QLI119 QLM119 QLQ119 QLU119 QLY119 QMC119 QMG119 QMK119 QMO119 QMS119 QMW119 QNA119 QNE119 QNI119 QNM119 QNQ119 QNU119 QNY119 QOC119 QOG119 QOK119 QOO119 QOS119 QOW119 QPA119 QPE119 QPI119 QPM119 QPQ119 QPU119 QPY119 QQC119 QQG119 QQK119 QQO119 QQS119 QQW119 QRA119 QRE119 QRI119 QRM119 QRQ119 QRU119 QRY119 QSC119 QSG119 QSK119 QSO119 QSS119 QSW119 QTA119 QTE119 QTI119 QTM119 QTQ119 QTU119 QTY119 QUC119 QUG119 QUK119 QUO119 QUS119 QUW119 QVA119 QVE119 QVI119 QVM119 QVQ119 QVU119 QVY119 QWC119 QWG119 QWK119 QWO119 QWS119 QWW119 QXA119 QXE119 QXI119 QXM119 QXQ119 QXU119 QXY119 QYC119 QYG119 QYK119 QYO119 QYS119 QYW119 QZA119 QZE119 QZI119 QZM119 QZQ119 QZU119 QZY119 RAC119 RAG119 RAK119 RAO119 RAS119 RAW119 RBA119 RBE119 RBI119 RBM119 RBQ119 RBU119 RBY119 RCC119 RCG119 RCK119 RCO119 RCS119 RCW119 RDA119 RDE119 RDI119 RDM119 RDQ119 RDU119 RDY119 REC119 REG119 REK119 REO119 RES119 REW119 RFA119 RFE119 RFI119 RFM119 RFQ119 RFU119 RFY119 RGC119 RGG119 RGK119 RGO119 RGS119 RGW119 RHA119 RHE119 RHI119 RHM119 RHQ119 RHU119 RHY119 RIC119 RIG119 RIK119 RIO119 RIS119 RIW119 RJA119 RJE119 RJI119 RJM119 RJQ119 RJU119 RJY119 RKC119 RKG119 RKK119 RKO119 RKS119 RKW119 RLA119 RLE119 RLI119 RLM119 RLQ119 RLU119 RLY119 RMC119 RMG119 RMK119 RMO119 RMS119 RMW119 RNA119 RNE119 RNI119 RNM119 RNQ119 RNU119 RNY119 ROC119 ROG119 ROK119 ROO119 ROS119 ROW119 RPA119 RPE119 RPI119 RPM119 RPQ119 RPU119 RPY119 RQC119 RQG119 RQK119 RQO119 RQS119 RQW119 RRA119 RRE119 RRI119 RRM119 RRQ119 RRU119 RRY119 RSC119 RSG119 RSK119 RSO119 RSS119 RSW119 RTA119 RTE119 RTI119 RTM119 RTQ119 RTU119 RTY119 RUC119 RUG119 RUK119 RUO119 RUS119 RUW119 RVA119 RVE119 RVI119 RVM119 RVQ119 RVU119 RVY119 RWC119 RWG119 RWK119 RWO119 RWS119 RWW119 RXA119 RXE119 RXI119 RXM119 RXQ119 RXU119 RXY119 RYC119 RYG119 RYK119 RYO119 RYS119 RYW119 RZA119 RZE119 RZI119 RZM119 RZQ119 RZU119 RZY119 SAC119 SAG119 SAK119 SAO119 SAS119 SAW119 SBA119 SBE119 SBI119 SBM119 SBQ119 SBU119 SBY119 SCC119 SCG119 SCK119 SCO119 SCS119 SCW119 SDA119 SDE119 SDI119 SDM119 SDQ119 SDU119 SDY119 SEC119 SEG119 SEK119 SEO119 SES119 SEW119 SFA119 SFE119 SFI119 SFM119 SFQ119 SFU119 SFY119 SGC119 SGG119 SGK119 SGO119 SGS119 SGW119 SHA119 SHE119 SHI119 SHM119 SHQ119 SHU119 SHY119 SIC119 SIG119 SIK119 SIO119 SIS119 SIW119 SJA119 SJE119 SJI119 SJM119 SJQ119 SJU119 SJY119 SKC119 SKG119 SKK119 SKO119 SKS119 SKW119 SLA119 SLE119 SLI119 SLM119 SLQ119 SLU119 SLY119 SMC119 SMG119 SMK119 SMO119 SMS119 SMW119 SNA119 SNE119 SNI119 SNM119 SNQ119 SNU119 SNY119 SOC119 SOG119 SOK119 SOO119 SOS119 SOW119 SPA119 SPE119 SPI119 SPM119 SPQ119 SPU119 SPY119 SQC119 SQG119 SQK119 SQO119 SQS119 SQW119 SRA119 SRE119 SRI119 SRM119 SRQ119 SRU119 SRY119 SSC119 SSG119 SSK119 SSO119 SSS119 SSW119 STA119 STE119 STI119 STM119 STQ119 STU119 STY119 SUC119 SUG119 SUK119 SUO119 SUS119 SUW119 SVA119 SVE119 SVI119 SVM119 SVQ119 SVU119 SVY119 SWC119 SWG119 SWK119 SWO119 SWS119 SWW119 SXA119 SXE119 SXI119 SXM119 SXQ119 SXU119 SXY119 SYC119 SYG119 SYK119 SYO119 SYS119 SYW119 SZA119 SZE119 SZI119 SZM119 SZQ119 SZU119 SZY119 TAC119 TAG119 TAK119 TAO119 TAS119 TAW119 TBA119 TBE119 TBI119 TBM119 TBQ119 TBU119 TBY119 TCC119 TCG119 TCK119 TCO119 TCS119 TCW119 TDA119 TDE119 TDI119 TDM119 TDQ119 TDU119 TDY119 TEC119 TEG119 TEK119 TEO119 TES119 TEW119 TFA119 TFE119 TFI119 TFM119 TFQ119 TFU119 TFY119 TGC119 TGG119 TGK119 TGO119 TGS119 TGW119 THA119 THE119 THI119 THM119 THQ119 THU119 THY119 TIC119 TIG119 TIK119 TIO119 TIS119 TIW119 TJA119 TJE119 TJI119 TJM119 TJQ119 TJU119 TJY119 TKC119 TKG119 TKK119 TKO119 TKS119 TKW119 TLA119 TLE119 TLI119 TLM119 TLQ119 TLU119 TLY119 TMC119 TMG119 TMK119 TMO119 TMS119 TMW119 TNA119 TNE119 TNI119 TNM119 TNQ119 TNU119 TNY119 TOC119 TOG119 TOK119 TOO119 TOS119 TOW119 TPA119 TPE119 TPI119 TPM119 TPQ119 TPU119 TPY119 TQC119 TQG119 TQK119 TQO119 TQS119 TQW119 TRA119 TRE119 TRI119 TRM119 TRQ119 TRU119 TRY119 TSC119 TSG119 TSK119 TSO119 TSS119 TSW119 TTA119 TTE119 TTI119 TTM119 TTQ119 TTU119 TTY119 TUC119 TUG119 TUK119 TUO119 TUS119 TUW119 TVA119 TVE119 TVI119 TVM119 TVQ119 TVU119 TVY119 TWC119 TWG119 TWK119 TWO119 TWS119 TWW119 TXA119 TXE119 TXI119 TXM119 TXQ119 TXU119 TXY119 TYC119 TYG119 TYK119 TYO119 TYS119 TYW119 TZA119 TZE119 TZI119 TZM119 TZQ119 TZU119 TZY119 UAC119 UAG119 UAK119 UAO119 UAS119 UAW119 UBA119 UBE119 UBI119 UBM119 UBQ119 UBU119 UBY119 UCC119 UCG119 UCK119 UCO119 UCS119 UCW119 UDA119 UDE119 UDI119 UDM119 UDQ119 UDU119 UDY119 UEC119 UEG119 UEK119 UEO119 UES119 UEW119 UFA119 UFE119 UFI119 UFM119 UFQ119 UFU119 UFY119 UGC119 UGG119 UGK119 UGO119 UGS119 UGW119 UHA119 UHE119 UHI119 UHM119 UHQ119 UHU119 UHY119 UIC119 UIG119 UIK119 UIO119 UIS119 UIW119 UJA119 UJE119 UJI119 UJM119 UJQ119 UJU119 UJY119 UKC119 UKG119 UKK119 UKO119 UKS119 UKW119 ULA119 ULE119 ULI119 ULM119 ULQ119 ULU119 ULY119 UMC119 UMG119 UMK119 UMO119 UMS119 UMW119 UNA119 UNE119 UNI119 UNM119 UNQ119 UNU119 UNY119 UOC119 UOG119 UOK119 UOO119 UOS119 UOW119 UPA119 UPE119 UPI119 UPM119 UPQ119 UPU119 UPY119 UQC119 UQG119 UQK119 UQO119 UQS119 UQW119 URA119 URE119 URI119 URM119 URQ119 URU119 URY119 USC119 USG119 USK119 USO119 USS119 USW119 UTA119 UTE119 UTI119 UTM119 UTQ119 UTU119 UTY119 UUC119 UUG119 UUK119 UUO119 UUS119 UUW119 UVA119 UVE119 UVI119 UVM119 UVQ119 UVU119 UVY119 UWC119 UWG119 UWK119 UWO119 UWS119 UWW119 UXA119 UXE119 UXI119 UXM119 UXQ119 UXU119 UXY119 UYC119 UYG119 UYK119 UYO119 UYS119 UYW119 UZA119 UZE119 UZI119 UZM119 UZQ119 UZU119 UZY119 VAC119 VAG119 VAK119 VAO119 VAS119 VAW119 VBA119 VBE119 VBI119 VBM119 VBQ119 VBU119 VBY119 VCC119 VCG119 VCK119 VCO119 VCS119 VCW119 VDA119 VDE119 VDI119 VDM119 VDQ119 VDU119 VDY119 VEC119 VEG119 VEK119 VEO119 VES119 VEW119 VFA119 VFE119 VFI119 VFM119 VFQ119 VFU119 VFY119 VGC119 VGG119 VGK119 VGO119 VGS119 VGW119 VHA119 VHE119 VHI119 VHM119 VHQ119 VHU119 VHY119 VIC119 VIG119 VIK119 VIO119 VIS119 VIW119 VJA119 VJE119 VJI119 VJM119 VJQ119 VJU119 VJY119 VKC119 VKG119 VKK119 VKO119 VKS119 VKW119 VLA119 VLE119 VLI119 VLM119 VLQ119 VLU119 VLY119 VMC119 VMG119 VMK119 VMO119 VMS119 VMW119 VNA119 VNE119 VNI119 VNM119 VNQ119 VNU119 VNY119 VOC119 VOG119 VOK119 VOO119 VOS119 VOW119 VPA119 VPE119 VPI119 VPM119 VPQ119 VPU119 VPY119 VQC119 VQG119 VQK119 VQO119 VQS119 VQW119 VRA119 VRE119 VRI119 VRM119 VRQ119 VRU119 VRY119 VSC119 VSG119 VSK119 VSO119 VSS119 VSW119 VTA119 VTE119 VTI119 VTM119 VTQ119 VTU119 VTY119 VUC119 VUG119 VUK119 VUO119 VUS119 VUW119 VVA119 VVE119 VVI119 VVM119 VVQ119 VVU119 VVY119 VWC119 VWG119 VWK119 VWO119 VWS119 VWW119 VXA119 VXE119 VXI119 VXM119 VXQ119 VXU119 VXY119 VYC119 VYG119 VYK119 VYO119 VYS119 VYW119 VZA119 VZE119 VZI119 VZM119 VZQ119 VZU119 VZY119 WAC119 WAG119 WAK119 WAO119 WAS119 WAW119 WBA119 WBE119 WBI119 WBM119 WBQ119 WBU119 WBY119 WCC119 WCG119 WCK119 WCO119 WCS119 WCW119 WDA119 WDE119 WDI119 WDM119 WDQ119 WDU119 WDY119 WEC119 WEG119 WEK119 WEO119 WES119 WEW119 WFA119 WFE119 WFI119 WFM119 WFQ119 WFU119 WFY119 WGC119 WGG119 WGK119 WGO119 WGS119 WGW119 WHA119 WHE119 WHI119 WHM119 WHQ119 WHU119 WHY119 WIC119 WIG119 WIK119 WIO119 WIS119 WIW119 WJA119 WJE119 WJI119 WJM119 WJQ119 WJU119 WJY119 WKC119 WKG119 WKK119 WKO119 WKS119 WKW119 WLA119 WLE119 WLI119 WLM119 WLQ119 WLU119 WLY119 WMC119 WMG119 WMK119 WMO119 WMS119 WMW119 WNA119 WNE119 WNI119 WNM119 WNQ119 WNU119 WNY119 WOC119 WOG119 WOK119 WOO119 WOS119 WOW119 WPA119 WPE119 WPI119 WPM119 WPQ119 WPU119 WPY119 WQC119 WQG119 WQK119 WQO119 WQS119 WQW119 WRA119 WRE119 WRI119 WRM119 WRQ119 WRU119 WRY119 WSC119 WSG119 WSK119 WSO119 WSS119 WSW119 WTA119 WTE119 WTI119 WTM119 WTQ119 WTU119 WTY119 WUC119 WUG119 WUK119 WUO119 WUS119 WUW119 WVA119 WVE119 WVI119 WVM119 WVQ119 WVU119 WVY119 WWC119 WWG119 WWK119 WWO119 WWS119 WWW119 WXA119 WXE119 WXI119 WXM119 WXQ119 WXU119 WXY119 WYC119 WYG119 WYK119 WYO119 WYS119 WYW119 WZA119 WZE119 WZI119 WZM119 WZQ119 WZU119 WZY119 XAC119 XAG119 XAK119 XAO119 XAS119 XAW119 XBA119 XBE119 XBI119 XBM119 XBQ119 XBU119 XBY119 XCC119 XCG119 XCK119 XCO119 XCS119 XCW119 XDA119 XDE119 XDI119 XDM119 XDQ119 XDU119 XDY119 XEC119 B123:B148" name="Range6"/>
    <protectedRange algorithmName="SHA-512" hashValue="A0Rf4EQRDWdU2ByxErH74RDCIGsN54OC+z7nJYWEDJcvBB0jwFwghqi3rCWUK1ijWygA38ZBLIOo6ldGwQXpPg==" saltValue="TEmvLA2CTgrkvlGXVgBThw==" spinCount="100000" sqref="B1410:B1412 B55:B80 B25:B50" name="Range3"/>
    <protectedRange algorithmName="SHA-512" hashValue="W8yoibOT7wsx9DW1dP5uqT9QBn+VcDH46OpSSipYo0czhbsrpdtczWf984qWHEPhxb/xtK7FaEXyVB4I2Jeyhw==" saltValue="z8kttne9eFNDD7yXwViAVQ==" spinCount="100000" sqref="B3:B15" name="Range1"/>
    <protectedRange algorithmName="SHA-512" hashValue="l/gek/+kOU06ngmoLJtc2aX2VWSMPeNPSwkPWO3ALXln+qv1DuhilvQdZoRm6wf9oFAPgFGp7KYefPqta5NFtA==" saltValue="/Xc1icK3tG1YApqNOU+hqw==" spinCount="100000" sqref="B83:B112" name="Range4"/>
    <protectedRange algorithmName="SHA-512" hashValue="ZkCLVGS4cKYtIcrjPbjUcnTYAPjqeM/gVl6WOQKOcK263yn2BsZNMbT5PSkVJgIrgAjHuXUU1gi+ZcxpdKB4pQ==" saltValue="H0ZQu7RTpfiscl1HXcUnIQ==" spinCount="100000" sqref="B114" name="Range5"/>
    <protectedRange algorithmName="SHA-512" hashValue="gSoSOXRtV12brZ/u+iVemd9NznEzbRk6Ei59VEKAA4b8FIXJDSb/VWEtpfD2fT4xiQp0QUKfoJBmGo44plrI7Q==" saltValue="pmoUcxo+ni4AJ/trNTKpFg==" spinCount="100000" sqref="A155:B179" name="Range8"/>
    <protectedRange algorithmName="SHA-512" hashValue="1TE5m6BHHbEG6abqJ6kKHwKi3PvZRyeWu7p1JDEP5tVSp4oA7qRJiaI+16esudtOkX1Akura94eAZwFdgB/cLw==" saltValue="ezewr5C9xvUJzj2aBUyhGg==" spinCount="100000" sqref="C154:G179" name="Range9"/>
    <protectedRange algorithmName="SHA-512" hashValue="mYq1Rhjway6RVDpDCQiQZwxeWHOYnf66SD4UZ9GTbZhgItZaklvshQfjm1wooZn+hfQ8epL+YO0KNFn503f55w==" saltValue="szhHlYAvvgO2e63B9shXWA==" spinCount="100000" sqref="A185:L385 A798:L998" name="Range13"/>
    <protectedRange algorithmName="SHA-512" hashValue="3hELKvVWz+yk9NoOBaoEA7S1ktldQ/ZkxnVgdYm4GlhsInm5IzKJ4bcORtd6xk3BZ0aSXn43m1OwhxvIgD0aXA==" saltValue="Q1LLtUPhr96VdsT3z8m40A==" spinCount="100000" sqref="A593:C793 I593:I793 A1206:E1406" name="Range15"/>
  </protectedRanges>
  <mergeCells count="13">
    <mergeCell ref="E794:G794"/>
    <mergeCell ref="L1203:N1203"/>
    <mergeCell ref="A1408:E1408"/>
    <mergeCell ref="A1204:E1204"/>
    <mergeCell ref="A1414:E1414"/>
    <mergeCell ref="H1203:K1203"/>
    <mergeCell ref="C152:J152"/>
    <mergeCell ref="A1:D1"/>
    <mergeCell ref="A150:G150"/>
    <mergeCell ref="A52:D52"/>
    <mergeCell ref="C85:F85"/>
    <mergeCell ref="A121:D121"/>
    <mergeCell ref="A17:D17"/>
  </mergeCells>
  <phoneticPr fontId="6" type="noConversion"/>
  <conditionalFormatting sqref="B180">
    <cfRule type="cellIs" dxfId="95" priority="8" operator="greaterThan">
      <formula>$B$10</formula>
    </cfRule>
    <cfRule type="cellIs" dxfId="94" priority="9" operator="lessThan">
      <formula>$B$10</formula>
    </cfRule>
    <cfRule type="cellIs" dxfId="93" priority="10" operator="equal">
      <formula>$B$10</formula>
    </cfRule>
  </conditionalFormatting>
  <dataValidations count="10">
    <dataValidation type="decimal" allowBlank="1" showInputMessage="1" showErrorMessage="1" sqref="C591:D591 C794:C796 D794:D797" xr:uid="{B80C3199-3F12-4F09-BF2F-431E580B32EB}">
      <formula1>0</formula1>
      <formula2>999</formula2>
    </dataValidation>
    <dataValidation type="decimal" operator="greaterThan" allowBlank="1" showInputMessage="1" showErrorMessage="1" sqref="B83:B84 B123:B148 D1206:D1406" xr:uid="{DC2DE0C0-BF9F-4B41-B9F3-BA525434F548}">
      <formula1>0</formula1>
    </dataValidation>
    <dataValidation type="whole" operator="greaterThanOrEqual" allowBlank="1" showInputMessage="1" showErrorMessage="1" sqref="B26:B50 F591 C154:G179 C1002:C1202 C1206:C1406 F798:F998 C389:C589 E797 C593:D793 F185:F385 C185:C385 E389:E591 C798:C998 E1002:E1202 B1441:B1465" xr:uid="{DE1ED6F1-1D19-4416-A4E5-F458BF9D89D6}">
      <formula1>0</formula1>
    </dataValidation>
    <dataValidation type="decimal" allowBlank="1" showInputMessage="1" showErrorMessage="1" sqref="B25" xr:uid="{B2040937-8A08-427E-9A4E-8AB2A6091E61}">
      <formula1>0</formula1>
      <formula2>9999999</formula2>
    </dataValidation>
    <dataValidation type="list" allowBlank="1" showInputMessage="1" showErrorMessage="1" sqref="I797:J797 G796:G797 H796:I796 F796:F998" xr:uid="{54546BAB-2E11-4EC1-AF71-F7672D50E61B}">
      <formula1>$N$184:$N$185</formula1>
    </dataValidation>
    <dataValidation type="whole" operator="greaterThan" allowBlank="1" showInputMessage="1" showErrorMessage="1" sqref="B10 B119 B7 B154:B179" xr:uid="{39C71619-7075-449D-B486-30911F9874EF}">
      <formula1>0</formula1>
    </dataValidation>
    <dataValidation type="decimal" operator="greaterThanOrEqual" allowBlank="1" showInputMessage="1" showErrorMessage="1" sqref="B80 B114 B85:B112 D798:E998 B1410:B1412 D389:D590 E593:G793 D185:E385 D1002:D1202" xr:uid="{229F4B8A-8773-44E5-AE2A-5D673AAF692F}">
      <formula1>0</formula1>
    </dataValidation>
    <dataValidation operator="greaterThan" allowBlank="1" showInputMessage="1" showErrorMessage="1" sqref="I593:I793 E1206:E1406" xr:uid="{E50168A3-9472-4B84-A54E-BEB12327D383}"/>
    <dataValidation operator="greaterThanOrEqual" allowBlank="1" showInputMessage="1" showErrorMessage="1" sqref="B15 B593:B793" xr:uid="{4A5196EA-FEC6-4121-A202-B039F9855E32}"/>
    <dataValidation type="list" allowBlank="1" showInputMessage="1" showErrorMessage="1" sqref="B5" xr:uid="{48DC6829-A228-4EC8-8C38-7E1DC9A1F9DB}">
      <formula1>INDIRECT($B$4)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3078152-0387-487F-8B7F-C52D18B619B4}">
          <x14:formula1>
            <xm:f>'https://adene.sharepoint.com/sites/CA/Documentos Partilhados/General/ADENE-CA/Gestão/Grupo Incubação/Área de Equipa/4_Hídrica/AQUA+ Hoteis/Indice AQUA Ervideira/[AQUA+_matrizdeavaliacao_CasoPratico4.xlsx]Folha oculta'!#REF!</xm:f>
          </x14:formula1>
          <xm:sqref>B999 B1203 I1413:I1414 H999:I999 H1414 H1204:I1204</xm:sqref>
        </x14:dataValidation>
        <x14:dataValidation type="list" allowBlank="1" showInputMessage="1" showErrorMessage="1" xr:uid="{CED2BED4-D772-48A5-B1C2-D8F40B0FEAB0}">
          <x14:formula1>
            <xm:f>'Folha Oculta'!$A$2:$A$32</xm:f>
          </x14:formula1>
          <xm:sqref>B3</xm:sqref>
        </x14:dataValidation>
        <x14:dataValidation type="list" allowBlank="1" showInputMessage="1" showErrorMessage="1" xr:uid="{9D422D1E-BDF3-4CDD-BB6A-EEFA328CCA8C}">
          <x14:formula1>
            <xm:f>'Folha Oculta'!$AR$1:$AR$9</xm:f>
          </x14:formula1>
          <xm:sqref>B1416:B1440</xm:sqref>
        </x14:dataValidation>
        <x14:dataValidation type="list" allowBlank="1" showInputMessage="1" showErrorMessage="1" xr:uid="{367CC7DC-D103-450C-9C1C-B147F39CF1D6}">
          <x14:formula1>
            <xm:f>'Folha Oculta'!$AU$1:$AU$3</xm:f>
          </x14:formula1>
          <xm:sqref>F389:F590 G798:G998 G185:G385 F1002:F1202</xm:sqref>
        </x14:dataValidation>
        <x14:dataValidation type="list" allowBlank="1" showInputMessage="1" showErrorMessage="1" xr:uid="{91E39D4F-A2F7-4A52-A334-86254C2FC05B}">
          <x14:formula1>
            <xm:f>'Folha Oculta'!$AM$3:$AM$4</xm:f>
          </x14:formula1>
          <xm:sqref>C18:C22 H798:L998 G389:K590 H185:L385 G1002:N1202</xm:sqref>
        </x14:dataValidation>
        <x14:dataValidation type="list" allowBlank="1" showInputMessage="1" showErrorMessage="1" xr:uid="{6C9FC24F-3441-4CF3-B753-06B68AA216E8}">
          <x14:formula1>
            <xm:f>'Folha Oculta'!$AO$106:$AO$109</xm:f>
          </x14:formula1>
          <xm:sqref>B55:B79</xm:sqref>
        </x14:dataValidation>
        <x14:dataValidation type="list" allowBlank="1" showInputMessage="1" showErrorMessage="1" xr:uid="{C9FF4585-2A87-422A-863B-4F1D79D3978A}">
          <x14:formula1>
            <xm:f>'Folha Oculta'!$AL$7:$AL$9</xm:f>
          </x14:formula1>
          <xm:sqref>B9</xm:sqref>
        </x14:dataValidation>
        <x14:dataValidation type="list" allowBlank="1" showInputMessage="1" showErrorMessage="1" xr:uid="{A7533EFB-F1C1-42B2-96D2-604B76844B00}">
          <x14:formula1>
            <xm:f>'Folha Oculta'!$BE$1:$BE$13</xm:f>
          </x14:formula1>
          <xm:sqref>B8</xm:sqref>
        </x14:dataValidation>
        <x14:dataValidation type="list" operator="greaterThanOrEqual" allowBlank="1" showInputMessage="1" showErrorMessage="1" xr:uid="{15D8C362-CB37-4455-83A4-E290C0D40567}">
          <x14:formula1>
            <xm:f>'Folha Oculta'!$AO$6:$AO$7</xm:f>
          </x14:formula1>
          <xm:sqref>A593:A793</xm:sqref>
        </x14:dataValidation>
        <x14:dataValidation type="list" allowBlank="1" showInputMessage="1" showErrorMessage="1" xr:uid="{C8A7D3CC-6A36-4F91-843E-059E89A375E1}">
          <x14:formula1>
            <xm:f>'Folha Oculta'!$AX$1:$AX$4</xm:f>
          </x14:formula1>
          <xm:sqref>B185:B385</xm:sqref>
        </x14:dataValidation>
        <x14:dataValidation type="list" allowBlank="1" showInputMessage="1" showErrorMessage="1" xr:uid="{7EEED91F-2BE4-4642-9B65-C08E72EB7E7F}">
          <x14:formula1>
            <xm:f>'Folha Oculta'!$AX$4:$AX$6</xm:f>
          </x14:formula1>
          <xm:sqref>B798:B998</xm:sqref>
        </x14:dataValidation>
        <x14:dataValidation type="list" allowBlank="1" showInputMessage="1" showErrorMessage="1" xr:uid="{59BDE233-EFB8-469A-A8BC-CDE03DB042CB}">
          <x14:formula1>
            <xm:f>'Folha Oculta'!$AU$5:$AU$6</xm:f>
          </x14:formula1>
          <xm:sqref>B1002:B1202</xm:sqref>
        </x14:dataValidation>
        <x14:dataValidation type="list" allowBlank="1" showInputMessage="1" showErrorMessage="1" xr:uid="{5456F0AA-7932-42A7-A3D0-C39FFC09D0F8}">
          <x14:formula1>
            <xm:f>'Folha Oculta'!$AO$1:$AO$4</xm:f>
          </x14:formula1>
          <xm:sqref>A1206:A1406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C38A-266F-484A-B610-0D730BD45FAE}">
  <dimension ref="A1:BE309"/>
  <sheetViews>
    <sheetView topLeftCell="AJ43" workbookViewId="0">
      <selection activeCell="AT71" sqref="AT71"/>
    </sheetView>
  </sheetViews>
  <sheetFormatPr defaultRowHeight="15" x14ac:dyDescent="0.25"/>
  <cols>
    <col min="1" max="1" width="14.5703125" customWidth="1"/>
    <col min="2" max="2" width="10.7109375" customWidth="1"/>
    <col min="3" max="3" width="17.140625" customWidth="1"/>
    <col min="4" max="4" width="22.7109375" customWidth="1"/>
    <col min="5" max="5" width="5" customWidth="1"/>
    <col min="6" max="36" width="8.7109375" customWidth="1"/>
  </cols>
  <sheetData>
    <row r="1" spans="1:57" x14ac:dyDescent="0.25">
      <c r="A1" s="106" t="s">
        <v>1810</v>
      </c>
      <c r="B1" s="224" t="s">
        <v>7</v>
      </c>
      <c r="C1" s="224" t="s">
        <v>1809</v>
      </c>
      <c r="D1" s="106" t="s">
        <v>89</v>
      </c>
      <c r="E1" s="5"/>
      <c r="F1" s="233" t="s">
        <v>134</v>
      </c>
      <c r="G1" s="233" t="s">
        <v>101</v>
      </c>
      <c r="H1" s="233" t="s">
        <v>146</v>
      </c>
      <c r="I1" s="233" t="s">
        <v>162</v>
      </c>
      <c r="J1" s="233" t="s">
        <v>152</v>
      </c>
      <c r="K1" s="233" t="s">
        <v>232</v>
      </c>
      <c r="L1" s="234" t="s">
        <v>202</v>
      </c>
      <c r="M1" s="233" t="s">
        <v>94</v>
      </c>
      <c r="N1" s="234" t="s">
        <v>205</v>
      </c>
      <c r="O1" s="233" t="s">
        <v>114</v>
      </c>
      <c r="P1" s="234" t="s">
        <v>209</v>
      </c>
      <c r="Q1" s="234" t="s">
        <v>213</v>
      </c>
      <c r="R1" s="233" t="s">
        <v>157</v>
      </c>
      <c r="S1" s="233" t="s">
        <v>176</v>
      </c>
      <c r="T1" s="233" t="s">
        <v>130</v>
      </c>
      <c r="U1" s="234" t="s">
        <v>182</v>
      </c>
      <c r="V1" s="234" t="s">
        <v>189</v>
      </c>
      <c r="W1" s="234" t="s">
        <v>194</v>
      </c>
      <c r="X1" s="234" t="s">
        <v>217</v>
      </c>
      <c r="Y1" s="233" t="s">
        <v>118</v>
      </c>
      <c r="Z1" s="233" t="s">
        <v>137</v>
      </c>
      <c r="AA1" s="234" t="s">
        <v>198</v>
      </c>
      <c r="AB1" s="234" t="s">
        <v>220</v>
      </c>
      <c r="AC1" s="233" t="s">
        <v>169</v>
      </c>
      <c r="AD1" s="234" t="s">
        <v>223</v>
      </c>
      <c r="AE1" s="234" t="s">
        <v>226</v>
      </c>
      <c r="AF1" s="233" t="s">
        <v>1892</v>
      </c>
      <c r="AG1" s="234" t="s">
        <v>229</v>
      </c>
      <c r="AH1" s="233" t="s">
        <v>122</v>
      </c>
      <c r="AI1" s="233" t="s">
        <v>126</v>
      </c>
      <c r="AJ1" s="233" t="s">
        <v>166</v>
      </c>
      <c r="AL1" s="5" t="s">
        <v>14</v>
      </c>
      <c r="AM1" s="42">
        <f>IF('Registo de informação'!B10&lt;=10,Amostragem!C3,(IF('Registo de informação'!B10&lt;=25,Amostragem!C4,IF('Registo de informação'!B10&lt;=50,Amostragem!C5,IF('Registo de informação'!B10&lt;=100,Amostragem!C6,IF('Registo de informação'!B10&lt;=200,Amostragem!C7,IF('Registo de informação'!B10&lt;=400,Amostragem!C8,Amostragem!C9)))))))</f>
        <v>0.8</v>
      </c>
      <c r="AO1" s="32" t="s">
        <v>90</v>
      </c>
      <c r="AR1" s="32" t="s">
        <v>91</v>
      </c>
      <c r="AU1" t="s">
        <v>92</v>
      </c>
      <c r="AX1" t="s">
        <v>93</v>
      </c>
      <c r="BE1" t="s">
        <v>1748</v>
      </c>
    </row>
    <row r="2" spans="1:57" x14ac:dyDescent="0.25">
      <c r="A2" s="108" t="s">
        <v>94</v>
      </c>
      <c r="B2" s="108" t="s">
        <v>169</v>
      </c>
      <c r="C2" s="108" t="s">
        <v>95</v>
      </c>
      <c r="D2" t="s">
        <v>96</v>
      </c>
      <c r="F2" t="s">
        <v>102</v>
      </c>
      <c r="G2" s="108" t="s">
        <v>170</v>
      </c>
      <c r="H2" s="108" t="s">
        <v>221</v>
      </c>
      <c r="I2" s="108" t="s">
        <v>158</v>
      </c>
      <c r="J2" s="108" t="s">
        <v>271</v>
      </c>
      <c r="K2" s="108" t="s">
        <v>233</v>
      </c>
      <c r="L2" t="s">
        <v>202</v>
      </c>
      <c r="M2" s="108" t="s">
        <v>115</v>
      </c>
      <c r="N2" t="s">
        <v>1793</v>
      </c>
      <c r="O2" s="108" t="s">
        <v>123</v>
      </c>
      <c r="P2" s="22" t="s">
        <v>1794</v>
      </c>
      <c r="Q2" s="22" t="s">
        <v>1796</v>
      </c>
      <c r="R2" s="108" t="s">
        <v>110</v>
      </c>
      <c r="S2" s="108" t="s">
        <v>135</v>
      </c>
      <c r="T2" s="108" t="s">
        <v>153</v>
      </c>
      <c r="U2" s="22" t="s">
        <v>1783</v>
      </c>
      <c r="V2" s="22" t="s">
        <v>1791</v>
      </c>
      <c r="W2" s="22" t="s">
        <v>1792</v>
      </c>
      <c r="X2" s="22" t="s">
        <v>1797</v>
      </c>
      <c r="Y2" s="108" t="s">
        <v>203</v>
      </c>
      <c r="Z2" s="108" t="s">
        <v>218</v>
      </c>
      <c r="AA2" s="22" t="s">
        <v>198</v>
      </c>
      <c r="AB2" s="22" t="s">
        <v>1800</v>
      </c>
      <c r="AC2" s="108" t="s">
        <v>95</v>
      </c>
      <c r="AD2" s="22" t="s">
        <v>1783</v>
      </c>
      <c r="AE2" s="22" t="s">
        <v>1781</v>
      </c>
      <c r="AF2" s="108" t="s">
        <v>127</v>
      </c>
      <c r="AG2" s="22" t="s">
        <v>1807</v>
      </c>
      <c r="AH2" s="108" t="s">
        <v>230</v>
      </c>
      <c r="AI2" s="108" t="s">
        <v>163</v>
      </c>
      <c r="AJ2" s="108" t="s">
        <v>238</v>
      </c>
      <c r="AO2" s="32" t="s">
        <v>97</v>
      </c>
      <c r="AR2" s="32" t="s">
        <v>98</v>
      </c>
      <c r="AU2" t="s">
        <v>99</v>
      </c>
      <c r="AX2" t="s">
        <v>100</v>
      </c>
      <c r="BE2" t="s">
        <v>1749</v>
      </c>
    </row>
    <row r="3" spans="1:57" x14ac:dyDescent="0.25">
      <c r="A3" s="108" t="s">
        <v>101</v>
      </c>
      <c r="B3" s="108" t="s">
        <v>134</v>
      </c>
      <c r="C3" s="108" t="s">
        <v>102</v>
      </c>
      <c r="D3" t="s">
        <v>103</v>
      </c>
      <c r="F3" t="s">
        <v>119</v>
      </c>
      <c r="G3" s="108" t="s">
        <v>195</v>
      </c>
      <c r="H3" s="108" t="s">
        <v>259</v>
      </c>
      <c r="I3" s="108" t="s">
        <v>162</v>
      </c>
      <c r="J3" s="108" t="s">
        <v>152</v>
      </c>
      <c r="K3" s="108" t="s">
        <v>301</v>
      </c>
      <c r="L3" s="108"/>
      <c r="M3" s="108" t="s">
        <v>245</v>
      </c>
      <c r="N3" s="108"/>
      <c r="O3" s="108" t="s">
        <v>147</v>
      </c>
      <c r="P3" s="22" t="s">
        <v>1795</v>
      </c>
      <c r="Q3" s="108"/>
      <c r="R3" s="108" t="s">
        <v>183</v>
      </c>
      <c r="S3" s="108" t="s">
        <v>206</v>
      </c>
      <c r="T3" s="108" t="s">
        <v>214</v>
      </c>
      <c r="U3" s="22" t="s">
        <v>1784</v>
      </c>
      <c r="V3" s="108"/>
      <c r="W3" s="108"/>
      <c r="X3" s="22" t="s">
        <v>1798</v>
      </c>
      <c r="Y3" s="108" t="s">
        <v>249</v>
      </c>
      <c r="Z3" s="108" t="s">
        <v>258</v>
      </c>
      <c r="AA3" s="108"/>
      <c r="AB3" s="108"/>
      <c r="AC3" s="108" t="s">
        <v>131</v>
      </c>
      <c r="AD3" s="22" t="s">
        <v>1801</v>
      </c>
      <c r="AE3" s="22" t="s">
        <v>1802</v>
      </c>
      <c r="AF3" s="108" t="s">
        <v>138</v>
      </c>
      <c r="AG3" s="22" t="s">
        <v>1808</v>
      </c>
      <c r="AH3" s="108" t="s">
        <v>297</v>
      </c>
      <c r="AI3" s="108" t="s">
        <v>283</v>
      </c>
      <c r="AJ3" s="108" t="s">
        <v>305</v>
      </c>
      <c r="AM3" t="s">
        <v>104</v>
      </c>
      <c r="AO3" s="32" t="s">
        <v>105</v>
      </c>
      <c r="AR3" s="32" t="s">
        <v>106</v>
      </c>
      <c r="AU3" t="s">
        <v>107</v>
      </c>
      <c r="AX3" t="s">
        <v>108</v>
      </c>
      <c r="BE3" t="s">
        <v>1750</v>
      </c>
    </row>
    <row r="4" spans="1:57" x14ac:dyDescent="0.25">
      <c r="A4" s="108" t="s">
        <v>109</v>
      </c>
      <c r="B4" s="108" t="s">
        <v>157</v>
      </c>
      <c r="C4" s="108" t="s">
        <v>110</v>
      </c>
      <c r="D4" t="s">
        <v>111</v>
      </c>
      <c r="F4" t="s">
        <v>224</v>
      </c>
      <c r="G4" s="108" t="s">
        <v>210</v>
      </c>
      <c r="H4" s="108" t="s">
        <v>146</v>
      </c>
      <c r="I4" s="108" t="s">
        <v>303</v>
      </c>
      <c r="J4" s="108" t="s">
        <v>342</v>
      </c>
      <c r="K4" s="108" t="s">
        <v>232</v>
      </c>
      <c r="L4" s="108"/>
      <c r="M4" s="108" t="s">
        <v>281</v>
      </c>
      <c r="N4" s="108"/>
      <c r="O4" s="108" t="s">
        <v>167</v>
      </c>
      <c r="P4" s="108"/>
      <c r="Q4" s="108"/>
      <c r="R4" s="108" t="s">
        <v>328</v>
      </c>
      <c r="S4" s="108" t="s">
        <v>227</v>
      </c>
      <c r="T4" s="108" t="s">
        <v>251</v>
      </c>
      <c r="U4" s="22" t="s">
        <v>1785</v>
      </c>
      <c r="V4" s="108"/>
      <c r="W4" s="108"/>
      <c r="X4" s="22" t="s">
        <v>1799</v>
      </c>
      <c r="Y4" s="108" t="s">
        <v>254</v>
      </c>
      <c r="Z4" s="108" t="s">
        <v>370</v>
      </c>
      <c r="AA4" s="108"/>
      <c r="AB4" s="108"/>
      <c r="AC4" s="108" t="s">
        <v>190</v>
      </c>
      <c r="AD4" s="108"/>
      <c r="AE4" s="22" t="s">
        <v>1803</v>
      </c>
      <c r="AF4" s="108" t="s">
        <v>177</v>
      </c>
      <c r="AH4" s="108" t="s">
        <v>449</v>
      </c>
      <c r="AI4" s="108" t="s">
        <v>332</v>
      </c>
      <c r="AJ4" s="108" t="s">
        <v>320</v>
      </c>
      <c r="AM4" t="s">
        <v>112</v>
      </c>
      <c r="AO4" s="32" t="s">
        <v>47</v>
      </c>
      <c r="AR4" s="32" t="s">
        <v>113</v>
      </c>
      <c r="AX4" t="s">
        <v>45</v>
      </c>
      <c r="BE4" t="s">
        <v>1745</v>
      </c>
    </row>
    <row r="5" spans="1:57" x14ac:dyDescent="0.25">
      <c r="A5" s="108" t="s">
        <v>114</v>
      </c>
      <c r="B5" s="108" t="s">
        <v>94</v>
      </c>
      <c r="C5" s="108" t="s">
        <v>115</v>
      </c>
      <c r="D5" t="s">
        <v>116</v>
      </c>
      <c r="F5" t="s">
        <v>242</v>
      </c>
      <c r="G5" s="108" t="s">
        <v>261</v>
      </c>
      <c r="H5" s="108" t="s">
        <v>289</v>
      </c>
      <c r="I5" s="108" t="s">
        <v>384</v>
      </c>
      <c r="J5" s="108" t="s">
        <v>388</v>
      </c>
      <c r="K5" s="108" t="s">
        <v>337</v>
      </c>
      <c r="L5" s="108"/>
      <c r="M5" s="108" t="s">
        <v>362</v>
      </c>
      <c r="N5" s="108"/>
      <c r="O5" s="108" t="s">
        <v>323</v>
      </c>
      <c r="P5" s="108"/>
      <c r="Q5" s="108"/>
      <c r="R5" s="108" t="s">
        <v>378</v>
      </c>
      <c r="S5" s="108" t="s">
        <v>265</v>
      </c>
      <c r="T5" s="108" t="s">
        <v>256</v>
      </c>
      <c r="U5" s="22" t="s">
        <v>1786</v>
      </c>
      <c r="V5" s="108"/>
      <c r="W5" s="108"/>
      <c r="X5" s="108"/>
      <c r="Y5" s="108" t="s">
        <v>299</v>
      </c>
      <c r="Z5" s="108" t="s">
        <v>396</v>
      </c>
      <c r="AA5" s="108"/>
      <c r="AB5" s="108"/>
      <c r="AC5" s="108" t="s">
        <v>199</v>
      </c>
      <c r="AD5" s="108"/>
      <c r="AE5" s="22" t="s">
        <v>1804</v>
      </c>
      <c r="AF5" s="108" t="s">
        <v>263</v>
      </c>
      <c r="AH5" s="108" t="s">
        <v>469</v>
      </c>
      <c r="AI5" s="108" t="s">
        <v>453</v>
      </c>
      <c r="AJ5" s="108" t="s">
        <v>334</v>
      </c>
      <c r="AO5" s="32"/>
      <c r="AR5" s="32" t="s">
        <v>117</v>
      </c>
      <c r="AU5" t="s">
        <v>41</v>
      </c>
      <c r="AX5" t="s">
        <v>1731</v>
      </c>
      <c r="BE5" t="s">
        <v>1752</v>
      </c>
    </row>
    <row r="6" spans="1:57" x14ac:dyDescent="0.25">
      <c r="A6" s="108" t="s">
        <v>118</v>
      </c>
      <c r="B6" s="108" t="s">
        <v>134</v>
      </c>
      <c r="C6" s="108" t="s">
        <v>119</v>
      </c>
      <c r="D6" t="s">
        <v>103</v>
      </c>
      <c r="F6" t="s">
        <v>134</v>
      </c>
      <c r="G6" s="108" t="s">
        <v>101</v>
      </c>
      <c r="H6" s="108" t="s">
        <v>330</v>
      </c>
      <c r="I6" s="108" t="s">
        <v>427</v>
      </c>
      <c r="J6" s="108" t="s">
        <v>405</v>
      </c>
      <c r="K6" s="108" t="s">
        <v>376</v>
      </c>
      <c r="L6" s="108"/>
      <c r="M6" s="108" t="s">
        <v>94</v>
      </c>
      <c r="N6" s="108"/>
      <c r="O6" s="108" t="s">
        <v>114</v>
      </c>
      <c r="P6" s="108"/>
      <c r="Q6" s="108"/>
      <c r="R6" s="108" t="s">
        <v>382</v>
      </c>
      <c r="S6" s="108" t="s">
        <v>278</v>
      </c>
      <c r="T6" s="108" t="s">
        <v>292</v>
      </c>
      <c r="U6" s="22" t="s">
        <v>1787</v>
      </c>
      <c r="V6" s="108"/>
      <c r="W6" s="108"/>
      <c r="X6" s="108"/>
      <c r="Y6" s="108" t="s">
        <v>317</v>
      </c>
      <c r="Z6" s="108" t="s">
        <v>423</v>
      </c>
      <c r="AA6" s="108"/>
      <c r="AB6" s="108"/>
      <c r="AC6" s="108" t="s">
        <v>275</v>
      </c>
      <c r="AD6" s="108"/>
      <c r="AE6" s="22" t="s">
        <v>1805</v>
      </c>
      <c r="AF6" s="108" t="s">
        <v>400</v>
      </c>
      <c r="AH6" s="108" t="s">
        <v>531</v>
      </c>
      <c r="AI6" s="108" t="s">
        <v>473</v>
      </c>
      <c r="AJ6" s="108" t="s">
        <v>411</v>
      </c>
      <c r="AO6" t="s">
        <v>47</v>
      </c>
      <c r="AR6" s="32" t="s">
        <v>120</v>
      </c>
      <c r="AU6" t="s">
        <v>121</v>
      </c>
      <c r="AX6" t="s">
        <v>1742</v>
      </c>
      <c r="BE6" t="s">
        <v>1751</v>
      </c>
    </row>
    <row r="7" spans="1:57" x14ac:dyDescent="0.25">
      <c r="A7" s="108" t="s">
        <v>122</v>
      </c>
      <c r="B7" s="108" t="s">
        <v>114</v>
      </c>
      <c r="C7" s="108" t="s">
        <v>123</v>
      </c>
      <c r="D7" t="s">
        <v>124</v>
      </c>
      <c r="F7" t="s">
        <v>315</v>
      </c>
      <c r="G7" s="108" t="s">
        <v>326</v>
      </c>
      <c r="H7" s="108" t="s">
        <v>355</v>
      </c>
      <c r="I7" s="108" t="s">
        <v>459</v>
      </c>
      <c r="J7" s="108" t="s">
        <v>507</v>
      </c>
      <c r="K7" s="108" t="s">
        <v>392</v>
      </c>
      <c r="L7" s="108"/>
      <c r="M7" s="108" t="s">
        <v>479</v>
      </c>
      <c r="N7" s="108"/>
      <c r="O7" s="108" t="s">
        <v>1781</v>
      </c>
      <c r="P7" s="108"/>
      <c r="Q7" s="108"/>
      <c r="R7" s="108" t="s">
        <v>398</v>
      </c>
      <c r="S7" s="108" t="s">
        <v>295</v>
      </c>
      <c r="T7" s="108" t="s">
        <v>310</v>
      </c>
      <c r="U7" s="22" t="s">
        <v>1788</v>
      </c>
      <c r="V7" s="108"/>
      <c r="W7" s="108"/>
      <c r="X7" s="108"/>
      <c r="Y7" s="108" t="s">
        <v>344</v>
      </c>
      <c r="Z7" s="108" t="s">
        <v>431</v>
      </c>
      <c r="AA7" s="108"/>
      <c r="AB7" s="108"/>
      <c r="AC7" s="108" t="s">
        <v>308</v>
      </c>
      <c r="AD7" s="108"/>
      <c r="AE7" s="22" t="s">
        <v>1806</v>
      </c>
      <c r="AF7" s="108" t="s">
        <v>467</v>
      </c>
      <c r="AH7" s="108" t="s">
        <v>555</v>
      </c>
      <c r="AI7" s="108" t="s">
        <v>477</v>
      </c>
      <c r="AJ7" s="108" t="s">
        <v>433</v>
      </c>
      <c r="AL7" s="108" t="s">
        <v>1824</v>
      </c>
      <c r="AO7" s="32" t="s">
        <v>46</v>
      </c>
      <c r="AR7" s="32" t="s">
        <v>125</v>
      </c>
      <c r="BE7" t="s">
        <v>1746</v>
      </c>
    </row>
    <row r="8" spans="1:57" x14ac:dyDescent="0.25">
      <c r="A8" s="108" t="s">
        <v>126</v>
      </c>
      <c r="B8" s="108" t="s">
        <v>109</v>
      </c>
      <c r="C8" s="108" t="s">
        <v>127</v>
      </c>
      <c r="D8" t="s">
        <v>128</v>
      </c>
      <c r="F8" t="s">
        <v>352</v>
      </c>
      <c r="G8" s="108" t="s">
        <v>346</v>
      </c>
      <c r="H8" s="108" t="s">
        <v>367</v>
      </c>
      <c r="I8" s="108" t="s">
        <v>461</v>
      </c>
      <c r="J8" s="108" t="s">
        <v>541</v>
      </c>
      <c r="K8" s="108" t="s">
        <v>421</v>
      </c>
      <c r="L8" s="22"/>
      <c r="M8" s="108" t="s">
        <v>485</v>
      </c>
      <c r="N8" s="22"/>
      <c r="O8" s="108" t="s">
        <v>409</v>
      </c>
      <c r="P8" s="22"/>
      <c r="Q8" s="22"/>
      <c r="R8" s="108" t="s">
        <v>157</v>
      </c>
      <c r="S8" s="108" t="s">
        <v>312</v>
      </c>
      <c r="T8" s="108" t="s">
        <v>130</v>
      </c>
      <c r="U8" s="22" t="s">
        <v>1789</v>
      </c>
      <c r="V8" s="22"/>
      <c r="W8" s="22"/>
      <c r="X8" s="22"/>
      <c r="Y8" s="108" t="s">
        <v>348</v>
      </c>
      <c r="Z8" s="108" t="s">
        <v>437</v>
      </c>
      <c r="AA8" s="22"/>
      <c r="AB8" s="22"/>
      <c r="AC8" s="108" t="s">
        <v>331</v>
      </c>
      <c r="AD8" s="22"/>
      <c r="AE8" s="22"/>
      <c r="AF8" s="108" t="s">
        <v>483</v>
      </c>
      <c r="AH8" s="108" t="s">
        <v>557</v>
      </c>
      <c r="AI8" s="108" t="s">
        <v>492</v>
      </c>
      <c r="AJ8" s="108" t="s">
        <v>465</v>
      </c>
      <c r="AL8" s="108" t="s">
        <v>1825</v>
      </c>
      <c r="AR8" s="32" t="s">
        <v>129</v>
      </c>
      <c r="BE8" t="s">
        <v>1753</v>
      </c>
    </row>
    <row r="9" spans="1:57" x14ac:dyDescent="0.25">
      <c r="A9" s="108" t="s">
        <v>130</v>
      </c>
      <c r="B9" s="108" t="s">
        <v>169</v>
      </c>
      <c r="C9" s="108" t="s">
        <v>131</v>
      </c>
      <c r="D9" t="s">
        <v>132</v>
      </c>
      <c r="F9" t="s">
        <v>359</v>
      </c>
      <c r="G9" s="108" t="s">
        <v>372</v>
      </c>
      <c r="H9" s="108" t="s">
        <v>403</v>
      </c>
      <c r="I9" s="108" t="s">
        <v>463</v>
      </c>
      <c r="J9" s="108" t="s">
        <v>573</v>
      </c>
      <c r="K9" s="108" t="s">
        <v>455</v>
      </c>
      <c r="L9" s="108"/>
      <c r="M9" s="108" t="s">
        <v>490</v>
      </c>
      <c r="N9" s="108"/>
      <c r="O9" s="108" t="s">
        <v>415</v>
      </c>
      <c r="P9" s="108"/>
      <c r="Q9" s="108"/>
      <c r="R9" s="108" t="s">
        <v>435</v>
      </c>
      <c r="S9" s="108" t="s">
        <v>380</v>
      </c>
      <c r="T9" s="108" t="s">
        <v>417</v>
      </c>
      <c r="U9" s="22" t="s">
        <v>1790</v>
      </c>
      <c r="V9" s="108"/>
      <c r="W9" s="108"/>
      <c r="X9" s="108"/>
      <c r="Y9" s="108" t="s">
        <v>386</v>
      </c>
      <c r="Z9" s="108" t="s">
        <v>443</v>
      </c>
      <c r="AA9" s="108"/>
      <c r="AB9" s="108"/>
      <c r="AC9" s="108" t="s">
        <v>339</v>
      </c>
      <c r="AD9" s="108"/>
      <c r="AE9" s="108"/>
      <c r="AF9" s="108" t="s">
        <v>525</v>
      </c>
      <c r="AH9" s="108" t="s">
        <v>661</v>
      </c>
      <c r="AI9" s="108" t="s">
        <v>549</v>
      </c>
      <c r="AJ9" s="108" t="s">
        <v>487</v>
      </c>
      <c r="AL9" s="108" t="s">
        <v>1826</v>
      </c>
      <c r="AR9" s="32" t="s">
        <v>133</v>
      </c>
      <c r="BE9" t="s">
        <v>1754</v>
      </c>
    </row>
    <row r="10" spans="1:57" x14ac:dyDescent="0.25">
      <c r="A10" s="108" t="s">
        <v>134</v>
      </c>
      <c r="B10" s="108" t="s">
        <v>176</v>
      </c>
      <c r="C10" s="108" t="s">
        <v>135</v>
      </c>
      <c r="D10" t="s">
        <v>136</v>
      </c>
      <c r="F10" t="s">
        <v>407</v>
      </c>
      <c r="G10" s="108" t="s">
        <v>451</v>
      </c>
      <c r="H10" s="108" t="s">
        <v>569</v>
      </c>
      <c r="I10" s="108" t="s">
        <v>650</v>
      </c>
      <c r="J10" s="108" t="s">
        <v>620</v>
      </c>
      <c r="K10" s="108" t="s">
        <v>457</v>
      </c>
      <c r="L10" s="22"/>
      <c r="M10" s="108" t="s">
        <v>562</v>
      </c>
      <c r="N10" s="22"/>
      <c r="O10" s="108" t="s">
        <v>471</v>
      </c>
      <c r="P10" s="22"/>
      <c r="Q10" s="22"/>
      <c r="R10" s="108" t="s">
        <v>447</v>
      </c>
      <c r="S10" s="108" t="s">
        <v>176</v>
      </c>
      <c r="T10" s="108" t="s">
        <v>419</v>
      </c>
      <c r="U10" s="22"/>
      <c r="V10" s="22"/>
      <c r="W10" s="22"/>
      <c r="X10" s="22"/>
      <c r="Y10" s="108" t="s">
        <v>390</v>
      </c>
      <c r="Z10" s="108" t="s">
        <v>523</v>
      </c>
      <c r="AA10" s="22"/>
      <c r="AB10" s="22"/>
      <c r="AC10" s="108" t="s">
        <v>341</v>
      </c>
      <c r="AD10" s="22"/>
      <c r="AE10" s="22"/>
      <c r="AF10" s="108" t="s">
        <v>596</v>
      </c>
      <c r="AH10" s="108" t="s">
        <v>122</v>
      </c>
      <c r="AI10" s="108" t="s">
        <v>581</v>
      </c>
      <c r="AJ10" s="108" t="s">
        <v>497</v>
      </c>
      <c r="BE10" t="s">
        <v>1755</v>
      </c>
    </row>
    <row r="11" spans="1:57" ht="15.75" x14ac:dyDescent="0.25">
      <c r="A11" s="108" t="s">
        <v>137</v>
      </c>
      <c r="B11" s="108" t="s">
        <v>109</v>
      </c>
      <c r="C11" s="108" t="s">
        <v>138</v>
      </c>
      <c r="D11" t="s">
        <v>139</v>
      </c>
      <c r="F11" t="s">
        <v>445</v>
      </c>
      <c r="G11" s="108" t="s">
        <v>488</v>
      </c>
      <c r="H11" s="108" t="s">
        <v>645</v>
      </c>
      <c r="I11" s="108" t="s">
        <v>682</v>
      </c>
      <c r="J11" s="108" t="s">
        <v>676</v>
      </c>
      <c r="K11" s="108" t="s">
        <v>481</v>
      </c>
      <c r="L11" s="108"/>
      <c r="M11" s="108" t="s">
        <v>575</v>
      </c>
      <c r="N11" s="108"/>
      <c r="O11" s="108" t="s">
        <v>509</v>
      </c>
      <c r="P11" s="108"/>
      <c r="Q11" s="108"/>
      <c r="R11" s="108" t="s">
        <v>551</v>
      </c>
      <c r="S11" s="108" t="s">
        <v>439</v>
      </c>
      <c r="T11" s="108" t="s">
        <v>429</v>
      </c>
      <c r="U11" s="108"/>
      <c r="V11" s="108"/>
      <c r="W11" s="108"/>
      <c r="X11" s="108"/>
      <c r="Y11" s="108" t="s">
        <v>441</v>
      </c>
      <c r="Z11" s="108" t="s">
        <v>529</v>
      </c>
      <c r="AA11" s="108"/>
      <c r="AB11" s="108"/>
      <c r="AC11" s="108" t="s">
        <v>350</v>
      </c>
      <c r="AD11" s="108"/>
      <c r="AE11" s="108"/>
      <c r="AF11" s="108" t="s">
        <v>614</v>
      </c>
      <c r="AH11" s="108" t="s">
        <v>688</v>
      </c>
      <c r="AI11" s="108" t="s">
        <v>585</v>
      </c>
      <c r="AJ11" s="108" t="s">
        <v>513</v>
      </c>
      <c r="AN11" s="112" t="s">
        <v>140</v>
      </c>
      <c r="AR11" s="111"/>
      <c r="AT11" s="112" t="s">
        <v>141</v>
      </c>
      <c r="AU11" t="s">
        <v>142</v>
      </c>
      <c r="AV11" t="s">
        <v>143</v>
      </c>
      <c r="AW11" t="s">
        <v>144</v>
      </c>
      <c r="AY11" s="112" t="s">
        <v>145</v>
      </c>
      <c r="BA11" t="s">
        <v>142</v>
      </c>
      <c r="BB11" t="s">
        <v>143</v>
      </c>
      <c r="BC11" t="s">
        <v>144</v>
      </c>
      <c r="BE11" t="s">
        <v>1747</v>
      </c>
    </row>
    <row r="12" spans="1:57" x14ac:dyDescent="0.25">
      <c r="A12" s="108" t="s">
        <v>146</v>
      </c>
      <c r="B12" s="108" t="s">
        <v>114</v>
      </c>
      <c r="C12" s="108" t="s">
        <v>147</v>
      </c>
      <c r="D12" t="s">
        <v>148</v>
      </c>
      <c r="F12" t="s">
        <v>494</v>
      </c>
      <c r="G12" s="108" t="s">
        <v>503</v>
      </c>
      <c r="H12" s="108" t="s">
        <v>674</v>
      </c>
      <c r="I12" s="108" t="s">
        <v>710</v>
      </c>
      <c r="J12" s="108" t="s">
        <v>704</v>
      </c>
      <c r="K12" s="108" t="s">
        <v>516</v>
      </c>
      <c r="L12" s="22"/>
      <c r="M12" s="108" t="s">
        <v>577</v>
      </c>
      <c r="N12" s="22"/>
      <c r="O12" s="108" t="s">
        <v>564</v>
      </c>
      <c r="P12" s="22"/>
      <c r="Q12" s="22"/>
      <c r="R12" s="108" t="s">
        <v>587</v>
      </c>
      <c r="S12" s="108" t="s">
        <v>495</v>
      </c>
      <c r="T12" s="108" t="s">
        <v>505</v>
      </c>
      <c r="U12" s="22"/>
      <c r="V12" s="22"/>
      <c r="W12" s="22"/>
      <c r="X12" s="22"/>
      <c r="Y12" s="108" t="s">
        <v>475</v>
      </c>
      <c r="Z12" s="108" t="s">
        <v>537</v>
      </c>
      <c r="AA12" s="22"/>
      <c r="AB12" s="22"/>
      <c r="AC12" s="108" t="s">
        <v>374</v>
      </c>
      <c r="AD12" s="22"/>
      <c r="AE12" s="22"/>
      <c r="AF12" s="108" t="s">
        <v>622</v>
      </c>
      <c r="AI12" s="108" t="s">
        <v>593</v>
      </c>
      <c r="AJ12" s="108" t="s">
        <v>539</v>
      </c>
      <c r="AN12" t="s">
        <v>149</v>
      </c>
      <c r="AO12">
        <f>COUNTIFS('Registo de informação'!B1441:B1465,"&lt;=5")</f>
        <v>0</v>
      </c>
      <c r="AR12" s="5"/>
      <c r="AT12" t="s">
        <v>150</v>
      </c>
      <c r="AU12">
        <f>COUNTIFS('Registo de informação'!A1206:A1406,'Folha Oculta'!AO4,'Registo de informação'!C1206:C1406,"&lt;=8")</f>
        <v>0</v>
      </c>
      <c r="AV12">
        <f>COUNTIFS('Registo de informação'!A1206:A1406,'Folha Oculta'!AO4,'Registo de informação'!C1206:C1406,"&gt;8",'Registo de informação'!C1206:C1406,"&lt;=12")</f>
        <v>0</v>
      </c>
      <c r="AW12">
        <f>COUNTIFS('Registo de informação'!A1206:A1406,'Folha Oculta'!AO4,'Registo de informação'!C1206:C1406,"&gt;12")</f>
        <v>0</v>
      </c>
      <c r="AY12" s="32" t="s">
        <v>151</v>
      </c>
      <c r="AZ12">
        <f>COUNTIF('Registo de informação'!A1206:A1406,"Máquina de lavar loiça fechada, especializada para pratos, copos e outros utensílios")</f>
        <v>0</v>
      </c>
      <c r="BA12">
        <f>COUNTIFS('Registo de informação'!A1206:A1406,"&lt;&gt;Máquina de lavar roupa",'Registo de informação'!C1206:C1406,"&lt;=8")</f>
        <v>0</v>
      </c>
      <c r="BB12">
        <f>COUNTIFS('Registo de informação'!A1206:A1406,"&lt;&gt;Máquina de lavar roupa",'Registo de informação'!C1206:C1406,"&lt;=12",'Registo de informação'!C1206:C1406,"&gt;8")</f>
        <v>0</v>
      </c>
      <c r="BC12">
        <f>COUNTIFS('Registo de informação'!A1206:A1406,"&lt;&gt;Máquina de lavar roupa",'Registo de informação'!C1206:C1406,"&gt;12")</f>
        <v>0</v>
      </c>
      <c r="BE12" t="s">
        <v>1880</v>
      </c>
    </row>
    <row r="13" spans="1:57" x14ac:dyDescent="0.25">
      <c r="A13" s="108" t="s">
        <v>152</v>
      </c>
      <c r="B13" s="108" t="s">
        <v>130</v>
      </c>
      <c r="C13" s="108" t="s">
        <v>153</v>
      </c>
      <c r="D13" t="s">
        <v>154</v>
      </c>
      <c r="F13" t="s">
        <v>511</v>
      </c>
      <c r="G13" s="108" t="s">
        <v>520</v>
      </c>
      <c r="H13" s="108" t="s">
        <v>690</v>
      </c>
      <c r="I13" s="108" t="s">
        <v>712</v>
      </c>
      <c r="K13" s="108" t="s">
        <v>527</v>
      </c>
      <c r="L13" s="22"/>
      <c r="M13" s="108" t="s">
        <v>667</v>
      </c>
      <c r="N13" s="22"/>
      <c r="O13" s="108" t="s">
        <v>600</v>
      </c>
      <c r="P13" s="22"/>
      <c r="Q13" s="22"/>
      <c r="R13" s="108" t="s">
        <v>612</v>
      </c>
      <c r="S13" s="108" t="s">
        <v>501</v>
      </c>
      <c r="T13" s="108" t="s">
        <v>506</v>
      </c>
      <c r="U13" s="22"/>
      <c r="V13" s="22"/>
      <c r="W13" s="22"/>
      <c r="X13" s="22"/>
      <c r="Y13" s="108" t="s">
        <v>499</v>
      </c>
      <c r="Z13" s="108" t="s">
        <v>137</v>
      </c>
      <c r="AA13" s="22"/>
      <c r="AB13" s="22"/>
      <c r="AC13" s="108" t="s">
        <v>394</v>
      </c>
      <c r="AD13" s="22"/>
      <c r="AE13" s="22"/>
      <c r="AF13" s="108" t="s">
        <v>109</v>
      </c>
      <c r="AI13" s="108" t="s">
        <v>665</v>
      </c>
      <c r="AJ13" s="108" t="s">
        <v>543</v>
      </c>
      <c r="AN13" t="s">
        <v>155</v>
      </c>
      <c r="AO13">
        <f>COUNTIFS('Registo de informação'!B1441:B1465,"&lt;=15",'Registo de informação'!B1441:B1465,"&gt;5")</f>
        <v>0</v>
      </c>
      <c r="AR13" s="5"/>
      <c r="AT13">
        <f>COUNTIF('Registo de informação'!A1206:A1406,'Folha Oculta'!AO4)</f>
        <v>0</v>
      </c>
      <c r="AY13" s="32" t="s">
        <v>156</v>
      </c>
      <c r="AZ13">
        <f>COUNTIF('Registo de informação'!A1206:A1406,"Máquina de lavar loiça fechada para uso geral")</f>
        <v>0</v>
      </c>
      <c r="BE13" t="s">
        <v>133</v>
      </c>
    </row>
    <row r="14" spans="1:57" x14ac:dyDescent="0.25">
      <c r="A14" s="108" t="s">
        <v>157</v>
      </c>
      <c r="B14" s="108" t="s">
        <v>162</v>
      </c>
      <c r="C14" s="108" t="s">
        <v>158</v>
      </c>
      <c r="D14" t="s">
        <v>159</v>
      </c>
      <c r="F14" t="s">
        <v>515</v>
      </c>
      <c r="G14" s="108" t="s">
        <v>618</v>
      </c>
      <c r="H14" s="108" t="s">
        <v>706</v>
      </c>
      <c r="K14" s="108" t="s">
        <v>535</v>
      </c>
      <c r="L14" s="108"/>
      <c r="M14" s="108" t="s">
        <v>669</v>
      </c>
      <c r="N14" s="108"/>
      <c r="O14" s="108" t="s">
        <v>626</v>
      </c>
      <c r="P14" s="108"/>
      <c r="Q14" s="108"/>
      <c r="R14" s="108" t="s">
        <v>655</v>
      </c>
      <c r="S14" s="108" t="s">
        <v>533</v>
      </c>
      <c r="T14" s="108" t="s">
        <v>630</v>
      </c>
      <c r="U14" s="108"/>
      <c r="V14" s="108"/>
      <c r="W14" s="108"/>
      <c r="X14" s="108"/>
      <c r="Y14" s="108" t="s">
        <v>559</v>
      </c>
      <c r="Z14" s="108" t="s">
        <v>571</v>
      </c>
      <c r="AA14" s="108"/>
      <c r="AB14" s="108"/>
      <c r="AC14" s="108" t="s">
        <v>425</v>
      </c>
      <c r="AD14" s="108"/>
      <c r="AE14" s="108"/>
      <c r="AF14" s="108" t="s">
        <v>628</v>
      </c>
      <c r="AG14" s="108"/>
      <c r="AH14" s="108"/>
      <c r="AI14" s="108" t="s">
        <v>699</v>
      </c>
      <c r="AJ14" s="108" t="s">
        <v>579</v>
      </c>
      <c r="AN14" t="s">
        <v>160</v>
      </c>
      <c r="AO14">
        <f>COUNTIFS('Registo de informação'!B1441:B1465,"&gt;15")</f>
        <v>0</v>
      </c>
      <c r="AR14" s="5"/>
      <c r="AY14" s="32" t="s">
        <v>161</v>
      </c>
      <c r="AZ14">
        <f>COUNTIF('Registo de informação'!A1206:A1406,"Máquina de lavar loiça por tapete rolante")</f>
        <v>0</v>
      </c>
    </row>
    <row r="15" spans="1:57" x14ac:dyDescent="0.25">
      <c r="A15" s="108" t="s">
        <v>162</v>
      </c>
      <c r="B15" s="108" t="s">
        <v>126</v>
      </c>
      <c r="C15" s="108" t="s">
        <v>163</v>
      </c>
      <c r="D15" t="s">
        <v>164</v>
      </c>
      <c r="F15" t="s">
        <v>522</v>
      </c>
      <c r="G15" s="108" t="s">
        <v>672</v>
      </c>
      <c r="H15" s="108" t="s">
        <v>715</v>
      </c>
      <c r="K15" s="108" t="s">
        <v>545</v>
      </c>
      <c r="L15" s="108"/>
      <c r="M15" s="108" t="s">
        <v>708</v>
      </c>
      <c r="N15" s="108"/>
      <c r="O15" s="108" t="s">
        <v>643</v>
      </c>
      <c r="P15" s="108"/>
      <c r="Q15" s="108"/>
      <c r="R15" s="108" t="s">
        <v>1782</v>
      </c>
      <c r="S15" s="108" t="s">
        <v>547</v>
      </c>
      <c r="T15" s="108" t="s">
        <v>632</v>
      </c>
      <c r="U15" s="108"/>
      <c r="V15" s="108"/>
      <c r="W15" s="108"/>
      <c r="X15" s="108"/>
      <c r="Y15" s="108" t="s">
        <v>118</v>
      </c>
      <c r="Z15" s="108" t="s">
        <v>598</v>
      </c>
      <c r="AA15" s="108"/>
      <c r="AB15" s="108"/>
      <c r="AC15" s="108" t="s">
        <v>518</v>
      </c>
      <c r="AD15" s="108"/>
      <c r="AE15" s="108"/>
      <c r="AG15" s="108"/>
      <c r="AH15" s="108"/>
      <c r="AI15" s="108" t="s">
        <v>126</v>
      </c>
      <c r="AJ15" s="108" t="s">
        <v>590</v>
      </c>
      <c r="AN15" s="123" t="s">
        <v>165</v>
      </c>
      <c r="AO15" s="117">
        <f>SUM(AO12:AO14)</f>
        <v>0</v>
      </c>
      <c r="AZ15" s="117">
        <f>SUM(AZ12:AZ14)</f>
        <v>0</v>
      </c>
    </row>
    <row r="16" spans="1:57" x14ac:dyDescent="0.25">
      <c r="A16" s="108" t="s">
        <v>166</v>
      </c>
      <c r="B16" s="108" t="s">
        <v>114</v>
      </c>
      <c r="C16" s="108" t="s">
        <v>167</v>
      </c>
      <c r="D16" t="s">
        <v>168</v>
      </c>
      <c r="F16" t="s">
        <v>591</v>
      </c>
      <c r="G16" s="108"/>
      <c r="H16" s="108"/>
      <c r="K16" s="108" t="s">
        <v>634</v>
      </c>
      <c r="L16" s="108"/>
      <c r="N16" s="108"/>
      <c r="O16" s="108" t="s">
        <v>678</v>
      </c>
      <c r="P16" s="108"/>
      <c r="Q16" s="108"/>
      <c r="S16" s="108" t="s">
        <v>553</v>
      </c>
      <c r="T16" s="108" t="s">
        <v>653</v>
      </c>
      <c r="U16" s="108"/>
      <c r="V16" s="108"/>
      <c r="W16" s="108"/>
      <c r="X16" s="108"/>
      <c r="Y16" s="108" t="s">
        <v>636</v>
      </c>
      <c r="Z16" s="108" t="s">
        <v>657</v>
      </c>
      <c r="AA16" s="108"/>
      <c r="AB16" s="108"/>
      <c r="AC16" s="108" t="s">
        <v>583</v>
      </c>
      <c r="AD16" s="108"/>
      <c r="AE16" s="108"/>
      <c r="AG16" s="108"/>
      <c r="AH16" s="108"/>
      <c r="AJ16" s="108" t="s">
        <v>604</v>
      </c>
    </row>
    <row r="17" spans="1:55" x14ac:dyDescent="0.25">
      <c r="A17" s="108" t="s">
        <v>169</v>
      </c>
      <c r="B17" s="108" t="s">
        <v>101</v>
      </c>
      <c r="C17" s="108" t="s">
        <v>170</v>
      </c>
      <c r="D17" t="s">
        <v>171</v>
      </c>
      <c r="F17" t="s">
        <v>602</v>
      </c>
      <c r="H17" s="22"/>
      <c r="K17" s="108" t="s">
        <v>638</v>
      </c>
      <c r="L17" s="22"/>
      <c r="N17" s="22"/>
      <c r="O17" s="108" t="s">
        <v>702</v>
      </c>
      <c r="P17" s="22"/>
      <c r="Q17" s="22"/>
      <c r="S17" s="108" t="s">
        <v>567</v>
      </c>
      <c r="T17" s="108" t="s">
        <v>684</v>
      </c>
      <c r="U17" s="22"/>
      <c r="V17" s="22"/>
      <c r="W17" s="22"/>
      <c r="X17" s="22"/>
      <c r="Z17" s="108" t="s">
        <v>663</v>
      </c>
      <c r="AA17" s="22"/>
      <c r="AB17" s="22"/>
      <c r="AC17" s="108" t="s">
        <v>589</v>
      </c>
      <c r="AD17" s="22"/>
      <c r="AE17" s="22"/>
      <c r="AG17" s="22"/>
      <c r="AH17" s="22"/>
      <c r="AJ17" s="108" t="s">
        <v>606</v>
      </c>
    </row>
    <row r="18" spans="1:55" ht="15.75" x14ac:dyDescent="0.25">
      <c r="A18" s="108" t="s">
        <v>176</v>
      </c>
      <c r="B18" s="108" t="s">
        <v>109</v>
      </c>
      <c r="C18" s="108" t="s">
        <v>177</v>
      </c>
      <c r="D18" t="s">
        <v>178</v>
      </c>
      <c r="F18" t="s">
        <v>625</v>
      </c>
      <c r="H18" s="22"/>
      <c r="K18" s="108" t="s">
        <v>697</v>
      </c>
      <c r="L18" s="22"/>
      <c r="N18" s="22"/>
      <c r="P18" s="22"/>
      <c r="Q18" s="22"/>
      <c r="R18" s="22"/>
      <c r="S18" s="22"/>
      <c r="U18" s="22"/>
      <c r="V18" s="22"/>
      <c r="W18" s="22"/>
      <c r="X18" s="22"/>
      <c r="Z18" s="108" t="s">
        <v>680</v>
      </c>
      <c r="AA18" s="22"/>
      <c r="AB18" s="22"/>
      <c r="AC18" s="108" t="s">
        <v>169</v>
      </c>
      <c r="AD18" s="22"/>
      <c r="AE18" s="22"/>
      <c r="AG18" s="22"/>
      <c r="AH18" s="22"/>
      <c r="AJ18" s="108" t="s">
        <v>610</v>
      </c>
      <c r="AN18" s="112" t="s">
        <v>45</v>
      </c>
      <c r="AQ18" s="123" t="s">
        <v>179</v>
      </c>
      <c r="AR18">
        <f>SUMIFS('Registo de informação'!C798:C998,'Registo de informação'!B798:B998,'Folha Oculta'!AX4,'Registo de informação'!I798:I998,'Folha Oculta'!AM3)</f>
        <v>0</v>
      </c>
      <c r="AT18" s="124" t="s">
        <v>208</v>
      </c>
      <c r="AU18">
        <f>SUMIFS('Registo de informação'!C798:C998,'Registo de informação'!B798:B998,'Folha Oculta'!AX4,'Registo de informação'!N798:N998,"&lt;=8")</f>
        <v>0</v>
      </c>
      <c r="AV18" s="117"/>
      <c r="AW18" s="123" t="s">
        <v>174</v>
      </c>
      <c r="AX18">
        <f>SUMIFS('Registo de informação'!C798:C998,'Registo de informação'!B798:B998,'Folha Oculta'!AX4,'Registo de informação'!G798:G998,'Folha Oculta'!AU1)</f>
        <v>0</v>
      </c>
      <c r="AZ18" s="123" t="s">
        <v>175</v>
      </c>
      <c r="BA18">
        <f>SUMIFS('Registo de informação'!C798:C998,'Registo de informação'!B798:B998,'Folha Oculta'!AX4,'Registo de informação'!F798:F998,"&lt;=5")</f>
        <v>0</v>
      </c>
      <c r="BB18" s="117"/>
      <c r="BC18" s="117"/>
    </row>
    <row r="19" spans="1:55" x14ac:dyDescent="0.25">
      <c r="A19" s="22" t="s">
        <v>182</v>
      </c>
      <c r="B19" s="108" t="s">
        <v>157</v>
      </c>
      <c r="C19" s="108" t="s">
        <v>183</v>
      </c>
      <c r="D19" t="s">
        <v>184</v>
      </c>
      <c r="F19" t="s">
        <v>658</v>
      </c>
      <c r="H19" s="22"/>
      <c r="K19" s="108"/>
      <c r="L19" s="22"/>
      <c r="M19" s="22"/>
      <c r="N19" s="22"/>
      <c r="P19" s="22"/>
      <c r="Q19" s="22"/>
      <c r="R19" s="22"/>
      <c r="S19" s="108"/>
      <c r="U19" s="22"/>
      <c r="V19" s="22"/>
      <c r="W19" s="22"/>
      <c r="X19" s="22"/>
      <c r="Z19" s="108" t="s">
        <v>693</v>
      </c>
      <c r="AA19" s="22"/>
      <c r="AB19" s="22"/>
      <c r="AC19" s="108" t="s">
        <v>608</v>
      </c>
      <c r="AD19" s="22"/>
      <c r="AE19" s="22"/>
      <c r="AG19" s="22"/>
      <c r="AH19" s="22"/>
      <c r="AJ19" s="108" t="s">
        <v>616</v>
      </c>
      <c r="AN19" t="s">
        <v>150</v>
      </c>
      <c r="AO19">
        <f>SUMIFS('Registo de informação'!C798:C998,'Registo de informação'!B798:B998,'Folha Oculta'!AX4)</f>
        <v>0</v>
      </c>
      <c r="AQ19" s="123" t="s">
        <v>185</v>
      </c>
      <c r="AR19">
        <f>SUMIFS('Registo de informação'!C798:C998,'Registo de informação'!B798:B998,'Folha Oculta'!AX4,'Registo de informação'!J798:J998,'Folha Oculta'!AM3)</f>
        <v>0</v>
      </c>
      <c r="AT19" s="123" t="s">
        <v>212</v>
      </c>
      <c r="AU19">
        <f>SUMIFS('Registo de informação'!C798:C998,'Registo de informação'!B798:B998,'Folha Oculta'!AX4,'Registo de informação'!N798:N998,"&lt;=12",'Registo de informação'!N798:N998,"&gt;8")</f>
        <v>0</v>
      </c>
      <c r="AW19" s="123" t="s">
        <v>181</v>
      </c>
      <c r="AX19">
        <f>SUMIFS('Registo de informação'!C798:C998,'Registo de informação'!B798:B998,'Folha Oculta'!AX4,'Registo de informação'!G798:G998,AU2)</f>
        <v>0</v>
      </c>
      <c r="AZ19" s="123" t="s">
        <v>155</v>
      </c>
      <c r="BA19">
        <f>SUMIFS('Registo de informação'!C798:C998,'Registo de informação'!B798:B998,'Folha Oculta'!AX4,'Registo de informação'!F798:F998,"&lt;=15",'Registo de informação'!F798:F998,"&gt;5")</f>
        <v>0</v>
      </c>
    </row>
    <row r="20" spans="1:55" x14ac:dyDescent="0.25">
      <c r="A20" s="22" t="s">
        <v>189</v>
      </c>
      <c r="B20" s="108" t="s">
        <v>169</v>
      </c>
      <c r="C20" s="108" t="s">
        <v>190</v>
      </c>
      <c r="D20" t="s">
        <v>191</v>
      </c>
      <c r="F20" t="s">
        <v>659</v>
      </c>
      <c r="H20" s="108"/>
      <c r="K20" s="108"/>
      <c r="L20" s="108"/>
      <c r="M20" s="108"/>
      <c r="N20" s="108"/>
      <c r="P20" s="108"/>
      <c r="Q20" s="108"/>
      <c r="R20" s="108"/>
      <c r="S20" s="22"/>
      <c r="U20" s="108"/>
      <c r="V20" s="108"/>
      <c r="W20" s="108"/>
      <c r="X20" s="108"/>
      <c r="AA20" s="108"/>
      <c r="AB20" s="108"/>
      <c r="AC20" s="108" t="s">
        <v>647</v>
      </c>
      <c r="AD20" s="108"/>
      <c r="AE20" s="108"/>
      <c r="AG20" s="108"/>
      <c r="AH20" s="108"/>
      <c r="AJ20" s="108" t="s">
        <v>639</v>
      </c>
      <c r="AQ20" s="123" t="s">
        <v>192</v>
      </c>
      <c r="AR20">
        <f>SUMIFS('Registo de informação'!C798:C998,'Registo de informação'!B798:B998,'Folha Oculta'!AX4,'Registo de informação'!K798:K998,'Folha Oculta'!AM3)</f>
        <v>0</v>
      </c>
      <c r="AT20" s="123" t="s">
        <v>216</v>
      </c>
      <c r="AU20">
        <f>SUMIFS('Registo de informação'!C798:C998,'Registo de informação'!B798:B998,'Folha Oculta'!AX4,'Registo de informação'!N798:N998,"&gt;12")</f>
        <v>0</v>
      </c>
      <c r="AW20" s="123" t="s">
        <v>187</v>
      </c>
      <c r="AX20">
        <f>SUMIFS('Registo de informação'!C798:C998,'Registo de informação'!B798:B998,'Folha Oculta'!AX4,'Registo de informação'!G798:G998,AU3)</f>
        <v>0</v>
      </c>
      <c r="AZ20" s="123" t="s">
        <v>188</v>
      </c>
      <c r="BA20">
        <f>SUMIFS('Registo de informação'!C798:C998,'Registo de informação'!B798:B998,'Folha Oculta'!AX4,'Registo de informação'!F798:F998,"&gt;15")</f>
        <v>0</v>
      </c>
    </row>
    <row r="21" spans="1:55" x14ac:dyDescent="0.25">
      <c r="A21" s="22" t="s">
        <v>194</v>
      </c>
      <c r="B21" s="108" t="s">
        <v>101</v>
      </c>
      <c r="C21" s="108" t="s">
        <v>195</v>
      </c>
      <c r="D21" t="s">
        <v>196</v>
      </c>
      <c r="H21" s="108"/>
      <c r="K21" s="108"/>
      <c r="L21" s="108"/>
      <c r="M21" s="108"/>
      <c r="N21" s="108"/>
      <c r="P21" s="108"/>
      <c r="Q21" s="108"/>
      <c r="R21" s="108"/>
      <c r="S21" s="108"/>
      <c r="T21" s="108"/>
      <c r="U21" s="108"/>
      <c r="V21" s="108"/>
      <c r="W21" s="108"/>
      <c r="X21" s="108"/>
      <c r="AA21" s="108"/>
      <c r="AB21" s="108"/>
      <c r="AC21" s="108" t="s">
        <v>652</v>
      </c>
      <c r="AD21" s="108"/>
      <c r="AE21" s="108"/>
      <c r="AF21" s="108"/>
      <c r="AG21" s="108"/>
      <c r="AH21" s="108"/>
      <c r="AJ21" s="108" t="s">
        <v>641</v>
      </c>
      <c r="AQ21" s="123" t="s">
        <v>197</v>
      </c>
      <c r="AR21">
        <f>SUMIFS('Registo de informação'!C798:C998,'Registo de informação'!B798:B998,'Folha Oculta'!AX4,'Registo de informação'!L798:L998,'Folha Oculta'!AM3)</f>
        <v>0</v>
      </c>
    </row>
    <row r="22" spans="1:55" x14ac:dyDescent="0.25">
      <c r="A22" s="22" t="s">
        <v>198</v>
      </c>
      <c r="B22" s="108" t="s">
        <v>169</v>
      </c>
      <c r="C22" s="108" t="s">
        <v>199</v>
      </c>
      <c r="D22" t="s">
        <v>191</v>
      </c>
      <c r="F22" s="22"/>
      <c r="H22" s="22"/>
      <c r="K22" s="108"/>
      <c r="L22" s="22"/>
      <c r="M22" s="22"/>
      <c r="N22" s="22"/>
      <c r="P22" s="22"/>
      <c r="Q22" s="22"/>
      <c r="R22" s="22"/>
      <c r="S22" s="108"/>
      <c r="T22" s="108"/>
      <c r="U22" s="22"/>
      <c r="V22" s="22"/>
      <c r="W22" s="22"/>
      <c r="X22" s="22"/>
      <c r="AA22" s="22"/>
      <c r="AB22" s="22"/>
      <c r="AC22" s="108" t="s">
        <v>686</v>
      </c>
      <c r="AD22" s="22"/>
      <c r="AE22" s="22"/>
      <c r="AF22" s="22"/>
      <c r="AG22" s="22"/>
      <c r="AH22" s="22"/>
      <c r="AJ22" s="108" t="s">
        <v>649</v>
      </c>
      <c r="AQ22" s="123" t="s">
        <v>200</v>
      </c>
      <c r="AR22">
        <f>SUMIFS('Registo de informação'!C798:C998,'Registo de informação'!B798:B998,'Folha Oculta'!AX4,'Registo de informação'!I798:I998,'Folha Oculta'!AM4,'Registo de informação'!J798:J998,'Folha Oculta'!AM4,'Registo de informação'!K798:K998,'Folha Oculta'!AM4,'Registo de informação'!L798:L998,'Folha Oculta'!AM4)</f>
        <v>0</v>
      </c>
    </row>
    <row r="23" spans="1:55" x14ac:dyDescent="0.25">
      <c r="A23" s="22" t="s">
        <v>202</v>
      </c>
      <c r="B23" s="108" t="s">
        <v>118</v>
      </c>
      <c r="C23" s="108" t="s">
        <v>203</v>
      </c>
      <c r="D23" t="s">
        <v>204</v>
      </c>
      <c r="F23" s="22"/>
      <c r="H23" s="22"/>
      <c r="K23" s="108"/>
      <c r="L23" s="22"/>
      <c r="M23" s="22"/>
      <c r="N23" s="22"/>
      <c r="O23" s="22"/>
      <c r="P23" s="22"/>
      <c r="Q23" s="22"/>
      <c r="R23" s="22"/>
      <c r="S23" s="108"/>
      <c r="T23" s="108"/>
      <c r="U23" s="22"/>
      <c r="V23" s="22"/>
      <c r="W23" s="22"/>
      <c r="X23" s="22"/>
      <c r="AA23" s="22"/>
      <c r="AB23" s="22"/>
      <c r="AC23" s="22"/>
      <c r="AD23" s="22"/>
      <c r="AE23" s="22"/>
      <c r="AF23" s="22"/>
      <c r="AG23" s="22"/>
      <c r="AH23" s="22"/>
      <c r="AJ23" s="108" t="s">
        <v>695</v>
      </c>
      <c r="AQ23" t="s">
        <v>201</v>
      </c>
      <c r="AR23">
        <f>SUMIFS('Registo de informação'!C798:C998,'Registo de informação'!B798:B998,'Folha Oculta'!AX4,'Registo de informação'!I798:I998,"",'Registo de informação'!J798:J998,"",'Registo de informação'!K798:K998,"",'Registo de informação'!L798:L998,"")</f>
        <v>0</v>
      </c>
    </row>
    <row r="24" spans="1:55" x14ac:dyDescent="0.25">
      <c r="A24" s="22" t="s">
        <v>205</v>
      </c>
      <c r="B24" s="108" t="s">
        <v>176</v>
      </c>
      <c r="C24" s="108" t="s">
        <v>206</v>
      </c>
      <c r="D24" t="s">
        <v>207</v>
      </c>
      <c r="F24" s="108"/>
      <c r="H24" s="108"/>
      <c r="L24" s="108"/>
      <c r="M24" s="108"/>
      <c r="N24" s="108"/>
      <c r="O24" s="108"/>
      <c r="P24" s="108"/>
      <c r="Q24" s="108"/>
      <c r="R24" s="108"/>
      <c r="U24" s="108"/>
      <c r="V24" s="108"/>
      <c r="W24" s="108"/>
      <c r="X24" s="108"/>
      <c r="AA24" s="108"/>
      <c r="AB24" s="108"/>
      <c r="AC24" s="108"/>
      <c r="AD24" s="108"/>
      <c r="AE24" s="108"/>
      <c r="AF24" s="108"/>
      <c r="AG24" s="108"/>
      <c r="AH24" s="108"/>
      <c r="AJ24" s="108" t="s">
        <v>166</v>
      </c>
    </row>
    <row r="25" spans="1:55" ht="15.75" x14ac:dyDescent="0.25">
      <c r="A25" s="22" t="s">
        <v>209</v>
      </c>
      <c r="B25" s="108" t="s">
        <v>101</v>
      </c>
      <c r="C25" s="108" t="s">
        <v>210</v>
      </c>
      <c r="D25" t="s">
        <v>211</v>
      </c>
      <c r="F25" s="22"/>
      <c r="H25" s="22"/>
      <c r="L25" s="22"/>
      <c r="M25" s="22"/>
      <c r="N25" s="22"/>
      <c r="O25" s="22"/>
      <c r="P25" s="22"/>
      <c r="Q25" s="22"/>
      <c r="R25" s="22"/>
      <c r="U25" s="22"/>
      <c r="V25" s="22"/>
      <c r="W25" s="22"/>
      <c r="X25" s="22"/>
      <c r="AA25" s="22"/>
      <c r="AB25" s="22"/>
      <c r="AC25" s="22"/>
      <c r="AD25" s="22"/>
      <c r="AE25" s="22"/>
      <c r="AF25" s="22"/>
      <c r="AG25" s="22"/>
      <c r="AH25" s="22"/>
      <c r="AJ25" s="108" t="s">
        <v>716</v>
      </c>
      <c r="AN25" s="112" t="s">
        <v>49</v>
      </c>
      <c r="AQ25" s="117" t="s">
        <v>145</v>
      </c>
      <c r="AR25" s="5"/>
      <c r="AS25" s="5"/>
      <c r="AU25" s="5"/>
      <c r="AV25" s="117" t="s">
        <v>141</v>
      </c>
    </row>
    <row r="26" spans="1:55" x14ac:dyDescent="0.25">
      <c r="A26" s="22" t="s">
        <v>213</v>
      </c>
      <c r="B26" s="108" t="s">
        <v>130</v>
      </c>
      <c r="C26" s="108" t="s">
        <v>214</v>
      </c>
      <c r="D26" t="s">
        <v>215</v>
      </c>
      <c r="F26" s="22"/>
      <c r="H26" s="22"/>
      <c r="I26" s="22"/>
      <c r="L26" s="22"/>
      <c r="M26" s="22"/>
      <c r="N26" s="22"/>
      <c r="O26" s="22"/>
      <c r="P26" s="22"/>
      <c r="Q26" s="22"/>
      <c r="R26" s="22"/>
      <c r="U26" s="22"/>
      <c r="V26" s="22"/>
      <c r="W26" s="22"/>
      <c r="X26" s="22"/>
      <c r="AA26" s="22"/>
      <c r="AB26" s="22"/>
      <c r="AC26" s="22"/>
      <c r="AD26" s="22"/>
      <c r="AE26" s="22"/>
      <c r="AF26" s="22"/>
      <c r="AG26" s="22"/>
      <c r="AH26" s="22"/>
      <c r="AJ26" s="22"/>
      <c r="AO26" s="5"/>
      <c r="AQ26" s="123" t="s">
        <v>235</v>
      </c>
      <c r="AR26">
        <f>COUNTIFS('Registo de informação'!A593:A793,'Folha Oculta'!AO7,'Registo de informação'!C593:C793,"&lt;=8")</f>
        <v>0</v>
      </c>
      <c r="AT26" s="123" t="s">
        <v>236</v>
      </c>
      <c r="AU26">
        <f>COUNTIFS('Registo de informação'!A593:A793,'Folha Oculta'!AO7,'Registo de informação'!H593:H793,"&lt;=0,60")</f>
        <v>0</v>
      </c>
      <c r="AV26" s="123" t="s">
        <v>235</v>
      </c>
      <c r="AW26">
        <f>COUNTIFS('Registo de informação'!A593:A793,'Folha Oculta'!AO6,'Registo de informação'!C593:C793,"&lt;=8")</f>
        <v>0</v>
      </c>
      <c r="AY26" s="123" t="s">
        <v>237</v>
      </c>
      <c r="AZ26">
        <f>COUNTIFS('Registo de informação'!A593:A793,'Folha Oculta'!AO6,'Registo de informação'!H593:H793,"&lt;=4,50")</f>
        <v>0</v>
      </c>
    </row>
    <row r="27" spans="1:55" x14ac:dyDescent="0.25">
      <c r="A27" s="22" t="s">
        <v>217</v>
      </c>
      <c r="B27" s="108" t="s">
        <v>137</v>
      </c>
      <c r="C27" s="108" t="s">
        <v>218</v>
      </c>
      <c r="D27" t="s">
        <v>219</v>
      </c>
      <c r="F27" s="108"/>
      <c r="H27" s="108"/>
      <c r="I27" s="108"/>
      <c r="L27" s="108"/>
      <c r="M27" s="108"/>
      <c r="N27" s="108"/>
      <c r="O27" s="108"/>
      <c r="P27" s="108"/>
      <c r="Q27" s="108"/>
      <c r="R27" s="108"/>
      <c r="U27" s="108"/>
      <c r="V27" s="108"/>
      <c r="W27" s="108"/>
      <c r="X27" s="108"/>
      <c r="AA27" s="108"/>
      <c r="AB27" s="108"/>
      <c r="AC27" s="108"/>
      <c r="AD27" s="108"/>
      <c r="AE27" s="108"/>
      <c r="AF27" s="108"/>
      <c r="AG27" s="108"/>
      <c r="AH27" s="108"/>
      <c r="AJ27" s="108"/>
      <c r="AO27" s="32"/>
      <c r="AQ27" s="123" t="s">
        <v>143</v>
      </c>
      <c r="AR27">
        <f>COUNTIFS('Registo de informação'!A593:A793,'Folha Oculta'!AO7,'Registo de informação'!C593:C793,"&lt;=12",'Registo de informação'!C593:C793,"&gt;8")</f>
        <v>0</v>
      </c>
      <c r="AT27" s="123" t="s">
        <v>240</v>
      </c>
      <c r="AU27">
        <f>COUNTIFS('Registo de informação'!A593:A793,'Folha Oculta'!AO7,'Registo de informação'!H593:H793,"&lt;=0,90",'Registo de informação'!H593:H793,"&gt;0,60")</f>
        <v>0</v>
      </c>
      <c r="AV27" s="123" t="s">
        <v>143</v>
      </c>
      <c r="AW27">
        <f>COUNTIFS('Registo de informação'!A593:A793,'Folha Oculta'!AO6,'Registo de informação'!C593:C793,"&lt;=12",'Registo de informação'!C593:C793,"&gt;8")</f>
        <v>0</v>
      </c>
      <c r="AY27" s="123" t="s">
        <v>241</v>
      </c>
      <c r="AZ27">
        <f>COUNTIFS('Registo de informação'!A593:A793,'Folha Oculta'!AO6,'Registo de informação'!H593:H793,"&lt;=5,50",'Registo de informação'!H593:H793,"&gt;4,5")</f>
        <v>0</v>
      </c>
    </row>
    <row r="28" spans="1:55" x14ac:dyDescent="0.25">
      <c r="A28" s="22" t="s">
        <v>220</v>
      </c>
      <c r="B28" s="108" t="s">
        <v>146</v>
      </c>
      <c r="C28" s="108" t="s">
        <v>221</v>
      </c>
      <c r="D28" t="s">
        <v>222</v>
      </c>
      <c r="F28" s="22"/>
      <c r="I28" s="22"/>
      <c r="J28" s="22"/>
      <c r="K28" s="22"/>
      <c r="L28" s="22"/>
      <c r="M28" s="22"/>
      <c r="N28" s="22"/>
      <c r="O28" s="22"/>
      <c r="P28" s="22"/>
      <c r="Q28" s="22"/>
      <c r="R28" s="22"/>
      <c r="U28" s="22"/>
      <c r="V28" s="22"/>
      <c r="W28" s="22"/>
      <c r="X28" s="22"/>
      <c r="AA28" s="22"/>
      <c r="AB28" s="22"/>
      <c r="AC28" s="22"/>
      <c r="AD28" s="22"/>
      <c r="AE28" s="22"/>
      <c r="AF28" s="22"/>
      <c r="AG28" s="22"/>
      <c r="AH28" s="22"/>
      <c r="AJ28" s="22"/>
      <c r="AO28" s="24"/>
      <c r="AQ28" s="123" t="s">
        <v>144</v>
      </c>
      <c r="AR28">
        <f>COUNTIFS('Registo de informação'!A593:A793,'Folha Oculta'!AO7,'Registo de informação'!C593:C793,"&gt;12")</f>
        <v>0</v>
      </c>
      <c r="AT28" s="123" t="s">
        <v>243</v>
      </c>
      <c r="AU28">
        <f>COUNTIFS('Registo de informação'!A593:A793,'Folha Oculta'!AO7,'Registo de informação'!H593:H793,"&lt;=1,20",'Registo de informação'!H593:H793,"&gt;0,90")</f>
        <v>0</v>
      </c>
      <c r="AV28" s="123" t="s">
        <v>144</v>
      </c>
      <c r="AW28">
        <f>COUNTIFS('Registo de informação'!A593:A793,'Folha Oculta'!AO6,'Registo de informação'!C593:C793,"&gt;12")</f>
        <v>0</v>
      </c>
      <c r="AY28" s="123" t="s">
        <v>244</v>
      </c>
      <c r="AZ28">
        <f>COUNTIFS('Registo de informação'!A593:A793,'Folha Oculta'!AO6,'Registo de informação'!H593:H793,"&lt;=6,50",'Registo de informação'!H593:H793,"&gt;5,5")</f>
        <v>0</v>
      </c>
    </row>
    <row r="29" spans="1:55" x14ac:dyDescent="0.25">
      <c r="A29" s="22" t="s">
        <v>223</v>
      </c>
      <c r="B29" s="108" t="s">
        <v>134</v>
      </c>
      <c r="C29" s="108" t="s">
        <v>224</v>
      </c>
      <c r="D29" t="s">
        <v>225</v>
      </c>
      <c r="F29" s="108"/>
      <c r="I29" s="108"/>
      <c r="J29" s="108"/>
      <c r="K29" s="108"/>
      <c r="L29" s="108"/>
      <c r="M29" s="108"/>
      <c r="N29" s="108"/>
      <c r="O29" s="108"/>
      <c r="P29" s="108"/>
      <c r="Q29" s="108"/>
      <c r="R29" s="108"/>
      <c r="U29" s="108"/>
      <c r="V29" s="108"/>
      <c r="W29" s="108"/>
      <c r="X29" s="108"/>
      <c r="AA29" s="108"/>
      <c r="AB29" s="108"/>
      <c r="AC29" s="108"/>
      <c r="AD29" s="108"/>
      <c r="AE29" s="108"/>
      <c r="AF29" s="108"/>
      <c r="AG29" s="108"/>
      <c r="AH29" s="108"/>
      <c r="AI29" s="108"/>
      <c r="AJ29" s="108"/>
      <c r="AO29" s="32"/>
      <c r="AT29" s="123" t="s">
        <v>247</v>
      </c>
      <c r="AU29">
        <f>COUNTIFS('Registo de informação'!A593:A793,'Folha Oculta'!AO7,'Registo de informação'!H593:H793,"&gt;1,20")</f>
        <v>0</v>
      </c>
      <c r="AY29" s="123" t="s">
        <v>248</v>
      </c>
      <c r="AZ29">
        <f>COUNTIFS('Registo de informação'!A593:A793,'Folha Oculta'!AO6,'Registo de informação'!H593:H793,"&gt;6,5")</f>
        <v>0</v>
      </c>
    </row>
    <row r="30" spans="1:55" x14ac:dyDescent="0.25">
      <c r="A30" s="22" t="s">
        <v>226</v>
      </c>
      <c r="B30" s="22" t="s">
        <v>229</v>
      </c>
      <c r="C30" s="22" t="s">
        <v>1807</v>
      </c>
      <c r="D30" s="22"/>
      <c r="E30" s="22"/>
      <c r="F30" s="108"/>
      <c r="I30" s="108"/>
      <c r="J30" s="108"/>
      <c r="K30" s="108"/>
      <c r="L30" s="108"/>
      <c r="M30" s="108"/>
      <c r="N30" s="108"/>
      <c r="O30" s="108"/>
      <c r="P30" s="108"/>
      <c r="Q30" s="108"/>
      <c r="R30" s="108"/>
      <c r="U30" s="108"/>
      <c r="V30" s="108"/>
      <c r="W30" s="108"/>
      <c r="X30" s="108"/>
      <c r="AA30" s="108"/>
      <c r="AB30" s="108"/>
      <c r="AC30" s="108"/>
      <c r="AD30" s="108"/>
      <c r="AE30" s="108"/>
      <c r="AF30" s="108"/>
      <c r="AI30" s="108"/>
      <c r="AJ30" s="108"/>
    </row>
    <row r="31" spans="1:55" x14ac:dyDescent="0.25">
      <c r="A31" s="22" t="s">
        <v>229</v>
      </c>
      <c r="B31" s="108" t="s">
        <v>176</v>
      </c>
      <c r="C31" s="108" t="s">
        <v>227</v>
      </c>
      <c r="D31" t="s">
        <v>228</v>
      </c>
      <c r="F31" s="108"/>
      <c r="G31" s="108"/>
      <c r="I31" s="108"/>
      <c r="J31" s="108"/>
      <c r="K31" s="108"/>
      <c r="L31" s="108"/>
      <c r="M31" s="108"/>
      <c r="N31" s="108"/>
      <c r="O31" s="108"/>
      <c r="P31" s="108"/>
      <c r="Q31" s="108"/>
      <c r="R31" s="108"/>
      <c r="U31" s="108"/>
      <c r="V31" s="108"/>
      <c r="W31" s="108"/>
      <c r="X31" s="108"/>
      <c r="AA31" s="108"/>
      <c r="AB31" s="108"/>
      <c r="AC31" s="108"/>
      <c r="AD31" s="108"/>
      <c r="AE31" s="108"/>
      <c r="AF31" s="108"/>
      <c r="AI31" s="108"/>
      <c r="AJ31" s="108"/>
      <c r="AN31" s="11" t="s">
        <v>253</v>
      </c>
      <c r="AQ31" s="123" t="s">
        <v>172</v>
      </c>
      <c r="AR31">
        <f>SUMIFS('Registo de informação'!C185:C385,'Registo de informação'!B185:B385,'Folha Oculta'!AX1,'Registo de informação'!H185:H385,'Folha Oculta'!AM3)</f>
        <v>0</v>
      </c>
      <c r="AT31" s="124" t="s">
        <v>173</v>
      </c>
      <c r="AU31">
        <f>SUMIFS('Registo de informação'!C185:C385,'Registo de informação'!B185:B385,'Folha Oculta'!AX1,'Registo de informação'!N185:N385,"&lt;=7")</f>
        <v>0</v>
      </c>
      <c r="AW31" s="123" t="s">
        <v>174</v>
      </c>
      <c r="AX31">
        <f>SUMIFS('Registo de informação'!C185:C385,'Registo de informação'!B185:B385,'Folha Oculta'!AX1,'Registo de informação'!G185:G385,'Folha Oculta'!AU1)</f>
        <v>0</v>
      </c>
      <c r="AY31" s="123" t="s">
        <v>175</v>
      </c>
      <c r="AZ31">
        <f>SUMIFS('Registo de informação'!C185:C385,'Registo de informação'!B185:B385,'Folha Oculta'!AX1,'Registo de informação'!F185:F385,"&lt;=5")</f>
        <v>0</v>
      </c>
    </row>
    <row r="32" spans="1:55" x14ac:dyDescent="0.25">
      <c r="A32" s="108" t="s">
        <v>232</v>
      </c>
      <c r="B32" s="108" t="s">
        <v>122</v>
      </c>
      <c r="C32" s="108" t="s">
        <v>230</v>
      </c>
      <c r="D32" t="s">
        <v>231</v>
      </c>
      <c r="AN32" t="s">
        <v>150</v>
      </c>
      <c r="AO32">
        <f>SUMIFS('Registo de informação'!C185:C385,'Registo de informação'!B185:B385,'Folha Oculta'!AX1)</f>
        <v>0</v>
      </c>
      <c r="AQ32" s="123" t="s">
        <v>179</v>
      </c>
      <c r="AR32">
        <f>SUMIFS('Registo de informação'!C185:C385,'Registo de informação'!B185:B385,'Folha Oculta'!AX1,'Registo de informação'!I185:I385,'Folha Oculta'!AM3)</f>
        <v>0</v>
      </c>
      <c r="AT32" s="123" t="s">
        <v>180</v>
      </c>
      <c r="AU32">
        <f>SUMIFS('Registo de informação'!C185:C385,'Registo de informação'!B185:B385,'Folha Oculta'!AX1,'Registo de informação'!N185:N385,"&lt;=9",'Registo de informação'!N185:N385,"&gt;7")</f>
        <v>0</v>
      </c>
      <c r="AW32" s="123" t="s">
        <v>181</v>
      </c>
      <c r="AX32">
        <f>SUMIFS('Registo de informação'!C185:C385,'Registo de informação'!B185:B385,'Folha Oculta'!AX1,'Registo de informação'!G185:G385,AU2)</f>
        <v>0</v>
      </c>
      <c r="AY32" s="123" t="s">
        <v>155</v>
      </c>
      <c r="AZ32">
        <f>SUMIFS('Registo de informação'!C185:C385,'Registo de informação'!B185:B385,'Folha Oculta'!AX1,'Registo de informação'!F185:F385,"&lt;=15",'Registo de informação'!F185:F385,"&gt;5")</f>
        <v>0</v>
      </c>
      <c r="BB32" s="123"/>
    </row>
    <row r="33" spans="2:52" x14ac:dyDescent="0.25">
      <c r="B33" s="108" t="s">
        <v>232</v>
      </c>
      <c r="C33" s="108" t="s">
        <v>233</v>
      </c>
      <c r="D33" t="s">
        <v>234</v>
      </c>
      <c r="AQ33" s="123" t="s">
        <v>185</v>
      </c>
      <c r="AR33">
        <f>SUMIFS('Registo de informação'!C185:C385,'Registo de informação'!B185:B385,'Folha Oculta'!AX1,'Registo de informação'!J185:J385,'Folha Oculta'!AM3)</f>
        <v>0</v>
      </c>
      <c r="AT33" s="123" t="s">
        <v>186</v>
      </c>
      <c r="AU33">
        <f>SUMIFS('Registo de informação'!C185:C385,'Registo de informação'!B185:B385,'Folha Oculta'!AX1,'Registo de informação'!N185:N385,"&lt;=15",'Registo de informação'!N185:N385,"&gt;9")</f>
        <v>0</v>
      </c>
      <c r="AW33" s="123" t="s">
        <v>187</v>
      </c>
      <c r="AX33">
        <f>SUMIFS('Registo de informação'!C185:C385,'Registo de informação'!B185:B385,'Folha Oculta'!AX1,'Registo de informação'!G185:G385,AU3)</f>
        <v>0</v>
      </c>
      <c r="AY33" s="123" t="s">
        <v>188</v>
      </c>
      <c r="AZ33">
        <f>SUMIFS('Registo de informação'!C185:C385,'Registo de informação'!B185:B385,'Folha Oculta'!AX1,'Registo de informação'!F185:F385,"&gt;15")</f>
        <v>0</v>
      </c>
    </row>
    <row r="34" spans="2:52" x14ac:dyDescent="0.25">
      <c r="B34" s="108" t="s">
        <v>166</v>
      </c>
      <c r="C34" s="108" t="s">
        <v>238</v>
      </c>
      <c r="D34" t="s">
        <v>239</v>
      </c>
      <c r="AQ34" s="123" t="s">
        <v>192</v>
      </c>
      <c r="AR34">
        <f>SUMIFS('Registo de informação'!C185:C385,'Registo de informação'!B185:B385,'Folha Oculta'!AX1,'Registo de informação'!K185:K385,'Folha Oculta'!AM3)</f>
        <v>0</v>
      </c>
      <c r="AT34" s="123" t="s">
        <v>193</v>
      </c>
      <c r="AU34">
        <f>SUMIFS('Registo de informação'!C185:C385,'Registo de informação'!B185:B385,'Folha Oculta'!AX1,'Registo de informação'!N185:N385,"&gt;15")</f>
        <v>0</v>
      </c>
    </row>
    <row r="35" spans="2:52" x14ac:dyDescent="0.25">
      <c r="B35" s="108" t="s">
        <v>134</v>
      </c>
      <c r="C35" s="108" t="s">
        <v>242</v>
      </c>
      <c r="D35" t="s">
        <v>219</v>
      </c>
      <c r="AQ35" s="123" t="s">
        <v>197</v>
      </c>
      <c r="AR35">
        <f>SUMIFS('Registo de informação'!C185:C385,'Registo de informação'!B185:B385,'Folha Oculta'!AX1,'Registo de informação'!L185:L385,'Folha Oculta'!AM3)</f>
        <v>0</v>
      </c>
    </row>
    <row r="36" spans="2:52" x14ac:dyDescent="0.25">
      <c r="B36" s="108" t="s">
        <v>94</v>
      </c>
      <c r="C36" s="108" t="s">
        <v>245</v>
      </c>
      <c r="D36" t="s">
        <v>246</v>
      </c>
      <c r="AQ36" s="123" t="s">
        <v>200</v>
      </c>
      <c r="AR36">
        <f>SUMIFS('Registo de informação'!C185:C385,'Registo de informação'!B185:B385,'Folha Oculta'!AX1,'Registo de informação'!H185:H385,'Folha Oculta'!AM4,'Registo de informação'!I185:I385,'Folha Oculta'!AM4,'Registo de informação'!J185:J385,'Folha Oculta'!AM4,'Registo de informação'!K185:K385,'Folha Oculta'!AM4,'Registo de informação'!L185:L385,'Folha Oculta'!AM4)</f>
        <v>0</v>
      </c>
    </row>
    <row r="37" spans="2:52" x14ac:dyDescent="0.25">
      <c r="B37" s="108" t="s">
        <v>118</v>
      </c>
      <c r="C37" s="108" t="s">
        <v>249</v>
      </c>
      <c r="D37" t="s">
        <v>250</v>
      </c>
      <c r="AQ37" s="123" t="s">
        <v>201</v>
      </c>
      <c r="AR37">
        <f>SUMIFS('Registo de informação'!C185:C385,'Registo de informação'!B185:B385,'Folha Oculta'!AX1,'Registo de informação'!H185:H385,"",'Registo de informação'!I185:I385,"",'Registo de informação'!J185:J385,"",'Registo de informação'!K185:K385,"",'Registo de informação'!L185:L385,"")</f>
        <v>0</v>
      </c>
    </row>
    <row r="38" spans="2:52" x14ac:dyDescent="0.25">
      <c r="B38" s="108" t="s">
        <v>130</v>
      </c>
      <c r="C38" s="108" t="s">
        <v>251</v>
      </c>
      <c r="D38" t="s">
        <v>252</v>
      </c>
    </row>
    <row r="39" spans="2:52" x14ac:dyDescent="0.25">
      <c r="B39" s="108" t="s">
        <v>134</v>
      </c>
      <c r="C39" s="108" t="s">
        <v>134</v>
      </c>
      <c r="D39" t="s">
        <v>103</v>
      </c>
      <c r="AN39" s="111" t="s">
        <v>41</v>
      </c>
      <c r="AP39" s="123" t="s">
        <v>172</v>
      </c>
      <c r="AQ39">
        <f>SUMIFS('Registo de informação'!C389:C589,'Registo de informação'!G389:G589,'Folha Oculta'!AM3)</f>
        <v>0</v>
      </c>
      <c r="AR39" s="123" t="s">
        <v>267</v>
      </c>
      <c r="AS39">
        <f>SUMIFS('Registo de informação'!C389:C589,'Registo de informação'!D389:D589,"&lt;=6,5")</f>
        <v>0</v>
      </c>
      <c r="AU39" s="123" t="s">
        <v>174</v>
      </c>
      <c r="AV39">
        <f>SUMIFS('Registo de informação'!C389:C589,'Registo de informação'!F389:F589,'Folha Oculta'!AU1)</f>
        <v>0</v>
      </c>
      <c r="AW39" s="123" t="s">
        <v>175</v>
      </c>
      <c r="AX39">
        <f>SUMIFS('Registo de informação'!C389:C589,'Registo de informação'!E389:E589,"&lt;=5")</f>
        <v>0</v>
      </c>
    </row>
    <row r="40" spans="2:52" x14ac:dyDescent="0.25">
      <c r="B40" s="108" t="s">
        <v>118</v>
      </c>
      <c r="C40" s="108" t="s">
        <v>254</v>
      </c>
      <c r="D40" t="s">
        <v>255</v>
      </c>
      <c r="AN40" t="s">
        <v>150</v>
      </c>
      <c r="AP40" s="123" t="s">
        <v>269</v>
      </c>
      <c r="AQ40">
        <f>SUMIFS('Registo de informação'!C389:C589,'Registo de informação'!H389:H589,'Folha Oculta'!AM3)</f>
        <v>0</v>
      </c>
      <c r="AR40" s="123" t="s">
        <v>270</v>
      </c>
      <c r="AS40">
        <f>SUMIFS('Registo de informação'!C389:C589,'Registo de informação'!D389:D589,"&lt;=7,5",'Registo de informação'!D389:D589,"&gt;6,5")</f>
        <v>0</v>
      </c>
      <c r="AU40" s="123" t="s">
        <v>181</v>
      </c>
      <c r="AV40">
        <f>SUMIFS('Registo de informação'!C389:C589,'Registo de informação'!F389:F589,AU2)</f>
        <v>0</v>
      </c>
      <c r="AW40" s="123" t="s">
        <v>155</v>
      </c>
      <c r="AX40">
        <f>SUMIFS('Registo de informação'!C389:C589,'Registo de informação'!E389:E589,"&lt;=15",'Registo de informação'!E389:E589,"&gt;5")</f>
        <v>0</v>
      </c>
    </row>
    <row r="41" spans="2:52" x14ac:dyDescent="0.25">
      <c r="B41" s="108" t="s">
        <v>130</v>
      </c>
      <c r="C41" s="108" t="s">
        <v>256</v>
      </c>
      <c r="D41" t="s">
        <v>257</v>
      </c>
      <c r="AN41">
        <f>SUM('Registo de informação'!C389:C589)</f>
        <v>0</v>
      </c>
      <c r="AP41" s="123" t="s">
        <v>273</v>
      </c>
      <c r="AQ41">
        <f>SUMIFS('Registo de informação'!C389:C589,'Registo de informação'!I389:I589,'Folha Oculta'!AM3)</f>
        <v>0</v>
      </c>
      <c r="AR41" s="123" t="s">
        <v>274</v>
      </c>
      <c r="AS41">
        <f>SUMIFS('Registo de informação'!C389:C589,'Registo de informação'!D389:D589,"&lt;=9,0",'Registo de informação'!D389:D589,"&gt;7,5")</f>
        <v>0</v>
      </c>
      <c r="AU41" s="123" t="s">
        <v>187</v>
      </c>
      <c r="AV41">
        <f>SUMIFS('Registo de informação'!C389:C589,'Registo de informação'!F389:F589,AU3)</f>
        <v>0</v>
      </c>
      <c r="AW41" s="123" t="s">
        <v>188</v>
      </c>
      <c r="AX41">
        <f>SUMIFS('Registo de informação'!C389:C589,'Registo de informação'!E389:E589,"&gt;15")</f>
        <v>0</v>
      </c>
    </row>
    <row r="42" spans="2:52" x14ac:dyDescent="0.25">
      <c r="B42" s="108" t="s">
        <v>137</v>
      </c>
      <c r="C42" s="108" t="s">
        <v>258</v>
      </c>
      <c r="D42" t="s">
        <v>219</v>
      </c>
      <c r="AP42" s="123" t="s">
        <v>276</v>
      </c>
      <c r="AQ42">
        <f>SUMIFS('Registo de informação'!C389:C589,'Registo de informação'!J389:J589,'Folha Oculta'!AM3)</f>
        <v>0</v>
      </c>
      <c r="AR42" s="123" t="s">
        <v>277</v>
      </c>
      <c r="AS42">
        <f>SUMIFS('Registo de informação'!C389:C589,'Registo de informação'!D389:D589,"&gt;9,0")</f>
        <v>0</v>
      </c>
    </row>
    <row r="43" spans="2:52" x14ac:dyDescent="0.25">
      <c r="B43" s="108" t="s">
        <v>146</v>
      </c>
      <c r="C43" s="108" t="s">
        <v>259</v>
      </c>
      <c r="D43" t="s">
        <v>260</v>
      </c>
      <c r="AP43" s="123" t="s">
        <v>280</v>
      </c>
      <c r="AQ43">
        <f>SUMIFS('Registo de informação'!C389:C589,'Registo de informação'!K389:K589,'Folha Oculta'!AM3)</f>
        <v>0</v>
      </c>
      <c r="AR43" s="123"/>
    </row>
    <row r="44" spans="2:52" x14ac:dyDescent="0.25">
      <c r="B44" s="108" t="s">
        <v>101</v>
      </c>
      <c r="C44" s="108" t="s">
        <v>261</v>
      </c>
      <c r="D44" t="s">
        <v>262</v>
      </c>
      <c r="AP44" s="123" t="s">
        <v>200</v>
      </c>
      <c r="AQ44">
        <f>SUMIFS('Registo de informação'!C389:C589,'Registo de informação'!G389:G589,AM4,'Registo de informação'!H389:H589,'Folha Oculta'!AM4,'Registo de informação'!I389:I589,'Folha Oculta'!AM4,'Registo de informação'!J389:J589,'Folha Oculta'!AM4,'Registo de informação'!K389:K589,'Folha Oculta'!AM4)</f>
        <v>0</v>
      </c>
      <c r="AR44" s="123"/>
    </row>
    <row r="45" spans="2:52" x14ac:dyDescent="0.25">
      <c r="B45" s="108" t="s">
        <v>109</v>
      </c>
      <c r="C45" s="108" t="s">
        <v>263</v>
      </c>
      <c r="D45" t="s">
        <v>264</v>
      </c>
      <c r="AP45" s="123" t="s">
        <v>201</v>
      </c>
      <c r="AQ45">
        <f>SUMIFS('Registo de informação'!C389:C589,'Registo de informação'!G389:G589,"",'Registo de informação'!H389:H589,"",'Registo de informação'!I389:I589,"",'Registo de informação'!J389:J589,"",'Registo de informação'!K389:K589,"")</f>
        <v>0</v>
      </c>
    </row>
    <row r="46" spans="2:52" x14ac:dyDescent="0.25">
      <c r="B46" s="108" t="s">
        <v>176</v>
      </c>
      <c r="C46" s="108" t="s">
        <v>265</v>
      </c>
      <c r="D46" t="s">
        <v>266</v>
      </c>
    </row>
    <row r="47" spans="2:52" x14ac:dyDescent="0.25">
      <c r="B47" s="108" t="s">
        <v>101</v>
      </c>
      <c r="C47" s="108" t="s">
        <v>101</v>
      </c>
      <c r="D47" t="s">
        <v>268</v>
      </c>
      <c r="AN47" s="111" t="s">
        <v>287</v>
      </c>
      <c r="AP47" s="123" t="s">
        <v>172</v>
      </c>
      <c r="AQ47">
        <f>SUMIFS('Registo de informação'!C185:C385,'Registo de informação'!B185:B385,'Folha Oculta'!AX2,'Registo de informação'!H185:H385,'Folha Oculta'!AM3)</f>
        <v>0</v>
      </c>
      <c r="AR47" s="124" t="s">
        <v>288</v>
      </c>
      <c r="AS47">
        <f>SUMIFS('Registo de informação'!C185:C385,'Registo de informação'!B185:B385,'Folha Oculta'!AX2,'Registo de informação'!N185:N385,"&lt;=4")</f>
        <v>0</v>
      </c>
      <c r="AU47" s="123" t="s">
        <v>174</v>
      </c>
      <c r="AV47">
        <f>SUMIFS('Registo de informação'!C185:C385,'Registo de informação'!B185:B385,'Folha Oculta'!AX2,'Registo de informação'!G185:G385,'Folha Oculta'!AU1)</f>
        <v>0</v>
      </c>
      <c r="AW47" s="123" t="s">
        <v>175</v>
      </c>
      <c r="AX47">
        <f>SUMIFS('Registo de informação'!C185:C385,'Registo de informação'!B185:B385,'Folha Oculta'!AX2,'Registo de informação'!F185:F385,"&lt;=5")</f>
        <v>0</v>
      </c>
    </row>
    <row r="48" spans="2:52" x14ac:dyDescent="0.25">
      <c r="B48" s="108" t="s">
        <v>152</v>
      </c>
      <c r="C48" s="108" t="s">
        <v>271</v>
      </c>
      <c r="D48" t="s">
        <v>272</v>
      </c>
      <c r="F48" s="108"/>
      <c r="G48" s="108"/>
      <c r="H48" s="108"/>
      <c r="I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N48" t="s">
        <v>150</v>
      </c>
      <c r="AP48" s="123" t="s">
        <v>179</v>
      </c>
      <c r="AQ48">
        <f>SUMIFS('Registo de informação'!C185:C385,'Registo de informação'!B185:B385,'Folha Oculta'!AX2,'Registo de informação'!I185:I385,'Folha Oculta'!AM3)</f>
        <v>0</v>
      </c>
      <c r="AR48" s="123" t="s">
        <v>291</v>
      </c>
      <c r="AS48">
        <f>SUMIFS('Registo de informação'!C185:C385,'Registo de informação'!B185:B385,'Folha Oculta'!AX2,'Registo de informação'!N185:N385,"&gt;4",'Registo de informação'!N185:N385,"&lt;=6")</f>
        <v>0</v>
      </c>
      <c r="AU48" s="123" t="s">
        <v>181</v>
      </c>
      <c r="AV48">
        <f>SUMIFS('Registo de informação'!C185:C385,'Registo de informação'!B185:B385,'Folha Oculta'!AX2,'Registo de informação'!G185:G385,AU2)</f>
        <v>0</v>
      </c>
      <c r="AW48" s="123" t="s">
        <v>155</v>
      </c>
      <c r="AX48">
        <f>SUMIFS('Registo de informação'!C185:C385,'Registo de informação'!B185:B385,'Folha Oculta'!AX2,'Registo de informação'!F185:F385,"&lt;=15",'Registo de informação'!F185:F385,"&gt;5")</f>
        <v>0</v>
      </c>
    </row>
    <row r="49" spans="2:50" x14ac:dyDescent="0.25">
      <c r="B49" s="108" t="s">
        <v>169</v>
      </c>
      <c r="C49" s="108" t="s">
        <v>275</v>
      </c>
      <c r="D49" t="s">
        <v>191</v>
      </c>
      <c r="F49" s="108"/>
      <c r="G49" s="108"/>
      <c r="H49" s="108"/>
      <c r="I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N49">
        <f>SUMIFS('Registo de informação'!C185:C385,'Registo de informação'!B185:B385,'Folha Oculta'!AX2)</f>
        <v>0</v>
      </c>
      <c r="AP49" s="123" t="s">
        <v>185</v>
      </c>
      <c r="AQ49">
        <f>SUMIFS('Registo de informação'!C185:C385,'Registo de informação'!B185:B385,'Folha Oculta'!AX2,'Registo de informação'!J185:J385,'Folha Oculta'!AM3)</f>
        <v>0</v>
      </c>
      <c r="AR49" s="123" t="s">
        <v>294</v>
      </c>
      <c r="AS49">
        <f>SUMIFS('Registo de informação'!C185:C385,'Registo de informação'!B185:B385,'Folha Oculta'!AX2,'Registo de informação'!N185:N385,"&gt;6")</f>
        <v>0</v>
      </c>
      <c r="AU49" s="123" t="s">
        <v>187</v>
      </c>
      <c r="AV49">
        <f>SUMIFS('Registo de informação'!C185:C385,'Registo de informação'!B185:B385,'Folha Oculta'!AX2,'Registo de informação'!G185:G385,AU3)</f>
        <v>0</v>
      </c>
      <c r="AW49" s="123" t="s">
        <v>188</v>
      </c>
      <c r="AX49">
        <f>SUMIFS('Registo de informação'!C185:C385,'Registo de informação'!B185:B385,'Folha Oculta'!AX2,'Registo de informação'!F185:F385,"&gt;15")</f>
        <v>0</v>
      </c>
    </row>
    <row r="50" spans="2:50" x14ac:dyDescent="0.25">
      <c r="B50" s="108" t="s">
        <v>176</v>
      </c>
      <c r="C50" s="108" t="s">
        <v>278</v>
      </c>
      <c r="D50" t="s">
        <v>279</v>
      </c>
      <c r="F50" s="108"/>
      <c r="G50" s="108"/>
      <c r="H50" s="108"/>
      <c r="I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P50" s="123" t="s">
        <v>192</v>
      </c>
      <c r="AQ50">
        <f>SUMIFS('Registo de informação'!C185:C385,'Registo de informação'!B185:B385,'Folha Oculta'!AX2,'Registo de informação'!K185:K385,'Folha Oculta'!AM3)</f>
        <v>0</v>
      </c>
    </row>
    <row r="51" spans="2:50" x14ac:dyDescent="0.25">
      <c r="B51" s="108" t="s">
        <v>94</v>
      </c>
      <c r="C51" s="108" t="s">
        <v>281</v>
      </c>
      <c r="D51" t="s">
        <v>282</v>
      </c>
      <c r="F51" s="108"/>
      <c r="G51" s="108"/>
      <c r="H51" s="108"/>
      <c r="I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P51" s="123" t="s">
        <v>197</v>
      </c>
      <c r="AQ51">
        <f>SUMIFS('Registo de informação'!C185:C385,'Registo de informação'!B185:B385,'Folha Oculta'!AX2,'Registo de informação'!L185:L385,'Folha Oculta'!AM3)</f>
        <v>0</v>
      </c>
    </row>
    <row r="52" spans="2:50" x14ac:dyDescent="0.25">
      <c r="B52" s="108" t="s">
        <v>126</v>
      </c>
      <c r="C52" s="108" t="s">
        <v>283</v>
      </c>
      <c r="D52" t="s">
        <v>284</v>
      </c>
      <c r="F52" s="108"/>
      <c r="G52" s="108"/>
      <c r="H52" s="108"/>
      <c r="I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P52" s="123" t="s">
        <v>200</v>
      </c>
      <c r="AQ52">
        <f>SUMIFS('Registo de informação'!C185:C385,'Registo de informação'!B185:B385,'Folha Oculta'!AX2,'Registo de informação'!H185:H385,AM4,'Registo de informação'!I185:I385,'Folha Oculta'!AM4,'Registo de informação'!J185:J385,'Folha Oculta'!AM4,'Registo de informação'!K185:K385,'Folha Oculta'!AM4,'Registo de informação'!L185:L385,'Folha Oculta'!AM4)</f>
        <v>0</v>
      </c>
    </row>
    <row r="53" spans="2:50" x14ac:dyDescent="0.25">
      <c r="B53" s="108" t="s">
        <v>146</v>
      </c>
      <c r="C53" s="108" t="s">
        <v>146</v>
      </c>
      <c r="D53" t="s">
        <v>285</v>
      </c>
      <c r="F53" s="108"/>
      <c r="G53" s="108"/>
      <c r="H53" s="108"/>
      <c r="I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P53" s="123" t="s">
        <v>201</v>
      </c>
      <c r="AQ53">
        <f>SUMIFS('Registo de informação'!C185:C385,'Registo de informação'!B185:B385,'Folha Oculta'!AX2,'Registo de informação'!H185:H385,"",'Registo de informação'!I185:I385,"",'Registo de informação'!J185:J385,"",'Registo de informação'!K185:K385,"",'Registo de informação'!L185:L385,"")</f>
        <v>0</v>
      </c>
    </row>
    <row r="54" spans="2:50" x14ac:dyDescent="0.25">
      <c r="B54" s="108" t="s">
        <v>162</v>
      </c>
      <c r="C54" s="108" t="s">
        <v>162</v>
      </c>
      <c r="D54" t="s">
        <v>286</v>
      </c>
      <c r="F54" s="108"/>
      <c r="G54" s="108"/>
      <c r="H54" s="108"/>
      <c r="I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row>
    <row r="55" spans="2:50" x14ac:dyDescent="0.25">
      <c r="B55" s="108" t="s">
        <v>146</v>
      </c>
      <c r="C55" s="108" t="s">
        <v>289</v>
      </c>
      <c r="D55" t="s">
        <v>290</v>
      </c>
      <c r="AN55" s="111" t="s">
        <v>307</v>
      </c>
      <c r="AP55" s="123" t="s">
        <v>172</v>
      </c>
      <c r="AQ55">
        <f>SUMIFS('Registo de informação'!C185:C385,'Registo de informação'!B185:B385,'Folha Oculta'!AX3,'Registo de informação'!H185:H385,'Folha Oculta'!AM3)</f>
        <v>0</v>
      </c>
      <c r="AR55" s="124" t="s">
        <v>288</v>
      </c>
      <c r="AS55">
        <f>SUMIFS('Registo de informação'!C185:C385,'Registo de informação'!B185:B385,'Folha Oculta'!AX3,'Registo de informação'!N185:N385,"&lt;=4")</f>
        <v>0</v>
      </c>
      <c r="AU55" s="123" t="s">
        <v>174</v>
      </c>
      <c r="AV55">
        <f>SUMIFS('Registo de informação'!C185:C385,'Registo de informação'!B185:B385,'Folha Oculta'!AX3,'Registo de informação'!G185:G385,'Folha Oculta'!AU1)</f>
        <v>0</v>
      </c>
      <c r="AW55" s="123" t="s">
        <v>175</v>
      </c>
      <c r="AX55">
        <f>SUMIFS('Registo de informação'!C185:C385,'Registo de informação'!B185:B385,'Folha Oculta'!AX3,'Registo de informação'!F185:F385,"&lt;=5")</f>
        <v>0</v>
      </c>
    </row>
    <row r="56" spans="2:50" x14ac:dyDescent="0.25">
      <c r="B56" s="108" t="s">
        <v>130</v>
      </c>
      <c r="C56" s="108" t="s">
        <v>292</v>
      </c>
      <c r="D56" t="s">
        <v>293</v>
      </c>
      <c r="AN56" t="s">
        <v>150</v>
      </c>
      <c r="AP56" s="123" t="s">
        <v>179</v>
      </c>
      <c r="AQ56">
        <f>SUMIFS('Registo de informação'!C185:C385,'Registo de informação'!B185:B385,'Folha Oculta'!AX3,'Registo de informação'!I185:I385,'Folha Oculta'!AM3)</f>
        <v>0</v>
      </c>
      <c r="AR56" s="123" t="s">
        <v>291</v>
      </c>
      <c r="AS56">
        <f>SUMIFS('Registo de informação'!C185:C385,'Registo de informação'!B185:B385,'Folha Oculta'!AX3,'Registo de informação'!N185:N385,"&gt;4",'Registo de informação'!N185:N385,"&lt;=6")</f>
        <v>0</v>
      </c>
      <c r="AU56" s="123" t="s">
        <v>181</v>
      </c>
      <c r="AV56">
        <f>SUMIFS('Registo de informação'!C185:C385,'Registo de informação'!B185:B385,'Folha Oculta'!AX3,'Registo de informação'!G185:G385,AU2)</f>
        <v>0</v>
      </c>
      <c r="AW56" s="123" t="s">
        <v>155</v>
      </c>
      <c r="AX56">
        <f>SUMIFS('Registo de informação'!C185:C385,'Registo de informação'!B185:B385,'Folha Oculta'!AX3,'Registo de informação'!F185:F385,"&lt;=15",'Registo de informação'!F185:F385,"&gt;5")</f>
        <v>0</v>
      </c>
    </row>
    <row r="57" spans="2:50" x14ac:dyDescent="0.25">
      <c r="B57" s="108" t="s">
        <v>176</v>
      </c>
      <c r="C57" s="108" t="s">
        <v>295</v>
      </c>
      <c r="D57" t="s">
        <v>296</v>
      </c>
      <c r="AN57">
        <f>SUMIFS('Registo de informação'!C185:C385,'Registo de informação'!B185:B385,'Folha Oculta'!AX3)</f>
        <v>0</v>
      </c>
      <c r="AP57" s="123" t="s">
        <v>185</v>
      </c>
      <c r="AQ57">
        <f>SUMIFS('Registo de informação'!C185:C385,'Registo de informação'!B185:B385,'Folha Oculta'!AX3,'Registo de informação'!J185:J385,'Folha Oculta'!AM3)</f>
        <v>0</v>
      </c>
      <c r="AR57" s="123" t="s">
        <v>294</v>
      </c>
      <c r="AS57">
        <f>SUMIFS('Registo de informação'!C185:C385,'Registo de informação'!B185:B385,'Folha Oculta'!AX3,'Registo de informação'!N185:N385,"&gt;6")</f>
        <v>0</v>
      </c>
      <c r="AU57" s="123" t="s">
        <v>187</v>
      </c>
      <c r="AV57">
        <f>SUMIFS('Registo de informação'!C185:C385,'Registo de informação'!B185:B385,'Folha Oculta'!AX3,'Registo de informação'!G185:G385,AU3)</f>
        <v>0</v>
      </c>
      <c r="AW57" s="123" t="s">
        <v>188</v>
      </c>
      <c r="AX57">
        <f>SUMIFS('Registo de informação'!C185:C385,'Registo de informação'!B185:B385,'Folha Oculta'!AX3,'Registo de informação'!F185:F385,"&gt;15")</f>
        <v>0</v>
      </c>
    </row>
    <row r="58" spans="2:50" x14ac:dyDescent="0.25">
      <c r="B58" s="22" t="s">
        <v>182</v>
      </c>
      <c r="C58" s="22" t="s">
        <v>1783</v>
      </c>
      <c r="D58" s="22"/>
      <c r="E58" s="22"/>
      <c r="AP58" s="123" t="s">
        <v>200</v>
      </c>
      <c r="AQ58">
        <f>SUMIFS('Registo de informação'!C185:C385,'Registo de informação'!B185:B385,'Folha Oculta'!AX3,'Registo de informação'!H185:H385,'Folha Oculta'!AM4,'Registo de informação'!I185:I385,'Folha Oculta'!AM4,'Registo de informação'!J185:J385,'Folha Oculta'!AM4)</f>
        <v>0</v>
      </c>
    </row>
    <row r="59" spans="2:50" x14ac:dyDescent="0.25">
      <c r="B59" s="22" t="s">
        <v>223</v>
      </c>
      <c r="C59" s="22" t="s">
        <v>1783</v>
      </c>
      <c r="D59" s="22"/>
      <c r="E59" s="22"/>
      <c r="AP59" s="123" t="s">
        <v>201</v>
      </c>
      <c r="AQ59">
        <f>SUMIFS('Registo de informação'!C185:C385,'Registo de informação'!B185:B385,'Folha Oculta'!AX3,'Registo de informação'!H185:H385,"",'Registo de informação'!I185:I385,"",'Registo de informação'!J185:J385,"")</f>
        <v>0</v>
      </c>
    </row>
    <row r="60" spans="2:50" x14ac:dyDescent="0.25">
      <c r="B60" s="22" t="s">
        <v>182</v>
      </c>
      <c r="C60" s="22" t="s">
        <v>1784</v>
      </c>
      <c r="D60" s="22"/>
      <c r="E60" s="22"/>
    </row>
    <row r="61" spans="2:50" x14ac:dyDescent="0.25">
      <c r="B61" s="108" t="s">
        <v>122</v>
      </c>
      <c r="C61" s="108" t="s">
        <v>297</v>
      </c>
      <c r="D61" t="s">
        <v>298</v>
      </c>
      <c r="AN61" s="111" t="s">
        <v>45</v>
      </c>
      <c r="AP61" s="123" t="s">
        <v>172</v>
      </c>
      <c r="AQ61">
        <f>SUMIFS('Registo de informação'!C185:C385,'Registo de informação'!B185:B385,'Folha Oculta'!AX4,'Registo de informação'!H185:H385,'Folha Oculta'!AM3)</f>
        <v>0</v>
      </c>
      <c r="AR61" s="124" t="s">
        <v>319</v>
      </c>
      <c r="AS61">
        <f>SUMIFS('Registo de informação'!C185:C385,'Registo de informação'!B185:B385,'Folha Oculta'!AX4,'Registo de informação'!N185:N385,"&lt;=6")</f>
        <v>0</v>
      </c>
      <c r="AU61" s="123" t="s">
        <v>174</v>
      </c>
      <c r="AV61">
        <f>SUMIFS('Registo de informação'!C185:C385,'Registo de informação'!B185:B385,'Folha Oculta'!AX4,'Registo de informação'!G185:G385,'Folha Oculta'!AU1)</f>
        <v>0</v>
      </c>
      <c r="AW61" s="123" t="s">
        <v>175</v>
      </c>
      <c r="AX61">
        <f>SUMIFS('Registo de informação'!C185:C385,'Registo de informação'!B185:B385,'Folha Oculta'!AX4,'Registo de informação'!F185:F385,"&lt;=5")</f>
        <v>0</v>
      </c>
    </row>
    <row r="62" spans="2:50" x14ac:dyDescent="0.25">
      <c r="B62" s="108" t="s">
        <v>118</v>
      </c>
      <c r="C62" s="108" t="s">
        <v>299</v>
      </c>
      <c r="D62" t="s">
        <v>300</v>
      </c>
      <c r="AN62" t="s">
        <v>150</v>
      </c>
      <c r="AP62" s="123" t="s">
        <v>179</v>
      </c>
      <c r="AQ62">
        <f>SUMIFS('Registo de informação'!C185:C385,'Registo de informação'!B185:B385,'Folha Oculta'!AX4,'Registo de informação'!I185:I385,'Folha Oculta'!AM3)</f>
        <v>0</v>
      </c>
      <c r="AR62" s="123" t="s">
        <v>322</v>
      </c>
      <c r="AS62">
        <f>SUMIFS('Registo de informação'!C185:C385,'Registo de informação'!B185:B385,'Folha Oculta'!AX4,'Registo de informação'!N185:N385,"&gt;6",'Registo de informação'!N185:N385,"&lt;=8")</f>
        <v>0</v>
      </c>
      <c r="AU62" s="123" t="s">
        <v>181</v>
      </c>
      <c r="AV62">
        <f>SUMIFS('Registo de informação'!C185:C385,'Registo de informação'!B185:B385,'Folha Oculta'!AX4,'Registo de informação'!G185:G385,AU2)</f>
        <v>0</v>
      </c>
      <c r="AW62" s="123" t="s">
        <v>155</v>
      </c>
      <c r="AX62">
        <f>SUMIFS('Registo de informação'!C185:C385,'Registo de informação'!B185:B385,'Folha Oculta'!AX4,'Registo de informação'!F185:F385,"&lt;=15",'Registo de informação'!F185:F385,"&gt;5")</f>
        <v>0</v>
      </c>
    </row>
    <row r="63" spans="2:50" x14ac:dyDescent="0.25">
      <c r="B63" s="108" t="s">
        <v>232</v>
      </c>
      <c r="C63" s="108" t="s">
        <v>301</v>
      </c>
      <c r="D63" t="s">
        <v>302</v>
      </c>
      <c r="AN63">
        <f>SUMIFS('Registo de informação'!C185:C385,'Registo de informação'!B185:B385,'Folha Oculta'!AX4)</f>
        <v>0</v>
      </c>
      <c r="AP63" s="123" t="s">
        <v>185</v>
      </c>
      <c r="AQ63">
        <f>SUMIFS('Registo de informação'!C185:C385,'Registo de informação'!B185:B385,'Folha Oculta'!AX4,'Registo de informação'!J185:J385,'Folha Oculta'!AM3)</f>
        <v>0</v>
      </c>
      <c r="AR63" s="123" t="s">
        <v>325</v>
      </c>
      <c r="AS63">
        <f>SUMIFS('Registo de informação'!C185:C385,'Registo de informação'!B185:B385,'Folha Oculta'!AX4,'Registo de informação'!N185:N385,"&gt;8")</f>
        <v>0</v>
      </c>
      <c r="AU63" s="123" t="s">
        <v>187</v>
      </c>
      <c r="AV63">
        <f>SUMIFS('Registo de informação'!C185:C385,'Registo de informação'!B185:B385,'Folha Oculta'!AX4,'Registo de informação'!G185:G385,AU3)</f>
        <v>0</v>
      </c>
      <c r="AW63" s="123" t="s">
        <v>188</v>
      </c>
      <c r="AX63">
        <f>SUMIFS('Registo de informação'!C185:C385,'Registo de informação'!B185:B385,'Folha Oculta'!AX4,'Registo de informação'!F185:F385,"&gt;15")</f>
        <v>0</v>
      </c>
    </row>
    <row r="64" spans="2:50" x14ac:dyDescent="0.25">
      <c r="B64" s="108" t="s">
        <v>162</v>
      </c>
      <c r="C64" s="108" t="s">
        <v>303</v>
      </c>
      <c r="D64" t="s">
        <v>304</v>
      </c>
      <c r="AP64" s="123" t="s">
        <v>192</v>
      </c>
      <c r="AQ64">
        <f>SUMIFS('Registo de informação'!C185:C385,'Registo de informação'!B185:B385,'Folha Oculta'!AX4,'Registo de informação'!K185:K385,'Folha Oculta'!AM3)</f>
        <v>0</v>
      </c>
    </row>
    <row r="65" spans="2:51" x14ac:dyDescent="0.25">
      <c r="B65" s="108" t="s">
        <v>166</v>
      </c>
      <c r="C65" s="108" t="s">
        <v>305</v>
      </c>
      <c r="D65" t="s">
        <v>306</v>
      </c>
      <c r="AP65" s="123" t="s">
        <v>197</v>
      </c>
      <c r="AQ65">
        <f>SUMIFS('Registo de informação'!C185:C385,'Registo de informação'!B185:B385,'Folha Oculta'!AX4,'Registo de informação'!L185:L385,'Folha Oculta'!AM3)</f>
        <v>0</v>
      </c>
    </row>
    <row r="66" spans="2:51" x14ac:dyDescent="0.25">
      <c r="B66" s="108" t="s">
        <v>169</v>
      </c>
      <c r="C66" s="108" t="s">
        <v>308</v>
      </c>
      <c r="D66" t="s">
        <v>309</v>
      </c>
      <c r="AP66" s="123" t="s">
        <v>200</v>
      </c>
      <c r="AQ66">
        <f>SUMIFS('Registo de informação'!C185:C385,'Registo de informação'!B185:B385,'Folha Oculta'!AX4,'Registo de informação'!H185:H385,AM4,'Registo de informação'!I185:I385,'Folha Oculta'!AM4,'Registo de informação'!J185:J385,'Folha Oculta'!AM4,'Registo de informação'!K185:K385,'Folha Oculta'!AM4,'Registo de informação'!L185:L385,'Folha Oculta'!AM4)</f>
        <v>0</v>
      </c>
    </row>
    <row r="67" spans="2:51" x14ac:dyDescent="0.25">
      <c r="B67" s="108" t="s">
        <v>130</v>
      </c>
      <c r="C67" s="108" t="s">
        <v>310</v>
      </c>
      <c r="D67" t="s">
        <v>311</v>
      </c>
      <c r="AP67" s="123" t="s">
        <v>201</v>
      </c>
      <c r="AQ67">
        <f>SUMIFS('Registo de informação'!C185:C385,'Registo de informação'!B185:B385,'Folha Oculta'!AX4,'Registo de informação'!H185:H385,"",'Registo de informação'!I185:I385,"",'Registo de informação'!J185:J385,"",'Registo de informação'!K185:K385,"",'Registo de informação'!L185:L385,"")</f>
        <v>0</v>
      </c>
    </row>
    <row r="68" spans="2:51" x14ac:dyDescent="0.25">
      <c r="B68" s="108" t="s">
        <v>176</v>
      </c>
      <c r="C68" s="108" t="s">
        <v>312</v>
      </c>
      <c r="D68" t="s">
        <v>313</v>
      </c>
    </row>
    <row r="69" spans="2:51" ht="15.75" x14ac:dyDescent="0.25">
      <c r="B69" s="108" t="s">
        <v>152</v>
      </c>
      <c r="C69" s="108" t="s">
        <v>152</v>
      </c>
      <c r="D69" t="s">
        <v>314</v>
      </c>
      <c r="AN69" s="112" t="s">
        <v>335</v>
      </c>
    </row>
    <row r="70" spans="2:51" x14ac:dyDescent="0.25">
      <c r="B70" s="108" t="s">
        <v>134</v>
      </c>
      <c r="C70" s="108" t="s">
        <v>315</v>
      </c>
      <c r="D70" t="s">
        <v>316</v>
      </c>
      <c r="AN70" s="111" t="s">
        <v>41</v>
      </c>
      <c r="AQ70" s="123" t="s">
        <v>172</v>
      </c>
      <c r="AR70">
        <f>SUMIFS('Registo de informação'!C1002:C1202,'Registo de informação'!B1002:B1202,'Folha Oculta'!AU5,'Registo de informação'!G1002:G1202,'Folha Oculta'!AM3)</f>
        <v>0</v>
      </c>
      <c r="AS70" s="123" t="s">
        <v>267</v>
      </c>
      <c r="AT70">
        <f>SUMIFS('Registo de informação'!C1002:C1202,'Registo de informação'!B1002:B1202,'Folha Oculta'!AU5,'Registo de informação'!D1002:D1202,"&lt;=6,5")</f>
        <v>0</v>
      </c>
      <c r="AV70" s="123" t="s">
        <v>174</v>
      </c>
      <c r="AW70">
        <f>SUMIFS('Registo de informação'!C1002:C1202,'Registo de informação'!B1002:B1202,'Folha Oculta'!AU5,'Registo de informação'!F1002:F1202,'Folha Oculta'!AU1)</f>
        <v>0</v>
      </c>
      <c r="AX70" s="123" t="s">
        <v>175</v>
      </c>
      <c r="AY70">
        <f>SUMIFS('Registo de informação'!C1002:C1202,'Registo de informação'!B1002:B1202,'Folha Oculta'!AU5,'Registo de informação'!E1002:E1202,"&lt;=5")</f>
        <v>0</v>
      </c>
    </row>
    <row r="71" spans="2:51" x14ac:dyDescent="0.25">
      <c r="B71" s="108" t="s">
        <v>118</v>
      </c>
      <c r="C71" s="108" t="s">
        <v>317</v>
      </c>
      <c r="D71" t="s">
        <v>318</v>
      </c>
      <c r="AN71" t="s">
        <v>150</v>
      </c>
      <c r="AQ71" s="123" t="s">
        <v>269</v>
      </c>
      <c r="AR71">
        <f>SUMIFS('Registo de informação'!C1002:C1202,'Registo de informação'!B1002:B1202,'Folha Oculta'!AU5,'Registo de informação'!H1002:H1202,'Folha Oculta'!AM3)</f>
        <v>0</v>
      </c>
      <c r="AS71" s="123" t="s">
        <v>270</v>
      </c>
      <c r="AT71">
        <f>SUMIFS('Registo de informação'!C1002:C1202,'Registo de informação'!B1002:B1202,'Folha Oculta'!AU5,'Registo de informação'!D1002:D1202,"&gt;6,5",'Registo de informação'!D1002:D1202,"&lt;=7,5")</f>
        <v>0</v>
      </c>
      <c r="AV71" s="123" t="s">
        <v>181</v>
      </c>
      <c r="AW71">
        <f>SUMIFS('Registo de informação'!C1002:C1202,'Registo de informação'!B1002:B1202,'Folha Oculta'!AU5,'Registo de informação'!F1002:F1202,'Folha Oculta'!AU2)</f>
        <v>0</v>
      </c>
      <c r="AX71" s="123" t="s">
        <v>155</v>
      </c>
      <c r="AY71">
        <f>SUMIFS('Registo de informação'!C1002:C1202,'Registo de informação'!B1002:B1202,'Folha Oculta'!AU5,'Registo de informação'!E1002:E1202,"&lt;=15",'Registo de informação'!E1002:E1202,"&gt;5")</f>
        <v>0</v>
      </c>
    </row>
    <row r="72" spans="2:51" x14ac:dyDescent="0.25">
      <c r="B72" s="108" t="s">
        <v>166</v>
      </c>
      <c r="C72" s="108" t="s">
        <v>320</v>
      </c>
      <c r="D72" t="s">
        <v>321</v>
      </c>
      <c r="AN72" s="5">
        <f>SUMIFS('Registo de informação'!C1002:C1202,'Registo de informação'!B1002:B1202,'Folha Oculta'!AU5)</f>
        <v>0</v>
      </c>
      <c r="AQ72" s="123" t="s">
        <v>273</v>
      </c>
      <c r="AR72">
        <f>SUMIFS('Registo de informação'!C1002:C1202,'Registo de informação'!B1002:B1202,'Folha Oculta'!AU5,'Registo de informação'!I1002:I1202,'Folha Oculta'!AM3)</f>
        <v>0</v>
      </c>
      <c r="AS72" s="123" t="s">
        <v>274</v>
      </c>
      <c r="AT72">
        <f>SUMIFS('Registo de informação'!C1002:C1202,'Registo de informação'!B1002:B1202,'Folha Oculta'!AU5,'Registo de informação'!D1002:D1202,"&gt;7,5",'Registo de informação'!D1002:D1202,"&lt;=9,0")</f>
        <v>0</v>
      </c>
      <c r="AV72" s="123" t="s">
        <v>187</v>
      </c>
      <c r="AW72">
        <f>SUMIFS('Registo de informação'!C1002:C1202,'Registo de informação'!B1002:B1202,'Folha Oculta'!AU5,'Registo de informação'!F1002:F1202,'Folha Oculta'!AU3)</f>
        <v>0</v>
      </c>
      <c r="AX72" s="123" t="s">
        <v>188</v>
      </c>
      <c r="AY72">
        <f>SUMIFS('Registo de informação'!C1002:C1202,'Registo de informação'!B1002:B1202,'Folha Oculta'!AU5,'Registo de informação'!E1002:E1202,"&gt;15")</f>
        <v>0</v>
      </c>
    </row>
    <row r="73" spans="2:51" x14ac:dyDescent="0.25">
      <c r="B73" s="108" t="s">
        <v>114</v>
      </c>
      <c r="C73" s="108" t="s">
        <v>323</v>
      </c>
      <c r="D73" t="s">
        <v>324</v>
      </c>
      <c r="AQ73" s="123" t="s">
        <v>276</v>
      </c>
      <c r="AR73">
        <f>SUMIFS('Registo de informação'!C1002:C1202,'Registo de informação'!B1002:B1202,'Folha Oculta'!AU5,'Registo de informação'!J1002:J1202,'Folha Oculta'!AM3)</f>
        <v>0</v>
      </c>
      <c r="AS73" s="123" t="s">
        <v>277</v>
      </c>
      <c r="AT73">
        <f>SUMIFS('Registo de informação'!C1002:C1202,'Registo de informação'!B1002:B1202,'Folha Oculta'!AU5,'Registo de informação'!D1002:D1202,"&gt;9")</f>
        <v>0</v>
      </c>
    </row>
    <row r="74" spans="2:51" x14ac:dyDescent="0.25">
      <c r="B74" s="108" t="s">
        <v>101</v>
      </c>
      <c r="C74" s="108" t="s">
        <v>326</v>
      </c>
      <c r="D74" t="s">
        <v>327</v>
      </c>
      <c r="AQ74" s="123" t="s">
        <v>280</v>
      </c>
      <c r="AR74">
        <f>SUMIFS('Registo de informação'!C1002:C1202,'Registo de informação'!B1002:B1202,'Folha Oculta'!AU5,'Registo de informação'!K1002:K1202,'Folha Oculta'!AM3)</f>
        <v>0</v>
      </c>
    </row>
    <row r="75" spans="2:51" x14ac:dyDescent="0.25">
      <c r="B75" s="108" t="s">
        <v>157</v>
      </c>
      <c r="C75" s="108" t="s">
        <v>328</v>
      </c>
      <c r="D75" t="s">
        <v>329</v>
      </c>
      <c r="AQ75" s="123" t="s">
        <v>200</v>
      </c>
      <c r="AR75">
        <f>SUMIFS('Registo de informação'!C1002:C1202,'Registo de informação'!B1002:B1202,'Folha Oculta'!AU5,'Registo de informação'!G1002:G1202,AM4,'Registo de informação'!H1002:H1202,'Folha Oculta'!AM4,'Registo de informação'!I1002:I1202,'Folha Oculta'!AM4,'Registo de informação'!J1002:J1202,'Folha Oculta'!AM4,'Registo de informação'!K1002:K1202,'Folha Oculta'!AM4)</f>
        <v>0</v>
      </c>
    </row>
    <row r="76" spans="2:51" x14ac:dyDescent="0.25">
      <c r="B76" s="108" t="s">
        <v>146</v>
      </c>
      <c r="C76" s="108" t="s">
        <v>330</v>
      </c>
      <c r="D76" t="s">
        <v>219</v>
      </c>
      <c r="AQ76" s="123" t="s">
        <v>201</v>
      </c>
      <c r="AR76">
        <f>SUMIFS('Registo de informação'!C1002:C1202,'Registo de informação'!B1002:B1202,'Folha Oculta'!AU5,'Registo de informação'!G1002:G1202,"",'Registo de informação'!H1002:H1202,"",'Registo de informação'!I1002:I1202,"",'Registo de informação'!J1002:J1202,"",'Registo de informação'!K1002:K1202,"")</f>
        <v>0</v>
      </c>
    </row>
    <row r="77" spans="2:51" x14ac:dyDescent="0.25">
      <c r="B77" s="108" t="s">
        <v>169</v>
      </c>
      <c r="C77" s="108" t="s">
        <v>331</v>
      </c>
      <c r="D77" t="s">
        <v>191</v>
      </c>
    </row>
    <row r="78" spans="2:51" x14ac:dyDescent="0.25">
      <c r="B78" s="108" t="s">
        <v>126</v>
      </c>
      <c r="C78" s="108" t="s">
        <v>332</v>
      </c>
      <c r="D78" t="s">
        <v>333</v>
      </c>
      <c r="AN78" s="111" t="s">
        <v>121</v>
      </c>
    </row>
    <row r="79" spans="2:51" x14ac:dyDescent="0.25">
      <c r="B79" s="108" t="s">
        <v>166</v>
      </c>
      <c r="C79" s="108" t="s">
        <v>334</v>
      </c>
      <c r="D79" t="s">
        <v>219</v>
      </c>
      <c r="AN79" t="s">
        <v>150</v>
      </c>
      <c r="AP79" s="123" t="s">
        <v>172</v>
      </c>
      <c r="AQ79">
        <f>SUMIFS('Registo de informação'!C1002:C1202,'Registo de informação'!B1002:B1202,'Folha Oculta'!AU6,'Registo de informação'!G1002:G1202,'Folha Oculta'!AM3)</f>
        <v>0</v>
      </c>
      <c r="AR79" s="123" t="s">
        <v>354</v>
      </c>
      <c r="AS79">
        <f>SUMIFS('Registo de informação'!C1002:C1202,'Registo de informação'!B1002:B1202,'Folha Oculta'!AU6,'Registo de informação'!D1002:D1202,"&lt;=2")</f>
        <v>0</v>
      </c>
      <c r="AU79" s="123" t="s">
        <v>174</v>
      </c>
      <c r="AV79">
        <f>SUMIFS('Registo de informação'!C1002:C1202,'Registo de informação'!B1002:B1202,'Folha Oculta'!AU6,'Registo de informação'!F1002:F1202,'Folha Oculta'!AU1)</f>
        <v>0</v>
      </c>
      <c r="AW79" s="123" t="s">
        <v>175</v>
      </c>
      <c r="AX79">
        <f>SUMIFS('Registo de informação'!C1002:C1202,'Registo de informação'!B1002:B1202,'Folha Oculta'!AU6,'Registo de informação'!E1002:E1202,"&lt;=5")</f>
        <v>0</v>
      </c>
    </row>
    <row r="80" spans="2:51" x14ac:dyDescent="0.25">
      <c r="B80" s="108" t="s">
        <v>232</v>
      </c>
      <c r="C80" s="108" t="s">
        <v>232</v>
      </c>
      <c r="D80" t="s">
        <v>336</v>
      </c>
      <c r="AN80" s="5">
        <f>SUMIFS('Registo de informação'!C1002:C1202,'Registo de informação'!B1002:B1202,'Folha Oculta'!AU6)</f>
        <v>0</v>
      </c>
      <c r="AP80" s="123" t="s">
        <v>357</v>
      </c>
      <c r="AQ80">
        <f>SUMIFS('Registo de informação'!C1002:C1202,'Registo de informação'!B1002:B1202,'Folha Oculta'!AU6,'Registo de informação'!L1002:L1202,'Folha Oculta'!AM3)</f>
        <v>0</v>
      </c>
      <c r="AR80" s="123" t="s">
        <v>358</v>
      </c>
      <c r="AS80">
        <f>SUMIFS('Registo de informação'!C1002:C1202,'Registo de informação'!B1002:B1202,'Folha Oculta'!AU6,'Registo de informação'!D1002:D1202,"&lt;=4",'Registo de informação'!D1002:D1202,"&gt;2")</f>
        <v>0</v>
      </c>
      <c r="AU80" s="123" t="s">
        <v>181</v>
      </c>
      <c r="AV80">
        <f>SUMIFS('Registo de informação'!C1002:C1202,'Registo de informação'!B1002:B1202,'Folha Oculta'!AU6,'Registo de informação'!F1002:F1202,'Folha Oculta'!AU2)</f>
        <v>0</v>
      </c>
      <c r="AW80" s="123" t="s">
        <v>155</v>
      </c>
      <c r="AX80">
        <f>SUMIFS('Registo de informação'!C1002:C1202,'Registo de informação'!B1002:B1202,'Folha Oculta'!AU6,'Registo de informação'!E1002:E1202,"&lt;=15",'Registo de informação'!E1002:E1202,"&gt;5")</f>
        <v>0</v>
      </c>
    </row>
    <row r="81" spans="2:50" x14ac:dyDescent="0.25">
      <c r="B81" s="108" t="s">
        <v>232</v>
      </c>
      <c r="C81" s="108" t="s">
        <v>337</v>
      </c>
      <c r="D81" t="s">
        <v>338</v>
      </c>
      <c r="AP81" s="123" t="s">
        <v>360</v>
      </c>
      <c r="AQ81">
        <f>SUMIFS('Registo de informação'!C1002:C1202,'Registo de informação'!B1002:B1202,'Folha Oculta'!AU6,'Registo de informação'!M1002:M1202,'Folha Oculta'!AM3)</f>
        <v>0</v>
      </c>
      <c r="AR81" s="123" t="s">
        <v>361</v>
      </c>
      <c r="AS81">
        <f>SUMIFS('Registo de informação'!C1002:C1202,'Registo de informação'!B1002:B1202,'Folha Oculta'!AU6,'Registo de informação'!D1002:D1202,"&lt;=8",'Registo de informação'!D1002:D1202,"&gt;4")</f>
        <v>0</v>
      </c>
      <c r="AU81" s="123" t="s">
        <v>187</v>
      </c>
      <c r="AV81">
        <f>SUMIFS('Registo de informação'!C1002:C1202,'Registo de informação'!B1002:B1202,'Folha Oculta'!AU6,'Registo de informação'!F1002:F1202,'Folha Oculta'!AU3)</f>
        <v>0</v>
      </c>
      <c r="AW81" s="123" t="s">
        <v>188</v>
      </c>
      <c r="AX81">
        <f>SUMIFS('Registo de informação'!C1002:C1202,'Registo de informação'!B1002:B1202,'Folha Oculta'!AU6,'Registo de informação'!E1002:E1202,"&gt;15")</f>
        <v>0</v>
      </c>
    </row>
    <row r="82" spans="2:50" x14ac:dyDescent="0.25">
      <c r="B82" s="108" t="s">
        <v>169</v>
      </c>
      <c r="C82" s="108" t="s">
        <v>339</v>
      </c>
      <c r="D82" t="s">
        <v>340</v>
      </c>
      <c r="AP82" s="123" t="s">
        <v>364</v>
      </c>
      <c r="AQ82">
        <f>SUMIFS('Registo de informação'!C1002:C1202,'Registo de informação'!B1002:B1202,'Folha Oculta'!AU6,'Registo de informação'!N1002:N1202,'Folha Oculta'!AM3)</f>
        <v>0</v>
      </c>
      <c r="AR82" s="123" t="s">
        <v>365</v>
      </c>
      <c r="AS82">
        <f>SUMIFS('Registo de informação'!C1002:C1202,'Registo de informação'!B1002:B1202,'Folha Oculta'!AU6,'Registo de informação'!D1002:D1202,"&gt;8")</f>
        <v>0</v>
      </c>
    </row>
    <row r="83" spans="2:50" x14ac:dyDescent="0.25">
      <c r="B83" s="108" t="s">
        <v>169</v>
      </c>
      <c r="C83" s="108" t="s">
        <v>341</v>
      </c>
      <c r="D83" t="s">
        <v>191</v>
      </c>
      <c r="AP83" s="123" t="s">
        <v>200</v>
      </c>
      <c r="AQ83">
        <f>SUMIFS('Registo de informação'!C1002:C1202,'Registo de informação'!B1002:B1202,'Folha Oculta'!AU6,'Registo de informação'!G1002:G1202,AM4,'Registo de informação'!L1002:L1202,'Folha Oculta'!AM4,'Registo de informação'!M1002:M1202,'Folha Oculta'!AM4,'Registo de informação'!N1002:N1202,'Folha Oculta'!AM4)</f>
        <v>0</v>
      </c>
    </row>
    <row r="84" spans="2:50" x14ac:dyDescent="0.25">
      <c r="B84" s="22" t="s">
        <v>202</v>
      </c>
      <c r="C84" s="22" t="s">
        <v>202</v>
      </c>
      <c r="AP84" s="123" t="s">
        <v>201</v>
      </c>
      <c r="AQ84">
        <f>SUMIFS('Registo de informação'!C1002:C1202,'Registo de informação'!B1002:B1202,'Folha Oculta'!AU6,'Registo de informação'!G1002:G1202,"",'Registo de informação'!L1002:L1202,"",'Registo de informação'!M1002:M1202,"",'Registo de informação'!N1002:N1202,"")</f>
        <v>0</v>
      </c>
    </row>
    <row r="85" spans="2:50" x14ac:dyDescent="0.25">
      <c r="B85" s="108" t="s">
        <v>152</v>
      </c>
      <c r="C85" s="108" t="s">
        <v>342</v>
      </c>
      <c r="D85" t="s">
        <v>343</v>
      </c>
    </row>
    <row r="86" spans="2:50" x14ac:dyDescent="0.25">
      <c r="B86" s="108" t="s">
        <v>118</v>
      </c>
      <c r="C86" s="108" t="s">
        <v>344</v>
      </c>
      <c r="D86" t="s">
        <v>345</v>
      </c>
      <c r="AN86" s="111" t="s">
        <v>287</v>
      </c>
      <c r="AP86" s="123" t="s">
        <v>172</v>
      </c>
      <c r="AQ86">
        <f>SUMIFS('Registo de informação'!C798:C998,'Registo de informação'!B798:B998,'Folha Oculta'!AX6,'Registo de informação'!H798:H998,'Folha Oculta'!AM3)</f>
        <v>0</v>
      </c>
      <c r="AR86" s="124" t="s">
        <v>288</v>
      </c>
      <c r="AS86">
        <f>SUMIFS('Registo de informação'!C798:C998,'Registo de informação'!B798:B998,'Folha Oculta'!AX6,'Registo de informação'!N798:N998,"&lt;=4")</f>
        <v>0</v>
      </c>
      <c r="AU86" s="123" t="s">
        <v>174</v>
      </c>
      <c r="AV86">
        <f>SUMIFS('Registo de informação'!C798:C998,'Registo de informação'!B798:B998,'Folha Oculta'!AX6,'Registo de informação'!G798:G998,'Folha Oculta'!AU1)</f>
        <v>0</v>
      </c>
      <c r="AW86" s="123" t="s">
        <v>175</v>
      </c>
      <c r="AX86">
        <f>SUMIFS('Registo de informação'!C798:C998,'Registo de informação'!B798:B998,'Folha Oculta'!AX6,'Registo de informação'!F798:F998,"&lt;=5")</f>
        <v>0</v>
      </c>
    </row>
    <row r="87" spans="2:50" x14ac:dyDescent="0.25">
      <c r="B87" s="108" t="s">
        <v>101</v>
      </c>
      <c r="C87" s="108" t="s">
        <v>346</v>
      </c>
      <c r="D87" t="s">
        <v>347</v>
      </c>
      <c r="AN87" t="s">
        <v>150</v>
      </c>
      <c r="AP87" s="123" t="s">
        <v>179</v>
      </c>
      <c r="AQ87">
        <f>SUMIFS('Registo de informação'!C798:C998,'Registo de informação'!B798:B998,'Folha Oculta'!AX6,'Registo de informação'!I798:I998,'Folha Oculta'!AM3)</f>
        <v>0</v>
      </c>
      <c r="AR87" s="123" t="s">
        <v>291</v>
      </c>
      <c r="AS87">
        <f>SUMIFS('Registo de informação'!C798:C998,'Registo de informação'!B798:B998,'Folha Oculta'!AX6,'Registo de informação'!N798:N998,"&lt;=6",'Registo de informação'!N798:N998,"&gt;4")</f>
        <v>0</v>
      </c>
      <c r="AU87" s="123" t="s">
        <v>181</v>
      </c>
      <c r="AV87">
        <f>SUMIFS('Registo de informação'!C798:C998,'Registo de informação'!B798:B998,'Folha Oculta'!AX6,'Registo de informação'!G798:G998,'Folha Oculta'!AU2)</f>
        <v>0</v>
      </c>
      <c r="AW87" s="123" t="s">
        <v>155</v>
      </c>
      <c r="AX87">
        <f>SUMIFS('Registo de informação'!C798:C998,'Registo de informação'!B798:B998,'Folha Oculta'!AX6,'Registo de informação'!F798:F998,"&lt;=15",'Registo de informação'!F798:F998,"&gt;5")</f>
        <v>0</v>
      </c>
    </row>
    <row r="88" spans="2:50" x14ac:dyDescent="0.25">
      <c r="B88" s="108" t="s">
        <v>118</v>
      </c>
      <c r="C88" s="108" t="s">
        <v>348</v>
      </c>
      <c r="D88" t="s">
        <v>349</v>
      </c>
      <c r="AN88" s="5">
        <f>SUMIFS('Registo de informação'!C798:C998,'Registo de informação'!B798:B998,'Folha Oculta'!AX6)</f>
        <v>0</v>
      </c>
      <c r="AP88" s="123" t="s">
        <v>185</v>
      </c>
      <c r="AQ88">
        <f>SUMIFS('Registo de informação'!C798:C998,'Registo de informação'!B798:B998,'Folha Oculta'!AX6,'Registo de informação'!J798:J998,'Folha Oculta'!AM3)</f>
        <v>0</v>
      </c>
      <c r="AR88" s="123" t="s">
        <v>294</v>
      </c>
      <c r="AS88">
        <f>SUMIFS('Registo de informação'!C798:C998,'Registo de informação'!B798:B998,'Folha Oculta'!AX6,'Registo de informação'!N798:N998,"&gt;6")</f>
        <v>0</v>
      </c>
      <c r="AU88" s="123" t="s">
        <v>187</v>
      </c>
      <c r="AV88">
        <f>SUMIFS('Registo de informação'!C798:C998,'Registo de informação'!B798:B998,'Folha Oculta'!AX6,'Registo de informação'!G798:G998,'Folha Oculta'!AU3)</f>
        <v>0</v>
      </c>
      <c r="AW88" s="123" t="s">
        <v>188</v>
      </c>
      <c r="AX88">
        <f>SUMIFS('Registo de informação'!C798:C998,'Registo de informação'!B798:B998,'Folha Oculta'!AX6,'Registo de informação'!F798:F998,"&gt;15")</f>
        <v>0</v>
      </c>
    </row>
    <row r="89" spans="2:50" x14ac:dyDescent="0.25">
      <c r="B89" s="108" t="s">
        <v>169</v>
      </c>
      <c r="C89" s="108" t="s">
        <v>350</v>
      </c>
      <c r="D89" t="s">
        <v>351</v>
      </c>
      <c r="AP89" s="123" t="s">
        <v>192</v>
      </c>
      <c r="AQ89">
        <f>SUMIFS('Registo de informação'!C798:C998,'Registo de informação'!B798:B998,'Folha Oculta'!AX6,'Registo de informação'!K798:K998,'Folha Oculta'!AM3)</f>
        <v>0</v>
      </c>
    </row>
    <row r="90" spans="2:50" x14ac:dyDescent="0.25">
      <c r="B90" s="108" t="s">
        <v>134</v>
      </c>
      <c r="C90" s="108" t="s">
        <v>352</v>
      </c>
      <c r="D90" t="s">
        <v>353</v>
      </c>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P90" s="123" t="s">
        <v>197</v>
      </c>
      <c r="AQ90">
        <f>SUMIFS('Registo de informação'!C798:C998,'Registo de informação'!B798:B998,'Folha Oculta'!AX6,'Registo de informação'!L798:L998,'Folha Oculta'!AM3)</f>
        <v>0</v>
      </c>
    </row>
    <row r="91" spans="2:50" x14ac:dyDescent="0.25">
      <c r="B91" s="108" t="s">
        <v>146</v>
      </c>
      <c r="C91" s="108" t="s">
        <v>355</v>
      </c>
      <c r="D91" t="s">
        <v>356</v>
      </c>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P91" s="123" t="s">
        <v>200</v>
      </c>
      <c r="AQ91">
        <f>SUMIFS('Registo de informação'!C798:C998,'Registo de informação'!B798:B998,'Folha Oculta'!AX6,'Registo de informação'!H798:H998,'Folha Oculta'!AM4,'Registo de informação'!I798:I998,'Folha Oculta'!AM4,'Registo de informação'!J798:J998,'Folha Oculta'!AM4,'Registo de informação'!K798:K998,'Folha Oculta'!AM4,'Registo de informação'!L798:L998,'Folha Oculta'!AM4)</f>
        <v>0</v>
      </c>
    </row>
    <row r="92" spans="2:50" x14ac:dyDescent="0.25">
      <c r="B92" s="108" t="s">
        <v>134</v>
      </c>
      <c r="C92" s="108" t="s">
        <v>359</v>
      </c>
      <c r="D92" t="s">
        <v>103</v>
      </c>
      <c r="F92" s="108"/>
      <c r="G92" s="108"/>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P92" s="123" t="s">
        <v>201</v>
      </c>
      <c r="AQ92">
        <f>SUMIFS('Registo de informação'!C798:C998,'Registo de informação'!B798:B998,'Folha Oculta'!AX6,'Registo de informação'!H798:H998,"",'Registo de informação'!I798:I998,"",'Registo de informação'!J798:J998,"",'Registo de informação'!K798:K998,"",'Registo de informação'!L798:L998,"")</f>
        <v>0</v>
      </c>
    </row>
    <row r="93" spans="2:50" x14ac:dyDescent="0.25">
      <c r="B93" s="108" t="s">
        <v>94</v>
      </c>
      <c r="C93" s="108" t="s">
        <v>362</v>
      </c>
      <c r="D93" t="s">
        <v>363</v>
      </c>
      <c r="F93" s="108"/>
      <c r="G93" s="108"/>
      <c r="H93" s="108"/>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row>
    <row r="94" spans="2:50" x14ac:dyDescent="0.25">
      <c r="B94" s="108" t="s">
        <v>94</v>
      </c>
      <c r="C94" s="108" t="s">
        <v>94</v>
      </c>
      <c r="D94" t="s">
        <v>366</v>
      </c>
      <c r="F94" s="108"/>
      <c r="G94" s="108"/>
      <c r="H94" s="108"/>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N94" s="111" t="s">
        <v>253</v>
      </c>
      <c r="AP94" s="123" t="s">
        <v>172</v>
      </c>
      <c r="AQ94">
        <f>SUMIFS('Registo de informação'!C798:C998,'Registo de informação'!B798:B998,'Folha Oculta'!AX5,'Registo de informação'!H798:H998,'Folha Oculta'!AM3)</f>
        <v>0</v>
      </c>
      <c r="AR94" s="124" t="s">
        <v>173</v>
      </c>
      <c r="AS94">
        <f>SUMIFS('Registo de informação'!C798:C998,'Registo de informação'!B798:B998,'Folha Oculta'!AX5,'Registo de informação'!N798:N998,"&lt;=7")</f>
        <v>0</v>
      </c>
      <c r="AU94" s="123" t="s">
        <v>174</v>
      </c>
      <c r="AV94">
        <f>SUMIFS('Registo de informação'!C798:C998,'Registo de informação'!B798:B998,'Folha Oculta'!AX5,'Registo de informação'!G798:G998,'Folha Oculta'!AU1)</f>
        <v>0</v>
      </c>
      <c r="AW94" s="123" t="s">
        <v>175</v>
      </c>
      <c r="AX94">
        <f>SUMIFS('Registo de informação'!C798:C998,'Registo de informação'!B798:B998,'Folha Oculta'!AX5,'Registo de informação'!F798:F998,"&lt;=5")</f>
        <v>0</v>
      </c>
    </row>
    <row r="95" spans="2:50" x14ac:dyDescent="0.25">
      <c r="B95" s="108" t="s">
        <v>146</v>
      </c>
      <c r="C95" s="108" t="s">
        <v>367</v>
      </c>
      <c r="D95" t="s">
        <v>368</v>
      </c>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N95" t="s">
        <v>150</v>
      </c>
      <c r="AP95" s="123" t="s">
        <v>179</v>
      </c>
      <c r="AQ95">
        <f>SUMIFS('Registo de informação'!C798:C998,'Registo de informação'!B798:B998,'Folha Oculta'!AX5,'Registo de informação'!I798:I998,'Folha Oculta'!AM3)</f>
        <v>0</v>
      </c>
      <c r="AR95" s="123" t="s">
        <v>180</v>
      </c>
      <c r="AS95">
        <f>SUMIFS('Registo de informação'!C798:C998,'Registo de informação'!B798:B998,'Folha Oculta'!AX5,'Registo de informação'!N798:N998,"&lt;=9",'Registo de informação'!N798:N998,"&gt;7")</f>
        <v>0</v>
      </c>
      <c r="AU95" s="123" t="s">
        <v>181</v>
      </c>
      <c r="AV95">
        <f>SUMIFS('Registo de informação'!C798:C998,'Registo de informação'!B798:B998,'Folha Oculta'!AX5,'Registo de informação'!G798:G998,'Folha Oculta'!AU2)</f>
        <v>0</v>
      </c>
      <c r="AW95" s="123" t="s">
        <v>155</v>
      </c>
      <c r="AX95">
        <f>SUMIFS('Registo de informação'!C798:C998,'Registo de informação'!B798:B998,'Folha Oculta'!AX5,'Registo de informação'!F798:F998,"&lt;=15",'Registo de informação'!F798:F998,"&gt;5")</f>
        <v>0</v>
      </c>
    </row>
    <row r="96" spans="2:50" x14ac:dyDescent="0.25">
      <c r="B96" s="108" t="s">
        <v>114</v>
      </c>
      <c r="C96" s="108" t="s">
        <v>114</v>
      </c>
      <c r="D96" t="s">
        <v>369</v>
      </c>
      <c r="F96" s="108"/>
      <c r="G96" s="108"/>
      <c r="H96" s="108"/>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N96" s="5">
        <f>SUMIFS('Registo de informação'!C798:C998,'Registo de informação'!B798:B998,'Folha Oculta'!AX5)</f>
        <v>0</v>
      </c>
      <c r="AP96" s="123" t="s">
        <v>185</v>
      </c>
      <c r="AQ96">
        <f>SUMIFS('Registo de informação'!C798:C998,'Registo de informação'!B798:B998,'Folha Oculta'!AX5,'Registo de informação'!J798:J998,'Folha Oculta'!AM3)</f>
        <v>0</v>
      </c>
      <c r="AR96" s="123" t="s">
        <v>186</v>
      </c>
      <c r="AS96">
        <f>SUMIFS('Registo de informação'!C798:C998,'Registo de informação'!B798:B998,'Folha Oculta'!AX5,'Registo de informação'!N798:N998,"&lt;=15",'Registo de informação'!N798:N998,"&gt;9")</f>
        <v>0</v>
      </c>
      <c r="AU96" s="123" t="s">
        <v>187</v>
      </c>
      <c r="AV96">
        <f>SUMIFS('Registo de informação'!C798:C998,'Registo de informação'!B798:B998,'Folha Oculta'!AX5,'Registo de informação'!G798:G998,'Folha Oculta'!AU3)</f>
        <v>0</v>
      </c>
      <c r="AW96" s="123" t="s">
        <v>188</v>
      </c>
      <c r="AX96">
        <f>SUMIFS('Registo de informação'!C798:C998,'Registo de informação'!B798:B998,'Folha Oculta'!AX5,'Registo de informação'!F798:F998,"&gt;15")</f>
        <v>0</v>
      </c>
    </row>
    <row r="97" spans="2:45" x14ac:dyDescent="0.25">
      <c r="B97" s="108" t="s">
        <v>137</v>
      </c>
      <c r="C97" s="108" t="s">
        <v>370</v>
      </c>
      <c r="D97" t="s">
        <v>371</v>
      </c>
      <c r="F97" s="108"/>
      <c r="G97" s="108"/>
      <c r="H97" s="108"/>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P97" s="123" t="s">
        <v>192</v>
      </c>
      <c r="AQ97">
        <f>SUMIFS('Registo de informação'!C798:C998,'Registo de informação'!B798:B998,'Folha Oculta'!AX5,'Registo de informação'!K798:K998,'Folha Oculta'!AM3)</f>
        <v>0</v>
      </c>
      <c r="AR97" s="123" t="s">
        <v>193</v>
      </c>
      <c r="AS97">
        <f>SUMIFS('Registo de informação'!C798:C998,'Registo de informação'!B798:B998,'Folha Oculta'!AX5,'Registo de informação'!N798:N998,"&gt;15")</f>
        <v>0</v>
      </c>
    </row>
    <row r="98" spans="2:45" x14ac:dyDescent="0.25">
      <c r="B98" s="108" t="s">
        <v>101</v>
      </c>
      <c r="C98" s="108" t="s">
        <v>372</v>
      </c>
      <c r="D98" t="s">
        <v>373</v>
      </c>
      <c r="F98" s="108"/>
      <c r="G98" s="108"/>
      <c r="H98" s="108"/>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P98" s="123" t="s">
        <v>197</v>
      </c>
      <c r="AQ98">
        <f>SUMIFS('Registo de informação'!C798:C998,'Registo de informação'!B798:B998,'Folha Oculta'!AX5,'Registo de informação'!L798:L998,'Folha Oculta'!AM3)</f>
        <v>0</v>
      </c>
    </row>
    <row r="99" spans="2:45" x14ac:dyDescent="0.25">
      <c r="B99" s="108" t="s">
        <v>169</v>
      </c>
      <c r="C99" s="108" t="s">
        <v>374</v>
      </c>
      <c r="D99" t="s">
        <v>375</v>
      </c>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P99" s="123" t="s">
        <v>200</v>
      </c>
      <c r="AQ99">
        <f>SUMIFS('Registo de informação'!C798:C998,'Registo de informação'!B798:B998,'Folha Oculta'!AX5,'Registo de informação'!H798:H998,'Folha Oculta'!AM4,'Registo de informação'!I798:I998,'Folha Oculta'!AM4,'Registo de informação'!J798:J998,'Folha Oculta'!AM4,'Registo de informação'!K798:K998,'Folha Oculta'!AM4,'Registo de informação'!L798:L998,'Folha Oculta'!AM4)</f>
        <v>0</v>
      </c>
    </row>
    <row r="100" spans="2:45" x14ac:dyDescent="0.25">
      <c r="B100" s="108" t="s">
        <v>232</v>
      </c>
      <c r="C100" s="108" t="s">
        <v>376</v>
      </c>
      <c r="D100" t="s">
        <v>377</v>
      </c>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P100" s="123" t="s">
        <v>201</v>
      </c>
      <c r="AQ100">
        <f>SUMIFS('Registo de informação'!C798:C998,'Registo de informação'!B798:B998,'Folha Oculta'!AX5,'Registo de informação'!H798:H998,"",'Registo de informação'!I798:I998,"",'Registo de informação'!J798:J998,"",'Registo de informação'!K798:K998,"",'Registo de informação'!L798:L998,"")</f>
        <v>0</v>
      </c>
    </row>
    <row r="101" spans="2:45" x14ac:dyDescent="0.25">
      <c r="B101" s="108" t="s">
        <v>157</v>
      </c>
      <c r="C101" s="108" t="s">
        <v>378</v>
      </c>
      <c r="D101" t="s">
        <v>379</v>
      </c>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row>
    <row r="102" spans="2:45" x14ac:dyDescent="0.25">
      <c r="B102" s="108" t="s">
        <v>176</v>
      </c>
      <c r="C102" s="108" t="s">
        <v>380</v>
      </c>
      <c r="D102" t="s">
        <v>381</v>
      </c>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R102" s="6" t="s">
        <v>1971</v>
      </c>
    </row>
    <row r="103" spans="2:45" x14ac:dyDescent="0.25">
      <c r="B103" s="108" t="s">
        <v>157</v>
      </c>
      <c r="C103" s="108" t="s">
        <v>382</v>
      </c>
      <c r="D103" t="s">
        <v>383</v>
      </c>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R103" s="123" t="s">
        <v>1972</v>
      </c>
      <c r="AS103">
        <f>COUNTIF('Registo de informação'!B26:B50,"&lt;=20")</f>
        <v>0</v>
      </c>
    </row>
    <row r="104" spans="2:45" x14ac:dyDescent="0.25">
      <c r="B104" s="108" t="s">
        <v>162</v>
      </c>
      <c r="C104" s="108" t="s">
        <v>384</v>
      </c>
      <c r="D104" t="s">
        <v>385</v>
      </c>
      <c r="AR104" t="s">
        <v>1973</v>
      </c>
      <c r="AS104">
        <f>COUNTIFS('Registo de informação'!B26:B50,"&gt;20",'Registo de informação'!B26:B50,"&lt;=40")</f>
        <v>0</v>
      </c>
    </row>
    <row r="105" spans="2:45" x14ac:dyDescent="0.25">
      <c r="B105" s="108" t="s">
        <v>118</v>
      </c>
      <c r="C105" s="108" t="s">
        <v>386</v>
      </c>
      <c r="D105" t="s">
        <v>387</v>
      </c>
      <c r="AO105" s="117" t="s">
        <v>1734</v>
      </c>
      <c r="AR105" t="s">
        <v>1974</v>
      </c>
      <c r="AS105">
        <f>COUNTIF('Registo de informação'!B26:B50,"&gt;40")</f>
        <v>0</v>
      </c>
    </row>
    <row r="106" spans="2:45" x14ac:dyDescent="0.25">
      <c r="B106" s="22" t="s">
        <v>194</v>
      </c>
      <c r="C106" s="22" t="s">
        <v>1792</v>
      </c>
      <c r="AO106" t="s">
        <v>1735</v>
      </c>
    </row>
    <row r="107" spans="2:45" x14ac:dyDescent="0.25">
      <c r="B107" s="108" t="s">
        <v>152</v>
      </c>
      <c r="C107" s="108" t="s">
        <v>388</v>
      </c>
      <c r="D107" t="s">
        <v>389</v>
      </c>
      <c r="AO107" t="s">
        <v>1736</v>
      </c>
    </row>
    <row r="108" spans="2:45" x14ac:dyDescent="0.25">
      <c r="B108" s="108" t="s">
        <v>118</v>
      </c>
      <c r="C108" s="108" t="s">
        <v>390</v>
      </c>
      <c r="D108" t="s">
        <v>391</v>
      </c>
      <c r="AO108" t="s">
        <v>1737</v>
      </c>
    </row>
    <row r="109" spans="2:45" x14ac:dyDescent="0.25">
      <c r="B109" s="108" t="s">
        <v>232</v>
      </c>
      <c r="C109" s="108" t="s">
        <v>392</v>
      </c>
      <c r="D109" t="s">
        <v>393</v>
      </c>
      <c r="AO109" t="s">
        <v>1738</v>
      </c>
    </row>
    <row r="110" spans="2:45" x14ac:dyDescent="0.25">
      <c r="B110" s="108" t="s">
        <v>169</v>
      </c>
      <c r="C110" s="108" t="s">
        <v>394</v>
      </c>
      <c r="D110" t="s">
        <v>395</v>
      </c>
    </row>
    <row r="111" spans="2:45" x14ac:dyDescent="0.25">
      <c r="B111" s="108" t="s">
        <v>137</v>
      </c>
      <c r="C111" s="108" t="s">
        <v>396</v>
      </c>
      <c r="D111" t="s">
        <v>397</v>
      </c>
    </row>
    <row r="112" spans="2:45" x14ac:dyDescent="0.25">
      <c r="B112" s="108" t="s">
        <v>157</v>
      </c>
      <c r="C112" s="108" t="s">
        <v>398</v>
      </c>
      <c r="D112" t="s">
        <v>399</v>
      </c>
    </row>
    <row r="113" spans="2:36" x14ac:dyDescent="0.25">
      <c r="B113" s="108" t="s">
        <v>109</v>
      </c>
      <c r="C113" s="108" t="s">
        <v>400</v>
      </c>
      <c r="D113" t="s">
        <v>401</v>
      </c>
    </row>
    <row r="114" spans="2:36" x14ac:dyDescent="0.25">
      <c r="B114" s="108" t="s">
        <v>157</v>
      </c>
      <c r="C114" s="108" t="s">
        <v>157</v>
      </c>
      <c r="D114" t="s">
        <v>402</v>
      </c>
    </row>
    <row r="115" spans="2:36" x14ac:dyDescent="0.25">
      <c r="B115" s="108" t="s">
        <v>146</v>
      </c>
      <c r="C115" s="108" t="s">
        <v>403</v>
      </c>
      <c r="D115" t="s">
        <v>404</v>
      </c>
    </row>
    <row r="116" spans="2:36" x14ac:dyDescent="0.25">
      <c r="B116" s="22" t="s">
        <v>205</v>
      </c>
      <c r="C116" s="22" t="s">
        <v>1793</v>
      </c>
      <c r="D116" s="22"/>
      <c r="E116" s="22"/>
    </row>
    <row r="117" spans="2:36" x14ac:dyDescent="0.25">
      <c r="B117" s="108" t="s">
        <v>152</v>
      </c>
      <c r="C117" s="108" t="s">
        <v>405</v>
      </c>
      <c r="D117" t="s">
        <v>406</v>
      </c>
    </row>
    <row r="118" spans="2:36" x14ac:dyDescent="0.25">
      <c r="B118" s="108" t="s">
        <v>134</v>
      </c>
      <c r="C118" s="108" t="s">
        <v>407</v>
      </c>
      <c r="D118" t="s">
        <v>103</v>
      </c>
    </row>
    <row r="119" spans="2:36" x14ac:dyDescent="0.25">
      <c r="B119" s="108" t="s">
        <v>114</v>
      </c>
      <c r="C119" s="108" t="s">
        <v>1781</v>
      </c>
      <c r="D119" t="s">
        <v>408</v>
      </c>
    </row>
    <row r="120" spans="2:36" x14ac:dyDescent="0.25">
      <c r="B120" s="22" t="s">
        <v>226</v>
      </c>
      <c r="C120" s="22" t="s">
        <v>1781</v>
      </c>
      <c r="D120" s="22"/>
      <c r="E120" s="22"/>
    </row>
    <row r="121" spans="2:36" x14ac:dyDescent="0.25">
      <c r="B121" s="108" t="s">
        <v>114</v>
      </c>
      <c r="C121" s="108" t="s">
        <v>409</v>
      </c>
      <c r="D121" t="s">
        <v>410</v>
      </c>
    </row>
    <row r="122" spans="2:36" x14ac:dyDescent="0.25">
      <c r="B122" s="22" t="s">
        <v>209</v>
      </c>
      <c r="C122" s="22" t="s">
        <v>1794</v>
      </c>
      <c r="D122" s="22"/>
      <c r="E122" s="22"/>
    </row>
    <row r="123" spans="2:36" x14ac:dyDescent="0.25">
      <c r="B123" s="22" t="s">
        <v>217</v>
      </c>
      <c r="C123" s="22" t="s">
        <v>1797</v>
      </c>
      <c r="D123" s="22"/>
      <c r="E123" s="22"/>
    </row>
    <row r="124" spans="2:36" x14ac:dyDescent="0.25">
      <c r="B124" s="108" t="s">
        <v>166</v>
      </c>
      <c r="C124" s="108" t="s">
        <v>411</v>
      </c>
      <c r="D124" t="s">
        <v>412</v>
      </c>
    </row>
    <row r="125" spans="2:36" x14ac:dyDescent="0.25">
      <c r="B125" s="108" t="s">
        <v>176</v>
      </c>
      <c r="C125" s="108" t="s">
        <v>176</v>
      </c>
      <c r="D125" t="s">
        <v>413</v>
      </c>
    </row>
    <row r="126" spans="2:36" x14ac:dyDescent="0.25">
      <c r="B126" s="108" t="s">
        <v>130</v>
      </c>
      <c r="C126" s="108" t="s">
        <v>130</v>
      </c>
      <c r="D126" t="s">
        <v>414</v>
      </c>
    </row>
    <row r="127" spans="2:36" x14ac:dyDescent="0.25">
      <c r="B127" s="108" t="s">
        <v>114</v>
      </c>
      <c r="C127" s="108" t="s">
        <v>415</v>
      </c>
      <c r="D127" t="s">
        <v>416</v>
      </c>
    </row>
    <row r="128" spans="2:36" x14ac:dyDescent="0.25">
      <c r="B128" s="108" t="s">
        <v>130</v>
      </c>
      <c r="C128" s="108" t="s">
        <v>417</v>
      </c>
      <c r="D128" t="s">
        <v>418</v>
      </c>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row>
    <row r="129" spans="2:36" x14ac:dyDescent="0.25">
      <c r="B129" s="108" t="s">
        <v>130</v>
      </c>
      <c r="C129" s="108" t="s">
        <v>419</v>
      </c>
      <c r="D129" t="s">
        <v>420</v>
      </c>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row>
    <row r="130" spans="2:36" x14ac:dyDescent="0.25">
      <c r="B130" s="108" t="s">
        <v>232</v>
      </c>
      <c r="C130" s="108" t="s">
        <v>421</v>
      </c>
      <c r="D130" t="s">
        <v>422</v>
      </c>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row>
    <row r="131" spans="2:36" x14ac:dyDescent="0.25">
      <c r="B131" s="108" t="s">
        <v>137</v>
      </c>
      <c r="C131" s="108" t="s">
        <v>423</v>
      </c>
      <c r="D131" t="s">
        <v>424</v>
      </c>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row>
    <row r="132" spans="2:36" x14ac:dyDescent="0.25">
      <c r="B132" s="108" t="s">
        <v>169</v>
      </c>
      <c r="C132" s="108" t="s">
        <v>425</v>
      </c>
      <c r="D132" t="s">
        <v>426</v>
      </c>
    </row>
    <row r="133" spans="2:36" x14ac:dyDescent="0.25">
      <c r="B133" s="108" t="s">
        <v>162</v>
      </c>
      <c r="C133" s="108" t="s">
        <v>427</v>
      </c>
      <c r="D133" t="s">
        <v>428</v>
      </c>
    </row>
    <row r="134" spans="2:36" x14ac:dyDescent="0.25">
      <c r="B134" s="22" t="s">
        <v>182</v>
      </c>
      <c r="C134" s="22" t="s">
        <v>1785</v>
      </c>
      <c r="D134" s="22"/>
      <c r="E134" s="22"/>
    </row>
    <row r="135" spans="2:36" x14ac:dyDescent="0.25">
      <c r="B135" s="22" t="s">
        <v>217</v>
      </c>
      <c r="C135" s="22" t="s">
        <v>1798</v>
      </c>
      <c r="D135" s="22"/>
      <c r="E135" s="22"/>
    </row>
    <row r="136" spans="2:36" x14ac:dyDescent="0.25">
      <c r="B136" s="108" t="s">
        <v>130</v>
      </c>
      <c r="C136" s="108" t="s">
        <v>429</v>
      </c>
      <c r="D136" t="s">
        <v>430</v>
      </c>
    </row>
    <row r="137" spans="2:36" x14ac:dyDescent="0.25">
      <c r="B137" s="108" t="s">
        <v>137</v>
      </c>
      <c r="C137" s="108" t="s">
        <v>431</v>
      </c>
      <c r="D137" t="s">
        <v>432</v>
      </c>
    </row>
    <row r="138" spans="2:36" x14ac:dyDescent="0.25">
      <c r="B138" s="108" t="s">
        <v>166</v>
      </c>
      <c r="C138" s="108" t="s">
        <v>433</v>
      </c>
      <c r="D138" t="s">
        <v>434</v>
      </c>
    </row>
    <row r="139" spans="2:36" x14ac:dyDescent="0.25">
      <c r="B139" s="108" t="s">
        <v>157</v>
      </c>
      <c r="C139" s="108" t="s">
        <v>435</v>
      </c>
      <c r="D139" t="s">
        <v>436</v>
      </c>
    </row>
    <row r="140" spans="2:36" x14ac:dyDescent="0.25">
      <c r="B140" s="108" t="s">
        <v>137</v>
      </c>
      <c r="C140" s="108" t="s">
        <v>437</v>
      </c>
      <c r="D140" t="s">
        <v>438</v>
      </c>
    </row>
    <row r="141" spans="2:36" x14ac:dyDescent="0.25">
      <c r="B141" s="108" t="s">
        <v>176</v>
      </c>
      <c r="C141" s="108" t="s">
        <v>439</v>
      </c>
      <c r="D141" t="s">
        <v>440</v>
      </c>
    </row>
    <row r="142" spans="2:36" x14ac:dyDescent="0.25">
      <c r="B142" s="108" t="s">
        <v>118</v>
      </c>
      <c r="C142" s="108" t="s">
        <v>441</v>
      </c>
      <c r="D142" t="s">
        <v>442</v>
      </c>
    </row>
    <row r="143" spans="2:36" x14ac:dyDescent="0.25">
      <c r="B143" s="108" t="s">
        <v>137</v>
      </c>
      <c r="C143" s="108" t="s">
        <v>443</v>
      </c>
      <c r="D143" t="s">
        <v>444</v>
      </c>
    </row>
    <row r="144" spans="2:36" x14ac:dyDescent="0.25">
      <c r="B144" s="108" t="s">
        <v>134</v>
      </c>
      <c r="C144" s="108" t="s">
        <v>445</v>
      </c>
      <c r="D144" t="s">
        <v>446</v>
      </c>
    </row>
    <row r="145" spans="2:36" x14ac:dyDescent="0.25">
      <c r="B145" s="108" t="s">
        <v>157</v>
      </c>
      <c r="C145" s="108" t="s">
        <v>447</v>
      </c>
      <c r="D145" t="s">
        <v>448</v>
      </c>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row>
    <row r="146" spans="2:36" x14ac:dyDescent="0.25">
      <c r="B146" s="108" t="s">
        <v>122</v>
      </c>
      <c r="C146" s="108" t="s">
        <v>449</v>
      </c>
      <c r="D146" t="s">
        <v>450</v>
      </c>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row>
    <row r="147" spans="2:36" x14ac:dyDescent="0.25">
      <c r="B147" s="108" t="s">
        <v>101</v>
      </c>
      <c r="C147" s="108" t="s">
        <v>451</v>
      </c>
      <c r="D147" t="s">
        <v>452</v>
      </c>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row>
    <row r="148" spans="2:36" x14ac:dyDescent="0.25">
      <c r="B148" s="108" t="s">
        <v>126</v>
      </c>
      <c r="C148" s="108" t="s">
        <v>453</v>
      </c>
      <c r="D148" t="s">
        <v>454</v>
      </c>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row>
    <row r="149" spans="2:36" x14ac:dyDescent="0.25">
      <c r="B149" s="108" t="s">
        <v>232</v>
      </c>
      <c r="C149" s="108" t="s">
        <v>455</v>
      </c>
      <c r="D149" t="s">
        <v>456</v>
      </c>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row>
    <row r="150" spans="2:36" x14ac:dyDescent="0.25">
      <c r="B150" s="108" t="s">
        <v>232</v>
      </c>
      <c r="C150" s="108" t="s">
        <v>457</v>
      </c>
      <c r="D150" t="s">
        <v>458</v>
      </c>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row>
    <row r="151" spans="2:36" x14ac:dyDescent="0.25">
      <c r="B151" s="108" t="s">
        <v>162</v>
      </c>
      <c r="C151" s="108" t="s">
        <v>459</v>
      </c>
      <c r="D151" t="s">
        <v>460</v>
      </c>
    </row>
    <row r="152" spans="2:36" x14ac:dyDescent="0.25">
      <c r="B152" s="108" t="s">
        <v>162</v>
      </c>
      <c r="C152" s="108" t="s">
        <v>461</v>
      </c>
      <c r="D152" t="s">
        <v>462</v>
      </c>
    </row>
    <row r="153" spans="2:36" x14ac:dyDescent="0.25">
      <c r="B153" s="108" t="s">
        <v>162</v>
      </c>
      <c r="C153" s="108" t="s">
        <v>463</v>
      </c>
      <c r="D153" t="s">
        <v>464</v>
      </c>
    </row>
    <row r="154" spans="2:36" x14ac:dyDescent="0.25">
      <c r="B154" s="108" t="s">
        <v>166</v>
      </c>
      <c r="C154" s="108" t="s">
        <v>465</v>
      </c>
      <c r="D154" t="s">
        <v>466</v>
      </c>
    </row>
    <row r="155" spans="2:36" x14ac:dyDescent="0.25">
      <c r="B155" s="108" t="s">
        <v>109</v>
      </c>
      <c r="C155" s="108" t="s">
        <v>467</v>
      </c>
      <c r="D155" t="s">
        <v>468</v>
      </c>
    </row>
    <row r="156" spans="2:36" x14ac:dyDescent="0.25">
      <c r="B156" s="108" t="s">
        <v>122</v>
      </c>
      <c r="C156" s="108" t="s">
        <v>469</v>
      </c>
      <c r="D156" t="s">
        <v>470</v>
      </c>
    </row>
    <row r="157" spans="2:36" x14ac:dyDescent="0.25">
      <c r="B157" s="108" t="s">
        <v>114</v>
      </c>
      <c r="C157" s="108" t="s">
        <v>471</v>
      </c>
      <c r="D157" t="s">
        <v>472</v>
      </c>
    </row>
    <row r="158" spans="2:36" x14ac:dyDescent="0.25">
      <c r="B158" s="108" t="s">
        <v>126</v>
      </c>
      <c r="C158" s="108" t="s">
        <v>473</v>
      </c>
      <c r="D158" t="s">
        <v>474</v>
      </c>
    </row>
    <row r="159" spans="2:36" x14ac:dyDescent="0.25">
      <c r="B159" s="108" t="s">
        <v>118</v>
      </c>
      <c r="C159" s="108" t="s">
        <v>475</v>
      </c>
      <c r="D159" t="s">
        <v>476</v>
      </c>
    </row>
    <row r="160" spans="2:36" x14ac:dyDescent="0.25">
      <c r="B160" s="108" t="s">
        <v>126</v>
      </c>
      <c r="C160" s="108" t="s">
        <v>477</v>
      </c>
      <c r="D160" t="s">
        <v>478</v>
      </c>
    </row>
    <row r="161" spans="2:36" x14ac:dyDescent="0.25">
      <c r="B161" s="108" t="s">
        <v>94</v>
      </c>
      <c r="C161" s="108" t="s">
        <v>479</v>
      </c>
      <c r="D161" t="s">
        <v>480</v>
      </c>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row>
    <row r="162" spans="2:36" x14ac:dyDescent="0.25">
      <c r="B162" s="108" t="s">
        <v>232</v>
      </c>
      <c r="C162" s="108" t="s">
        <v>481</v>
      </c>
      <c r="D162" t="s">
        <v>482</v>
      </c>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row>
    <row r="163" spans="2:36" x14ac:dyDescent="0.25">
      <c r="B163" s="108" t="s">
        <v>109</v>
      </c>
      <c r="C163" s="108" t="s">
        <v>483</v>
      </c>
      <c r="D163" t="s">
        <v>484</v>
      </c>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row>
    <row r="164" spans="2:36" x14ac:dyDescent="0.25">
      <c r="B164" s="108" t="s">
        <v>94</v>
      </c>
      <c r="C164" s="108" t="s">
        <v>485</v>
      </c>
      <c r="D164" t="s">
        <v>486</v>
      </c>
    </row>
    <row r="165" spans="2:36" x14ac:dyDescent="0.25">
      <c r="B165" s="108" t="s">
        <v>166</v>
      </c>
      <c r="C165" s="108" t="s">
        <v>487</v>
      </c>
      <c r="D165" t="s">
        <v>306</v>
      </c>
    </row>
    <row r="166" spans="2:36" x14ac:dyDescent="0.25">
      <c r="B166" s="108" t="s">
        <v>101</v>
      </c>
      <c r="C166" s="108" t="s">
        <v>488</v>
      </c>
      <c r="D166" t="s">
        <v>489</v>
      </c>
    </row>
    <row r="167" spans="2:36" x14ac:dyDescent="0.25">
      <c r="B167" s="108" t="s">
        <v>94</v>
      </c>
      <c r="C167" s="108" t="s">
        <v>490</v>
      </c>
      <c r="D167" t="s">
        <v>491</v>
      </c>
    </row>
    <row r="168" spans="2:36" x14ac:dyDescent="0.25">
      <c r="B168" s="108" t="s">
        <v>126</v>
      </c>
      <c r="C168" s="108" t="s">
        <v>492</v>
      </c>
      <c r="D168" t="s">
        <v>493</v>
      </c>
    </row>
    <row r="169" spans="2:36" x14ac:dyDescent="0.25">
      <c r="B169" s="108" t="s">
        <v>134</v>
      </c>
      <c r="C169" s="108" t="s">
        <v>494</v>
      </c>
      <c r="D169" t="s">
        <v>103</v>
      </c>
    </row>
    <row r="170" spans="2:36" x14ac:dyDescent="0.25">
      <c r="B170" s="108" t="s">
        <v>176</v>
      </c>
      <c r="C170" s="108" t="s">
        <v>495</v>
      </c>
      <c r="D170" t="s">
        <v>496</v>
      </c>
    </row>
    <row r="171" spans="2:36" x14ac:dyDescent="0.25">
      <c r="B171" s="108" t="s">
        <v>166</v>
      </c>
      <c r="C171" s="108" t="s">
        <v>497</v>
      </c>
      <c r="D171" t="s">
        <v>498</v>
      </c>
    </row>
    <row r="172" spans="2:36" x14ac:dyDescent="0.25">
      <c r="B172" s="108" t="s">
        <v>118</v>
      </c>
      <c r="C172" s="108" t="s">
        <v>499</v>
      </c>
      <c r="D172" t="s">
        <v>500</v>
      </c>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row>
    <row r="173" spans="2:36" x14ac:dyDescent="0.25">
      <c r="B173" s="22" t="s">
        <v>226</v>
      </c>
      <c r="C173" s="22" t="s">
        <v>1802</v>
      </c>
      <c r="D173" s="22"/>
      <c r="E173" s="22"/>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row>
    <row r="174" spans="2:36" x14ac:dyDescent="0.25">
      <c r="B174" s="108" t="s">
        <v>176</v>
      </c>
      <c r="C174" s="108" t="s">
        <v>501</v>
      </c>
      <c r="D174" t="s">
        <v>502</v>
      </c>
    </row>
    <row r="175" spans="2:36" x14ac:dyDescent="0.25">
      <c r="B175" s="108" t="s">
        <v>101</v>
      </c>
      <c r="C175" s="108" t="s">
        <v>503</v>
      </c>
      <c r="D175" t="s">
        <v>504</v>
      </c>
    </row>
    <row r="176" spans="2:36" x14ac:dyDescent="0.25">
      <c r="B176" s="108" t="s">
        <v>130</v>
      </c>
      <c r="C176" s="108" t="s">
        <v>505</v>
      </c>
      <c r="D176" t="s">
        <v>418</v>
      </c>
    </row>
    <row r="177" spans="2:36" x14ac:dyDescent="0.25">
      <c r="B177" s="108" t="s">
        <v>130</v>
      </c>
      <c r="C177" s="108" t="s">
        <v>506</v>
      </c>
      <c r="D177" t="s">
        <v>215</v>
      </c>
    </row>
    <row r="178" spans="2:36" x14ac:dyDescent="0.25">
      <c r="B178" s="108" t="s">
        <v>152</v>
      </c>
      <c r="C178" s="108" t="s">
        <v>507</v>
      </c>
      <c r="D178" t="s">
        <v>508</v>
      </c>
    </row>
    <row r="179" spans="2:36" x14ac:dyDescent="0.25">
      <c r="B179" s="108" t="s">
        <v>114</v>
      </c>
      <c r="C179" s="108" t="s">
        <v>509</v>
      </c>
      <c r="D179" t="s">
        <v>510</v>
      </c>
    </row>
    <row r="180" spans="2:36" x14ac:dyDescent="0.25">
      <c r="B180" s="108" t="s">
        <v>134</v>
      </c>
      <c r="C180" s="108" t="s">
        <v>511</v>
      </c>
      <c r="D180" t="s">
        <v>512</v>
      </c>
    </row>
    <row r="181" spans="2:36" x14ac:dyDescent="0.25">
      <c r="B181" s="108" t="s">
        <v>166</v>
      </c>
      <c r="C181" s="108" t="s">
        <v>513</v>
      </c>
      <c r="D181" t="s">
        <v>514</v>
      </c>
    </row>
    <row r="182" spans="2:36" x14ac:dyDescent="0.25">
      <c r="B182" s="108" t="s">
        <v>134</v>
      </c>
      <c r="C182" s="108" t="s">
        <v>515</v>
      </c>
      <c r="D182" t="s">
        <v>103</v>
      </c>
    </row>
    <row r="183" spans="2:36" x14ac:dyDescent="0.25">
      <c r="B183" s="108" t="s">
        <v>232</v>
      </c>
      <c r="C183" s="108" t="s">
        <v>516</v>
      </c>
      <c r="D183" t="s">
        <v>517</v>
      </c>
    </row>
    <row r="184" spans="2:36" x14ac:dyDescent="0.25">
      <c r="B184" s="108" t="s">
        <v>169</v>
      </c>
      <c r="C184" s="108" t="s">
        <v>518</v>
      </c>
      <c r="D184" t="s">
        <v>519</v>
      </c>
    </row>
    <row r="185" spans="2:36" x14ac:dyDescent="0.25">
      <c r="B185" s="108" t="s">
        <v>101</v>
      </c>
      <c r="C185" s="108" t="s">
        <v>520</v>
      </c>
      <c r="D185" t="s">
        <v>521</v>
      </c>
    </row>
    <row r="186" spans="2:36" x14ac:dyDescent="0.25">
      <c r="B186" s="108" t="s">
        <v>134</v>
      </c>
      <c r="C186" s="108" t="s">
        <v>522</v>
      </c>
      <c r="D186" t="s">
        <v>103</v>
      </c>
    </row>
    <row r="187" spans="2:36" x14ac:dyDescent="0.25">
      <c r="B187" s="108" t="s">
        <v>137</v>
      </c>
      <c r="C187" s="108" t="s">
        <v>523</v>
      </c>
      <c r="D187" t="s">
        <v>524</v>
      </c>
    </row>
    <row r="188" spans="2:36" x14ac:dyDescent="0.25">
      <c r="B188" s="108" t="s">
        <v>109</v>
      </c>
      <c r="C188" s="108" t="s">
        <v>525</v>
      </c>
      <c r="D188" t="s">
        <v>526</v>
      </c>
      <c r="F188" s="108"/>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row>
    <row r="189" spans="2:36" x14ac:dyDescent="0.25">
      <c r="B189" s="108" t="s">
        <v>232</v>
      </c>
      <c r="C189" s="108" t="s">
        <v>527</v>
      </c>
      <c r="D189" t="s">
        <v>528</v>
      </c>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row>
    <row r="190" spans="2:36" x14ac:dyDescent="0.25">
      <c r="B190" s="108" t="s">
        <v>137</v>
      </c>
      <c r="C190" s="108" t="s">
        <v>529</v>
      </c>
      <c r="D190" t="s">
        <v>530</v>
      </c>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row>
    <row r="191" spans="2:36" x14ac:dyDescent="0.25">
      <c r="B191" s="108" t="s">
        <v>122</v>
      </c>
      <c r="C191" s="108" t="s">
        <v>531</v>
      </c>
      <c r="D191" t="s">
        <v>532</v>
      </c>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row>
    <row r="192" spans="2:36" x14ac:dyDescent="0.25">
      <c r="B192" s="108" t="s">
        <v>176</v>
      </c>
      <c r="C192" s="108" t="s">
        <v>533</v>
      </c>
      <c r="D192" t="s">
        <v>534</v>
      </c>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row>
    <row r="193" spans="2:36" x14ac:dyDescent="0.25">
      <c r="B193" s="108" t="s">
        <v>232</v>
      </c>
      <c r="C193" s="108" t="s">
        <v>535</v>
      </c>
      <c r="D193" t="s">
        <v>536</v>
      </c>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row>
    <row r="194" spans="2:36" x14ac:dyDescent="0.25">
      <c r="B194" s="108" t="s">
        <v>137</v>
      </c>
      <c r="C194" s="108" t="s">
        <v>537</v>
      </c>
      <c r="D194" t="s">
        <v>538</v>
      </c>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row>
    <row r="195" spans="2:36" x14ac:dyDescent="0.25">
      <c r="B195" s="108" t="s">
        <v>166</v>
      </c>
      <c r="C195" s="108" t="s">
        <v>539</v>
      </c>
      <c r="D195" t="s">
        <v>540</v>
      </c>
    </row>
    <row r="196" spans="2:36" x14ac:dyDescent="0.25">
      <c r="B196" s="108" t="s">
        <v>152</v>
      </c>
      <c r="C196" s="108" t="s">
        <v>541</v>
      </c>
      <c r="D196" t="s">
        <v>542</v>
      </c>
    </row>
    <row r="197" spans="2:36" x14ac:dyDescent="0.25">
      <c r="B197" s="108" t="s">
        <v>166</v>
      </c>
      <c r="C197" s="108" t="s">
        <v>543</v>
      </c>
      <c r="D197" t="s">
        <v>544</v>
      </c>
    </row>
    <row r="198" spans="2:36" x14ac:dyDescent="0.25">
      <c r="B198" s="108" t="s">
        <v>232</v>
      </c>
      <c r="C198" s="108" t="s">
        <v>545</v>
      </c>
      <c r="D198" t="s">
        <v>546</v>
      </c>
    </row>
    <row r="199" spans="2:36" x14ac:dyDescent="0.25">
      <c r="B199" s="108" t="s">
        <v>176</v>
      </c>
      <c r="C199" s="108" t="s">
        <v>547</v>
      </c>
      <c r="D199" t="s">
        <v>548</v>
      </c>
    </row>
    <row r="200" spans="2:36" x14ac:dyDescent="0.25">
      <c r="B200" s="108" t="s">
        <v>126</v>
      </c>
      <c r="C200" s="108" t="s">
        <v>549</v>
      </c>
      <c r="D200" t="s">
        <v>550</v>
      </c>
      <c r="F200" s="108"/>
      <c r="G200" s="108"/>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row>
    <row r="201" spans="2:36" x14ac:dyDescent="0.25">
      <c r="B201" s="108" t="s">
        <v>157</v>
      </c>
      <c r="C201" s="108" t="s">
        <v>551</v>
      </c>
      <c r="D201" t="s">
        <v>552</v>
      </c>
      <c r="F201" s="108"/>
      <c r="G201" s="108"/>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row>
    <row r="202" spans="2:36" x14ac:dyDescent="0.25">
      <c r="B202" s="108" t="s">
        <v>176</v>
      </c>
      <c r="C202" s="108" t="s">
        <v>553</v>
      </c>
      <c r="D202" t="s">
        <v>554</v>
      </c>
      <c r="F202" s="108"/>
      <c r="G202" s="108"/>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row>
    <row r="203" spans="2:36" x14ac:dyDescent="0.25">
      <c r="B203" s="22" t="s">
        <v>226</v>
      </c>
      <c r="C203" s="22" t="s">
        <v>1803</v>
      </c>
      <c r="D203" s="22"/>
      <c r="E203" s="22"/>
      <c r="F203" s="108"/>
      <c r="G203" s="108"/>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row>
    <row r="204" spans="2:36" x14ac:dyDescent="0.25">
      <c r="B204" s="22" t="s">
        <v>182</v>
      </c>
      <c r="C204" s="22" t="s">
        <v>1786</v>
      </c>
      <c r="F204" s="108"/>
      <c r="G204" s="108"/>
      <c r="H204" s="108"/>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row>
    <row r="205" spans="2:36" x14ac:dyDescent="0.25">
      <c r="B205" s="108" t="s">
        <v>122</v>
      </c>
      <c r="C205" s="108" t="s">
        <v>555</v>
      </c>
      <c r="D205" t="s">
        <v>556</v>
      </c>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row>
    <row r="206" spans="2:36" x14ac:dyDescent="0.25">
      <c r="B206" s="108" t="s">
        <v>122</v>
      </c>
      <c r="C206" s="108" t="s">
        <v>557</v>
      </c>
      <c r="D206" t="s">
        <v>558</v>
      </c>
    </row>
    <row r="207" spans="2:36" x14ac:dyDescent="0.25">
      <c r="B207" s="108" t="s">
        <v>118</v>
      </c>
      <c r="C207" s="108" t="s">
        <v>559</v>
      </c>
      <c r="D207" t="s">
        <v>560</v>
      </c>
    </row>
    <row r="208" spans="2:36" x14ac:dyDescent="0.25">
      <c r="B208" s="108" t="s">
        <v>118</v>
      </c>
      <c r="C208" s="108" t="s">
        <v>118</v>
      </c>
      <c r="D208" t="s">
        <v>561</v>
      </c>
    </row>
    <row r="209" spans="2:36" x14ac:dyDescent="0.25">
      <c r="B209" s="108" t="s">
        <v>94</v>
      </c>
      <c r="C209" s="108" t="s">
        <v>562</v>
      </c>
      <c r="D209" t="s">
        <v>563</v>
      </c>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c r="AE209" s="108"/>
      <c r="AF209" s="108"/>
      <c r="AG209" s="108"/>
      <c r="AH209" s="108"/>
      <c r="AI209" s="108"/>
      <c r="AJ209" s="108"/>
    </row>
    <row r="210" spans="2:36" x14ac:dyDescent="0.25">
      <c r="B210" s="108" t="s">
        <v>114</v>
      </c>
      <c r="C210" s="108" t="s">
        <v>564</v>
      </c>
      <c r="D210" t="s">
        <v>565</v>
      </c>
      <c r="F210" s="108"/>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row>
    <row r="211" spans="2:36" x14ac:dyDescent="0.25">
      <c r="B211" s="108" t="s">
        <v>137</v>
      </c>
      <c r="C211" s="108" t="s">
        <v>137</v>
      </c>
      <c r="D211" t="s">
        <v>566</v>
      </c>
      <c r="F211" s="108"/>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row>
    <row r="212" spans="2:36" x14ac:dyDescent="0.25">
      <c r="B212" s="108" t="s">
        <v>176</v>
      </c>
      <c r="C212" s="108" t="s">
        <v>567</v>
      </c>
      <c r="D212" t="s">
        <v>568</v>
      </c>
    </row>
    <row r="213" spans="2:36" x14ac:dyDescent="0.25">
      <c r="B213" s="22" t="s">
        <v>182</v>
      </c>
      <c r="C213" s="22" t="s">
        <v>1787</v>
      </c>
      <c r="D213" s="22"/>
      <c r="E213" s="22"/>
      <c r="F213" s="108"/>
      <c r="G213" s="108"/>
      <c r="H213" s="108"/>
      <c r="I213" s="108"/>
      <c r="J213" s="108"/>
      <c r="K213" s="108"/>
      <c r="L213" s="108"/>
      <c r="M213" s="108"/>
      <c r="N213" s="108"/>
      <c r="O213" s="108"/>
      <c r="P213" s="108"/>
      <c r="Q213" s="108"/>
      <c r="R213" s="108"/>
      <c r="S213" s="108"/>
      <c r="T213" s="108"/>
      <c r="U213" s="108"/>
      <c r="V213" s="108"/>
      <c r="W213" s="108"/>
      <c r="X213" s="108"/>
      <c r="Y213" s="108"/>
      <c r="Z213" s="108"/>
      <c r="AA213" s="108"/>
      <c r="AB213" s="108"/>
      <c r="AC213" s="108"/>
      <c r="AD213" s="108"/>
      <c r="AE213" s="108"/>
      <c r="AF213" s="108"/>
      <c r="AG213" s="108"/>
      <c r="AH213" s="108"/>
      <c r="AI213" s="108"/>
      <c r="AJ213" s="108"/>
    </row>
    <row r="214" spans="2:36" x14ac:dyDescent="0.25">
      <c r="B214" s="22" t="s">
        <v>198</v>
      </c>
      <c r="C214" s="22" t="s">
        <v>198</v>
      </c>
      <c r="D214" s="22"/>
      <c r="E214" s="22"/>
      <c r="F214" s="108"/>
      <c r="G214" s="108"/>
      <c r="H214" s="108"/>
      <c r="I214" s="108"/>
      <c r="J214" s="108"/>
      <c r="K214" s="108"/>
      <c r="L214" s="108"/>
      <c r="M214" s="108"/>
      <c r="N214" s="108"/>
      <c r="O214" s="108"/>
      <c r="P214" s="108"/>
      <c r="Q214" s="108"/>
      <c r="R214" s="108"/>
      <c r="S214" s="108"/>
      <c r="T214" s="108"/>
      <c r="U214" s="108"/>
      <c r="V214" s="108"/>
      <c r="W214" s="108"/>
      <c r="X214" s="108"/>
      <c r="Y214" s="108"/>
      <c r="Z214" s="108"/>
      <c r="AB214" s="108"/>
      <c r="AC214" s="108"/>
      <c r="AD214" s="108"/>
      <c r="AE214" s="108"/>
      <c r="AF214" s="108"/>
      <c r="AG214" s="108"/>
      <c r="AH214" s="108"/>
      <c r="AI214" s="108"/>
      <c r="AJ214" s="108"/>
    </row>
    <row r="215" spans="2:36" x14ac:dyDescent="0.25">
      <c r="B215" s="108" t="s">
        <v>146</v>
      </c>
      <c r="C215" s="108" t="s">
        <v>569</v>
      </c>
      <c r="D215" t="s">
        <v>570</v>
      </c>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row>
    <row r="216" spans="2:36" x14ac:dyDescent="0.25">
      <c r="B216" s="108" t="s">
        <v>137</v>
      </c>
      <c r="C216" s="108" t="s">
        <v>571</v>
      </c>
      <c r="D216" t="s">
        <v>572</v>
      </c>
      <c r="F216" s="108"/>
      <c r="G216" s="108"/>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c r="AE216" s="108"/>
      <c r="AF216" s="108"/>
      <c r="AG216" s="108"/>
      <c r="AH216" s="108"/>
      <c r="AI216" s="108"/>
      <c r="AJ216" s="108"/>
    </row>
    <row r="217" spans="2:36" x14ac:dyDescent="0.25">
      <c r="B217" s="22" t="s">
        <v>226</v>
      </c>
      <c r="C217" s="22" t="s">
        <v>1804</v>
      </c>
      <c r="D217" s="22"/>
      <c r="E217" s="22"/>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c r="AB217" s="108"/>
      <c r="AC217" s="108"/>
      <c r="AD217" s="108"/>
      <c r="AE217" s="108"/>
      <c r="AF217" s="108"/>
      <c r="AG217" s="108"/>
      <c r="AH217" s="108"/>
      <c r="AI217" s="108"/>
      <c r="AJ217" s="108"/>
    </row>
    <row r="218" spans="2:36" x14ac:dyDescent="0.25">
      <c r="B218" s="22" t="s">
        <v>229</v>
      </c>
      <c r="C218" s="22" t="s">
        <v>1808</v>
      </c>
      <c r="D218" s="22"/>
      <c r="E218" s="22"/>
      <c r="F218" s="108"/>
      <c r="G218" s="108"/>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c r="AE218" s="108"/>
      <c r="AF218" s="108"/>
      <c r="AG218" s="108"/>
      <c r="AH218" s="108"/>
      <c r="AI218" s="108"/>
      <c r="AJ218" s="108"/>
    </row>
    <row r="219" spans="2:36" x14ac:dyDescent="0.25">
      <c r="B219" s="108" t="s">
        <v>152</v>
      </c>
      <c r="C219" s="108" t="s">
        <v>573</v>
      </c>
      <c r="D219" t="s">
        <v>574</v>
      </c>
      <c r="F219" s="108"/>
      <c r="G219" s="108"/>
      <c r="H219" s="108"/>
      <c r="I219" s="108"/>
      <c r="J219" s="108"/>
      <c r="K219" s="108"/>
      <c r="L219" s="108"/>
      <c r="M219" s="108"/>
      <c r="N219" s="108"/>
      <c r="O219" s="108"/>
      <c r="P219" s="108"/>
      <c r="Q219" s="108"/>
      <c r="R219" s="108"/>
      <c r="S219" s="108"/>
      <c r="T219" s="108"/>
      <c r="U219" s="108"/>
      <c r="V219" s="108"/>
      <c r="W219" s="108"/>
      <c r="X219" s="108"/>
      <c r="Y219" s="108"/>
      <c r="Z219" s="108"/>
      <c r="AA219" s="108"/>
      <c r="AB219" s="108"/>
      <c r="AC219" s="108"/>
      <c r="AD219" s="108"/>
      <c r="AE219" s="108"/>
      <c r="AF219" s="108"/>
      <c r="AG219" s="108"/>
      <c r="AH219" s="108"/>
      <c r="AI219" s="108"/>
      <c r="AJ219" s="108"/>
    </row>
    <row r="220" spans="2:36" x14ac:dyDescent="0.25">
      <c r="B220" s="108" t="s">
        <v>94</v>
      </c>
      <c r="C220" s="108" t="s">
        <v>575</v>
      </c>
      <c r="D220" t="s">
        <v>576</v>
      </c>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c r="AB220" s="108"/>
      <c r="AC220" s="108"/>
      <c r="AD220" s="108"/>
      <c r="AE220" s="108"/>
      <c r="AF220" s="108"/>
      <c r="AG220" s="108"/>
      <c r="AH220" s="108"/>
      <c r="AI220" s="108"/>
      <c r="AJ220" s="108"/>
    </row>
    <row r="221" spans="2:36" x14ac:dyDescent="0.25">
      <c r="B221" s="108" t="s">
        <v>94</v>
      </c>
      <c r="C221" s="108" t="s">
        <v>577</v>
      </c>
      <c r="D221" t="s">
        <v>578</v>
      </c>
    </row>
    <row r="222" spans="2:36" x14ac:dyDescent="0.25">
      <c r="B222" s="108" t="s">
        <v>166</v>
      </c>
      <c r="C222" s="108" t="s">
        <v>579</v>
      </c>
      <c r="D222" t="s">
        <v>580</v>
      </c>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8"/>
      <c r="AI222" s="108"/>
      <c r="AJ222" s="108"/>
    </row>
    <row r="223" spans="2:36" x14ac:dyDescent="0.25">
      <c r="B223" s="22" t="s">
        <v>182</v>
      </c>
      <c r="C223" s="22" t="s">
        <v>1788</v>
      </c>
      <c r="D223" s="22"/>
      <c r="E223" s="22"/>
      <c r="F223" s="108"/>
      <c r="G223" s="108"/>
      <c r="H223" s="108"/>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c r="AE223" s="108"/>
      <c r="AF223" s="108"/>
      <c r="AG223" s="108"/>
      <c r="AH223" s="108"/>
      <c r="AI223" s="108"/>
      <c r="AJ223" s="108"/>
    </row>
    <row r="224" spans="2:36" x14ac:dyDescent="0.25">
      <c r="B224" s="108" t="s">
        <v>126</v>
      </c>
      <c r="C224" s="108" t="s">
        <v>581</v>
      </c>
      <c r="D224" t="s">
        <v>582</v>
      </c>
      <c r="F224" s="108"/>
      <c r="G224" s="108"/>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8"/>
      <c r="AI224" s="108"/>
      <c r="AJ224" s="108"/>
    </row>
    <row r="225" spans="2:36" x14ac:dyDescent="0.25">
      <c r="B225" s="22" t="s">
        <v>226</v>
      </c>
      <c r="C225" s="22" t="s">
        <v>1805</v>
      </c>
      <c r="F225" s="108"/>
      <c r="G225" s="108"/>
      <c r="H225" s="108"/>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row>
    <row r="226" spans="2:36" x14ac:dyDescent="0.25">
      <c r="B226" s="108" t="s">
        <v>169</v>
      </c>
      <c r="C226" s="108" t="s">
        <v>583</v>
      </c>
      <c r="D226" t="s">
        <v>584</v>
      </c>
      <c r="F226" s="108"/>
      <c r="G226" s="108"/>
      <c r="H226" s="108"/>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row>
    <row r="227" spans="2:36" x14ac:dyDescent="0.25">
      <c r="B227" s="108" t="s">
        <v>126</v>
      </c>
      <c r="C227" s="108" t="s">
        <v>585</v>
      </c>
      <c r="D227" t="s">
        <v>586</v>
      </c>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c r="AH227" s="108"/>
      <c r="AI227" s="108"/>
      <c r="AJ227" s="108"/>
    </row>
    <row r="228" spans="2:36" x14ac:dyDescent="0.25">
      <c r="B228" s="108" t="s">
        <v>157</v>
      </c>
      <c r="C228" s="108" t="s">
        <v>587</v>
      </c>
      <c r="D228" t="s">
        <v>588</v>
      </c>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row>
    <row r="229" spans="2:36" x14ac:dyDescent="0.25">
      <c r="B229" s="108" t="s">
        <v>169</v>
      </c>
      <c r="C229" s="108" t="s">
        <v>589</v>
      </c>
      <c r="D229" t="s">
        <v>191</v>
      </c>
      <c r="F229" s="108"/>
      <c r="G229" s="108"/>
      <c r="H229" s="108"/>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c r="AE229" s="108"/>
      <c r="AF229" s="108"/>
      <c r="AG229" s="108"/>
      <c r="AH229" s="108"/>
      <c r="AI229" s="108"/>
      <c r="AJ229" s="108"/>
    </row>
    <row r="230" spans="2:36" x14ac:dyDescent="0.25">
      <c r="B230" s="108" t="s">
        <v>166</v>
      </c>
      <c r="C230" s="108" t="s">
        <v>590</v>
      </c>
      <c r="D230" t="s">
        <v>306</v>
      </c>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c r="AE230" s="108"/>
      <c r="AF230" s="108"/>
      <c r="AG230" s="108"/>
      <c r="AH230" s="108"/>
      <c r="AI230" s="108"/>
      <c r="AJ230" s="108"/>
    </row>
    <row r="231" spans="2:36" x14ac:dyDescent="0.25">
      <c r="B231" s="22" t="s">
        <v>189</v>
      </c>
      <c r="C231" s="22" t="s">
        <v>1791</v>
      </c>
      <c r="D231" s="22"/>
      <c r="E231" s="22"/>
      <c r="F231" s="108"/>
      <c r="G231" s="108"/>
      <c r="H231" s="108"/>
      <c r="I231" s="108"/>
      <c r="J231" s="108"/>
      <c r="K231" s="108"/>
      <c r="L231" s="108"/>
      <c r="M231" s="108"/>
      <c r="N231" s="108"/>
      <c r="O231" s="108"/>
      <c r="P231" s="108"/>
      <c r="Q231" s="108"/>
      <c r="R231" s="108"/>
      <c r="S231" s="108"/>
      <c r="T231" s="108"/>
      <c r="U231" s="108"/>
      <c r="W231" s="22"/>
      <c r="X231" s="108"/>
      <c r="Y231" s="108"/>
      <c r="Z231" s="108"/>
      <c r="AA231" s="108"/>
      <c r="AB231" s="108"/>
      <c r="AC231" s="108"/>
      <c r="AD231" s="108"/>
      <c r="AE231" s="108"/>
      <c r="AF231" s="108"/>
      <c r="AG231" s="108"/>
      <c r="AH231" s="108"/>
      <c r="AI231" s="108"/>
      <c r="AJ231" s="108"/>
    </row>
    <row r="232" spans="2:36" x14ac:dyDescent="0.25">
      <c r="B232" s="22" t="s">
        <v>213</v>
      </c>
      <c r="C232" s="22" t="s">
        <v>1796</v>
      </c>
      <c r="D232" s="22"/>
      <c r="E232" s="22"/>
      <c r="F232" s="108"/>
      <c r="G232" s="108"/>
      <c r="H232" s="108"/>
      <c r="I232" s="108"/>
      <c r="J232" s="108"/>
      <c r="K232" s="108"/>
      <c r="L232" s="108"/>
      <c r="M232" s="108"/>
      <c r="N232" s="108"/>
      <c r="O232" s="108"/>
      <c r="P232" s="108"/>
      <c r="R232" s="108"/>
      <c r="S232" s="108"/>
      <c r="T232" s="108"/>
      <c r="U232" s="108"/>
      <c r="V232" s="108"/>
      <c r="W232" s="108"/>
      <c r="X232" s="108"/>
      <c r="Y232" s="108"/>
      <c r="Z232" s="108"/>
      <c r="AA232" s="108"/>
      <c r="AB232" s="108"/>
      <c r="AC232" s="108"/>
      <c r="AD232" s="108"/>
      <c r="AE232" s="108"/>
      <c r="AF232" s="108"/>
      <c r="AG232" s="108"/>
      <c r="AH232" s="108"/>
      <c r="AI232" s="108"/>
      <c r="AJ232" s="108"/>
    </row>
    <row r="233" spans="2:36" x14ac:dyDescent="0.25">
      <c r="B233" s="22" t="s">
        <v>209</v>
      </c>
      <c r="C233" s="22" t="s">
        <v>1795</v>
      </c>
      <c r="D233" s="22"/>
      <c r="E233" s="22"/>
      <c r="F233" s="108"/>
      <c r="G233" s="108"/>
      <c r="H233" s="108"/>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c r="AE233" s="108"/>
      <c r="AF233" s="108"/>
      <c r="AG233" s="108"/>
      <c r="AH233" s="108"/>
      <c r="AI233" s="108"/>
      <c r="AJ233" s="108"/>
    </row>
    <row r="234" spans="2:36" x14ac:dyDescent="0.25">
      <c r="B234" s="108" t="s">
        <v>134</v>
      </c>
      <c r="C234" s="108" t="s">
        <v>591</v>
      </c>
      <c r="D234" t="s">
        <v>592</v>
      </c>
      <c r="F234" s="108"/>
      <c r="G234" s="108"/>
      <c r="H234" s="108"/>
      <c r="I234" s="108"/>
      <c r="J234" s="108"/>
      <c r="K234" s="108"/>
      <c r="L234" s="108"/>
      <c r="M234" s="108"/>
      <c r="N234" s="108"/>
      <c r="O234" s="108"/>
      <c r="P234" s="108"/>
      <c r="Q234" s="108"/>
      <c r="R234" s="108"/>
      <c r="S234" s="108"/>
      <c r="T234" s="108"/>
      <c r="U234" s="108"/>
      <c r="V234" s="108"/>
      <c r="W234" s="108"/>
      <c r="X234" s="108"/>
      <c r="Y234" s="108"/>
      <c r="Z234" s="108"/>
      <c r="AA234" s="108"/>
      <c r="AB234" s="108"/>
      <c r="AC234" s="108"/>
      <c r="AD234" s="108"/>
      <c r="AE234" s="108"/>
      <c r="AF234" s="108"/>
      <c r="AG234" s="108"/>
      <c r="AH234" s="108"/>
      <c r="AI234" s="108"/>
      <c r="AJ234" s="108"/>
    </row>
    <row r="235" spans="2:36" x14ac:dyDescent="0.25">
      <c r="B235" s="108" t="s">
        <v>126</v>
      </c>
      <c r="C235" s="108" t="s">
        <v>593</v>
      </c>
      <c r="D235" t="s">
        <v>594</v>
      </c>
      <c r="F235" s="108"/>
      <c r="G235" s="108"/>
      <c r="H235" s="108"/>
      <c r="I235" s="108"/>
      <c r="J235" s="108"/>
      <c r="K235" s="108"/>
      <c r="L235" s="108"/>
      <c r="M235" s="108"/>
      <c r="N235" s="108"/>
      <c r="O235" s="108"/>
      <c r="P235" s="108"/>
      <c r="Q235" s="108"/>
      <c r="R235" s="108"/>
      <c r="S235" s="108"/>
      <c r="T235" s="108"/>
      <c r="U235" s="108"/>
      <c r="V235" s="108"/>
      <c r="W235" s="108"/>
      <c r="X235" s="108"/>
      <c r="Y235" s="108"/>
      <c r="Z235" s="108"/>
      <c r="AA235" s="108"/>
      <c r="AB235" s="108"/>
      <c r="AC235" s="108"/>
      <c r="AD235" s="108"/>
      <c r="AE235" s="108"/>
      <c r="AF235" s="108"/>
      <c r="AG235" s="108"/>
      <c r="AH235" s="108"/>
      <c r="AI235" s="108"/>
      <c r="AJ235" s="108"/>
    </row>
    <row r="236" spans="2:36" x14ac:dyDescent="0.25">
      <c r="B236" s="22" t="s">
        <v>182</v>
      </c>
      <c r="C236" s="22" t="s">
        <v>1789</v>
      </c>
      <c r="D236" s="22"/>
      <c r="E236" s="22"/>
      <c r="F236" s="108"/>
      <c r="G236" s="108"/>
      <c r="H236" s="108"/>
      <c r="I236" s="108"/>
      <c r="J236" s="108"/>
      <c r="K236" s="108"/>
      <c r="L236" s="108"/>
      <c r="M236" s="108"/>
      <c r="N236" s="108"/>
      <c r="O236" s="108"/>
      <c r="P236" s="108"/>
      <c r="Q236" s="108"/>
      <c r="R236" s="108"/>
      <c r="S236" s="108"/>
      <c r="T236" s="108"/>
      <c r="U236" s="108"/>
      <c r="V236" s="108"/>
      <c r="W236" s="108"/>
      <c r="X236" s="108"/>
      <c r="Y236" s="108"/>
      <c r="Z236" s="108"/>
      <c r="AA236" s="108"/>
      <c r="AB236" s="108"/>
      <c r="AC236" s="108"/>
      <c r="AD236" s="108"/>
      <c r="AE236" s="108"/>
      <c r="AF236" s="108"/>
      <c r="AG236" s="108"/>
      <c r="AH236" s="108"/>
      <c r="AI236" s="108"/>
      <c r="AJ236" s="108"/>
    </row>
    <row r="237" spans="2:36" x14ac:dyDescent="0.25">
      <c r="B237" s="108" t="s">
        <v>169</v>
      </c>
      <c r="C237" s="108" t="s">
        <v>169</v>
      </c>
      <c r="D237" t="s">
        <v>595</v>
      </c>
      <c r="F237" s="108"/>
      <c r="G237" s="108"/>
      <c r="H237" s="108"/>
      <c r="I237" s="108"/>
      <c r="J237" s="108"/>
      <c r="K237" s="108"/>
      <c r="L237" s="108"/>
      <c r="M237" s="108"/>
      <c r="N237" s="108"/>
      <c r="O237" s="108"/>
      <c r="P237" s="108"/>
      <c r="Q237" s="108"/>
      <c r="R237" s="108"/>
      <c r="S237" s="108"/>
      <c r="T237" s="108"/>
      <c r="U237" s="108"/>
      <c r="V237" s="108"/>
      <c r="W237" s="108"/>
      <c r="X237" s="108"/>
      <c r="Y237" s="108"/>
      <c r="Z237" s="108"/>
      <c r="AA237" s="108"/>
      <c r="AB237" s="108"/>
      <c r="AC237" s="108"/>
      <c r="AD237" s="108"/>
      <c r="AE237" s="108"/>
      <c r="AF237" s="108"/>
      <c r="AG237" s="108"/>
      <c r="AH237" s="108"/>
      <c r="AI237" s="108"/>
      <c r="AJ237" s="108"/>
    </row>
    <row r="238" spans="2:36" x14ac:dyDescent="0.25">
      <c r="B238" s="108" t="s">
        <v>109</v>
      </c>
      <c r="C238" s="108" t="s">
        <v>596</v>
      </c>
      <c r="D238" t="s">
        <v>597</v>
      </c>
      <c r="F238" s="108"/>
      <c r="G238" s="108"/>
      <c r="H238" s="108"/>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c r="AE238" s="108"/>
      <c r="AF238" s="108"/>
      <c r="AG238" s="108"/>
      <c r="AH238" s="108"/>
      <c r="AI238" s="108"/>
      <c r="AJ238" s="108"/>
    </row>
    <row r="239" spans="2:36" x14ac:dyDescent="0.25">
      <c r="B239" s="108" t="s">
        <v>137</v>
      </c>
      <c r="C239" s="108" t="s">
        <v>598</v>
      </c>
      <c r="D239" t="s">
        <v>599</v>
      </c>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108"/>
      <c r="AF239" s="108"/>
      <c r="AG239" s="108"/>
      <c r="AH239" s="108"/>
      <c r="AI239" s="108"/>
      <c r="AJ239" s="108"/>
    </row>
    <row r="240" spans="2:36" x14ac:dyDescent="0.25">
      <c r="B240" s="108" t="s">
        <v>114</v>
      </c>
      <c r="C240" s="108" t="s">
        <v>600</v>
      </c>
      <c r="D240" t="s">
        <v>601</v>
      </c>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row>
    <row r="241" spans="2:36" x14ac:dyDescent="0.25">
      <c r="B241" s="108" t="s">
        <v>134</v>
      </c>
      <c r="C241" s="108" t="s">
        <v>602</v>
      </c>
      <c r="D241" t="s">
        <v>603</v>
      </c>
      <c r="F241" s="108"/>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row>
    <row r="242" spans="2:36" x14ac:dyDescent="0.25">
      <c r="B242" s="108" t="s">
        <v>166</v>
      </c>
      <c r="C242" s="108" t="s">
        <v>604</v>
      </c>
      <c r="D242" t="s">
        <v>605</v>
      </c>
      <c r="F242" s="108"/>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row>
    <row r="243" spans="2:36" x14ac:dyDescent="0.25">
      <c r="B243" s="108" t="s">
        <v>166</v>
      </c>
      <c r="C243" s="108" t="s">
        <v>606</v>
      </c>
      <c r="D243" t="s">
        <v>607</v>
      </c>
      <c r="F243" s="108"/>
      <c r="G243" s="108"/>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row>
    <row r="244" spans="2:36" x14ac:dyDescent="0.25">
      <c r="B244" s="22" t="s">
        <v>217</v>
      </c>
      <c r="C244" s="22" t="s">
        <v>1799</v>
      </c>
      <c r="F244" s="108"/>
      <c r="G244" s="108"/>
      <c r="H244" s="108"/>
      <c r="I244" s="108"/>
      <c r="J244" s="108"/>
      <c r="K244" s="108"/>
      <c r="L244" s="108"/>
      <c r="M244" s="108"/>
      <c r="N244" s="108"/>
      <c r="O244" s="108"/>
      <c r="P244" s="108"/>
      <c r="Q244" s="108"/>
      <c r="R244" s="108"/>
      <c r="S244" s="108"/>
      <c r="T244" s="108"/>
      <c r="U244" s="108"/>
      <c r="V244" s="108"/>
      <c r="W244" s="108"/>
      <c r="X244" s="108"/>
      <c r="Y244" s="108"/>
      <c r="Z244" s="108"/>
      <c r="AA244" s="108"/>
      <c r="AB244" s="108"/>
      <c r="AC244" s="108"/>
      <c r="AD244" s="108"/>
      <c r="AE244" s="108"/>
      <c r="AF244" s="108"/>
      <c r="AG244" s="108"/>
      <c r="AH244" s="108"/>
      <c r="AI244" s="108"/>
      <c r="AJ244" s="108"/>
    </row>
    <row r="245" spans="2:36" x14ac:dyDescent="0.25">
      <c r="B245" s="22" t="s">
        <v>182</v>
      </c>
      <c r="C245" s="22" t="s">
        <v>1790</v>
      </c>
      <c r="D245" s="22"/>
      <c r="E245" s="22"/>
    </row>
    <row r="246" spans="2:36" x14ac:dyDescent="0.25">
      <c r="B246" s="108" t="s">
        <v>169</v>
      </c>
      <c r="C246" s="108" t="s">
        <v>608</v>
      </c>
      <c r="D246" t="s">
        <v>609</v>
      </c>
    </row>
    <row r="247" spans="2:36" x14ac:dyDescent="0.25">
      <c r="B247" s="108" t="s">
        <v>166</v>
      </c>
      <c r="C247" s="108" t="s">
        <v>610</v>
      </c>
      <c r="D247" t="s">
        <v>611</v>
      </c>
    </row>
    <row r="248" spans="2:36" x14ac:dyDescent="0.25">
      <c r="B248" s="108" t="s">
        <v>157</v>
      </c>
      <c r="C248" s="108" t="s">
        <v>612</v>
      </c>
      <c r="D248" t="s">
        <v>613</v>
      </c>
    </row>
    <row r="249" spans="2:36" x14ac:dyDescent="0.25">
      <c r="B249" s="108" t="s">
        <v>109</v>
      </c>
      <c r="C249" s="108" t="s">
        <v>614</v>
      </c>
      <c r="D249" t="s">
        <v>615</v>
      </c>
    </row>
    <row r="250" spans="2:36" x14ac:dyDescent="0.25">
      <c r="B250" s="108" t="s">
        <v>166</v>
      </c>
      <c r="C250" s="108" t="s">
        <v>616</v>
      </c>
      <c r="D250" t="s">
        <v>617</v>
      </c>
    </row>
    <row r="251" spans="2:36" x14ac:dyDescent="0.25">
      <c r="B251" s="108" t="s">
        <v>101</v>
      </c>
      <c r="C251" s="108" t="s">
        <v>618</v>
      </c>
      <c r="D251" t="s">
        <v>619</v>
      </c>
    </row>
    <row r="252" spans="2:36" x14ac:dyDescent="0.25">
      <c r="B252" s="108" t="s">
        <v>152</v>
      </c>
      <c r="C252" s="108" t="s">
        <v>620</v>
      </c>
      <c r="D252" t="s">
        <v>621</v>
      </c>
    </row>
    <row r="253" spans="2:36" x14ac:dyDescent="0.25">
      <c r="B253" s="108" t="s">
        <v>109</v>
      </c>
      <c r="C253" s="108" t="s">
        <v>622</v>
      </c>
      <c r="D253" t="s">
        <v>623</v>
      </c>
    </row>
    <row r="254" spans="2:36" x14ac:dyDescent="0.25">
      <c r="B254" s="108" t="s">
        <v>109</v>
      </c>
      <c r="C254" s="108" t="s">
        <v>109</v>
      </c>
      <c r="D254" t="s">
        <v>624</v>
      </c>
    </row>
    <row r="255" spans="2:36" x14ac:dyDescent="0.25">
      <c r="B255" s="108" t="s">
        <v>134</v>
      </c>
      <c r="C255" s="108" t="s">
        <v>625</v>
      </c>
      <c r="D255" t="s">
        <v>103</v>
      </c>
    </row>
    <row r="256" spans="2:36" x14ac:dyDescent="0.25">
      <c r="B256" s="108" t="s">
        <v>114</v>
      </c>
      <c r="C256" s="108" t="s">
        <v>626</v>
      </c>
      <c r="D256" t="s">
        <v>627</v>
      </c>
    </row>
    <row r="257" spans="2:4" x14ac:dyDescent="0.25">
      <c r="B257" s="108" t="s">
        <v>109</v>
      </c>
      <c r="C257" s="108" t="s">
        <v>628</v>
      </c>
      <c r="D257" t="s">
        <v>629</v>
      </c>
    </row>
    <row r="258" spans="2:4" x14ac:dyDescent="0.25">
      <c r="B258" s="108" t="s">
        <v>130</v>
      </c>
      <c r="C258" s="108" t="s">
        <v>630</v>
      </c>
      <c r="D258" t="s">
        <v>631</v>
      </c>
    </row>
    <row r="259" spans="2:4" x14ac:dyDescent="0.25">
      <c r="B259" s="108" t="s">
        <v>130</v>
      </c>
      <c r="C259" s="108" t="s">
        <v>632</v>
      </c>
      <c r="D259" t="s">
        <v>633</v>
      </c>
    </row>
    <row r="260" spans="2:4" x14ac:dyDescent="0.25">
      <c r="B260" s="108" t="s">
        <v>232</v>
      </c>
      <c r="C260" s="108" t="s">
        <v>634</v>
      </c>
      <c r="D260" t="s">
        <v>635</v>
      </c>
    </row>
    <row r="261" spans="2:4" x14ac:dyDescent="0.25">
      <c r="B261" s="108" t="s">
        <v>118</v>
      </c>
      <c r="C261" s="108" t="s">
        <v>636</v>
      </c>
      <c r="D261" t="s">
        <v>637</v>
      </c>
    </row>
    <row r="262" spans="2:4" x14ac:dyDescent="0.25">
      <c r="B262" s="108" t="s">
        <v>232</v>
      </c>
      <c r="C262" s="108" t="s">
        <v>638</v>
      </c>
      <c r="D262" t="s">
        <v>306</v>
      </c>
    </row>
    <row r="263" spans="2:4" x14ac:dyDescent="0.25">
      <c r="B263" s="108" t="s">
        <v>166</v>
      </c>
      <c r="C263" s="108" t="s">
        <v>639</v>
      </c>
      <c r="D263" t="s">
        <v>640</v>
      </c>
    </row>
    <row r="264" spans="2:4" x14ac:dyDescent="0.25">
      <c r="B264" s="108" t="s">
        <v>166</v>
      </c>
      <c r="C264" s="108" t="s">
        <v>641</v>
      </c>
      <c r="D264" t="s">
        <v>642</v>
      </c>
    </row>
    <row r="265" spans="2:4" x14ac:dyDescent="0.25">
      <c r="B265" s="108" t="s">
        <v>114</v>
      </c>
      <c r="C265" s="108" t="s">
        <v>643</v>
      </c>
      <c r="D265" t="s">
        <v>644</v>
      </c>
    </row>
    <row r="266" spans="2:4" x14ac:dyDescent="0.25">
      <c r="B266" s="108" t="s">
        <v>146</v>
      </c>
      <c r="C266" s="108" t="s">
        <v>645</v>
      </c>
      <c r="D266" t="s">
        <v>646</v>
      </c>
    </row>
    <row r="267" spans="2:4" x14ac:dyDescent="0.25">
      <c r="B267" s="108" t="s">
        <v>169</v>
      </c>
      <c r="C267" s="108" t="s">
        <v>647</v>
      </c>
      <c r="D267" t="s">
        <v>648</v>
      </c>
    </row>
    <row r="268" spans="2:4" x14ac:dyDescent="0.25">
      <c r="B268" s="108" t="s">
        <v>166</v>
      </c>
      <c r="C268" s="108" t="s">
        <v>649</v>
      </c>
      <c r="D268" t="s">
        <v>306</v>
      </c>
    </row>
    <row r="269" spans="2:4" x14ac:dyDescent="0.25">
      <c r="B269" s="108" t="s">
        <v>162</v>
      </c>
      <c r="C269" s="108" t="s">
        <v>650</v>
      </c>
      <c r="D269" t="s">
        <v>651</v>
      </c>
    </row>
    <row r="270" spans="2:4" x14ac:dyDescent="0.25">
      <c r="B270" s="108" t="s">
        <v>169</v>
      </c>
      <c r="C270" s="108" t="s">
        <v>652</v>
      </c>
      <c r="D270" t="s">
        <v>191</v>
      </c>
    </row>
    <row r="271" spans="2:4" x14ac:dyDescent="0.25">
      <c r="B271" s="108" t="s">
        <v>130</v>
      </c>
      <c r="C271" s="108" t="s">
        <v>653</v>
      </c>
      <c r="D271" t="s">
        <v>654</v>
      </c>
    </row>
    <row r="272" spans="2:4" x14ac:dyDescent="0.25">
      <c r="B272" s="108" t="s">
        <v>157</v>
      </c>
      <c r="C272" s="108" t="s">
        <v>655</v>
      </c>
      <c r="D272" t="s">
        <v>656</v>
      </c>
    </row>
    <row r="273" spans="2:5" x14ac:dyDescent="0.25">
      <c r="B273" s="108" t="s">
        <v>137</v>
      </c>
      <c r="C273" s="108" t="s">
        <v>657</v>
      </c>
      <c r="D273" t="s">
        <v>599</v>
      </c>
    </row>
    <row r="274" spans="2:5" x14ac:dyDescent="0.25">
      <c r="B274" s="108" t="s">
        <v>134</v>
      </c>
      <c r="C274" s="108" t="s">
        <v>658</v>
      </c>
      <c r="D274" t="s">
        <v>103</v>
      </c>
    </row>
    <row r="275" spans="2:5" x14ac:dyDescent="0.25">
      <c r="B275" s="108" t="s">
        <v>134</v>
      </c>
      <c r="C275" s="108" t="s">
        <v>659</v>
      </c>
      <c r="D275" t="s">
        <v>660</v>
      </c>
    </row>
    <row r="276" spans="2:5" x14ac:dyDescent="0.25">
      <c r="B276" s="108" t="s">
        <v>122</v>
      </c>
      <c r="C276" s="108" t="s">
        <v>661</v>
      </c>
      <c r="D276" t="s">
        <v>662</v>
      </c>
    </row>
    <row r="277" spans="2:5" x14ac:dyDescent="0.25">
      <c r="B277" s="108" t="s">
        <v>137</v>
      </c>
      <c r="C277" s="108" t="s">
        <v>663</v>
      </c>
      <c r="D277" t="s">
        <v>664</v>
      </c>
    </row>
    <row r="278" spans="2:5" x14ac:dyDescent="0.25">
      <c r="B278" s="108" t="s">
        <v>126</v>
      </c>
      <c r="C278" s="108" t="s">
        <v>665</v>
      </c>
      <c r="D278" t="s">
        <v>666</v>
      </c>
    </row>
    <row r="279" spans="2:5" x14ac:dyDescent="0.25">
      <c r="B279" s="22" t="s">
        <v>223</v>
      </c>
      <c r="C279" s="22" t="s">
        <v>1801</v>
      </c>
      <c r="D279" s="22"/>
      <c r="E279" s="22"/>
    </row>
    <row r="280" spans="2:5" x14ac:dyDescent="0.25">
      <c r="B280" s="108" t="s">
        <v>94</v>
      </c>
      <c r="C280" s="108" t="s">
        <v>667</v>
      </c>
      <c r="D280" t="s">
        <v>668</v>
      </c>
    </row>
    <row r="281" spans="2:5" x14ac:dyDescent="0.25">
      <c r="B281" s="108" t="s">
        <v>94</v>
      </c>
      <c r="C281" s="108" t="s">
        <v>669</v>
      </c>
      <c r="D281" t="s">
        <v>670</v>
      </c>
    </row>
    <row r="282" spans="2:5" x14ac:dyDescent="0.25">
      <c r="B282" s="108" t="s">
        <v>122</v>
      </c>
      <c r="C282" s="108" t="s">
        <v>122</v>
      </c>
      <c r="D282" t="s">
        <v>671</v>
      </c>
    </row>
    <row r="283" spans="2:5" x14ac:dyDescent="0.25">
      <c r="B283" s="108" t="s">
        <v>101</v>
      </c>
      <c r="C283" s="108" t="s">
        <v>672</v>
      </c>
      <c r="D283" t="s">
        <v>673</v>
      </c>
    </row>
    <row r="284" spans="2:5" x14ac:dyDescent="0.25">
      <c r="B284" s="108" t="s">
        <v>146</v>
      </c>
      <c r="C284" s="108" t="s">
        <v>674</v>
      </c>
      <c r="D284" t="s">
        <v>675</v>
      </c>
    </row>
    <row r="285" spans="2:5" x14ac:dyDescent="0.25">
      <c r="B285" s="108" t="s">
        <v>152</v>
      </c>
      <c r="C285" s="108" t="s">
        <v>676</v>
      </c>
      <c r="D285" t="s">
        <v>677</v>
      </c>
    </row>
    <row r="286" spans="2:5" x14ac:dyDescent="0.25">
      <c r="B286" s="108" t="s">
        <v>114</v>
      </c>
      <c r="C286" s="108" t="s">
        <v>678</v>
      </c>
      <c r="D286" t="s">
        <v>679</v>
      </c>
    </row>
    <row r="287" spans="2:5" x14ac:dyDescent="0.25">
      <c r="B287" s="108" t="s">
        <v>137</v>
      </c>
      <c r="C287" s="108" t="s">
        <v>680</v>
      </c>
      <c r="D287" t="s">
        <v>681</v>
      </c>
    </row>
    <row r="288" spans="2:5" x14ac:dyDescent="0.25">
      <c r="B288" s="22" t="s">
        <v>220</v>
      </c>
      <c r="C288" s="22" t="s">
        <v>1800</v>
      </c>
    </row>
    <row r="289" spans="2:4" x14ac:dyDescent="0.25">
      <c r="B289" s="108" t="s">
        <v>162</v>
      </c>
      <c r="C289" s="108" t="s">
        <v>682</v>
      </c>
      <c r="D289" t="s">
        <v>683</v>
      </c>
    </row>
    <row r="290" spans="2:4" x14ac:dyDescent="0.25">
      <c r="B290" s="108" t="s">
        <v>130</v>
      </c>
      <c r="C290" s="108" t="s">
        <v>684</v>
      </c>
      <c r="D290" t="s">
        <v>685</v>
      </c>
    </row>
    <row r="291" spans="2:4" x14ac:dyDescent="0.25">
      <c r="B291" s="22" t="s">
        <v>226</v>
      </c>
      <c r="C291" s="22" t="s">
        <v>1806</v>
      </c>
    </row>
    <row r="292" spans="2:4" x14ac:dyDescent="0.25">
      <c r="B292" s="108" t="s">
        <v>169</v>
      </c>
      <c r="C292" s="108" t="s">
        <v>686</v>
      </c>
      <c r="D292" t="s">
        <v>687</v>
      </c>
    </row>
    <row r="293" spans="2:4" x14ac:dyDescent="0.25">
      <c r="B293" s="108" t="s">
        <v>122</v>
      </c>
      <c r="C293" s="108" t="s">
        <v>688</v>
      </c>
      <c r="D293" t="s">
        <v>689</v>
      </c>
    </row>
    <row r="294" spans="2:4" x14ac:dyDescent="0.25">
      <c r="B294" s="108" t="s">
        <v>146</v>
      </c>
      <c r="C294" s="108" t="s">
        <v>690</v>
      </c>
      <c r="D294" t="s">
        <v>691</v>
      </c>
    </row>
    <row r="295" spans="2:4" x14ac:dyDescent="0.25">
      <c r="B295" s="108" t="s">
        <v>157</v>
      </c>
      <c r="C295" s="108" t="s">
        <v>1782</v>
      </c>
      <c r="D295" t="s">
        <v>692</v>
      </c>
    </row>
    <row r="296" spans="2:4" x14ac:dyDescent="0.25">
      <c r="B296" s="108" t="s">
        <v>137</v>
      </c>
      <c r="C296" s="108" t="s">
        <v>693</v>
      </c>
      <c r="D296" t="s">
        <v>694</v>
      </c>
    </row>
    <row r="297" spans="2:4" x14ac:dyDescent="0.25">
      <c r="B297" s="108" t="s">
        <v>166</v>
      </c>
      <c r="C297" s="108" t="s">
        <v>695</v>
      </c>
      <c r="D297" t="s">
        <v>696</v>
      </c>
    </row>
    <row r="298" spans="2:4" x14ac:dyDescent="0.25">
      <c r="B298" s="108" t="s">
        <v>232</v>
      </c>
      <c r="C298" s="108" t="s">
        <v>697</v>
      </c>
      <c r="D298" t="s">
        <v>698</v>
      </c>
    </row>
    <row r="299" spans="2:4" x14ac:dyDescent="0.25">
      <c r="B299" s="108" t="s">
        <v>126</v>
      </c>
      <c r="C299" s="108" t="s">
        <v>699</v>
      </c>
      <c r="D299" t="s">
        <v>700</v>
      </c>
    </row>
    <row r="300" spans="2:4" x14ac:dyDescent="0.25">
      <c r="B300" s="108" t="s">
        <v>126</v>
      </c>
      <c r="C300" s="108" t="s">
        <v>126</v>
      </c>
      <c r="D300" t="s">
        <v>701</v>
      </c>
    </row>
    <row r="301" spans="2:4" x14ac:dyDescent="0.25">
      <c r="B301" s="108" t="s">
        <v>114</v>
      </c>
      <c r="C301" s="108" t="s">
        <v>702</v>
      </c>
      <c r="D301" t="s">
        <v>703</v>
      </c>
    </row>
    <row r="302" spans="2:4" x14ac:dyDescent="0.25">
      <c r="B302" s="108" t="s">
        <v>152</v>
      </c>
      <c r="C302" s="108" t="s">
        <v>704</v>
      </c>
      <c r="D302" t="s">
        <v>705</v>
      </c>
    </row>
    <row r="303" spans="2:4" x14ac:dyDescent="0.25">
      <c r="B303" s="108" t="s">
        <v>146</v>
      </c>
      <c r="C303" s="108" t="s">
        <v>706</v>
      </c>
      <c r="D303" t="s">
        <v>707</v>
      </c>
    </row>
    <row r="304" spans="2:4" x14ac:dyDescent="0.25">
      <c r="B304" s="108" t="s">
        <v>94</v>
      </c>
      <c r="C304" s="108" t="s">
        <v>708</v>
      </c>
      <c r="D304" t="s">
        <v>709</v>
      </c>
    </row>
    <row r="305" spans="2:4" x14ac:dyDescent="0.25">
      <c r="B305" s="108" t="s">
        <v>162</v>
      </c>
      <c r="C305" s="108" t="s">
        <v>710</v>
      </c>
      <c r="D305" t="s">
        <v>711</v>
      </c>
    </row>
    <row r="306" spans="2:4" x14ac:dyDescent="0.25">
      <c r="B306" s="108" t="s">
        <v>162</v>
      </c>
      <c r="C306" s="108" t="s">
        <v>712</v>
      </c>
      <c r="D306" t="s">
        <v>713</v>
      </c>
    </row>
    <row r="307" spans="2:4" x14ac:dyDescent="0.25">
      <c r="B307" s="108" t="s">
        <v>166</v>
      </c>
      <c r="C307" s="108" t="s">
        <v>166</v>
      </c>
      <c r="D307" t="s">
        <v>714</v>
      </c>
    </row>
    <row r="308" spans="2:4" x14ac:dyDescent="0.25">
      <c r="B308" s="108" t="s">
        <v>146</v>
      </c>
      <c r="C308" s="108" t="s">
        <v>715</v>
      </c>
      <c r="D308" t="s">
        <v>404</v>
      </c>
    </row>
    <row r="309" spans="2:4" x14ac:dyDescent="0.25">
      <c r="B309" s="108" t="s">
        <v>166</v>
      </c>
      <c r="C309" s="108" t="s">
        <v>716</v>
      </c>
      <c r="D309" t="s">
        <v>717</v>
      </c>
    </row>
  </sheetData>
  <autoFilter ref="A1:D309" xr:uid="{C609C38A-266F-484A-B610-0D730BD45FAE}"/>
  <sortState xmlns:xlrd2="http://schemas.microsoft.com/office/spreadsheetml/2017/richdata2" ref="F2:F309">
    <sortCondition ref="F1:F30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FFD89-9A9C-4EB5-A1EB-345FD396B249}">
  <sheetPr>
    <outlinePr summaryBelow="0" summaryRight="0"/>
    <pageSetUpPr fitToPage="1"/>
  </sheetPr>
  <dimension ref="A1:V722"/>
  <sheetViews>
    <sheetView zoomScale="85" zoomScaleNormal="70" zoomScaleSheetLayoutView="50" workbookViewId="0">
      <selection activeCell="J378" sqref="J378"/>
    </sheetView>
  </sheetViews>
  <sheetFormatPr defaultColWidth="8.7109375" defaultRowHeight="15" outlineLevelRow="3" x14ac:dyDescent="0.25"/>
  <cols>
    <col min="1" max="1" width="2.7109375" customWidth="1"/>
    <col min="2" max="2" width="4.28515625" style="392" customWidth="1"/>
    <col min="3" max="3" width="4.28515625" customWidth="1"/>
    <col min="4" max="4" width="3.42578125" style="5" customWidth="1"/>
    <col min="5" max="5" width="6.42578125" customWidth="1"/>
    <col min="6" max="6" width="5.5703125" customWidth="1"/>
    <col min="7" max="7" width="7.28515625" customWidth="1"/>
    <col min="8" max="8" width="8.7109375" customWidth="1"/>
    <col min="9" max="9" width="125.7109375" customWidth="1"/>
    <col min="10" max="10" width="11.28515625" style="5" bestFit="1" customWidth="1"/>
    <col min="11" max="11" width="10.7109375" style="5" bestFit="1" customWidth="1"/>
    <col min="12" max="12" width="8.7109375" style="393"/>
    <col min="13" max="13" width="15.7109375" style="5" customWidth="1"/>
    <col min="14" max="14" width="6.28515625" style="5" customWidth="1"/>
    <col min="16" max="16" width="17" style="5" customWidth="1"/>
    <col min="17" max="17" width="6.28515625" style="5" customWidth="1"/>
    <col min="22" max="22" width="9.28515625" customWidth="1"/>
  </cols>
  <sheetData>
    <row r="1" spans="1:22" ht="14.65" customHeight="1" thickBot="1" x14ac:dyDescent="0.3">
      <c r="J1" s="481" t="s">
        <v>718</v>
      </c>
      <c r="K1" s="481"/>
      <c r="M1" s="481" t="s">
        <v>718</v>
      </c>
      <c r="N1" s="481"/>
      <c r="P1" s="481" t="s">
        <v>718</v>
      </c>
      <c r="Q1" s="481"/>
    </row>
    <row r="2" spans="1:22" ht="14.65" customHeight="1" thickBot="1" x14ac:dyDescent="0.3">
      <c r="B2" s="394" t="s">
        <v>719</v>
      </c>
      <c r="D2" s="6" t="s">
        <v>720</v>
      </c>
      <c r="F2" s="483" t="s">
        <v>721</v>
      </c>
      <c r="G2" s="484"/>
      <c r="H2" s="485"/>
      <c r="J2" s="11" t="s">
        <v>722</v>
      </c>
      <c r="K2" s="395">
        <f>'Folha de cálculo'!I2</f>
        <v>0</v>
      </c>
      <c r="M2" s="11" t="s">
        <v>722</v>
      </c>
      <c r="N2" s="395">
        <f>'Folha de cálculo'!R2</f>
        <v>0</v>
      </c>
      <c r="P2" s="11" t="s">
        <v>722</v>
      </c>
      <c r="Q2" s="395">
        <f>'Folha de cálculo'!W2</f>
        <v>0</v>
      </c>
    </row>
    <row r="3" spans="1:22" ht="15.6" customHeight="1" thickBot="1" x14ac:dyDescent="0.3">
      <c r="J3" s="11" t="s">
        <v>723</v>
      </c>
      <c r="K3" s="395" t="str">
        <f>LOOKUP(K2,Ponderações!$R$4:$R$10,Ponderações!$T$4:$T$10)</f>
        <v>F</v>
      </c>
      <c r="M3" s="11" t="s">
        <v>723</v>
      </c>
      <c r="N3" s="395" t="str">
        <f>LOOKUP(N2,Ponderações!$R$4:$R$10,Ponderações!$T$4:$T$10)</f>
        <v>F</v>
      </c>
      <c r="P3" s="11" t="s">
        <v>723</v>
      </c>
      <c r="Q3" s="395" t="str">
        <f>LOOKUP(Q2,Ponderações!$R$4:$R$10,Ponderações!$T$4:$T$10)</f>
        <v>F</v>
      </c>
    </row>
    <row r="4" spans="1:22" ht="14.65" customHeight="1" x14ac:dyDescent="0.25">
      <c r="J4" s="117"/>
      <c r="K4" s="117"/>
      <c r="M4" s="117"/>
      <c r="N4" s="117"/>
      <c r="P4" s="117"/>
      <c r="Q4" s="117"/>
    </row>
    <row r="5" spans="1:22" ht="29.1" customHeight="1" x14ac:dyDescent="0.25">
      <c r="J5" s="396" t="s">
        <v>724</v>
      </c>
      <c r="K5" s="396" t="s">
        <v>725</v>
      </c>
      <c r="M5" s="396" t="s">
        <v>726</v>
      </c>
      <c r="N5"/>
      <c r="P5" s="396" t="s">
        <v>727</v>
      </c>
      <c r="Q5"/>
      <c r="S5" s="397" t="s">
        <v>728</v>
      </c>
    </row>
    <row r="6" spans="1:22" x14ac:dyDescent="0.25">
      <c r="D6" s="7">
        <f>'Folha de cálculo'!B6</f>
        <v>1</v>
      </c>
      <c r="E6" s="398" t="str">
        <f>'Folha de cálculo'!C6</f>
        <v>Origens e redes de água</v>
      </c>
      <c r="F6" s="398"/>
      <c r="G6" s="398"/>
      <c r="H6" s="398"/>
      <c r="I6" s="398"/>
      <c r="J6" s="399"/>
      <c r="K6" s="399"/>
      <c r="M6" s="399"/>
      <c r="N6"/>
      <c r="P6" s="399"/>
      <c r="Q6"/>
      <c r="S6" s="489"/>
      <c r="T6" s="489"/>
      <c r="U6" s="489"/>
      <c r="V6" s="489"/>
    </row>
    <row r="7" spans="1:22" outlineLevel="1" x14ac:dyDescent="0.25">
      <c r="J7" s="400"/>
      <c r="K7" s="400"/>
      <c r="M7" s="400"/>
      <c r="N7"/>
      <c r="P7" s="400"/>
      <c r="Q7"/>
      <c r="S7" s="476"/>
      <c r="T7" s="476"/>
      <c r="U7" s="476"/>
      <c r="V7" s="476"/>
    </row>
    <row r="8" spans="1:22" ht="15.75" outlineLevel="1" thickBot="1" x14ac:dyDescent="0.3">
      <c r="A8" s="401"/>
      <c r="B8" s="402"/>
      <c r="C8" s="401"/>
      <c r="E8" s="8" t="str">
        <f>'Folha de cálculo'!C8</f>
        <v>1.1</v>
      </c>
      <c r="F8" s="8" t="str">
        <f>'Folha de cálculo'!D8</f>
        <v>Origens alternativas de água (exceto campos de golfe)</v>
      </c>
      <c r="G8" s="8"/>
      <c r="H8" s="8"/>
      <c r="I8" s="8"/>
      <c r="J8" s="403"/>
      <c r="K8" s="404"/>
      <c r="M8" s="403"/>
      <c r="N8"/>
      <c r="P8" s="403"/>
      <c r="Q8"/>
      <c r="S8" s="479"/>
      <c r="T8" s="479"/>
      <c r="U8" s="479"/>
      <c r="V8" s="479"/>
    </row>
    <row r="9" spans="1:22" ht="29.1" customHeight="1" outlineLevel="2" thickBot="1" x14ac:dyDescent="0.3">
      <c r="B9" s="405">
        <v>1</v>
      </c>
      <c r="C9" s="406"/>
      <c r="E9" s="401"/>
      <c r="F9" s="407" t="str">
        <f>'Folha de cálculo'!D9</f>
        <v>1.1.1</v>
      </c>
      <c r="G9" s="482" t="str">
        <f>'Folha de cálculo'!E9</f>
        <v>O edifício dispõe de sistema(s), em uso e certificado(s)/licenciado(s), ou passível(eis) de utilização após licenciamento/aprovação por entidade competente, para o aproveitamento de…</v>
      </c>
      <c r="H9" s="482"/>
      <c r="I9" s="482"/>
      <c r="J9" s="408" t="s">
        <v>729</v>
      </c>
      <c r="K9" s="409" t="s">
        <v>729</v>
      </c>
      <c r="M9" s="408" t="s">
        <v>729</v>
      </c>
      <c r="N9"/>
      <c r="P9" s="408" t="s">
        <v>729</v>
      </c>
      <c r="Q9"/>
      <c r="S9" s="477"/>
      <c r="T9" s="477"/>
      <c r="U9" s="477"/>
      <c r="V9" s="477"/>
    </row>
    <row r="10" spans="1:22" outlineLevel="3" x14ac:dyDescent="0.25">
      <c r="G10" s="410" t="str">
        <f>'Folha de cálculo'!E10</f>
        <v>1.1.1.1</v>
      </c>
      <c r="H10" s="410" t="str">
        <f>'Folha de cálculo'!F10</f>
        <v>águas pluviais (chuva)</v>
      </c>
      <c r="I10" s="410"/>
      <c r="J10" s="411" t="str">
        <f>IF(OR('Registo de informação'!C18='Folha Oculta'!AM3,'Registo de informação'!C19='Folha Oculta'!AM3,'Registo de informação'!C20='Folha Oculta'!AM3,'Registo de informação'!C21='Folha Oculta'!AM3,'Registo de informação'!C22='Folha Oculta'!AM3),1,"")</f>
        <v/>
      </c>
      <c r="K10" s="412" t="str">
        <f>IF(ISBLANK(J10),"",J10)</f>
        <v/>
      </c>
      <c r="M10" s="412" t="str">
        <f t="shared" ref="M10:M11" si="0">IF(ISBLANK(K10),"",K10)</f>
        <v/>
      </c>
      <c r="N10"/>
      <c r="P10" s="412" t="str">
        <f t="shared" ref="P10:P15" si="1">IF(ISBLANK(M10),"",M10)</f>
        <v/>
      </c>
      <c r="Q10"/>
      <c r="S10" s="475"/>
      <c r="T10" s="475"/>
      <c r="U10" s="475"/>
      <c r="V10" s="475"/>
    </row>
    <row r="11" spans="1:22" outlineLevel="3" x14ac:dyDescent="0.25">
      <c r="F11" s="413"/>
      <c r="G11" s="410" t="str">
        <f>'Folha de cálculo'!E11</f>
        <v>1.1.1.2</v>
      </c>
      <c r="H11" s="410" t="str">
        <f>'Folha de cálculo'!F11</f>
        <v>águas cinzentas</v>
      </c>
      <c r="I11" s="410"/>
      <c r="J11" s="412"/>
      <c r="K11" s="412" t="str">
        <f>IF(ISBLANK(J11),"",J11)</f>
        <v/>
      </c>
      <c r="M11" s="412" t="str">
        <f t="shared" si="0"/>
        <v/>
      </c>
      <c r="N11"/>
      <c r="P11" s="412" t="str">
        <f t="shared" si="1"/>
        <v/>
      </c>
      <c r="Q11"/>
      <c r="S11" s="475"/>
      <c r="T11" s="475"/>
      <c r="U11" s="475"/>
      <c r="V11" s="475"/>
    </row>
    <row r="12" spans="1:22" outlineLevel="3" x14ac:dyDescent="0.25">
      <c r="F12" s="413"/>
      <c r="G12" s="410" t="str">
        <f>'Folha de cálculo'!E12</f>
        <v>1.1.1.3</v>
      </c>
      <c r="H12" s="410" t="str">
        <f>'Folha de cálculo'!F12</f>
        <v>água para reutilização proveniente de ETAR (urbana ou própria do empreendimento)</v>
      </c>
      <c r="I12" s="410"/>
      <c r="J12" s="412"/>
      <c r="K12" s="412" t="str">
        <f t="shared" ref="K12:K15" si="2">IF(ISBLANK(J12),"",J12)</f>
        <v/>
      </c>
      <c r="M12" s="412" t="str">
        <f>IF(ISBLANK(K12),"",K12)</f>
        <v/>
      </c>
      <c r="N12"/>
      <c r="P12" s="412" t="str">
        <f t="shared" si="1"/>
        <v/>
      </c>
      <c r="Q12"/>
      <c r="S12" s="475"/>
      <c r="T12" s="475"/>
      <c r="U12" s="475"/>
      <c r="V12" s="475"/>
    </row>
    <row r="13" spans="1:22" outlineLevel="3" x14ac:dyDescent="0.25">
      <c r="F13" s="413"/>
      <c r="G13" s="410" t="str">
        <f>'Folha de cálculo'!E13</f>
        <v>1.1.1.4</v>
      </c>
      <c r="H13" s="410" t="str">
        <f>'Folha de cálculo'!F13</f>
        <v>água proveniente de dessalinização</v>
      </c>
      <c r="I13" s="410"/>
      <c r="J13" s="412"/>
      <c r="K13" s="412" t="str">
        <f t="shared" si="2"/>
        <v/>
      </c>
      <c r="M13" s="412" t="str">
        <f t="shared" ref="M13:M15" si="3">IF(ISBLANK(K13),"",K13)</f>
        <v/>
      </c>
      <c r="N13"/>
      <c r="P13" s="412" t="str">
        <f t="shared" si="1"/>
        <v/>
      </c>
      <c r="Q13"/>
      <c r="S13" s="475"/>
      <c r="T13" s="475"/>
      <c r="U13" s="475"/>
      <c r="V13" s="475"/>
    </row>
    <row r="14" spans="1:22" outlineLevel="3" x14ac:dyDescent="0.25">
      <c r="F14" s="413"/>
      <c r="G14" s="410" t="str">
        <f>'Folha de cálculo'!E14</f>
        <v>1.1.1.5</v>
      </c>
      <c r="H14" s="410" t="str">
        <f>'Folha de cálculo'!F14</f>
        <v>Nenhuma das opções anteriores</v>
      </c>
      <c r="I14" s="410"/>
      <c r="J14" s="412"/>
      <c r="K14" s="412" t="str">
        <f t="shared" si="2"/>
        <v/>
      </c>
      <c r="M14" s="412" t="str">
        <f t="shared" si="3"/>
        <v/>
      </c>
      <c r="N14"/>
      <c r="P14" s="412" t="str">
        <f t="shared" si="1"/>
        <v/>
      </c>
      <c r="Q14"/>
      <c r="S14" s="475"/>
      <c r="T14" s="475"/>
      <c r="U14" s="475"/>
      <c r="V14" s="475"/>
    </row>
    <row r="15" spans="1:22" ht="15.75" outlineLevel="3" thickBot="1" x14ac:dyDescent="0.3">
      <c r="F15" s="413"/>
      <c r="G15" s="410" t="str">
        <f>'Folha de cálculo'!E15</f>
        <v>1.1.1.6</v>
      </c>
      <c r="H15" s="410" t="str">
        <f>'Folha de cálculo'!F15</f>
        <v>Não foi possível determinar (justifique)</v>
      </c>
      <c r="I15" s="410"/>
      <c r="J15" s="412"/>
      <c r="K15" s="412" t="str">
        <f t="shared" si="2"/>
        <v/>
      </c>
      <c r="M15" s="412" t="str">
        <f t="shared" si="3"/>
        <v/>
      </c>
      <c r="N15"/>
      <c r="P15" s="412" t="str">
        <f t="shared" si="1"/>
        <v/>
      </c>
      <c r="Q15"/>
      <c r="S15" s="475"/>
      <c r="T15" s="475"/>
      <c r="U15" s="475"/>
      <c r="V15" s="475"/>
    </row>
    <row r="16" spans="1:22" ht="29.1" customHeight="1" outlineLevel="2" thickBot="1" x14ac:dyDescent="0.3">
      <c r="B16" s="405">
        <v>1</v>
      </c>
      <c r="C16" s="406"/>
      <c r="E16" s="401"/>
      <c r="F16" s="407" t="str">
        <f>'Folha de cálculo'!D16</f>
        <v>1.1.2</v>
      </c>
      <c r="G16" s="482" t="str">
        <f>'Folha de cálculo'!E16</f>
        <v>A configuração do(s) sistema(s) de aproveitamento de origens alternativas de água permitem a sua utilização (atual ou após licenciamento) para usos não potáveis como…</v>
      </c>
      <c r="H16" s="482"/>
      <c r="I16" s="482"/>
      <c r="J16" s="408" t="s">
        <v>729</v>
      </c>
      <c r="K16" s="409" t="s">
        <v>729</v>
      </c>
      <c r="M16" s="408" t="s">
        <v>729</v>
      </c>
      <c r="N16"/>
      <c r="P16" s="408" t="s">
        <v>729</v>
      </c>
      <c r="Q16"/>
      <c r="S16" s="477"/>
      <c r="T16" s="477"/>
      <c r="U16" s="477"/>
      <c r="V16" s="477"/>
    </row>
    <row r="17" spans="1:22" outlineLevel="3" x14ac:dyDescent="0.25">
      <c r="F17" s="413"/>
      <c r="G17" s="410" t="str">
        <f>'Folha de cálculo'!E17</f>
        <v>1.1.2.1</v>
      </c>
      <c r="H17" s="410" t="str">
        <f>'Folha de cálculo'!F17</f>
        <v>rega de espaços exteriores</v>
      </c>
      <c r="I17" s="410"/>
      <c r="J17" s="412"/>
      <c r="K17" s="412" t="str">
        <f>IF(ISBLANK(J17),"",J17)</f>
        <v/>
      </c>
      <c r="M17" s="412" t="str">
        <f>IF(ISBLANK(K17),"",K17)</f>
        <v/>
      </c>
      <c r="N17"/>
      <c r="P17" s="412" t="str">
        <f>IF(ISBLANK(M17),"",M17)</f>
        <v/>
      </c>
      <c r="Q17"/>
      <c r="S17" s="475"/>
      <c r="T17" s="475"/>
      <c r="U17" s="475"/>
      <c r="V17" s="475"/>
    </row>
    <row r="18" spans="1:22" outlineLevel="3" x14ac:dyDescent="0.25">
      <c r="F18" s="413"/>
      <c r="G18" s="410" t="str">
        <f>'Folha de cálculo'!E18</f>
        <v>1.1.2.2</v>
      </c>
      <c r="H18" s="410" t="str">
        <f>'Folha de cálculo'!F18</f>
        <v>descargas de autoclismo</v>
      </c>
      <c r="I18" s="410"/>
      <c r="J18" s="412"/>
      <c r="K18" s="412" t="str">
        <f t="shared" ref="K18:K23" si="4">IF(ISBLANK(J18),"",J18)</f>
        <v/>
      </c>
      <c r="M18" s="412" t="str">
        <f t="shared" ref="M18:M23" si="5">IF(ISBLANK(K18),"",K18)</f>
        <v/>
      </c>
      <c r="N18"/>
      <c r="P18" s="412" t="str">
        <f t="shared" ref="P18:P23" si="6">IF(ISBLANK(M18),"",M18)</f>
        <v/>
      </c>
      <c r="Q18"/>
      <c r="S18" s="475"/>
      <c r="T18" s="475"/>
      <c r="U18" s="475"/>
      <c r="V18" s="475"/>
    </row>
    <row r="19" spans="1:22" outlineLevel="3" x14ac:dyDescent="0.25">
      <c r="F19" s="413"/>
      <c r="G19" s="410" t="str">
        <f>'Folha de cálculo'!E19</f>
        <v>1.1.2.3</v>
      </c>
      <c r="H19" s="410" t="str">
        <f>'Folha de cálculo'!F19</f>
        <v>lavagem de espaços (p.e. pavimentos, garagens)</v>
      </c>
      <c r="I19" s="410"/>
      <c r="J19" s="412"/>
      <c r="K19" s="412" t="str">
        <f t="shared" si="4"/>
        <v/>
      </c>
      <c r="M19" s="412" t="str">
        <f t="shared" si="5"/>
        <v/>
      </c>
      <c r="N19"/>
      <c r="P19" s="412" t="str">
        <f t="shared" si="6"/>
        <v/>
      </c>
      <c r="Q19"/>
      <c r="S19" s="475"/>
      <c r="T19" s="475"/>
      <c r="U19" s="475"/>
      <c r="V19" s="475"/>
    </row>
    <row r="20" spans="1:22" outlineLevel="3" x14ac:dyDescent="0.25">
      <c r="F20" s="413"/>
      <c r="G20" s="410" t="str">
        <f>'Folha de cálculo'!E20</f>
        <v>1.1.2.4</v>
      </c>
      <c r="H20" s="410" t="str">
        <f>'Folha de cálculo'!F20</f>
        <v>eletrodomésticos (máq. de lavar roupa)</v>
      </c>
      <c r="I20" s="410"/>
      <c r="J20" s="412"/>
      <c r="K20" s="412" t="str">
        <f t="shared" si="4"/>
        <v/>
      </c>
      <c r="M20" s="412" t="str">
        <f t="shared" si="5"/>
        <v/>
      </c>
      <c r="N20"/>
      <c r="P20" s="412" t="str">
        <f t="shared" si="6"/>
        <v/>
      </c>
      <c r="Q20"/>
      <c r="S20" s="475"/>
      <c r="T20" s="475"/>
      <c r="U20" s="475"/>
      <c r="V20" s="475"/>
    </row>
    <row r="21" spans="1:22" outlineLevel="3" x14ac:dyDescent="0.25">
      <c r="F21" s="413"/>
      <c r="G21" s="410" t="str">
        <f>'Folha de cálculo'!E21</f>
        <v>1.1.2.5</v>
      </c>
      <c r="H21" s="410" t="str">
        <f>'Folha de cálculo'!F21</f>
        <v>outros fins, p.e. lagos ou fontes, etc. (especificar)</v>
      </c>
      <c r="I21" s="410"/>
      <c r="J21" s="412"/>
      <c r="K21" s="412" t="str">
        <f t="shared" si="4"/>
        <v/>
      </c>
      <c r="M21" s="412" t="str">
        <f t="shared" si="5"/>
        <v/>
      </c>
      <c r="N21"/>
      <c r="P21" s="412" t="str">
        <f t="shared" si="6"/>
        <v/>
      </c>
      <c r="Q21"/>
      <c r="S21" s="475"/>
      <c r="T21" s="475"/>
      <c r="U21" s="475"/>
      <c r="V21" s="475"/>
    </row>
    <row r="22" spans="1:22" outlineLevel="3" x14ac:dyDescent="0.25">
      <c r="F22" s="413"/>
      <c r="G22" s="410" t="str">
        <f>'Folha de cálculo'!E22</f>
        <v>1.1.2.6</v>
      </c>
      <c r="H22" s="410" t="str">
        <f>'Folha de cálculo'!F22</f>
        <v>Nenhuma das opções anteriores</v>
      </c>
      <c r="I22" s="410"/>
      <c r="J22" s="412"/>
      <c r="K22" s="412" t="str">
        <f t="shared" si="4"/>
        <v/>
      </c>
      <c r="M22" s="412" t="str">
        <f t="shared" si="5"/>
        <v/>
      </c>
      <c r="N22"/>
      <c r="P22" s="412" t="str">
        <f t="shared" si="6"/>
        <v/>
      </c>
      <c r="Q22"/>
      <c r="S22" s="475"/>
      <c r="T22" s="475"/>
      <c r="U22" s="475"/>
      <c r="V22" s="475"/>
    </row>
    <row r="23" spans="1:22" ht="15.75" outlineLevel="3" thickBot="1" x14ac:dyDescent="0.3">
      <c r="F23" s="413"/>
      <c r="G23" s="410" t="str">
        <f>'Folha de cálculo'!E23</f>
        <v>1.1.2.7</v>
      </c>
      <c r="H23" s="410" t="str">
        <f>'Folha de cálculo'!F23</f>
        <v>Não foi possível determinar (justifique)</v>
      </c>
      <c r="I23" s="410"/>
      <c r="J23" s="412"/>
      <c r="K23" s="412" t="str">
        <f t="shared" si="4"/>
        <v/>
      </c>
      <c r="M23" s="412" t="str">
        <f t="shared" si="5"/>
        <v/>
      </c>
      <c r="N23"/>
      <c r="P23" s="412" t="str">
        <f t="shared" si="6"/>
        <v/>
      </c>
      <c r="Q23"/>
      <c r="S23" s="475"/>
      <c r="T23" s="475"/>
      <c r="U23" s="475"/>
      <c r="V23" s="475"/>
    </row>
    <row r="24" spans="1:22" ht="29.1" customHeight="1" outlineLevel="2" thickBot="1" x14ac:dyDescent="0.3">
      <c r="B24" s="405">
        <v>1</v>
      </c>
      <c r="C24" s="406"/>
      <c r="E24" s="401"/>
      <c r="F24" s="407" t="str">
        <f>'Folha de cálculo'!D24</f>
        <v>1.1.3</v>
      </c>
      <c r="G24" s="482" t="str">
        <f>'Folha de cálculo'!E24</f>
        <v>A utilização da água proveniente de origem alternativa (cujo sistema está devidamente licenciado/aprovado pela entidade competente) representa uma razão…</v>
      </c>
      <c r="H24" s="482"/>
      <c r="I24" s="482"/>
      <c r="J24" s="408" t="s">
        <v>730</v>
      </c>
      <c r="K24" s="409" t="s">
        <v>730</v>
      </c>
      <c r="M24" s="408" t="s">
        <v>730</v>
      </c>
      <c r="N24"/>
      <c r="P24" s="408" t="s">
        <v>730</v>
      </c>
      <c r="Q24"/>
      <c r="S24" s="477"/>
      <c r="T24" s="477"/>
      <c r="U24" s="477"/>
      <c r="V24" s="477"/>
    </row>
    <row r="25" spans="1:22" outlineLevel="3" x14ac:dyDescent="0.25">
      <c r="F25" s="413"/>
      <c r="G25" s="410" t="str">
        <f>'Folha de cálculo'!E25</f>
        <v>1.1.3.1</v>
      </c>
      <c r="H25" s="414" t="str">
        <f>'Folha de cálculo'!F25</f>
        <v xml:space="preserve">superior a 50% do consumo total de água </v>
      </c>
      <c r="I25" s="410"/>
      <c r="J25" s="412"/>
      <c r="K25" s="412" t="str">
        <f>IF(ISBLANK(J25),"",J25)</f>
        <v/>
      </c>
      <c r="M25" s="412" t="str">
        <f>IF(ISBLANK(K25),"",K25)</f>
        <v/>
      </c>
      <c r="N25"/>
      <c r="P25" s="412" t="str">
        <f>IF(ISBLANK(M25),"",M25)</f>
        <v/>
      </c>
      <c r="Q25"/>
      <c r="S25" s="475"/>
      <c r="T25" s="475"/>
      <c r="U25" s="475"/>
      <c r="V25" s="475"/>
    </row>
    <row r="26" spans="1:22" outlineLevel="3" x14ac:dyDescent="0.25">
      <c r="F26" s="413"/>
      <c r="G26" s="410" t="str">
        <f>'Folha de cálculo'!E26</f>
        <v>1.1.3.2</v>
      </c>
      <c r="H26" s="414" t="str">
        <f>'Folha de cálculo'!F26</f>
        <v xml:space="preserve">entre [25 e 50%] do consumo total de água </v>
      </c>
      <c r="I26" s="410"/>
      <c r="J26" s="412"/>
      <c r="K26" s="412" t="str">
        <f t="shared" ref="K26:K34" si="7">IF(ISBLANK(J26),"",J26)</f>
        <v/>
      </c>
      <c r="M26" s="412" t="str">
        <f t="shared" ref="M26:M29" si="8">IF(ISBLANK(K26),"",K26)</f>
        <v/>
      </c>
      <c r="N26"/>
      <c r="P26" s="412" t="str">
        <f t="shared" ref="P26:P29" si="9">IF(ISBLANK(M26),"",M26)</f>
        <v/>
      </c>
      <c r="Q26"/>
      <c r="S26" s="475"/>
      <c r="T26" s="475"/>
      <c r="U26" s="475"/>
      <c r="V26" s="475"/>
    </row>
    <row r="27" spans="1:22" outlineLevel="3" x14ac:dyDescent="0.25">
      <c r="F27" s="413"/>
      <c r="G27" s="410" t="str">
        <f>'Folha de cálculo'!E27</f>
        <v>1.1.3.3</v>
      </c>
      <c r="H27" s="414" t="str">
        <f>'Folha de cálculo'!F27</f>
        <v xml:space="preserve">inferior a 25% do consumo total de água </v>
      </c>
      <c r="I27" s="410"/>
      <c r="J27" s="412"/>
      <c r="K27" s="412" t="str">
        <f t="shared" si="7"/>
        <v/>
      </c>
      <c r="M27" s="412" t="str">
        <f t="shared" si="8"/>
        <v/>
      </c>
      <c r="N27"/>
      <c r="P27" s="412" t="str">
        <f t="shared" si="9"/>
        <v/>
      </c>
      <c r="Q27"/>
      <c r="S27" s="475"/>
      <c r="T27" s="475"/>
      <c r="U27" s="475"/>
      <c r="V27" s="475"/>
    </row>
    <row r="28" spans="1:22" outlineLevel="3" x14ac:dyDescent="0.25">
      <c r="F28" s="413"/>
      <c r="G28" s="410" t="str">
        <f>'Folha de cálculo'!E28</f>
        <v>1.1.3.4</v>
      </c>
      <c r="H28" s="410" t="str">
        <f>'Folha de cálculo'!F28</f>
        <v>Não existente</v>
      </c>
      <c r="I28" s="410"/>
      <c r="J28" s="412"/>
      <c r="K28" s="412" t="str">
        <f t="shared" si="7"/>
        <v/>
      </c>
      <c r="M28" s="412" t="str">
        <f t="shared" si="8"/>
        <v/>
      </c>
      <c r="N28"/>
      <c r="P28" s="412" t="str">
        <f t="shared" si="9"/>
        <v/>
      </c>
      <c r="Q28"/>
      <c r="S28" s="475"/>
      <c r="T28" s="475"/>
      <c r="U28" s="475"/>
      <c r="V28" s="475"/>
    </row>
    <row r="29" spans="1:22" ht="15.75" outlineLevel="3" thickBot="1" x14ac:dyDescent="0.3">
      <c r="F29" s="413"/>
      <c r="G29" s="410" t="str">
        <f>'Folha de cálculo'!E29</f>
        <v>1.1.3.5</v>
      </c>
      <c r="H29" s="410" t="str">
        <f>'Folha de cálculo'!F29</f>
        <v>Não foi possível determinar (justifique)</v>
      </c>
      <c r="I29" s="410"/>
      <c r="J29" s="412"/>
      <c r="K29" s="412" t="str">
        <f t="shared" si="7"/>
        <v/>
      </c>
      <c r="M29" s="412" t="str">
        <f t="shared" si="8"/>
        <v/>
      </c>
      <c r="N29"/>
      <c r="P29" s="412" t="str">
        <f t="shared" si="9"/>
        <v/>
      </c>
      <c r="Q29"/>
      <c r="S29" s="475"/>
      <c r="T29" s="475"/>
      <c r="U29" s="475"/>
      <c r="V29" s="475"/>
    </row>
    <row r="30" spans="1:22" ht="15.75" outlineLevel="2" thickBot="1" x14ac:dyDescent="0.3">
      <c r="A30" s="401"/>
      <c r="B30" s="405">
        <v>1</v>
      </c>
      <c r="C30" s="406"/>
      <c r="E30" s="401"/>
      <c r="F30" s="407" t="str">
        <f>'Folha de cálculo'!D30</f>
        <v>1.1.4</v>
      </c>
      <c r="G30" s="482" t="str">
        <f>'Folha de cálculo'!E30</f>
        <v>A utilização das origens alternativas de água…</v>
      </c>
      <c r="H30" s="482"/>
      <c r="I30" s="482"/>
      <c r="J30" s="408" t="s">
        <v>731</v>
      </c>
      <c r="K30" s="409" t="s">
        <v>731</v>
      </c>
      <c r="M30" s="408" t="s">
        <v>731</v>
      </c>
      <c r="N30"/>
      <c r="P30" s="408" t="s">
        <v>731</v>
      </c>
      <c r="Q30"/>
      <c r="S30" s="415"/>
      <c r="T30" s="415"/>
      <c r="U30" s="415"/>
      <c r="V30" s="415"/>
    </row>
    <row r="31" spans="1:22" outlineLevel="3" x14ac:dyDescent="0.25">
      <c r="G31" s="416" t="str">
        <f>'Folha de cálculo'!E31</f>
        <v>1.1.4.1</v>
      </c>
      <c r="H31" s="416" t="str">
        <f>'Folha de cálculo'!F31</f>
        <v>é feita de forma exclusivamente gravítica (ou não requer energia elétrica ou outro tipo de alimentação energética)</v>
      </c>
      <c r="I31" s="416"/>
      <c r="J31" s="417"/>
      <c r="K31" s="418" t="str">
        <f>IF(ISBLANK(J31),"",J31)</f>
        <v/>
      </c>
      <c r="M31" s="418" t="str">
        <f>IF(ISBLANK(K31),"",K31)</f>
        <v/>
      </c>
      <c r="N31"/>
      <c r="P31" s="418" t="str">
        <f>IF(ISBLANK(M31),"",M31)</f>
        <v/>
      </c>
      <c r="Q31"/>
      <c r="S31" s="475"/>
      <c r="T31" s="475"/>
      <c r="U31" s="475"/>
      <c r="V31" s="475"/>
    </row>
    <row r="32" spans="1:22" outlineLevel="3" x14ac:dyDescent="0.25">
      <c r="G32" s="416" t="str">
        <f>'Folha de cálculo'!E32</f>
        <v>1.1.4.2</v>
      </c>
      <c r="H32" s="416" t="str">
        <f>'Folha de cálculo'!F32</f>
        <v>utiliza energia de origem renovável (diretamente ou por um sistema instalado no edifício)</v>
      </c>
      <c r="I32" s="416"/>
      <c r="J32" s="417"/>
      <c r="K32" s="418" t="str">
        <f>IF(ISBLANK(J32),"",J32)</f>
        <v/>
      </c>
      <c r="M32" s="418" t="str">
        <f t="shared" ref="M32:M34" si="10">IF(ISBLANK(K32),"",K32)</f>
        <v/>
      </c>
      <c r="N32"/>
      <c r="P32" s="418" t="str">
        <f t="shared" ref="P32:P34" si="11">IF(ISBLANK(M32),"",M32)</f>
        <v/>
      </c>
      <c r="Q32"/>
      <c r="S32" s="475"/>
      <c r="T32" s="475"/>
      <c r="U32" s="475"/>
      <c r="V32" s="475"/>
    </row>
    <row r="33" spans="1:22" outlineLevel="3" x14ac:dyDescent="0.25">
      <c r="G33" s="416" t="str">
        <f>'Folha de cálculo'!E33</f>
        <v>1.1.4.3</v>
      </c>
      <c r="H33" s="416" t="str">
        <f>'Folha de cálculo'!F33</f>
        <v>Nenhuma das opções anteriores</v>
      </c>
      <c r="I33" s="416"/>
      <c r="J33" s="417"/>
      <c r="K33" s="418" t="str">
        <f>IF(ISBLANK(J33),"",J33)</f>
        <v/>
      </c>
      <c r="M33" s="418" t="str">
        <f t="shared" si="10"/>
        <v/>
      </c>
      <c r="N33"/>
      <c r="P33" s="418" t="str">
        <f t="shared" si="11"/>
        <v/>
      </c>
      <c r="Q33"/>
      <c r="S33" s="475"/>
      <c r="T33" s="475"/>
      <c r="U33" s="475"/>
      <c r="V33" s="475"/>
    </row>
    <row r="34" spans="1:22" outlineLevel="3" x14ac:dyDescent="0.25">
      <c r="G34" s="416" t="str">
        <f>'Folha de cálculo'!E34</f>
        <v>1.1.4.4</v>
      </c>
      <c r="H34" s="416" t="str">
        <f>'Folha de cálculo'!F34</f>
        <v>Não foi possível determinar (justifique)</v>
      </c>
      <c r="I34" s="416"/>
      <c r="J34" s="417"/>
      <c r="K34" s="418" t="str">
        <f t="shared" si="7"/>
        <v/>
      </c>
      <c r="M34" s="418" t="str">
        <f t="shared" si="10"/>
        <v/>
      </c>
      <c r="N34"/>
      <c r="P34" s="418" t="str">
        <f t="shared" si="11"/>
        <v/>
      </c>
      <c r="Q34"/>
      <c r="S34" s="475"/>
      <c r="T34" s="475"/>
      <c r="U34" s="475"/>
      <c r="V34" s="475"/>
    </row>
    <row r="35" spans="1:22" outlineLevel="1" x14ac:dyDescent="0.25">
      <c r="J35" s="400"/>
      <c r="K35" s="400"/>
      <c r="M35" s="400"/>
      <c r="N35"/>
      <c r="P35" s="400"/>
      <c r="Q35"/>
      <c r="S35" s="476"/>
      <c r="T35" s="476"/>
      <c r="U35" s="476"/>
      <c r="V35" s="476"/>
    </row>
    <row r="36" spans="1:22" outlineLevel="1" x14ac:dyDescent="0.25">
      <c r="A36" s="401"/>
      <c r="B36" s="402"/>
      <c r="C36" s="401"/>
      <c r="E36" s="8" t="str">
        <f>'Folha de cálculo'!C36</f>
        <v>1.2</v>
      </c>
      <c r="F36" s="8" t="str">
        <f>'Folha de cálculo'!D36</f>
        <v>Redes de água (exceto campos de golfe)</v>
      </c>
      <c r="G36" s="8"/>
      <c r="H36" s="8"/>
      <c r="I36" s="8"/>
      <c r="J36" s="403"/>
      <c r="K36" s="404"/>
      <c r="M36" s="403"/>
      <c r="N36"/>
      <c r="P36" s="403"/>
      <c r="Q36"/>
      <c r="S36" s="479"/>
      <c r="T36" s="479"/>
      <c r="U36" s="479"/>
      <c r="V36" s="479"/>
    </row>
    <row r="37" spans="1:22" ht="29.1" customHeight="1" outlineLevel="2" x14ac:dyDescent="0.25">
      <c r="E37" s="401"/>
      <c r="F37" s="407" t="str">
        <f>'Folha de cálculo'!D37</f>
        <v>1.2.1</v>
      </c>
      <c r="G37" s="482" t="str">
        <f>'Folha de cálculo'!E37</f>
        <v>O proprietário/responsável dispõe e tem acesso direto (p.e. no manual técnico do edíficio) a exemplar de projeto onde conste a descrição detalhada de…</v>
      </c>
      <c r="H37" s="482"/>
      <c r="I37" s="482"/>
      <c r="J37" s="408" t="s">
        <v>729</v>
      </c>
      <c r="K37" s="409" t="s">
        <v>729</v>
      </c>
      <c r="M37" s="408" t="s">
        <v>729</v>
      </c>
      <c r="N37"/>
      <c r="P37" s="408" t="s">
        <v>729</v>
      </c>
      <c r="Q37"/>
      <c r="S37" s="477"/>
      <c r="T37" s="477"/>
      <c r="U37" s="477"/>
      <c r="V37" s="477"/>
    </row>
    <row r="38" spans="1:22" outlineLevel="3" x14ac:dyDescent="0.25">
      <c r="F38" s="413"/>
      <c r="G38" s="410" t="str">
        <f>'Folha de cálculo'!E38</f>
        <v>1.2.1.1</v>
      </c>
      <c r="H38" s="410" t="str">
        <f>'Folha de cálculo'!F38</f>
        <v>rede predial de abastecimento de água</v>
      </c>
      <c r="I38" s="410"/>
      <c r="J38" s="412"/>
      <c r="K38" s="419" t="str">
        <f>IF(ISBLANK(J38),"",J38)</f>
        <v/>
      </c>
      <c r="M38" s="412" t="str">
        <f>IF(ISBLANK(K38),"",K38)</f>
        <v/>
      </c>
      <c r="N38"/>
      <c r="P38" s="412" t="str">
        <f>IF(ISBLANK(M38),"",M38)</f>
        <v/>
      </c>
      <c r="Q38"/>
      <c r="S38" s="475"/>
      <c r="T38" s="475"/>
      <c r="U38" s="475"/>
      <c r="V38" s="475"/>
    </row>
    <row r="39" spans="1:22" outlineLevel="3" x14ac:dyDescent="0.25">
      <c r="F39" s="413"/>
      <c r="G39" s="410" t="str">
        <f>'Folha de cálculo'!E39</f>
        <v>1.2.1.2</v>
      </c>
      <c r="H39" s="410" t="str">
        <f>'Folha de cálculo'!F39</f>
        <v xml:space="preserve">rede de origens alternativas </v>
      </c>
      <c r="I39" s="410"/>
      <c r="J39" s="412"/>
      <c r="K39" s="419" t="str">
        <f t="shared" ref="K39:K43" si="12">IF(ISBLANK(J39),"",J39)</f>
        <v/>
      </c>
      <c r="M39" s="412" t="str">
        <f t="shared" ref="M39:M44" si="13">IF(ISBLANK(K39),"",K39)</f>
        <v/>
      </c>
      <c r="N39"/>
      <c r="P39" s="412" t="str">
        <f t="shared" ref="P39:P44" si="14">IF(ISBLANK(M39),"",M39)</f>
        <v/>
      </c>
      <c r="Q39"/>
      <c r="S39" s="475"/>
      <c r="T39" s="475"/>
      <c r="U39" s="475"/>
      <c r="V39" s="475"/>
    </row>
    <row r="40" spans="1:22" outlineLevel="3" x14ac:dyDescent="0.25">
      <c r="F40" s="413"/>
      <c r="G40" s="410" t="str">
        <f>'Folha de cálculo'!E40</f>
        <v>1.2.1.3</v>
      </c>
      <c r="H40" s="410" t="str">
        <f>'Folha de cálculo'!F40</f>
        <v>rede de drenagem de água residuais</v>
      </c>
      <c r="I40" s="410"/>
      <c r="J40" s="412"/>
      <c r="K40" s="419" t="str">
        <f t="shared" si="12"/>
        <v/>
      </c>
      <c r="M40" s="412" t="str">
        <f t="shared" si="13"/>
        <v/>
      </c>
      <c r="N40"/>
      <c r="P40" s="412" t="str">
        <f t="shared" si="14"/>
        <v/>
      </c>
      <c r="Q40"/>
      <c r="S40" s="475"/>
      <c r="T40" s="475"/>
      <c r="U40" s="475"/>
      <c r="V40" s="475"/>
    </row>
    <row r="41" spans="1:22" outlineLevel="3" x14ac:dyDescent="0.25">
      <c r="F41" s="413"/>
      <c r="G41" s="410" t="str">
        <f>'Folha de cálculo'!E41</f>
        <v>1.2.1.4</v>
      </c>
      <c r="H41" s="410" t="str">
        <f>'Folha de cálculo'!F41</f>
        <v>rede da piscina</v>
      </c>
      <c r="I41" s="410"/>
      <c r="J41" s="412"/>
      <c r="K41" s="419" t="str">
        <f t="shared" si="12"/>
        <v/>
      </c>
      <c r="M41" s="412" t="str">
        <f t="shared" si="13"/>
        <v/>
      </c>
      <c r="N41"/>
      <c r="P41" s="412" t="str">
        <f t="shared" si="14"/>
        <v/>
      </c>
      <c r="Q41"/>
      <c r="S41" s="475"/>
      <c r="T41" s="475"/>
      <c r="U41" s="475"/>
      <c r="V41" s="475"/>
    </row>
    <row r="42" spans="1:22" outlineLevel="3" x14ac:dyDescent="0.25">
      <c r="F42" s="413"/>
      <c r="G42" s="410" t="str">
        <f>'Folha de cálculo'!E42</f>
        <v>1.2.1.5</v>
      </c>
      <c r="H42" s="410" t="str">
        <f>'Folha de cálculo'!F42</f>
        <v>rede de rega</v>
      </c>
      <c r="I42" s="410"/>
      <c r="J42" s="412"/>
      <c r="K42" s="419" t="str">
        <f t="shared" si="12"/>
        <v/>
      </c>
      <c r="M42" s="412" t="str">
        <f t="shared" si="13"/>
        <v/>
      </c>
      <c r="N42"/>
      <c r="P42" s="412" t="str">
        <f t="shared" si="14"/>
        <v/>
      </c>
      <c r="Q42"/>
      <c r="S42" s="475"/>
      <c r="T42" s="475"/>
      <c r="U42" s="475"/>
      <c r="V42" s="475"/>
    </row>
    <row r="43" spans="1:22" outlineLevel="3" x14ac:dyDescent="0.25">
      <c r="F43" s="413"/>
      <c r="G43" s="410" t="str">
        <f>'Folha de cálculo'!E43</f>
        <v>1.2.1.6</v>
      </c>
      <c r="H43" s="410" t="str">
        <f>'Folha de cálculo'!F43</f>
        <v xml:space="preserve">rede de produção e distribuição de AQS </v>
      </c>
      <c r="I43" s="410"/>
      <c r="J43" s="412"/>
      <c r="K43" s="419" t="str">
        <f t="shared" si="12"/>
        <v/>
      </c>
      <c r="M43" s="412" t="str">
        <f t="shared" si="13"/>
        <v/>
      </c>
      <c r="N43"/>
      <c r="P43" s="412" t="str">
        <f t="shared" si="14"/>
        <v/>
      </c>
      <c r="Q43"/>
      <c r="S43" s="475"/>
      <c r="T43" s="475"/>
      <c r="U43" s="475"/>
      <c r="V43" s="475"/>
    </row>
    <row r="44" spans="1:22" outlineLevel="3" x14ac:dyDescent="0.25">
      <c r="F44" s="413"/>
      <c r="G44" s="410" t="str">
        <f>'Folha de cálculo'!E44</f>
        <v>1.2.1.7</v>
      </c>
      <c r="H44" s="410" t="str">
        <f>'Folha de cálculo'!F44</f>
        <v>Não foi possível determinar (justifique)</v>
      </c>
      <c r="I44" s="410"/>
      <c r="J44" s="412"/>
      <c r="K44" s="419" t="str">
        <f>IF(ISBLANK(J44),"",J44)</f>
        <v/>
      </c>
      <c r="M44" s="412" t="str">
        <f t="shared" si="13"/>
        <v/>
      </c>
      <c r="N44"/>
      <c r="P44" s="412" t="str">
        <f t="shared" si="14"/>
        <v/>
      </c>
      <c r="Q44"/>
      <c r="S44" s="475"/>
      <c r="T44" s="475"/>
      <c r="U44" s="475"/>
      <c r="V44" s="475"/>
    </row>
    <row r="45" spans="1:22" ht="43.5" customHeight="1" outlineLevel="2" x14ac:dyDescent="0.25">
      <c r="E45" s="401"/>
      <c r="F45" s="407" t="str">
        <f>'Folha de cálculo'!D45</f>
        <v>1.2.2</v>
      </c>
      <c r="G45" s="482" t="str">
        <f>'Folha de cálculo'!E45</f>
        <v>A rede de água do edifício está preparada/infraestruturada para que este possa ser (no presente ou no futuro) abastecido por uma ou mais origens alternativas de água, para além do abastecimento público (p.e. chuva, cinzenta, etc.)...</v>
      </c>
      <c r="H45" s="482"/>
      <c r="I45" s="482"/>
      <c r="J45" s="408" t="s">
        <v>729</v>
      </c>
      <c r="K45" s="409" t="s">
        <v>729</v>
      </c>
      <c r="M45" s="408" t="s">
        <v>729</v>
      </c>
      <c r="N45"/>
      <c r="P45" s="408" t="s">
        <v>729</v>
      </c>
      <c r="Q45"/>
      <c r="S45" s="477"/>
      <c r="T45" s="477"/>
      <c r="U45" s="477"/>
      <c r="V45" s="477"/>
    </row>
    <row r="46" spans="1:22" outlineLevel="3" x14ac:dyDescent="0.25">
      <c r="F46" s="413"/>
      <c r="G46" s="410" t="str">
        <f>'Folha de cálculo'!E46</f>
        <v>1.2.2.1</v>
      </c>
      <c r="H46" s="410" t="str">
        <f>'Folha de cálculo'!F46</f>
        <v>nos usos de água exteriores</v>
      </c>
      <c r="I46" s="410"/>
      <c r="J46" s="412"/>
      <c r="K46" s="419" t="str">
        <f>IF(ISBLANK(J46),"",J46)</f>
        <v/>
      </c>
      <c r="M46" s="412" t="str">
        <f>IF(ISBLANK(K46),"",K46)</f>
        <v/>
      </c>
      <c r="N46"/>
      <c r="P46" s="412" t="str">
        <f>IF(ISBLANK(M46),"",M46)</f>
        <v/>
      </c>
      <c r="Q46"/>
      <c r="S46" s="475"/>
      <c r="T46" s="475"/>
      <c r="U46" s="475"/>
      <c r="V46" s="475"/>
    </row>
    <row r="47" spans="1:22" outlineLevel="3" x14ac:dyDescent="0.25">
      <c r="F47" s="413"/>
      <c r="G47" s="410" t="str">
        <f>'Folha de cálculo'!E47</f>
        <v>1.2.2.2</v>
      </c>
      <c r="H47" s="410" t="str">
        <f>'Folha de cálculo'!F47</f>
        <v>nos usos de água interiores</v>
      </c>
      <c r="I47" s="410"/>
      <c r="J47" s="412"/>
      <c r="K47" s="419" t="str">
        <f>IF(ISBLANK(J47),"",J47)</f>
        <v/>
      </c>
      <c r="M47" s="412" t="str">
        <f t="shared" ref="M47:M49" si="15">IF(ISBLANK(K47),"",K47)</f>
        <v/>
      </c>
      <c r="N47"/>
      <c r="P47" s="412" t="str">
        <f t="shared" ref="P47:P49" si="16">IF(ISBLANK(M47),"",M47)</f>
        <v/>
      </c>
      <c r="Q47"/>
      <c r="S47" s="475"/>
      <c r="T47" s="475"/>
      <c r="U47" s="475"/>
      <c r="V47" s="475"/>
    </row>
    <row r="48" spans="1:22" outlineLevel="3" x14ac:dyDescent="0.25">
      <c r="F48" s="413"/>
      <c r="G48" s="410" t="str">
        <f>'Folha de cálculo'!E48</f>
        <v>1.2.2.3</v>
      </c>
      <c r="H48" s="410" t="str">
        <f>'Folha de cálculo'!F48</f>
        <v>Nenhuma das opções anteriores</v>
      </c>
      <c r="I48" s="410"/>
      <c r="J48" s="412"/>
      <c r="K48" s="419" t="str">
        <f>IF(ISBLANK(J48),"",J48)</f>
        <v/>
      </c>
      <c r="M48" s="412" t="str">
        <f t="shared" si="15"/>
        <v/>
      </c>
      <c r="N48"/>
      <c r="P48" s="412" t="str">
        <f t="shared" si="16"/>
        <v/>
      </c>
      <c r="Q48"/>
      <c r="S48" s="475"/>
      <c r="T48" s="475"/>
      <c r="U48" s="475"/>
      <c r="V48" s="475"/>
    </row>
    <row r="49" spans="1:22" outlineLevel="3" x14ac:dyDescent="0.25">
      <c r="F49" s="413"/>
      <c r="G49" s="410" t="str">
        <f>'Folha de cálculo'!E49</f>
        <v>1.2.2.4</v>
      </c>
      <c r="H49" s="410" t="str">
        <f>'Folha de cálculo'!F49</f>
        <v>Não foi possível determinar (justifique)</v>
      </c>
      <c r="I49" s="410"/>
      <c r="J49" s="412"/>
      <c r="K49" s="419" t="str">
        <f>IF(ISBLANK(J49),"",J49)</f>
        <v/>
      </c>
      <c r="M49" s="412" t="str">
        <f t="shared" si="15"/>
        <v/>
      </c>
      <c r="N49"/>
      <c r="P49" s="412" t="str">
        <f t="shared" si="16"/>
        <v/>
      </c>
      <c r="Q49"/>
      <c r="S49" s="475"/>
      <c r="T49" s="475"/>
      <c r="U49" s="475"/>
      <c r="V49" s="475"/>
    </row>
    <row r="50" spans="1:22" outlineLevel="2" x14ac:dyDescent="0.25">
      <c r="E50" s="401"/>
      <c r="F50" s="407" t="str">
        <f>'Folha de cálculo'!D50</f>
        <v>1.2.3</v>
      </c>
      <c r="G50" s="482" t="str">
        <f>'Folha de cálculo'!E50</f>
        <v>A rede de drenagem do edifício está preparada/infraestruturada para permitir a separação de…</v>
      </c>
      <c r="H50" s="482"/>
      <c r="I50" s="482"/>
      <c r="J50" s="408" t="s">
        <v>729</v>
      </c>
      <c r="K50" s="409" t="s">
        <v>729</v>
      </c>
      <c r="M50" s="408" t="s">
        <v>729</v>
      </c>
      <c r="N50"/>
      <c r="P50" s="408" t="s">
        <v>729</v>
      </c>
      <c r="Q50"/>
      <c r="S50" s="477"/>
      <c r="T50" s="477"/>
      <c r="U50" s="477"/>
      <c r="V50" s="477"/>
    </row>
    <row r="51" spans="1:22" outlineLevel="3" x14ac:dyDescent="0.25">
      <c r="F51" s="413"/>
      <c r="G51" s="410" t="str">
        <f>'Folha de cálculo'!E51</f>
        <v>1.2.3.1</v>
      </c>
      <c r="H51" s="410" t="str">
        <f>'Folha de cálculo'!F51</f>
        <v>águas cinzentas</v>
      </c>
      <c r="I51" s="410"/>
      <c r="J51" s="412"/>
      <c r="K51" s="419" t="str">
        <f t="shared" ref="K51:K54" si="17">IF(ISBLANK(J51),"",J51)</f>
        <v/>
      </c>
      <c r="M51" s="412" t="str">
        <f t="shared" ref="M51:M54" si="18">IF(ISBLANK(K51),"",K51)</f>
        <v/>
      </c>
      <c r="N51"/>
      <c r="P51" s="412" t="str">
        <f>IF(ISBLANK(M51),"",M51)</f>
        <v/>
      </c>
      <c r="Q51"/>
      <c r="S51" s="475"/>
      <c r="T51" s="475"/>
      <c r="U51" s="475"/>
      <c r="V51" s="475"/>
    </row>
    <row r="52" spans="1:22" outlineLevel="3" x14ac:dyDescent="0.25">
      <c r="F52" s="413"/>
      <c r="G52" s="410" t="str">
        <f>'Folha de cálculo'!E52</f>
        <v>1.2.3.2</v>
      </c>
      <c r="H52" s="410" t="str">
        <f>'Folha de cálculo'!F52</f>
        <v>águas pluviais</v>
      </c>
      <c r="I52" s="410"/>
      <c r="J52" s="412"/>
      <c r="K52" s="419" t="str">
        <f t="shared" si="17"/>
        <v/>
      </c>
      <c r="M52" s="412" t="str">
        <f t="shared" si="18"/>
        <v/>
      </c>
      <c r="N52"/>
      <c r="P52" s="412" t="str">
        <f t="shared" ref="P52:P54" si="19">IF(ISBLANK(M52),"",M52)</f>
        <v/>
      </c>
      <c r="Q52"/>
      <c r="S52" s="475"/>
      <c r="T52" s="475"/>
      <c r="U52" s="475"/>
      <c r="V52" s="475"/>
    </row>
    <row r="53" spans="1:22" outlineLevel="3" x14ac:dyDescent="0.25">
      <c r="F53" s="413"/>
      <c r="G53" s="410" t="str">
        <f>'Folha de cálculo'!E53</f>
        <v>1.2.3.3</v>
      </c>
      <c r="H53" s="410" t="str">
        <f>'Folha de cálculo'!F53</f>
        <v>Nenhuma das opções anteriores</v>
      </c>
      <c r="I53" s="410"/>
      <c r="J53" s="412"/>
      <c r="K53" s="419" t="str">
        <f t="shared" si="17"/>
        <v/>
      </c>
      <c r="M53" s="412" t="str">
        <f t="shared" si="18"/>
        <v/>
      </c>
      <c r="N53"/>
      <c r="P53" s="412" t="str">
        <f t="shared" si="19"/>
        <v/>
      </c>
      <c r="Q53"/>
      <c r="S53" s="475"/>
      <c r="T53" s="475"/>
      <c r="U53" s="475"/>
      <c r="V53" s="475"/>
    </row>
    <row r="54" spans="1:22" outlineLevel="3" x14ac:dyDescent="0.25">
      <c r="F54" s="413"/>
      <c r="G54" s="410" t="str">
        <f>'Folha de cálculo'!E54</f>
        <v>1.2.3.4</v>
      </c>
      <c r="H54" s="410" t="str">
        <f>'Folha de cálculo'!F54</f>
        <v>Não foi possível determinar (justifique)</v>
      </c>
      <c r="I54" s="410"/>
      <c r="J54" s="412"/>
      <c r="K54" s="419" t="str">
        <f t="shared" si="17"/>
        <v/>
      </c>
      <c r="M54" s="412" t="str">
        <f t="shared" si="18"/>
        <v/>
      </c>
      <c r="N54"/>
      <c r="P54" s="412" t="str">
        <f t="shared" si="19"/>
        <v/>
      </c>
      <c r="Q54"/>
      <c r="S54" s="475"/>
      <c r="T54" s="475"/>
      <c r="U54" s="475"/>
      <c r="V54" s="475"/>
    </row>
    <row r="55" spans="1:22" ht="29.1" customHeight="1" outlineLevel="2" x14ac:dyDescent="0.25">
      <c r="E55" s="401"/>
      <c r="F55" s="407" t="str">
        <f>'Folha de cálculo'!D55</f>
        <v>1.2.4</v>
      </c>
      <c r="G55" s="482" t="str">
        <f>'Folha de cálculo'!E55</f>
        <v>A idade da rede de condutas do edifício (ou período decorrido desde a reabilitação da mesma) é…</v>
      </c>
      <c r="H55" s="482"/>
      <c r="I55" s="482"/>
      <c r="J55" s="408" t="s">
        <v>731</v>
      </c>
      <c r="K55" s="409" t="s">
        <v>731</v>
      </c>
      <c r="M55" s="408" t="s">
        <v>731</v>
      </c>
      <c r="N55"/>
      <c r="P55" s="408" t="s">
        <v>731</v>
      </c>
      <c r="Q55"/>
      <c r="S55" s="477"/>
      <c r="T55" s="477"/>
      <c r="U55" s="477"/>
      <c r="V55" s="477"/>
    </row>
    <row r="56" spans="1:22" outlineLevel="3" x14ac:dyDescent="0.25">
      <c r="F56" s="413"/>
      <c r="G56" s="410" t="str">
        <f>'Folha de cálculo'!E56</f>
        <v>1.2.4.1</v>
      </c>
      <c r="H56" s="410" t="str">
        <f>'Folha de cálculo'!F56</f>
        <v>igual ou inferior a 20 anos</v>
      </c>
      <c r="I56" s="410"/>
      <c r="J56" s="420" t="str">
        <f>IF(SUM('Folha Oculta'!AS103:AS105)=0,"",'Folha Oculta'!AS103/(SUM('Folha Oculta'!AS103:AS105)))</f>
        <v/>
      </c>
      <c r="K56" s="418" t="str">
        <f>IF(ISBLANK(J56),"",J56)</f>
        <v/>
      </c>
      <c r="M56" s="418" t="str">
        <f t="shared" ref="M56:M59" si="20">IF(ISBLANK(K56),"",K56)</f>
        <v/>
      </c>
      <c r="N56"/>
      <c r="P56" s="418" t="str">
        <f>IF(ISBLANK(M56),"",M56)</f>
        <v/>
      </c>
      <c r="Q56"/>
      <c r="S56" s="475"/>
      <c r="T56" s="475"/>
      <c r="U56" s="475"/>
      <c r="V56" s="475"/>
    </row>
    <row r="57" spans="1:22" outlineLevel="3" x14ac:dyDescent="0.25">
      <c r="F57" s="413"/>
      <c r="G57" s="410" t="str">
        <f>'Folha de cálculo'!E57</f>
        <v>1.2.4.2</v>
      </c>
      <c r="H57" s="410" t="str">
        <f>'Folha de cálculo'!F57</f>
        <v>entre ]20 e 40] anos</v>
      </c>
      <c r="I57" s="410"/>
      <c r="J57" s="420" t="str">
        <f>IF(SUM('Folha Oculta'!AS103:AS105)=0,"",'Folha Oculta'!AS104/(SUM('Folha Oculta'!AS103:AS105)))</f>
        <v/>
      </c>
      <c r="K57" s="418" t="str">
        <f>IF(ISBLANK(J57),"",J57)</f>
        <v/>
      </c>
      <c r="M57" s="418" t="str">
        <f t="shared" si="20"/>
        <v/>
      </c>
      <c r="N57"/>
      <c r="P57" s="418" t="str">
        <f t="shared" ref="P57:P59" si="21">IF(ISBLANK(M57),"",M57)</f>
        <v/>
      </c>
      <c r="Q57"/>
      <c r="S57" s="475"/>
      <c r="T57" s="475"/>
      <c r="U57" s="475"/>
      <c r="V57" s="475"/>
    </row>
    <row r="58" spans="1:22" outlineLevel="3" x14ac:dyDescent="0.25">
      <c r="F58" s="413"/>
      <c r="G58" s="410" t="str">
        <f>'Folha de cálculo'!E58</f>
        <v>1.2.4.3</v>
      </c>
      <c r="H58" s="410" t="str">
        <f>'Folha de cálculo'!F58</f>
        <v>mais de 40 anos</v>
      </c>
      <c r="I58" s="410"/>
      <c r="J58" s="420" t="str">
        <f>IF(SUM('Folha Oculta'!AS103:AS105)=0,"",'Folha Oculta'!AS105/(SUM('Folha Oculta'!AS103:AS105)))</f>
        <v/>
      </c>
      <c r="K58" s="418" t="str">
        <f>IF(ISBLANK(J58),"",J58)</f>
        <v/>
      </c>
      <c r="M58" s="418" t="str">
        <f t="shared" si="20"/>
        <v/>
      </c>
      <c r="N58"/>
      <c r="P58" s="418" t="str">
        <f t="shared" si="21"/>
        <v/>
      </c>
      <c r="Q58"/>
      <c r="S58" s="475"/>
      <c r="T58" s="475"/>
      <c r="U58" s="475"/>
      <c r="V58" s="475"/>
    </row>
    <row r="59" spans="1:22" outlineLevel="3" x14ac:dyDescent="0.25">
      <c r="F59" s="413"/>
      <c r="G59" s="410" t="str">
        <f>'Folha de cálculo'!E59</f>
        <v>1.2.4.4</v>
      </c>
      <c r="H59" s="410" t="str">
        <f>'Folha de cálculo'!F59</f>
        <v>Não foi possível determinar (justifique)</v>
      </c>
      <c r="I59" s="410"/>
      <c r="J59" s="420">
        <f>IF(SUM(J56:J58)&lt;100%,100%-SUM(J56:J58),"")</f>
        <v>1</v>
      </c>
      <c r="K59" s="418">
        <f>IF(ISBLANK(J59),"",J59)</f>
        <v>1</v>
      </c>
      <c r="M59" s="418">
        <f t="shared" si="20"/>
        <v>1</v>
      </c>
      <c r="N59"/>
      <c r="P59" s="418">
        <f t="shared" si="21"/>
        <v>1</v>
      </c>
      <c r="Q59"/>
      <c r="S59" s="475"/>
      <c r="T59" s="475"/>
      <c r="U59" s="475"/>
      <c r="V59" s="475"/>
    </row>
    <row r="60" spans="1:22" outlineLevel="2" x14ac:dyDescent="0.25">
      <c r="A60" s="401"/>
      <c r="B60" s="401"/>
      <c r="C60" s="401"/>
      <c r="D60" s="401"/>
      <c r="E60" s="401"/>
      <c r="F60" s="407" t="str">
        <f>'Folha de cálculo'!D60</f>
        <v>1.2.5</v>
      </c>
      <c r="G60" s="482" t="str">
        <f>'Folha de cálculo'!E60</f>
        <v>O sistema de medição e monitorização dos consumos de água permite a verificação de consumos…</v>
      </c>
      <c r="H60" s="482"/>
      <c r="I60" s="482"/>
      <c r="J60" s="408" t="s">
        <v>730</v>
      </c>
      <c r="K60" s="409" t="s">
        <v>730</v>
      </c>
      <c r="M60" s="408" t="s">
        <v>730</v>
      </c>
      <c r="N60"/>
      <c r="P60" s="408" t="s">
        <v>730</v>
      </c>
      <c r="Q60"/>
      <c r="S60" s="477"/>
      <c r="T60" s="477"/>
      <c r="U60" s="477"/>
      <c r="V60" s="477"/>
    </row>
    <row r="61" spans="1:22" ht="14.65" customHeight="1" outlineLevel="3" x14ac:dyDescent="0.25">
      <c r="A61" s="401"/>
      <c r="B61" s="402"/>
      <c r="C61" s="401"/>
      <c r="E61" s="401"/>
      <c r="F61" s="413"/>
      <c r="G61" s="410" t="str">
        <f>'Folha de cálculo'!E61</f>
        <v>1.2.5.1</v>
      </c>
      <c r="H61" s="410" t="str">
        <f>'Folha de cálculo'!F61</f>
        <v>desagregados por tipo de uso (desagregação mínima: quartos e áreas comuns, jardins, piscina) integrados no SGTC</v>
      </c>
      <c r="I61" s="410"/>
      <c r="J61" s="412"/>
      <c r="K61" s="419" t="str">
        <f t="shared" ref="K61:K83" si="22">IF(ISBLANK(J61),"",J61)</f>
        <v/>
      </c>
      <c r="M61" s="412" t="str">
        <f t="shared" ref="M61:M68" si="23">IF(ISBLANK(K61),"",K61)</f>
        <v/>
      </c>
      <c r="N61"/>
      <c r="P61" s="412" t="str">
        <f>IF(ISBLANK(M61),"",M61)</f>
        <v/>
      </c>
      <c r="Q61"/>
      <c r="S61" s="475"/>
      <c r="T61" s="475"/>
      <c r="U61" s="475"/>
      <c r="V61" s="475"/>
    </row>
    <row r="62" spans="1:22" outlineLevel="3" x14ac:dyDescent="0.25">
      <c r="A62" s="401"/>
      <c r="B62" s="402"/>
      <c r="C62" s="401"/>
      <c r="E62" s="401"/>
      <c r="F62" s="413"/>
      <c r="G62" s="410" t="str">
        <f>'Folha de cálculo'!E62</f>
        <v>1.2.5.2</v>
      </c>
      <c r="H62" s="410" t="str">
        <f>'Folha de cálculo'!F62</f>
        <v>desagregados por tipo de uso (desagregação mínima: quartos e áreas comuns, jardins, piscina) não integrados no SGTC</v>
      </c>
      <c r="I62" s="410"/>
      <c r="J62" s="412"/>
      <c r="K62" s="419" t="str">
        <f t="shared" si="22"/>
        <v/>
      </c>
      <c r="M62" s="412" t="str">
        <f t="shared" si="23"/>
        <v/>
      </c>
      <c r="N62"/>
      <c r="P62" s="412" t="str">
        <f t="shared" ref="P62:P68" si="24">IF(ISBLANK(M62),"",M62)</f>
        <v/>
      </c>
      <c r="Q62"/>
      <c r="S62" s="475"/>
      <c r="T62" s="475"/>
      <c r="U62" s="475"/>
      <c r="V62" s="475"/>
    </row>
    <row r="63" spans="1:22" outlineLevel="3" x14ac:dyDescent="0.25">
      <c r="A63" s="401"/>
      <c r="B63" s="402"/>
      <c r="C63" s="401"/>
      <c r="E63" s="401"/>
      <c r="F63" s="413"/>
      <c r="G63" s="410" t="str">
        <f>'Folha de cálculo'!E63</f>
        <v>1.2.5.3</v>
      </c>
      <c r="H63" s="410" t="str">
        <f>'Folha de cálculo'!F63</f>
        <v>parcialmente desagregados por tipo de uso integrados no SGTC</v>
      </c>
      <c r="I63" s="410"/>
      <c r="J63" s="412"/>
      <c r="K63" s="419" t="str">
        <f t="shared" si="22"/>
        <v/>
      </c>
      <c r="M63" s="412" t="str">
        <f t="shared" si="23"/>
        <v/>
      </c>
      <c r="N63"/>
      <c r="P63" s="412" t="str">
        <f t="shared" si="24"/>
        <v/>
      </c>
      <c r="Q63"/>
      <c r="S63" s="475"/>
      <c r="T63" s="475"/>
      <c r="U63" s="475"/>
      <c r="V63" s="475"/>
    </row>
    <row r="64" spans="1:22" outlineLevel="3" x14ac:dyDescent="0.25">
      <c r="A64" s="401"/>
      <c r="B64" s="402"/>
      <c r="C64" s="401"/>
      <c r="E64" s="401"/>
      <c r="F64" s="413"/>
      <c r="G64" s="410" t="str">
        <f>'Folha de cálculo'!E64</f>
        <v>1.2.5.4</v>
      </c>
      <c r="H64" s="410" t="str">
        <f>'Folha de cálculo'!F64</f>
        <v>parcialmente desagregados por tipo de uso não integrados no SGTC</v>
      </c>
      <c r="I64" s="410"/>
      <c r="J64" s="412"/>
      <c r="K64" s="419" t="str">
        <f t="shared" si="22"/>
        <v/>
      </c>
      <c r="M64" s="412" t="str">
        <f t="shared" si="23"/>
        <v/>
      </c>
      <c r="N64"/>
      <c r="P64" s="412" t="str">
        <f t="shared" si="24"/>
        <v/>
      </c>
      <c r="Q64"/>
      <c r="S64" s="475"/>
      <c r="T64" s="475"/>
      <c r="U64" s="475"/>
      <c r="V64" s="475"/>
    </row>
    <row r="65" spans="1:22" outlineLevel="3" x14ac:dyDescent="0.25">
      <c r="A65" s="401"/>
      <c r="B65" s="402"/>
      <c r="C65" s="401"/>
      <c r="E65" s="401"/>
      <c r="F65" s="413"/>
      <c r="G65" s="410" t="str">
        <f>'Folha de cálculo'!E65</f>
        <v>1.2.5.5</v>
      </c>
      <c r="H65" s="410" t="str">
        <f>'Folha de cálculo'!F65</f>
        <v>agregados integrados no SGTC</v>
      </c>
      <c r="I65" s="410"/>
      <c r="J65" s="412"/>
      <c r="K65" s="419" t="str">
        <f t="shared" si="22"/>
        <v/>
      </c>
      <c r="M65" s="412" t="str">
        <f t="shared" si="23"/>
        <v/>
      </c>
      <c r="N65"/>
      <c r="P65" s="412" t="str">
        <f t="shared" si="24"/>
        <v/>
      </c>
      <c r="Q65"/>
      <c r="S65" s="475"/>
      <c r="T65" s="475"/>
      <c r="U65" s="475"/>
      <c r="V65" s="475"/>
    </row>
    <row r="66" spans="1:22" outlineLevel="3" x14ac:dyDescent="0.25">
      <c r="A66" s="401"/>
      <c r="B66" s="402"/>
      <c r="C66" s="401"/>
      <c r="E66" s="401"/>
      <c r="F66" s="413"/>
      <c r="G66" s="410" t="str">
        <f>'Folha de cálculo'!E66</f>
        <v>1.2.5.6</v>
      </c>
      <c r="H66" s="410" t="str">
        <f>'Folha de cálculo'!F66</f>
        <v>agregados não integrados no SGTC</v>
      </c>
      <c r="I66" s="410"/>
      <c r="J66" s="412"/>
      <c r="K66" s="419" t="str">
        <f t="shared" si="22"/>
        <v/>
      </c>
      <c r="M66" s="412" t="str">
        <f t="shared" si="23"/>
        <v/>
      </c>
      <c r="N66"/>
      <c r="P66" s="412" t="str">
        <f t="shared" si="24"/>
        <v/>
      </c>
      <c r="Q66"/>
      <c r="S66" s="475"/>
      <c r="T66" s="475"/>
      <c r="U66" s="475"/>
      <c r="V66" s="475"/>
    </row>
    <row r="67" spans="1:22" outlineLevel="3" x14ac:dyDescent="0.25">
      <c r="A67" s="401"/>
      <c r="B67" s="402"/>
      <c r="C67" s="401"/>
      <c r="E67" s="401"/>
      <c r="F67" s="413"/>
      <c r="G67" s="410" t="str">
        <f>'Folha de cálculo'!E67</f>
        <v>1.2.5.7</v>
      </c>
      <c r="H67" s="410" t="str">
        <f>'Folha de cálculo'!F67</f>
        <v>Nenhuma das opções anteriores</v>
      </c>
      <c r="I67" s="410"/>
      <c r="J67" s="412"/>
      <c r="K67" s="419" t="str">
        <f t="shared" si="22"/>
        <v/>
      </c>
      <c r="M67" s="412" t="str">
        <f t="shared" si="23"/>
        <v/>
      </c>
      <c r="N67"/>
      <c r="P67" s="412" t="str">
        <f t="shared" si="24"/>
        <v/>
      </c>
      <c r="Q67"/>
      <c r="S67" s="475"/>
      <c r="T67" s="475"/>
      <c r="U67" s="475"/>
      <c r="V67" s="475"/>
    </row>
    <row r="68" spans="1:22" ht="15.75" outlineLevel="3" thickBot="1" x14ac:dyDescent="0.3">
      <c r="A68" s="401"/>
      <c r="B68" s="402"/>
      <c r="C68" s="401"/>
      <c r="E68" s="401"/>
      <c r="F68" s="413"/>
      <c r="G68" s="410" t="str">
        <f>'Folha de cálculo'!E68</f>
        <v>1.2.5.8</v>
      </c>
      <c r="H68" s="410" t="str">
        <f>'Folha de cálculo'!F68</f>
        <v>Não foi possível determinar (justifique)</v>
      </c>
      <c r="I68" s="410"/>
      <c r="J68" s="412"/>
      <c r="K68" s="419" t="str">
        <f t="shared" si="22"/>
        <v/>
      </c>
      <c r="M68" s="412" t="str">
        <f t="shared" si="23"/>
        <v/>
      </c>
      <c r="N68"/>
      <c r="P68" s="412" t="str">
        <f t="shared" si="24"/>
        <v/>
      </c>
      <c r="Q68"/>
      <c r="S68" s="475"/>
      <c r="T68" s="475"/>
      <c r="U68" s="475"/>
      <c r="V68" s="475"/>
    </row>
    <row r="69" spans="1:22" ht="29.1" customHeight="1" outlineLevel="2" thickBot="1" x14ac:dyDescent="0.3">
      <c r="B69" s="405">
        <f>IF('Registo de informação'!B9&lt;&gt;'Folha Oculta'!AL9,0,1)</f>
        <v>0</v>
      </c>
      <c r="C69" s="401"/>
      <c r="D69" s="401"/>
      <c r="E69" s="401"/>
      <c r="F69" s="407" t="str">
        <f>'Folha de cálculo'!D69</f>
        <v>1.2.6</v>
      </c>
      <c r="G69" s="482" t="str">
        <f>'Folha de cálculo'!E69</f>
        <v>A análise do consumo especifico de água (litro/ocupante/noite) do empreendimento turístico/alojamento local, no últimos 12 meses, indica um consumo…</v>
      </c>
      <c r="H69" s="482"/>
      <c r="I69" s="488"/>
      <c r="J69" s="408" t="s">
        <v>730</v>
      </c>
      <c r="K69" s="409" t="s">
        <v>730</v>
      </c>
      <c r="M69" s="408" t="s">
        <v>730</v>
      </c>
      <c r="N69"/>
      <c r="P69" s="408" t="s">
        <v>730</v>
      </c>
      <c r="Q69"/>
      <c r="S69" s="477"/>
      <c r="T69" s="477"/>
      <c r="U69" s="477"/>
      <c r="V69" s="477"/>
    </row>
    <row r="70" spans="1:22" ht="14.65" customHeight="1" outlineLevel="3" x14ac:dyDescent="0.25">
      <c r="A70" s="401"/>
      <c r="B70" s="402"/>
      <c r="C70" s="401"/>
      <c r="G70" s="410" t="str">
        <f>'Folha de cálculo'!E70</f>
        <v>1.2.6.1</v>
      </c>
      <c r="H70" s="410" t="str">
        <f>'Folha de cálculo'!F70</f>
        <v>inferior a 80 litros/ocupante/noite</v>
      </c>
      <c r="I70" s="410"/>
      <c r="J70" s="411" t="str">
        <f>IF('Registo de informação'!B15&lt;80,1,"")</f>
        <v/>
      </c>
      <c r="K70" s="419" t="str">
        <f t="shared" si="22"/>
        <v/>
      </c>
      <c r="M70" s="412" t="str">
        <f t="shared" ref="M70:M73" si="25">IF(ISBLANK(K70),"",K70)</f>
        <v/>
      </c>
      <c r="N70"/>
      <c r="P70" s="412" t="str">
        <f t="shared" ref="P70:P73" si="26">IF(ISBLANK(M70),"",M70)</f>
        <v/>
      </c>
      <c r="Q70"/>
      <c r="S70" s="475"/>
      <c r="T70" s="475"/>
      <c r="U70" s="475"/>
      <c r="V70" s="475"/>
    </row>
    <row r="71" spans="1:22" ht="14.65" customHeight="1" outlineLevel="3" x14ac:dyDescent="0.25">
      <c r="G71" s="410" t="str">
        <f>'Folha de cálculo'!E71</f>
        <v>1.2.6.2</v>
      </c>
      <c r="H71" s="410" t="str">
        <f>'Folha de cálculo'!F71</f>
        <v>entre [80 e 160[ litros/ocupante/noite</v>
      </c>
      <c r="I71" s="410"/>
      <c r="J71" s="411" t="str">
        <f>IF(AND('Registo de informação'!B15&gt;=80,'Registo de informação'!B15&lt;160),1,"")</f>
        <v/>
      </c>
      <c r="K71" s="419" t="str">
        <f t="shared" si="22"/>
        <v/>
      </c>
      <c r="M71" s="412" t="str">
        <f t="shared" si="25"/>
        <v/>
      </c>
      <c r="N71"/>
      <c r="P71" s="412" t="str">
        <f t="shared" si="26"/>
        <v/>
      </c>
      <c r="Q71"/>
      <c r="S71" s="475"/>
      <c r="T71" s="475"/>
      <c r="U71" s="475"/>
      <c r="V71" s="475"/>
    </row>
    <row r="72" spans="1:22" ht="14.65" customHeight="1" outlineLevel="3" x14ac:dyDescent="0.25">
      <c r="F72" s="413"/>
      <c r="G72" s="410" t="str">
        <f>'Folha de cálculo'!E72</f>
        <v>1.2.6.3</v>
      </c>
      <c r="H72" s="410" t="str">
        <f>'Folha de cálculo'!F72</f>
        <v>entre [160 e 350[ litros/ocupante/noite</v>
      </c>
      <c r="I72" s="410"/>
      <c r="J72" s="411" t="str">
        <f>IF(AND('Registo de informação'!B15&gt;=160,'Registo de informação'!B15&lt;350),1,"")</f>
        <v/>
      </c>
      <c r="K72" s="419" t="str">
        <f t="shared" si="22"/>
        <v/>
      </c>
      <c r="M72" s="412" t="str">
        <f t="shared" si="25"/>
        <v/>
      </c>
      <c r="N72"/>
      <c r="P72" s="412" t="str">
        <f t="shared" si="26"/>
        <v/>
      </c>
      <c r="Q72"/>
      <c r="S72" s="475"/>
      <c r="T72" s="475"/>
      <c r="U72" s="475"/>
      <c r="V72" s="475"/>
    </row>
    <row r="73" spans="1:22" ht="14.65" customHeight="1" outlineLevel="3" x14ac:dyDescent="0.25">
      <c r="F73" s="413"/>
      <c r="G73" s="410" t="str">
        <f>'Folha de cálculo'!E73</f>
        <v>1.2.6.4</v>
      </c>
      <c r="H73" s="410" t="str">
        <f>'Folha de cálculo'!F73</f>
        <v>entre [350 e 600[ litros/ocupante/noite</v>
      </c>
      <c r="I73" s="410"/>
      <c r="J73" s="411" t="str">
        <f>IF(AND('Registo de informação'!B15&gt;=350,'Registo de informação'!B15&lt;600),1,"")</f>
        <v/>
      </c>
      <c r="K73" s="419" t="str">
        <f t="shared" si="22"/>
        <v/>
      </c>
      <c r="M73" s="412" t="str">
        <f t="shared" si="25"/>
        <v/>
      </c>
      <c r="N73"/>
      <c r="P73" s="412" t="str">
        <f t="shared" si="26"/>
        <v/>
      </c>
      <c r="Q73"/>
      <c r="S73" s="475"/>
      <c r="T73" s="475"/>
      <c r="U73" s="475"/>
      <c r="V73" s="475"/>
    </row>
    <row r="74" spans="1:22" outlineLevel="3" x14ac:dyDescent="0.25">
      <c r="F74" s="413"/>
      <c r="G74" s="410" t="str">
        <f>'Folha de cálculo'!E74</f>
        <v>1.2.6.5</v>
      </c>
      <c r="H74" s="410" t="str">
        <f>'Folha de cálculo'!F74</f>
        <v>igual ou superior a 600 litros/ocupante/noite</v>
      </c>
      <c r="I74" s="410"/>
      <c r="J74" s="411" t="str">
        <f>IF('Registo de informação'!B15="","",IF('Registo de informação'!B15&gt;=600,1,""))</f>
        <v/>
      </c>
      <c r="K74" s="419" t="str">
        <f t="shared" si="22"/>
        <v/>
      </c>
      <c r="M74" s="412" t="str">
        <f t="shared" ref="M74:M75" si="27">IF(ISBLANK(K74),"",K74)</f>
        <v/>
      </c>
      <c r="N74"/>
      <c r="P74" s="412" t="str">
        <f t="shared" ref="P74:P75" si="28">IF(ISBLANK(M74),"",M74)</f>
        <v/>
      </c>
      <c r="Q74"/>
      <c r="S74" s="475"/>
      <c r="T74" s="475"/>
      <c r="U74" s="475"/>
      <c r="V74" s="475"/>
    </row>
    <row r="75" spans="1:22" outlineLevel="3" x14ac:dyDescent="0.25">
      <c r="F75" s="413"/>
      <c r="G75" s="410" t="str">
        <f>'Folha de cálculo'!E75</f>
        <v>1.2.6.6</v>
      </c>
      <c r="H75" s="410" t="str">
        <f>'Folha de cálculo'!F75</f>
        <v>Não foi possível determinar (justifique)</v>
      </c>
      <c r="I75" s="410"/>
      <c r="J75" s="411">
        <f>IF(SUM(J70:J74)=0,1,"")</f>
        <v>1</v>
      </c>
      <c r="K75" s="419">
        <f t="shared" si="22"/>
        <v>1</v>
      </c>
      <c r="M75" s="412">
        <f t="shared" si="27"/>
        <v>1</v>
      </c>
      <c r="N75"/>
      <c r="P75" s="412">
        <f t="shared" si="28"/>
        <v>1</v>
      </c>
      <c r="Q75"/>
      <c r="S75" s="475"/>
      <c r="T75" s="475"/>
      <c r="U75" s="475"/>
      <c r="V75" s="475"/>
    </row>
    <row r="76" spans="1:22" outlineLevel="2" x14ac:dyDescent="0.25">
      <c r="A76" s="401"/>
      <c r="B76"/>
      <c r="F76" s="407" t="str">
        <f>'Folha de cálculo'!D76</f>
        <v>1.2.7</v>
      </c>
      <c r="G76" s="482" t="str">
        <f>'Folha de cálculo'!E76</f>
        <v>O sistema de medição e monitorização permite…</v>
      </c>
      <c r="H76" s="482"/>
      <c r="I76" s="488"/>
      <c r="J76" s="408" t="s">
        <v>729</v>
      </c>
      <c r="K76" s="409" t="s">
        <v>729</v>
      </c>
      <c r="M76" s="408" t="s">
        <v>729</v>
      </c>
      <c r="N76"/>
      <c r="P76" s="408" t="s">
        <v>729</v>
      </c>
      <c r="Q76"/>
      <c r="S76" s="477"/>
      <c r="T76" s="477"/>
      <c r="U76" s="477"/>
      <c r="V76" s="477"/>
    </row>
    <row r="77" spans="1:22" ht="14.65" customHeight="1" outlineLevel="3" x14ac:dyDescent="0.25">
      <c r="G77" s="416" t="str">
        <f>'Folha de cálculo'!E77</f>
        <v>1.2.7.1</v>
      </c>
      <c r="H77" s="421" t="str">
        <f>'Folha de cálculo'!F77</f>
        <v>registo/histórico de consumo com periodicidade horária ou mais frequente</v>
      </c>
      <c r="I77" s="416"/>
      <c r="J77" s="422"/>
      <c r="K77" s="419" t="str">
        <f t="shared" si="22"/>
        <v/>
      </c>
      <c r="M77" s="412" t="str">
        <f>IF(ISBLANK(K77),"",K77)</f>
        <v/>
      </c>
      <c r="N77"/>
      <c r="P77" s="412" t="str">
        <f>IF(ISBLANK(M77),"",M77)</f>
        <v/>
      </c>
      <c r="Q77"/>
      <c r="S77" s="475"/>
      <c r="T77" s="475"/>
      <c r="U77" s="475"/>
      <c r="V77" s="475"/>
    </row>
    <row r="78" spans="1:22" ht="14.65" customHeight="1" outlineLevel="3" x14ac:dyDescent="0.25">
      <c r="G78" s="416" t="str">
        <f>'Folha de cálculo'!E78</f>
        <v>1.2.7.2</v>
      </c>
      <c r="H78" s="421" t="str">
        <f>'Folha de cálculo'!F78</f>
        <v>alarmística sobre a ocorrência de fugas</v>
      </c>
      <c r="I78" s="416"/>
      <c r="J78" s="422"/>
      <c r="K78" s="419" t="str">
        <f t="shared" si="22"/>
        <v/>
      </c>
      <c r="M78" s="412" t="str">
        <f t="shared" ref="M78:M83" si="29">IF(ISBLANK(K78),"",K78)</f>
        <v/>
      </c>
      <c r="N78"/>
      <c r="P78" s="412" t="str">
        <f t="shared" ref="P78:P83" si="30">IF(ISBLANK(M78),"",M78)</f>
        <v/>
      </c>
      <c r="Q78"/>
      <c r="S78" s="475"/>
      <c r="T78" s="475"/>
      <c r="U78" s="475"/>
      <c r="V78" s="475"/>
    </row>
    <row r="79" spans="1:22" ht="14.65" customHeight="1" outlineLevel="3" x14ac:dyDescent="0.25">
      <c r="G79" s="416" t="str">
        <f>'Folha de cálculo'!E79</f>
        <v>1.2.7.3</v>
      </c>
      <c r="H79" s="421" t="str">
        <f>'Folha de cálculo'!F79</f>
        <v>corte de abastecimento parcial (jardim, quartos, piscina, etc.) por via remota</v>
      </c>
      <c r="I79" s="416"/>
      <c r="J79" s="422"/>
      <c r="K79" s="419" t="str">
        <f t="shared" si="22"/>
        <v/>
      </c>
      <c r="M79" s="412" t="str">
        <f t="shared" si="29"/>
        <v/>
      </c>
      <c r="N79"/>
      <c r="P79" s="412" t="str">
        <f t="shared" si="30"/>
        <v/>
      </c>
      <c r="Q79"/>
      <c r="S79" s="475"/>
      <c r="T79" s="475"/>
      <c r="U79" s="475"/>
      <c r="V79" s="475"/>
    </row>
    <row r="80" spans="1:22" ht="14.65" customHeight="1" outlineLevel="3" x14ac:dyDescent="0.25">
      <c r="G80" s="416" t="str">
        <f>'Folha de cálculo'!E80</f>
        <v>1.2.7.4</v>
      </c>
      <c r="H80" s="421" t="str">
        <f>'Folha de cálculo'!F80</f>
        <v>corte de abastecimento geral por via remota</v>
      </c>
      <c r="I80" s="416"/>
      <c r="J80" s="422"/>
      <c r="K80" s="419" t="str">
        <f t="shared" si="22"/>
        <v/>
      </c>
      <c r="M80" s="412" t="str">
        <f t="shared" si="29"/>
        <v/>
      </c>
      <c r="N80"/>
      <c r="P80" s="412" t="str">
        <f t="shared" si="30"/>
        <v/>
      </c>
      <c r="Q80"/>
      <c r="S80" s="475"/>
      <c r="T80" s="475"/>
      <c r="U80" s="475"/>
      <c r="V80" s="475"/>
    </row>
    <row r="81" spans="1:22" ht="14.65" customHeight="1" outlineLevel="3" x14ac:dyDescent="0.25">
      <c r="G81" s="416" t="str">
        <f>'Folha de cálculo'!E81</f>
        <v>1.2.7.5</v>
      </c>
      <c r="H81" s="421" t="str">
        <f>'Folha de cálculo'!F81</f>
        <v>gamificação para incentivo ao uso eficiente da água</v>
      </c>
      <c r="I81" s="416"/>
      <c r="J81" s="422"/>
      <c r="K81" s="419" t="str">
        <f t="shared" si="22"/>
        <v/>
      </c>
      <c r="M81" s="412" t="str">
        <f t="shared" si="29"/>
        <v/>
      </c>
      <c r="N81"/>
      <c r="P81" s="412" t="str">
        <f t="shared" si="30"/>
        <v/>
      </c>
      <c r="Q81"/>
      <c r="S81" s="475"/>
      <c r="T81" s="475"/>
      <c r="U81" s="475"/>
      <c r="V81" s="475"/>
    </row>
    <row r="82" spans="1:22" ht="14.65" customHeight="1" outlineLevel="3" x14ac:dyDescent="0.25">
      <c r="G82" s="416" t="str">
        <f>'Folha de cálculo'!E82</f>
        <v>1.2.7.6</v>
      </c>
      <c r="H82" s="416" t="str">
        <f>'Folha de cálculo'!F82</f>
        <v>Nenhuma das opções anteriores</v>
      </c>
      <c r="I82" s="416"/>
      <c r="J82" s="422"/>
      <c r="K82" s="419" t="str">
        <f t="shared" si="22"/>
        <v/>
      </c>
      <c r="M82" s="412" t="str">
        <f t="shared" si="29"/>
        <v/>
      </c>
      <c r="N82"/>
      <c r="P82" s="412" t="str">
        <f t="shared" si="30"/>
        <v/>
      </c>
      <c r="Q82"/>
      <c r="S82" s="475"/>
      <c r="T82" s="475"/>
      <c r="U82" s="475"/>
      <c r="V82" s="475"/>
    </row>
    <row r="83" spans="1:22" ht="14.65" customHeight="1" outlineLevel="3" x14ac:dyDescent="0.25">
      <c r="G83" s="416" t="str">
        <f>'Folha de cálculo'!E83</f>
        <v>1.2.7.7</v>
      </c>
      <c r="H83" s="416" t="str">
        <f>'Folha de cálculo'!F83</f>
        <v>Não foi possível determinar (justifique)</v>
      </c>
      <c r="I83" s="416"/>
      <c r="J83" s="423"/>
      <c r="K83" s="419" t="str">
        <f t="shared" si="22"/>
        <v/>
      </c>
      <c r="M83" s="412" t="str">
        <f t="shared" si="29"/>
        <v/>
      </c>
      <c r="N83"/>
      <c r="P83" s="412" t="str">
        <f t="shared" si="30"/>
        <v/>
      </c>
      <c r="Q83"/>
      <c r="S83" s="475"/>
      <c r="T83" s="475"/>
      <c r="U83" s="475"/>
      <c r="V83" s="475"/>
    </row>
    <row r="84" spans="1:22" x14ac:dyDescent="0.25">
      <c r="J84" s="400"/>
      <c r="K84" s="400"/>
      <c r="M84" s="400"/>
      <c r="N84"/>
      <c r="P84" s="400"/>
      <c r="Q84"/>
      <c r="S84" s="476"/>
      <c r="T84" s="476"/>
      <c r="U84" s="476"/>
      <c r="V84" s="476"/>
    </row>
    <row r="85" spans="1:22" x14ac:dyDescent="0.25">
      <c r="D85" s="7">
        <f>'Folha de cálculo'!B85</f>
        <v>2</v>
      </c>
      <c r="E85" s="398" t="str">
        <f>'Folha de cálculo'!C85</f>
        <v>Usos exteriores</v>
      </c>
      <c r="F85" s="398"/>
      <c r="G85" s="398"/>
      <c r="H85" s="398"/>
      <c r="I85" s="398"/>
      <c r="J85" s="399"/>
      <c r="K85" s="399"/>
      <c r="M85" s="399"/>
      <c r="N85"/>
      <c r="P85" s="399"/>
      <c r="Q85"/>
      <c r="S85" s="489"/>
      <c r="T85" s="489"/>
      <c r="U85" s="489"/>
      <c r="V85" s="489"/>
    </row>
    <row r="86" spans="1:22" outlineLevel="1" x14ac:dyDescent="0.25">
      <c r="J86" s="400"/>
      <c r="K86" s="400"/>
      <c r="M86" s="400"/>
      <c r="N86"/>
      <c r="P86" s="400"/>
      <c r="Q86"/>
      <c r="S86" s="476"/>
      <c r="T86" s="476"/>
      <c r="U86" s="476"/>
      <c r="V86" s="476"/>
    </row>
    <row r="87" spans="1:22" ht="15.75" outlineLevel="1" thickBot="1" x14ac:dyDescent="0.3">
      <c r="E87" s="8" t="str">
        <f>'Folha de cálculo'!C87</f>
        <v>2.1</v>
      </c>
      <c r="F87" s="8" t="str">
        <f>'Folha de cálculo'!D87</f>
        <v>Rega</v>
      </c>
      <c r="G87" s="8"/>
      <c r="H87" s="8"/>
      <c r="I87" s="8"/>
      <c r="J87" s="403"/>
      <c r="K87" s="404"/>
      <c r="M87" s="403"/>
      <c r="N87"/>
      <c r="P87" s="403"/>
      <c r="Q87"/>
      <c r="S87" s="479"/>
      <c r="T87" s="479"/>
      <c r="U87" s="479"/>
      <c r="V87" s="479"/>
    </row>
    <row r="88" spans="1:22" ht="14.65" customHeight="1" outlineLevel="2" thickBot="1" x14ac:dyDescent="0.3">
      <c r="A88" s="401"/>
      <c r="B88" s="405">
        <f>IF('Registo de informação'!B113=0,0,1)</f>
        <v>0</v>
      </c>
      <c r="C88" s="401"/>
      <c r="E88" s="401"/>
      <c r="F88" s="415" t="str">
        <f>'Folha de cálculo'!D88</f>
        <v>2.1.1</v>
      </c>
      <c r="G88" s="415" t="str">
        <f>'Folha de cálculo'!E88</f>
        <v>A rega é realizada com recurso a…</v>
      </c>
      <c r="H88" s="415"/>
      <c r="I88" s="415"/>
      <c r="J88" s="408" t="s">
        <v>731</v>
      </c>
      <c r="K88" s="424" t="s">
        <v>731</v>
      </c>
      <c r="M88" s="425" t="s">
        <v>731</v>
      </c>
      <c r="N88"/>
      <c r="P88" s="425" t="s">
        <v>731</v>
      </c>
      <c r="Q88"/>
      <c r="S88" s="477"/>
      <c r="T88" s="477"/>
      <c r="U88" s="477"/>
      <c r="V88" s="477"/>
    </row>
    <row r="89" spans="1:22" outlineLevel="3" x14ac:dyDescent="0.25">
      <c r="G89" s="416" t="str">
        <f>'Folha de cálculo'!E89</f>
        <v>2.1.1.1</v>
      </c>
      <c r="H89" s="416" t="str">
        <f>'Folha de cálculo'!F89</f>
        <v>sistema gota a gota</v>
      </c>
      <c r="I89" s="416"/>
      <c r="J89" s="417"/>
      <c r="K89" s="418" t="str">
        <f t="shared" ref="K89:K94" si="31">IF(ISBLANK(J89),"",J89)</f>
        <v/>
      </c>
      <c r="M89" s="418" t="str">
        <f>IF(ISBLANK(K89),"",K89)</f>
        <v/>
      </c>
      <c r="N89"/>
      <c r="P89" s="418" t="str">
        <f>IF(ISBLANK(M89),"",M89)</f>
        <v/>
      </c>
      <c r="Q89"/>
      <c r="S89" s="475"/>
      <c r="T89" s="475"/>
      <c r="U89" s="475"/>
      <c r="V89" s="475"/>
    </row>
    <row r="90" spans="1:22" outlineLevel="3" x14ac:dyDescent="0.25">
      <c r="G90" s="416" t="str">
        <f>'Folha de cálculo'!E90</f>
        <v>2.1.1.2</v>
      </c>
      <c r="H90" s="416" t="str">
        <f>'Folha de cálculo'!F90</f>
        <v>sistema de microaspersão</v>
      </c>
      <c r="I90" s="416"/>
      <c r="J90" s="417"/>
      <c r="K90" s="418" t="str">
        <f t="shared" si="31"/>
        <v/>
      </c>
      <c r="M90" s="418" t="str">
        <f>IF(ISBLANK(K90),"",K90)</f>
        <v/>
      </c>
      <c r="N90"/>
      <c r="P90" s="418" t="str">
        <f>IF(ISBLANK(M90),"",M90)</f>
        <v/>
      </c>
      <c r="Q90"/>
      <c r="S90" s="475"/>
      <c r="T90" s="475"/>
      <c r="U90" s="475"/>
      <c r="V90" s="475"/>
    </row>
    <row r="91" spans="1:22" outlineLevel="3" x14ac:dyDescent="0.25">
      <c r="G91" s="416" t="str">
        <f>'Folha de cálculo'!E91</f>
        <v>2.1.1.3</v>
      </c>
      <c r="H91" s="416" t="str">
        <f>'Folha de cálculo'!F91</f>
        <v>sistema de pulverização ou difusão</v>
      </c>
      <c r="I91" s="416"/>
      <c r="J91" s="417"/>
      <c r="K91" s="418" t="str">
        <f t="shared" si="31"/>
        <v/>
      </c>
      <c r="M91" s="418" t="str">
        <f t="shared" ref="M91:M94" si="32">IF(ISBLANK(K91),"",K91)</f>
        <v/>
      </c>
      <c r="N91"/>
      <c r="P91" s="418" t="str">
        <f t="shared" ref="P91:P94" si="33">IF(ISBLANK(M91),"",M91)</f>
        <v/>
      </c>
      <c r="Q91"/>
      <c r="S91" s="475"/>
      <c r="T91" s="475"/>
      <c r="U91" s="475"/>
      <c r="V91" s="475"/>
    </row>
    <row r="92" spans="1:22" outlineLevel="3" x14ac:dyDescent="0.25">
      <c r="G92" s="416" t="str">
        <f>'Folha de cálculo'!E92</f>
        <v>2.1.1.4</v>
      </c>
      <c r="H92" s="416" t="str">
        <f>'Folha de cálculo'!F92</f>
        <v>sistema de aspersão</v>
      </c>
      <c r="I92" s="416"/>
      <c r="J92" s="417"/>
      <c r="K92" s="418" t="str">
        <f t="shared" si="31"/>
        <v/>
      </c>
      <c r="M92" s="418" t="str">
        <f t="shared" si="32"/>
        <v/>
      </c>
      <c r="N92"/>
      <c r="P92" s="418" t="str">
        <f t="shared" si="33"/>
        <v/>
      </c>
      <c r="Q92"/>
      <c r="S92" s="475"/>
      <c r="T92" s="475"/>
      <c r="U92" s="475"/>
      <c r="V92" s="475"/>
    </row>
    <row r="93" spans="1:22" outlineLevel="3" x14ac:dyDescent="0.25">
      <c r="G93" s="416" t="str">
        <f>'Folha de cálculo'!E93</f>
        <v>2.1.1.5</v>
      </c>
      <c r="H93" s="416" t="str">
        <f>'Folha de cálculo'!F93</f>
        <v>Nenhuma das opções anteriores</v>
      </c>
      <c r="I93" s="416"/>
      <c r="J93" s="417"/>
      <c r="K93" s="418" t="str">
        <f t="shared" si="31"/>
        <v/>
      </c>
      <c r="M93" s="418" t="str">
        <f t="shared" si="32"/>
        <v/>
      </c>
      <c r="N93"/>
      <c r="P93" s="418" t="str">
        <f t="shared" si="33"/>
        <v/>
      </c>
      <c r="Q93"/>
      <c r="S93" s="475"/>
      <c r="T93" s="475"/>
      <c r="U93" s="475"/>
      <c r="V93" s="475"/>
    </row>
    <row r="94" spans="1:22" ht="15.75" outlineLevel="3" thickBot="1" x14ac:dyDescent="0.3">
      <c r="G94" s="416" t="str">
        <f>'Folha de cálculo'!E94</f>
        <v>2.1.1.6</v>
      </c>
      <c r="H94" s="416" t="str">
        <f>'Folha de cálculo'!F94</f>
        <v>Não foi possível determinar (justifique)</v>
      </c>
      <c r="I94" s="416"/>
      <c r="J94" s="417"/>
      <c r="K94" s="418" t="str">
        <f t="shared" si="31"/>
        <v/>
      </c>
      <c r="M94" s="418" t="str">
        <f t="shared" si="32"/>
        <v/>
      </c>
      <c r="N94"/>
      <c r="P94" s="418" t="str">
        <f t="shared" si="33"/>
        <v/>
      </c>
      <c r="Q94"/>
      <c r="S94" s="475"/>
      <c r="T94" s="475"/>
      <c r="U94" s="475"/>
      <c r="V94" s="475"/>
    </row>
    <row r="95" spans="1:22" ht="14.65" customHeight="1" outlineLevel="2" thickBot="1" x14ac:dyDescent="0.3">
      <c r="B95" s="405">
        <f>IF('Registo de informação'!B113=0,0,1)</f>
        <v>0</v>
      </c>
      <c r="E95" s="401"/>
      <c r="F95" s="415" t="str">
        <f>'Folha de cálculo'!D95</f>
        <v>2.1.2</v>
      </c>
      <c r="G95" s="415" t="str">
        <f>'Folha de cálculo'!E95</f>
        <v>O sistema de controlo de rega é…</v>
      </c>
      <c r="H95" s="415"/>
      <c r="I95" s="415"/>
      <c r="J95" s="408" t="s">
        <v>731</v>
      </c>
      <c r="K95" s="424" t="s">
        <v>731</v>
      </c>
      <c r="M95" s="425" t="s">
        <v>731</v>
      </c>
      <c r="N95"/>
      <c r="P95" s="425" t="s">
        <v>731</v>
      </c>
      <c r="Q95"/>
      <c r="S95" s="477"/>
      <c r="T95" s="477"/>
      <c r="U95" s="477"/>
      <c r="V95" s="477"/>
    </row>
    <row r="96" spans="1:22" outlineLevel="3" x14ac:dyDescent="0.25">
      <c r="G96" s="416" t="str">
        <f>'Folha de cálculo'!E96</f>
        <v>2.1.2.1</v>
      </c>
      <c r="H96" s="416" t="str">
        <f>'Folha de cálculo'!F96</f>
        <v>automático com base em sensores de humidade complementado com previsão meteorológica</v>
      </c>
      <c r="I96" s="416"/>
      <c r="J96" s="417"/>
      <c r="K96" s="418" t="str">
        <f t="shared" ref="K96:K101" si="34">IF(ISBLANK(J96),"",J96)</f>
        <v/>
      </c>
      <c r="M96" s="418" t="str">
        <f>IF(ISBLANK(K96),"",K96)</f>
        <v/>
      </c>
      <c r="N96"/>
      <c r="P96" s="418" t="str">
        <f>IF(ISBLANK(M96),"",M96)</f>
        <v/>
      </c>
      <c r="Q96"/>
      <c r="S96" s="475"/>
      <c r="T96" s="475"/>
      <c r="U96" s="475"/>
      <c r="V96" s="475"/>
    </row>
    <row r="97" spans="2:22" outlineLevel="3" x14ac:dyDescent="0.25">
      <c r="G97" s="416" t="str">
        <f>'Folha de cálculo'!E97</f>
        <v>2.1.2.2</v>
      </c>
      <c r="H97" s="416" t="str">
        <f>'Folha de cálculo'!F97</f>
        <v>automático com base em sensores de humidade</v>
      </c>
      <c r="I97" s="416"/>
      <c r="J97" s="417"/>
      <c r="K97" s="418" t="str">
        <f t="shared" si="34"/>
        <v/>
      </c>
      <c r="M97" s="418" t="str">
        <f t="shared" ref="M97:M101" si="35">IF(ISBLANK(K97),"",K97)</f>
        <v/>
      </c>
      <c r="N97"/>
      <c r="P97" s="418" t="str">
        <f t="shared" ref="P97:P101" si="36">IF(ISBLANK(M97),"",M97)</f>
        <v/>
      </c>
      <c r="Q97"/>
      <c r="S97" s="475"/>
      <c r="T97" s="475"/>
      <c r="U97" s="475"/>
      <c r="V97" s="475"/>
    </row>
    <row r="98" spans="2:22" outlineLevel="3" x14ac:dyDescent="0.25">
      <c r="G98" s="416" t="str">
        <f>'Folha de cálculo'!E98</f>
        <v>2.1.2.3</v>
      </c>
      <c r="H98" s="416" t="str">
        <f>'Folha de cálculo'!F98</f>
        <v>automático com base num temporizador (controlo horário)</v>
      </c>
      <c r="I98" s="416"/>
      <c r="J98" s="417"/>
      <c r="K98" s="418" t="str">
        <f t="shared" si="34"/>
        <v/>
      </c>
      <c r="M98" s="418" t="str">
        <f t="shared" si="35"/>
        <v/>
      </c>
      <c r="N98"/>
      <c r="P98" s="418" t="str">
        <f t="shared" si="36"/>
        <v/>
      </c>
      <c r="Q98"/>
      <c r="S98" s="475"/>
      <c r="T98" s="475"/>
      <c r="U98" s="475"/>
      <c r="V98" s="475"/>
    </row>
    <row r="99" spans="2:22" outlineLevel="3" x14ac:dyDescent="0.25">
      <c r="G99" s="416" t="str">
        <f>'Folha de cálculo'!E99</f>
        <v>2.1.2.4</v>
      </c>
      <c r="H99" s="416" t="str">
        <f>'Folha de cálculo'!F99</f>
        <v>manual</v>
      </c>
      <c r="I99" s="416"/>
      <c r="J99" s="417"/>
      <c r="K99" s="418" t="str">
        <f t="shared" si="34"/>
        <v/>
      </c>
      <c r="M99" s="418" t="str">
        <f t="shared" si="35"/>
        <v/>
      </c>
      <c r="N99"/>
      <c r="P99" s="418" t="str">
        <f t="shared" si="36"/>
        <v/>
      </c>
      <c r="Q99"/>
      <c r="S99" s="475"/>
      <c r="T99" s="475"/>
      <c r="U99" s="475"/>
      <c r="V99" s="475"/>
    </row>
    <row r="100" spans="2:22" outlineLevel="3" x14ac:dyDescent="0.25">
      <c r="G100" s="416" t="str">
        <f>'Folha de cálculo'!E100</f>
        <v>2.1.2.5</v>
      </c>
      <c r="H100" s="416" t="str">
        <f>'Folha de cálculo'!F100</f>
        <v>Nenhuma das opções anteriores</v>
      </c>
      <c r="I100" s="416"/>
      <c r="J100" s="417"/>
      <c r="K100" s="418" t="str">
        <f t="shared" si="34"/>
        <v/>
      </c>
      <c r="M100" s="418" t="str">
        <f t="shared" si="35"/>
        <v/>
      </c>
      <c r="N100"/>
      <c r="P100" s="418" t="str">
        <f t="shared" si="36"/>
        <v/>
      </c>
      <c r="Q100"/>
      <c r="S100" s="475"/>
      <c r="T100" s="475"/>
      <c r="U100" s="475"/>
      <c r="V100" s="475"/>
    </row>
    <row r="101" spans="2:22" ht="15.75" outlineLevel="3" thickBot="1" x14ac:dyDescent="0.3">
      <c r="G101" s="416" t="str">
        <f>'Folha de cálculo'!E101</f>
        <v>2.1.2.6</v>
      </c>
      <c r="H101" s="416" t="str">
        <f>'Folha de cálculo'!F101</f>
        <v>Não foi possível determinar (justifique)</v>
      </c>
      <c r="I101" s="416"/>
      <c r="J101" s="417"/>
      <c r="K101" s="418" t="str">
        <f t="shared" si="34"/>
        <v/>
      </c>
      <c r="M101" s="418" t="str">
        <f t="shared" si="35"/>
        <v/>
      </c>
      <c r="N101"/>
      <c r="P101" s="418" t="str">
        <f t="shared" si="36"/>
        <v/>
      </c>
      <c r="Q101"/>
      <c r="S101" s="475"/>
      <c r="T101" s="475"/>
      <c r="U101" s="475"/>
      <c r="V101" s="475"/>
    </row>
    <row r="102" spans="2:22" ht="15.75" outlineLevel="2" thickBot="1" x14ac:dyDescent="0.3">
      <c r="B102" s="405">
        <f>IF('Registo de informação'!B113=0,0,1)</f>
        <v>0</v>
      </c>
      <c r="E102" s="401"/>
      <c r="F102" s="415" t="str">
        <f>'Folha de cálculo'!D102</f>
        <v>2.1.3</v>
      </c>
      <c r="G102" s="415" t="str">
        <f>'Folha de cálculo'!E102</f>
        <v>O sistema de monitorização de rega permite…</v>
      </c>
      <c r="H102" s="415"/>
      <c r="I102" s="415"/>
      <c r="J102" s="408" t="s">
        <v>729</v>
      </c>
      <c r="K102" s="409" t="s">
        <v>729</v>
      </c>
      <c r="M102" s="408" t="s">
        <v>729</v>
      </c>
      <c r="N102"/>
      <c r="P102" s="408" t="s">
        <v>729</v>
      </c>
      <c r="Q102"/>
      <c r="S102" s="477"/>
      <c r="T102" s="477"/>
      <c r="U102" s="477"/>
      <c r="V102" s="477"/>
    </row>
    <row r="103" spans="2:22" outlineLevel="3" x14ac:dyDescent="0.25">
      <c r="G103" s="416" t="str">
        <f>'Folha de cálculo'!E103</f>
        <v>2.1.3.1</v>
      </c>
      <c r="H103" s="416" t="str">
        <f>'Folha de cálculo'!F103</f>
        <v>definir alarmísticas para ocorrência de fugas</v>
      </c>
      <c r="I103" s="416"/>
      <c r="J103" s="426"/>
      <c r="K103" s="419" t="str">
        <f t="shared" ref="K103:K113" si="37">IF(ISBLANK(J103),"",J103)</f>
        <v/>
      </c>
      <c r="M103" s="412" t="str">
        <f>IF(ISBLANK(K103),"",K103)</f>
        <v/>
      </c>
      <c r="N103"/>
      <c r="P103" s="412" t="str">
        <f>IF(ISBLANK(M103),"",M103)</f>
        <v/>
      </c>
      <c r="Q103"/>
      <c r="S103" s="475"/>
      <c r="T103" s="475"/>
      <c r="U103" s="475"/>
      <c r="V103" s="475"/>
    </row>
    <row r="104" spans="2:22" outlineLevel="3" x14ac:dyDescent="0.25">
      <c r="G104" s="416" t="str">
        <f>'Folha de cálculo'!E104</f>
        <v>2.1.3.2</v>
      </c>
      <c r="H104" s="416" t="str">
        <f>'Folha de cálculo'!F104</f>
        <v>registo automático de dados</v>
      </c>
      <c r="I104" s="416"/>
      <c r="J104" s="426"/>
      <c r="K104" s="419" t="str">
        <f t="shared" si="37"/>
        <v/>
      </c>
      <c r="M104" s="412" t="str">
        <f t="shared" ref="M104:M108" si="38">IF(ISBLANK(K104),"",K104)</f>
        <v/>
      </c>
      <c r="N104"/>
      <c r="P104" s="412" t="str">
        <f t="shared" ref="P104:P108" si="39">IF(ISBLANK(M104),"",M104)</f>
        <v/>
      </c>
      <c r="Q104"/>
      <c r="S104" s="475"/>
      <c r="T104" s="475"/>
      <c r="U104" s="475"/>
      <c r="V104" s="475"/>
    </row>
    <row r="105" spans="2:22" outlineLevel="3" x14ac:dyDescent="0.25">
      <c r="G105" s="416" t="str">
        <f>'Folha de cálculo'!E105</f>
        <v>2.1.3.3</v>
      </c>
      <c r="H105" s="416" t="str">
        <f>'Folha de cálculo'!F105</f>
        <v>análise de histórico de consumos</v>
      </c>
      <c r="I105" s="416"/>
      <c r="J105" s="426"/>
      <c r="K105" s="419" t="str">
        <f t="shared" si="37"/>
        <v/>
      </c>
      <c r="M105" s="412" t="str">
        <f t="shared" si="38"/>
        <v/>
      </c>
      <c r="N105"/>
      <c r="P105" s="412" t="str">
        <f t="shared" si="39"/>
        <v/>
      </c>
      <c r="Q105"/>
      <c r="S105" s="475"/>
      <c r="T105" s="475"/>
      <c r="U105" s="475"/>
      <c r="V105" s="475"/>
    </row>
    <row r="106" spans="2:22" outlineLevel="3" x14ac:dyDescent="0.25">
      <c r="G106" s="416" t="str">
        <f>'Folha de cálculo'!E106</f>
        <v>2.1.3.4</v>
      </c>
      <c r="H106" s="416" t="str">
        <f>'Folha de cálculo'!F106</f>
        <v>leituras dos consumos de cada período de rega</v>
      </c>
      <c r="I106" s="416"/>
      <c r="J106" s="426"/>
      <c r="K106" s="419" t="str">
        <f t="shared" si="37"/>
        <v/>
      </c>
      <c r="M106" s="412" t="str">
        <f t="shared" ref="M106" si="40">IF(ISBLANK(K106),"",K106)</f>
        <v/>
      </c>
      <c r="N106"/>
      <c r="P106" s="412" t="str">
        <f t="shared" ref="P106" si="41">IF(ISBLANK(M106),"",M106)</f>
        <v/>
      </c>
      <c r="Q106"/>
      <c r="S106" s="475"/>
      <c r="T106" s="475"/>
      <c r="U106" s="475"/>
      <c r="V106" s="475"/>
    </row>
    <row r="107" spans="2:22" outlineLevel="3" x14ac:dyDescent="0.25">
      <c r="G107" s="416" t="str">
        <f>'Folha de cálculo'!E107</f>
        <v>2.1.3.5</v>
      </c>
      <c r="H107" s="416" t="str">
        <f>'Folha de cálculo'!F107</f>
        <v>Nenhuma das opções anteriores</v>
      </c>
      <c r="I107" s="416"/>
      <c r="J107" s="426"/>
      <c r="K107" s="419" t="str">
        <f t="shared" si="37"/>
        <v/>
      </c>
      <c r="M107" s="412" t="str">
        <f t="shared" si="38"/>
        <v/>
      </c>
      <c r="N107"/>
      <c r="P107" s="412" t="str">
        <f t="shared" si="39"/>
        <v/>
      </c>
      <c r="Q107"/>
      <c r="S107" s="475"/>
      <c r="T107" s="475"/>
      <c r="U107" s="475"/>
      <c r="V107" s="475"/>
    </row>
    <row r="108" spans="2:22" ht="15.75" outlineLevel="3" thickBot="1" x14ac:dyDescent="0.3">
      <c r="G108" s="416" t="str">
        <f>'Folha de cálculo'!E108</f>
        <v>2.1.3.6</v>
      </c>
      <c r="H108" s="416" t="str">
        <f>'Folha de cálculo'!F108</f>
        <v>Não foi possível determinar (justifique)</v>
      </c>
      <c r="I108" s="416"/>
      <c r="J108" s="426"/>
      <c r="K108" s="419" t="str">
        <f t="shared" si="37"/>
        <v/>
      </c>
      <c r="M108" s="412" t="str">
        <f t="shared" si="38"/>
        <v/>
      </c>
      <c r="N108"/>
      <c r="P108" s="412" t="str">
        <f t="shared" si="39"/>
        <v/>
      </c>
      <c r="Q108"/>
      <c r="S108" s="475"/>
      <c r="T108" s="475"/>
      <c r="U108" s="475"/>
      <c r="V108" s="475"/>
    </row>
    <row r="109" spans="2:22" ht="29.1" customHeight="1" outlineLevel="2" thickBot="1" x14ac:dyDescent="0.3">
      <c r="B109" s="405">
        <f>IF('Registo de informação'!B113=0,0,IF('Registo de informação'!B9&lt;&gt;'Folha Oculta'!AL9,0,1))</f>
        <v>0</v>
      </c>
      <c r="C109" s="5"/>
      <c r="F109" s="427" t="str">
        <f>'Folha de cálculo'!D109</f>
        <v>2.1.4</v>
      </c>
      <c r="G109" s="487" t="str">
        <f>'Folha de cálculo'!E109</f>
        <v>A análise do consumo de rega nos espaços exteriores ajardinados durante os últimos 12 meses indica um consumo…</v>
      </c>
      <c r="H109" s="487"/>
      <c r="I109" s="487"/>
      <c r="J109" s="408" t="s">
        <v>730</v>
      </c>
      <c r="K109" s="409" t="s">
        <v>730</v>
      </c>
      <c r="M109" s="408" t="s">
        <v>730</v>
      </c>
      <c r="N109"/>
      <c r="P109" s="408" t="s">
        <v>730</v>
      </c>
      <c r="Q109"/>
      <c r="S109" s="477"/>
      <c r="T109" s="477"/>
      <c r="U109" s="477"/>
      <c r="V109" s="477"/>
    </row>
    <row r="110" spans="2:22" outlineLevel="3" x14ac:dyDescent="0.25">
      <c r="F110" s="9"/>
      <c r="G110" s="421" t="str">
        <f>'Folha de cálculo'!E110</f>
        <v>2.1.4.1</v>
      </c>
      <c r="H110" s="421" t="str">
        <f>'Folha de cálculo'!F110</f>
        <v xml:space="preserve">inferior a 2 litros/m2/dia </v>
      </c>
      <c r="I110" s="421"/>
      <c r="J110" s="428" t="str">
        <f>IF(ISBLANK('Registo de informação'!B80),"",IF('Registo de informação'!B80&lt;2,1,""))</f>
        <v/>
      </c>
      <c r="K110" s="419" t="str">
        <f t="shared" si="37"/>
        <v/>
      </c>
      <c r="M110" s="419" t="str">
        <f>IF(ISBLANK(K110),"",K110)</f>
        <v/>
      </c>
      <c r="N110"/>
      <c r="P110" s="419" t="str">
        <f>IF(ISBLANK(M110),"",M110)</f>
        <v/>
      </c>
      <c r="Q110"/>
      <c r="S110" s="475"/>
      <c r="T110" s="475"/>
      <c r="U110" s="475"/>
      <c r="V110" s="475"/>
    </row>
    <row r="111" spans="2:22" outlineLevel="3" x14ac:dyDescent="0.25">
      <c r="F111" s="9"/>
      <c r="G111" s="421" t="str">
        <f>'Folha de cálculo'!E111</f>
        <v>2.1.4.2</v>
      </c>
      <c r="H111" s="421" t="str">
        <f>'Folha de cálculo'!F111</f>
        <v xml:space="preserve">entre [2 a 4] litros/m2/dia </v>
      </c>
      <c r="I111" s="421"/>
      <c r="J111" s="428" t="str">
        <f>IF(AND('Registo de informação'!B80&gt;=2,'Registo de informação'!B80&lt;=4),1,"")</f>
        <v/>
      </c>
      <c r="K111" s="419" t="str">
        <f t="shared" si="37"/>
        <v/>
      </c>
      <c r="M111" s="419" t="str">
        <f t="shared" ref="M111:M113" si="42">IF(ISBLANK(K111),"",K111)</f>
        <v/>
      </c>
      <c r="N111"/>
      <c r="P111" s="419" t="str">
        <f t="shared" ref="P111:P113" si="43">IF(ISBLANK(M111),"",M111)</f>
        <v/>
      </c>
      <c r="Q111"/>
      <c r="S111" s="475"/>
      <c r="T111" s="475"/>
      <c r="U111" s="475"/>
      <c r="V111" s="475"/>
    </row>
    <row r="112" spans="2:22" outlineLevel="3" x14ac:dyDescent="0.25">
      <c r="F112" s="9"/>
      <c r="G112" s="421" t="str">
        <f>'Folha de cálculo'!E112</f>
        <v>2.1.4.3</v>
      </c>
      <c r="H112" s="421" t="str">
        <f>'Folha de cálculo'!F112</f>
        <v xml:space="preserve">superior a 4 litros/m2/dia </v>
      </c>
      <c r="I112" s="421"/>
      <c r="J112" s="428" t="str">
        <f>IF('Registo de informação'!B80&gt;4,1,"")</f>
        <v/>
      </c>
      <c r="K112" s="419" t="str">
        <f t="shared" si="37"/>
        <v/>
      </c>
      <c r="M112" s="419" t="str">
        <f t="shared" si="42"/>
        <v/>
      </c>
      <c r="N112"/>
      <c r="P112" s="419" t="str">
        <f t="shared" si="43"/>
        <v/>
      </c>
      <c r="Q112"/>
      <c r="S112" s="475"/>
      <c r="T112" s="475"/>
      <c r="U112" s="475"/>
      <c r="V112" s="475"/>
    </row>
    <row r="113" spans="1:22" outlineLevel="3" x14ac:dyDescent="0.25">
      <c r="F113" s="9"/>
      <c r="G113" s="421" t="str">
        <f>'Folha de cálculo'!E113</f>
        <v>2.1.4.4</v>
      </c>
      <c r="H113" s="421" t="str">
        <f>'Folha de cálculo'!F113</f>
        <v>Não foi possível determinar (justifique)</v>
      </c>
      <c r="I113" s="421"/>
      <c r="J113" s="428">
        <f>IF(SUM(J110:J112)=0,1,"")</f>
        <v>1</v>
      </c>
      <c r="K113" s="419">
        <f t="shared" si="37"/>
        <v>1</v>
      </c>
      <c r="M113" s="419">
        <f t="shared" si="42"/>
        <v>1</v>
      </c>
      <c r="N113"/>
      <c r="P113" s="419">
        <f t="shared" si="43"/>
        <v>1</v>
      </c>
      <c r="Q113"/>
      <c r="S113" s="475"/>
      <c r="T113" s="475"/>
      <c r="U113" s="475"/>
      <c r="V113" s="475"/>
    </row>
    <row r="114" spans="1:22" outlineLevel="1" x14ac:dyDescent="0.25">
      <c r="J114" s="400"/>
      <c r="K114" s="400"/>
      <c r="M114" s="400"/>
      <c r="N114"/>
      <c r="P114" s="400"/>
      <c r="Q114"/>
      <c r="S114" s="476"/>
      <c r="T114" s="476"/>
      <c r="U114" s="476"/>
      <c r="V114" s="476"/>
    </row>
    <row r="115" spans="1:22" ht="15.75" outlineLevel="1" thickBot="1" x14ac:dyDescent="0.3">
      <c r="E115" s="8" t="str">
        <f>'Folha de cálculo'!C115</f>
        <v>2.2</v>
      </c>
      <c r="F115" s="8" t="str">
        <f>'Folha de cálculo'!D115</f>
        <v>Infraestruturas verdes e azuis</v>
      </c>
      <c r="G115" s="8"/>
      <c r="H115" s="8"/>
      <c r="I115" s="8"/>
      <c r="J115" s="403"/>
      <c r="K115" s="404"/>
      <c r="M115" s="403"/>
      <c r="N115"/>
      <c r="P115" s="403"/>
      <c r="Q115"/>
      <c r="S115" s="479"/>
      <c r="T115" s="479"/>
      <c r="U115" s="479"/>
      <c r="V115" s="479"/>
    </row>
    <row r="116" spans="1:22" ht="18.600000000000001" customHeight="1" outlineLevel="2" thickBot="1" x14ac:dyDescent="0.3">
      <c r="A116" s="401"/>
      <c r="B116" s="405">
        <f>IF('Registo de informação'!B116=0,0,1)</f>
        <v>0</v>
      </c>
      <c r="C116" s="401"/>
      <c r="E116" s="401"/>
      <c r="F116" s="407" t="str">
        <f>'Folha de cálculo'!D116</f>
        <v>2.2.1</v>
      </c>
      <c r="G116" s="482" t="str">
        <f>'Folha de cálculo'!E116</f>
        <v>A área exterior impermeabilizada, em relação à área exterior disponível, é…</v>
      </c>
      <c r="H116" s="482"/>
      <c r="I116" s="482"/>
      <c r="J116" s="408" t="s">
        <v>730</v>
      </c>
      <c r="K116" s="409" t="s">
        <v>730</v>
      </c>
      <c r="M116" s="408" t="s">
        <v>730</v>
      </c>
      <c r="N116"/>
      <c r="P116" s="408" t="s">
        <v>730</v>
      </c>
      <c r="Q116"/>
      <c r="S116" s="477"/>
      <c r="T116" s="477"/>
      <c r="U116" s="477"/>
      <c r="V116" s="477"/>
    </row>
    <row r="117" spans="1:22" outlineLevel="3" x14ac:dyDescent="0.25">
      <c r="F117" s="413"/>
      <c r="G117" s="410" t="str">
        <f>'Folha de cálculo'!E117</f>
        <v>2.2.1.1</v>
      </c>
      <c r="H117" s="410" t="str">
        <f>'Folha de cálculo'!F117</f>
        <v>inferior a 25%</v>
      </c>
      <c r="I117" s="410"/>
      <c r="J117" s="411" t="str">
        <f>IF('Registo de informação'!C115&lt;25%,1,"")</f>
        <v/>
      </c>
      <c r="K117" s="419" t="str">
        <f t="shared" ref="K117:K121" si="44">IF(ISBLANK(J117),"",J117)</f>
        <v/>
      </c>
      <c r="M117" s="412" t="str">
        <f>IF(ISBLANK(K117),"",K117)</f>
        <v/>
      </c>
      <c r="N117"/>
      <c r="P117" s="412" t="str">
        <f>IF(ISBLANK(M117),"",M117)</f>
        <v/>
      </c>
      <c r="Q117"/>
      <c r="S117" s="475"/>
      <c r="T117" s="475"/>
      <c r="U117" s="475"/>
      <c r="V117" s="475"/>
    </row>
    <row r="118" spans="1:22" outlineLevel="3" x14ac:dyDescent="0.25">
      <c r="F118" s="413"/>
      <c r="G118" s="410" t="str">
        <f>'Folha de cálculo'!E118</f>
        <v>2.2.1.2</v>
      </c>
      <c r="H118" s="410" t="str">
        <f>'Folha de cálculo'!F118</f>
        <v>entre [25% e 50%[</v>
      </c>
      <c r="I118" s="410"/>
      <c r="J118" s="411" t="str">
        <f>IF(AND('Registo de informação'!C115&gt;=25%,'Registo de informação'!C115&lt;50%),1,"")</f>
        <v/>
      </c>
      <c r="K118" s="419" t="str">
        <f t="shared" si="44"/>
        <v/>
      </c>
      <c r="M118" s="412" t="str">
        <f t="shared" ref="M118:M121" si="45">IF(ISBLANK(K118),"",K118)</f>
        <v/>
      </c>
      <c r="N118"/>
      <c r="P118" s="412" t="str">
        <f t="shared" ref="P118:P121" si="46">IF(ISBLANK(M118),"",M118)</f>
        <v/>
      </c>
      <c r="Q118"/>
      <c r="S118" s="475"/>
      <c r="T118" s="475"/>
      <c r="U118" s="475"/>
      <c r="V118" s="475"/>
    </row>
    <row r="119" spans="1:22" outlineLevel="3" x14ac:dyDescent="0.25">
      <c r="F119" s="413"/>
      <c r="G119" s="410" t="str">
        <f>'Folha de cálculo'!E119</f>
        <v>2.2.1.3</v>
      </c>
      <c r="H119" s="410" t="str">
        <f>'Folha de cálculo'!F119</f>
        <v>entre [50% e 75%[</v>
      </c>
      <c r="I119" s="410"/>
      <c r="J119" s="411" t="str">
        <f>IF(AND('Registo de informação'!C115&gt;=50%,'Registo de informação'!C115&lt;75%),1,"")</f>
        <v/>
      </c>
      <c r="K119" s="419" t="str">
        <f t="shared" si="44"/>
        <v/>
      </c>
      <c r="M119" s="412" t="str">
        <f t="shared" si="45"/>
        <v/>
      </c>
      <c r="N119"/>
      <c r="P119" s="412" t="str">
        <f t="shared" si="46"/>
        <v/>
      </c>
      <c r="Q119"/>
      <c r="S119" s="475"/>
      <c r="T119" s="475"/>
      <c r="U119" s="475"/>
      <c r="V119" s="475"/>
    </row>
    <row r="120" spans="1:22" outlineLevel="3" x14ac:dyDescent="0.25">
      <c r="F120" s="413"/>
      <c r="G120" s="410" t="str">
        <f>'Folha de cálculo'!E120</f>
        <v>2.2.1.4</v>
      </c>
      <c r="H120" s="410" t="str">
        <f>'Folha de cálculo'!F120</f>
        <v xml:space="preserve">igual ou superior a 75% </v>
      </c>
      <c r="I120" s="410"/>
      <c r="J120" s="411" t="str">
        <f>IF('Registo de informação'!C115="NA","",(IF('Registo de informação'!C115&gt;=75%,1,"")))</f>
        <v/>
      </c>
      <c r="K120" s="419" t="str">
        <f t="shared" si="44"/>
        <v/>
      </c>
      <c r="M120" s="412" t="str">
        <f t="shared" si="45"/>
        <v/>
      </c>
      <c r="N120"/>
      <c r="P120" s="412" t="str">
        <f t="shared" si="46"/>
        <v/>
      </c>
      <c r="Q120"/>
      <c r="S120" s="475"/>
      <c r="T120" s="475"/>
      <c r="U120" s="475"/>
      <c r="V120" s="475"/>
    </row>
    <row r="121" spans="1:22" ht="15.75" outlineLevel="3" thickBot="1" x14ac:dyDescent="0.3">
      <c r="F121" s="413"/>
      <c r="G121" s="410" t="str">
        <f>'Folha de cálculo'!E121</f>
        <v>2.2.1.5</v>
      </c>
      <c r="H121" s="410" t="str">
        <f>'Folha de cálculo'!F121</f>
        <v>Não foi possível determinar (justifique)</v>
      </c>
      <c r="I121" s="410"/>
      <c r="J121" s="411">
        <f>IF(SUM(J117:J120)=0,1,"")</f>
        <v>1</v>
      </c>
      <c r="K121" s="419">
        <f t="shared" si="44"/>
        <v>1</v>
      </c>
      <c r="M121" s="412">
        <f t="shared" si="45"/>
        <v>1</v>
      </c>
      <c r="N121"/>
      <c r="P121" s="412">
        <f t="shared" si="46"/>
        <v>1</v>
      </c>
      <c r="Q121"/>
      <c r="S121" s="475"/>
      <c r="T121" s="475"/>
      <c r="U121" s="475"/>
      <c r="V121" s="475"/>
    </row>
    <row r="122" spans="1:22" ht="30.6" customHeight="1" outlineLevel="2" thickBot="1" x14ac:dyDescent="0.3">
      <c r="B122" s="405">
        <f>IF('Registo de informação'!B113=0,0,1)</f>
        <v>0</v>
      </c>
      <c r="E122" s="401"/>
      <c r="F122" s="427" t="str">
        <f>'Folha de cálculo'!D122</f>
        <v>2.2.2</v>
      </c>
      <c r="G122" s="487" t="str">
        <f>'Folha de cálculo'!E122</f>
        <v>A área ocupada por relvado, em relação à área total exterior de solo ajardinado, é…</v>
      </c>
      <c r="H122" s="487"/>
      <c r="I122" s="487"/>
      <c r="J122" s="408" t="s">
        <v>730</v>
      </c>
      <c r="K122" s="409" t="s">
        <v>730</v>
      </c>
      <c r="M122" s="408" t="s">
        <v>730</v>
      </c>
      <c r="N122"/>
      <c r="P122" s="408" t="s">
        <v>730</v>
      </c>
      <c r="Q122"/>
      <c r="S122" s="477"/>
      <c r="T122" s="477"/>
      <c r="U122" s="477"/>
      <c r="V122" s="477"/>
    </row>
    <row r="123" spans="1:22" outlineLevel="3" x14ac:dyDescent="0.25">
      <c r="F123" s="429"/>
      <c r="G123" s="414" t="str">
        <f>'Folha de cálculo'!E123</f>
        <v>2.2.2.1</v>
      </c>
      <c r="H123" s="414" t="str">
        <f>'Folha de cálculo'!F123</f>
        <v>inferior a 25%</v>
      </c>
      <c r="I123" s="414"/>
      <c r="J123" s="411" t="str">
        <f>IF('Registo de informação'!C87&lt;25%,1,"")</f>
        <v/>
      </c>
      <c r="K123" s="419" t="str">
        <f t="shared" ref="K123:K145" si="47">IF(ISBLANK(J123),"",J123)</f>
        <v/>
      </c>
      <c r="M123" s="412" t="str">
        <f>IF(ISBLANK(K123),"",K123)</f>
        <v/>
      </c>
      <c r="N123"/>
      <c r="P123" s="412" t="str">
        <f>IF(ISBLANK(M123),"",M123)</f>
        <v/>
      </c>
      <c r="Q123"/>
      <c r="S123" s="475"/>
      <c r="T123" s="475"/>
      <c r="U123" s="475"/>
      <c r="V123" s="475"/>
    </row>
    <row r="124" spans="1:22" outlineLevel="3" x14ac:dyDescent="0.25">
      <c r="F124" s="429"/>
      <c r="G124" s="414" t="str">
        <f>'Folha de cálculo'!E124</f>
        <v>2.2.2.2</v>
      </c>
      <c r="H124" s="414" t="str">
        <f>'Folha de cálculo'!F124</f>
        <v>entre [25 e 50%[</v>
      </c>
      <c r="I124" s="414"/>
      <c r="J124" s="411" t="str">
        <f>IF(AND('Registo de informação'!C87&gt;=25%,'Registo de informação'!C87&lt;=50%),1,"")</f>
        <v/>
      </c>
      <c r="K124" s="419" t="str">
        <f t="shared" si="47"/>
        <v/>
      </c>
      <c r="M124" s="412" t="str">
        <f t="shared" ref="M124:M126" si="48">IF(ISBLANK(K124),"",K124)</f>
        <v/>
      </c>
      <c r="N124"/>
      <c r="P124" s="412" t="str">
        <f t="shared" ref="P124:P126" si="49">IF(ISBLANK(M124),"",M124)</f>
        <v/>
      </c>
      <c r="Q124"/>
      <c r="S124" s="475"/>
      <c r="T124" s="475"/>
      <c r="U124" s="475"/>
      <c r="V124" s="475"/>
    </row>
    <row r="125" spans="1:22" outlineLevel="3" x14ac:dyDescent="0.25">
      <c r="F125" s="429"/>
      <c r="G125" s="414" t="str">
        <f>'Folha de cálculo'!E125</f>
        <v>2.2.2.3</v>
      </c>
      <c r="H125" s="414" t="str">
        <f>'Folha de cálculo'!F125</f>
        <v>igual ou superior a 50%</v>
      </c>
      <c r="I125" s="414"/>
      <c r="J125" s="411" t="str">
        <f>IF('Registo de informação'!C87="NA","",(IF('Registo de informação'!C87&gt;=50%,1,"")))</f>
        <v/>
      </c>
      <c r="K125" s="419" t="str">
        <f t="shared" si="47"/>
        <v/>
      </c>
      <c r="M125" s="412" t="str">
        <f t="shared" si="48"/>
        <v/>
      </c>
      <c r="N125"/>
      <c r="P125" s="412" t="str">
        <f t="shared" si="49"/>
        <v/>
      </c>
      <c r="Q125"/>
      <c r="S125" s="475"/>
      <c r="T125" s="475"/>
      <c r="U125" s="475"/>
      <c r="V125" s="475"/>
    </row>
    <row r="126" spans="1:22" ht="15.75" outlineLevel="3" thickBot="1" x14ac:dyDescent="0.3">
      <c r="F126" s="429"/>
      <c r="G126" s="414" t="str">
        <f>'Folha de cálculo'!E126</f>
        <v>2.2.2.4</v>
      </c>
      <c r="H126" s="414" t="str">
        <f>'Folha de cálculo'!F126</f>
        <v>Não foi possível determinar (justifique)</v>
      </c>
      <c r="I126" s="414"/>
      <c r="J126" s="411">
        <f>IF(SUM(J123:J125)=0,1,"")</f>
        <v>1</v>
      </c>
      <c r="K126" s="419">
        <f t="shared" si="47"/>
        <v>1</v>
      </c>
      <c r="M126" s="412">
        <f t="shared" si="48"/>
        <v>1</v>
      </c>
      <c r="N126"/>
      <c r="P126" s="412">
        <f t="shared" si="49"/>
        <v>1</v>
      </c>
      <c r="Q126"/>
      <c r="S126" s="475"/>
      <c r="T126" s="475"/>
      <c r="U126" s="475"/>
      <c r="V126" s="475"/>
    </row>
    <row r="127" spans="1:22" ht="29.1" customHeight="1" outlineLevel="2" thickBot="1" x14ac:dyDescent="0.3">
      <c r="B127" s="405">
        <f>IF('Registo de informação'!B85=0,0,1)</f>
        <v>0</v>
      </c>
      <c r="E127" s="401"/>
      <c r="F127" s="407" t="str">
        <f>'Folha de cálculo'!D127</f>
        <v>2.2.3</v>
      </c>
      <c r="G127" s="482" t="str">
        <f>'Folha de cálculo'!E127</f>
        <v>A área de coberturas verdes instaladas em relação à área disponível (ou seja, passível de instalação e acessível para manutenção) é…</v>
      </c>
      <c r="H127" s="482"/>
      <c r="I127" s="482"/>
      <c r="J127" s="408" t="s">
        <v>730</v>
      </c>
      <c r="K127" s="409" t="s">
        <v>730</v>
      </c>
      <c r="M127" s="408" t="s">
        <v>730</v>
      </c>
      <c r="N127"/>
      <c r="P127" s="408" t="s">
        <v>730</v>
      </c>
      <c r="Q127"/>
      <c r="S127" s="477"/>
      <c r="T127" s="477"/>
      <c r="U127" s="477"/>
      <c r="V127" s="477"/>
    </row>
    <row r="128" spans="1:22" outlineLevel="3" x14ac:dyDescent="0.25">
      <c r="G128" s="416" t="str">
        <f>'Folha de cálculo'!E128</f>
        <v>2.2.3.1</v>
      </c>
      <c r="H128" s="416" t="str">
        <f>'Folha de cálculo'!F128</f>
        <v>igual ou superior a 50%</v>
      </c>
      <c r="I128" s="416"/>
      <c r="J128" s="430" t="str">
        <f>IF('Registo de informação'!C86="NA","",IF('Registo de informação'!C86&gt;50%,1,""))</f>
        <v/>
      </c>
      <c r="K128" s="419" t="str">
        <f t="shared" si="47"/>
        <v/>
      </c>
      <c r="M128" s="412" t="str">
        <f>IF(ISBLANK(K128),"",K128)</f>
        <v/>
      </c>
      <c r="N128"/>
      <c r="P128" s="412" t="str">
        <f>IF(ISBLANK(M128),"",M128)</f>
        <v/>
      </c>
      <c r="Q128"/>
      <c r="S128" s="475"/>
      <c r="T128" s="475"/>
      <c r="U128" s="475"/>
      <c r="V128" s="475"/>
    </row>
    <row r="129" spans="1:22" outlineLevel="3" x14ac:dyDescent="0.25">
      <c r="G129" s="416" t="str">
        <f>'Folha de cálculo'!E129</f>
        <v>2.2.3.2</v>
      </c>
      <c r="H129" s="416" t="str">
        <f>'Folha de cálculo'!F129</f>
        <v>entre [25 e 50%[</v>
      </c>
      <c r="I129" s="416"/>
      <c r="J129" s="430" t="str">
        <f>IF(AND('Registo de informação'!C86&gt;=25%,'Registo de informação'!C86&lt;=50%),1,"")</f>
        <v/>
      </c>
      <c r="K129" s="419" t="str">
        <f t="shared" si="47"/>
        <v/>
      </c>
      <c r="M129" s="412" t="str">
        <f t="shared" ref="M129:M132" si="50">IF(ISBLANK(K129),"",K129)</f>
        <v/>
      </c>
      <c r="N129"/>
      <c r="P129" s="412" t="str">
        <f t="shared" ref="P129:P132" si="51">IF(ISBLANK(M129),"",M129)</f>
        <v/>
      </c>
      <c r="Q129"/>
      <c r="S129" s="475"/>
      <c r="T129" s="475"/>
      <c r="U129" s="475"/>
      <c r="V129" s="475"/>
    </row>
    <row r="130" spans="1:22" outlineLevel="3" x14ac:dyDescent="0.25">
      <c r="G130" s="416" t="str">
        <f>'Folha de cálculo'!E130</f>
        <v>2.2.3.3</v>
      </c>
      <c r="H130" s="416" t="str">
        <f>'Folha de cálculo'!F130</f>
        <v xml:space="preserve">inferior a 25% </v>
      </c>
      <c r="I130" s="416"/>
      <c r="J130" s="430" t="str">
        <f>IF(AND('Registo de informação'!C86&lt;&gt;0%,'Registo de informação'!C86&lt;25%),1,"")</f>
        <v/>
      </c>
      <c r="K130" s="419" t="str">
        <f t="shared" si="47"/>
        <v/>
      </c>
      <c r="M130" s="412" t="str">
        <f t="shared" si="50"/>
        <v/>
      </c>
      <c r="N130"/>
      <c r="P130" s="412" t="str">
        <f t="shared" si="51"/>
        <v/>
      </c>
      <c r="Q130"/>
      <c r="S130" s="475"/>
      <c r="T130" s="475"/>
      <c r="U130" s="475"/>
      <c r="V130" s="475"/>
    </row>
    <row r="131" spans="1:22" outlineLevel="3" x14ac:dyDescent="0.25">
      <c r="G131" s="416" t="str">
        <f>'Folha de cálculo'!E131</f>
        <v>2.2.3.4</v>
      </c>
      <c r="H131" s="416" t="str">
        <f>'Folha de cálculo'!F131</f>
        <v>Não existente</v>
      </c>
      <c r="I131" s="416"/>
      <c r="J131" s="430" t="str">
        <f>IF(AND('Registo de informação'!B86=0,'Registo de informação'!B85&lt;&gt;0),1,"")</f>
        <v/>
      </c>
      <c r="K131" s="419" t="str">
        <f t="shared" si="47"/>
        <v/>
      </c>
      <c r="M131" s="412" t="str">
        <f t="shared" si="50"/>
        <v/>
      </c>
      <c r="N131"/>
      <c r="P131" s="412" t="str">
        <f t="shared" si="51"/>
        <v/>
      </c>
      <c r="Q131"/>
      <c r="S131" s="475"/>
      <c r="T131" s="475"/>
      <c r="U131" s="475"/>
      <c r="V131" s="475"/>
    </row>
    <row r="132" spans="1:22" ht="15.75" outlineLevel="3" thickBot="1" x14ac:dyDescent="0.3">
      <c r="G132" s="416" t="str">
        <f>'Folha de cálculo'!E132</f>
        <v>2.2.3.5</v>
      </c>
      <c r="H132" s="416" t="str">
        <f>'Folha de cálculo'!F132</f>
        <v>Não foi possível determinar (justifique)</v>
      </c>
      <c r="I132" s="416"/>
      <c r="J132" s="430">
        <f>IF(SUM(J128:J131)=0,1,"")</f>
        <v>1</v>
      </c>
      <c r="K132" s="419">
        <f t="shared" si="47"/>
        <v>1</v>
      </c>
      <c r="M132" s="412">
        <f t="shared" si="50"/>
        <v>1</v>
      </c>
      <c r="N132"/>
      <c r="P132" s="412">
        <f t="shared" si="51"/>
        <v>1</v>
      </c>
      <c r="Q132"/>
      <c r="S132" s="475"/>
      <c r="T132" s="475"/>
      <c r="U132" s="475"/>
      <c r="V132" s="475"/>
    </row>
    <row r="133" spans="1:22" ht="14.65" customHeight="1" outlineLevel="2" thickBot="1" x14ac:dyDescent="0.3">
      <c r="A133" s="401"/>
      <c r="B133" s="405">
        <f>IF(OR('Registo de informação'!B119="",0),0,1)</f>
        <v>0</v>
      </c>
      <c r="C133" s="401"/>
      <c r="E133" s="401"/>
      <c r="F133" s="407" t="str">
        <f>'Folha de cálculo'!D133</f>
        <v>2.2.4</v>
      </c>
      <c r="G133" s="407" t="str">
        <f>'Folha de cálculo'!E133</f>
        <v>Os lagos e/ou fontes decorativas dispõem de…</v>
      </c>
      <c r="H133" s="407"/>
      <c r="I133" s="407"/>
      <c r="J133" s="408" t="s">
        <v>732</v>
      </c>
      <c r="K133" s="409" t="s">
        <v>732</v>
      </c>
      <c r="M133" s="408" t="s">
        <v>732</v>
      </c>
      <c r="N133"/>
      <c r="P133" s="408" t="s">
        <v>732</v>
      </c>
      <c r="Q133"/>
      <c r="S133" s="477"/>
      <c r="T133" s="477"/>
      <c r="U133" s="477"/>
      <c r="V133" s="477"/>
    </row>
    <row r="134" spans="1:22" outlineLevel="3" x14ac:dyDescent="0.25">
      <c r="F134" s="413"/>
      <c r="G134" s="410" t="str">
        <f>'Folha de cálculo'!E134</f>
        <v>2.2.4.1</v>
      </c>
      <c r="H134" s="410" t="str">
        <f>'Folha de cálculo'!F134</f>
        <v>sistema de recirculação de água</v>
      </c>
      <c r="I134" s="410"/>
      <c r="J134" s="418"/>
      <c r="K134" s="418" t="str">
        <f t="shared" si="47"/>
        <v/>
      </c>
      <c r="M134" s="418" t="str">
        <f t="shared" ref="M134:M136" si="52">IF(ISBLANK(K134),"",K134)</f>
        <v/>
      </c>
      <c r="N134"/>
      <c r="P134" s="418" t="str">
        <f>IF(ISBLANK(M134),"",M134)</f>
        <v/>
      </c>
      <c r="Q134"/>
      <c r="S134" s="475"/>
      <c r="T134" s="475"/>
      <c r="U134" s="475"/>
      <c r="V134" s="475"/>
    </row>
    <row r="135" spans="1:22" outlineLevel="3" x14ac:dyDescent="0.25">
      <c r="F135" s="413"/>
      <c r="G135" s="410" t="str">
        <f>'Folha de cálculo'!E135</f>
        <v>2.2.4.2</v>
      </c>
      <c r="H135" s="410" t="str">
        <f>'Folha de cálculo'!F135</f>
        <v>infraestrutura que permite usar a água do lago para rega</v>
      </c>
      <c r="I135" s="410"/>
      <c r="J135" s="418"/>
      <c r="K135" s="418" t="str">
        <f t="shared" si="47"/>
        <v/>
      </c>
      <c r="M135" s="418" t="str">
        <f t="shared" si="52"/>
        <v/>
      </c>
      <c r="N135"/>
      <c r="P135" s="418" t="str">
        <f t="shared" ref="P135:P138" si="53">IF(ISBLANK(M135),"",M135)</f>
        <v/>
      </c>
      <c r="Q135"/>
      <c r="S135" s="475"/>
      <c r="T135" s="475"/>
      <c r="U135" s="475"/>
      <c r="V135" s="475"/>
    </row>
    <row r="136" spans="1:22" outlineLevel="3" x14ac:dyDescent="0.25">
      <c r="F136" s="413"/>
      <c r="G136" s="410" t="str">
        <f>'Folha de cálculo'!E136</f>
        <v>2.2.4.3</v>
      </c>
      <c r="H136" s="410" t="str">
        <f>'Folha de cálculo'!F136</f>
        <v>uso de plantas que promovam o tratamento da água</v>
      </c>
      <c r="I136" s="410"/>
      <c r="J136" s="418"/>
      <c r="K136" s="418" t="str">
        <f t="shared" si="47"/>
        <v/>
      </c>
      <c r="M136" s="418" t="str">
        <f t="shared" si="52"/>
        <v/>
      </c>
      <c r="N136"/>
      <c r="P136" s="418" t="str">
        <f t="shared" si="53"/>
        <v/>
      </c>
      <c r="Q136"/>
      <c r="S136" s="475"/>
      <c r="T136" s="475"/>
      <c r="U136" s="475"/>
      <c r="V136" s="475"/>
    </row>
    <row r="137" spans="1:22" outlineLevel="3" x14ac:dyDescent="0.25">
      <c r="F137" s="413"/>
      <c r="G137" s="410" t="str">
        <f>'Folha de cálculo'!E137</f>
        <v>2.2.4.4</v>
      </c>
      <c r="H137" s="410" t="str">
        <f>'Folha de cálculo'!F137</f>
        <v>mecanismos de jardins de chuva</v>
      </c>
      <c r="I137" s="410"/>
      <c r="J137" s="418"/>
      <c r="K137" s="418" t="str">
        <f t="shared" si="47"/>
        <v/>
      </c>
      <c r="M137" s="418" t="str">
        <f t="shared" ref="M137:M138" si="54">IF(ISBLANK(K137),"",K137)</f>
        <v/>
      </c>
      <c r="N137"/>
      <c r="P137" s="418" t="str">
        <f t="shared" si="53"/>
        <v/>
      </c>
      <c r="Q137"/>
      <c r="S137" s="475"/>
      <c r="T137" s="475"/>
      <c r="U137" s="475"/>
      <c r="V137" s="475"/>
    </row>
    <row r="138" spans="1:22" outlineLevel="3" x14ac:dyDescent="0.25">
      <c r="F138" s="413"/>
      <c r="G138" s="410" t="str">
        <f>'Folha de cálculo'!E138</f>
        <v>2.2.4.5</v>
      </c>
      <c r="H138" s="410" t="str">
        <f>'Folha de cálculo'!F138</f>
        <v>outra solução que promove o uso eficiente da água (especifique)</v>
      </c>
      <c r="I138" s="410"/>
      <c r="J138" s="418"/>
      <c r="K138" s="418" t="str">
        <f t="shared" si="47"/>
        <v/>
      </c>
      <c r="M138" s="418" t="str">
        <f t="shared" si="54"/>
        <v/>
      </c>
      <c r="N138"/>
      <c r="P138" s="418" t="str">
        <f t="shared" si="53"/>
        <v/>
      </c>
      <c r="Q138"/>
      <c r="S138" s="475"/>
      <c r="T138" s="475"/>
      <c r="U138" s="475"/>
      <c r="V138" s="475"/>
    </row>
    <row r="139" spans="1:22" outlineLevel="3" x14ac:dyDescent="0.25">
      <c r="F139" s="413"/>
      <c r="G139" s="410" t="str">
        <f>'Folha de cálculo'!E139</f>
        <v>2.2.4.6</v>
      </c>
      <c r="H139" s="410" t="str">
        <f>'Folha de cálculo'!F139</f>
        <v>Nenhuma das opções anteriores</v>
      </c>
      <c r="I139" s="410"/>
      <c r="J139" s="418"/>
      <c r="K139" s="418" t="str">
        <f t="shared" ref="K139:K140" si="55">IF(ISBLANK(J139),"",J139)</f>
        <v/>
      </c>
      <c r="M139" s="418" t="str">
        <f t="shared" ref="M139:M140" si="56">IF(ISBLANK(K139),"",K139)</f>
        <v/>
      </c>
      <c r="N139"/>
      <c r="P139" s="418" t="str">
        <f t="shared" ref="P139:P140" si="57">IF(ISBLANK(M139),"",M139)</f>
        <v/>
      </c>
      <c r="Q139"/>
      <c r="S139" s="475"/>
      <c r="T139" s="475"/>
      <c r="U139" s="475"/>
      <c r="V139" s="475"/>
    </row>
    <row r="140" spans="1:22" ht="15.75" outlineLevel="3" thickBot="1" x14ac:dyDescent="0.3">
      <c r="F140" s="413"/>
      <c r="G140" s="410" t="str">
        <f>'Folha de cálculo'!E140</f>
        <v>2.2.4.7</v>
      </c>
      <c r="H140" s="410" t="str">
        <f>'Folha de cálculo'!F140</f>
        <v>Não foi possível determinar (justifique)</v>
      </c>
      <c r="I140" s="410"/>
      <c r="J140" s="418"/>
      <c r="K140" s="418" t="str">
        <f t="shared" si="55"/>
        <v/>
      </c>
      <c r="M140" s="418" t="str">
        <f t="shared" si="56"/>
        <v/>
      </c>
      <c r="N140"/>
      <c r="P140" s="418" t="str">
        <f t="shared" si="57"/>
        <v/>
      </c>
      <c r="Q140"/>
      <c r="S140" s="475"/>
      <c r="T140" s="475"/>
      <c r="U140" s="475"/>
      <c r="V140" s="475"/>
    </row>
    <row r="141" spans="1:22" ht="15.75" outlineLevel="2" thickBot="1" x14ac:dyDescent="0.3">
      <c r="B141" s="405">
        <f>IF(OR('Registo de informação'!B119="",0),0,1)</f>
        <v>0</v>
      </c>
      <c r="F141" s="415" t="str">
        <f>'Folha de cálculo'!D141</f>
        <v>2.2.5</v>
      </c>
      <c r="G141" s="415" t="str">
        <f>'Folha de cálculo'!E141</f>
        <v>Os lagos e/ou fontes decorativas…</v>
      </c>
      <c r="H141" s="415"/>
      <c r="I141" s="415"/>
      <c r="J141" s="408" t="s">
        <v>731</v>
      </c>
      <c r="K141" s="409" t="s">
        <v>731</v>
      </c>
      <c r="M141" s="408" t="s">
        <v>731</v>
      </c>
      <c r="N141"/>
      <c r="P141" s="408" t="s">
        <v>731</v>
      </c>
      <c r="Q141"/>
      <c r="S141" s="477"/>
      <c r="T141" s="477"/>
      <c r="U141" s="477"/>
      <c r="V141" s="477"/>
    </row>
    <row r="142" spans="1:22" ht="14.65" customHeight="1" outlineLevel="3" x14ac:dyDescent="0.25">
      <c r="G142" s="416" t="str">
        <f>'Folha de cálculo'!E142</f>
        <v>2.2.5.1</v>
      </c>
      <c r="H142" s="416" t="str">
        <f>'Folha de cálculo'!F142</f>
        <v>não apresentam indícios de fuga</v>
      </c>
      <c r="I142" s="416"/>
      <c r="J142" s="431"/>
      <c r="K142" s="418" t="str">
        <f t="shared" si="47"/>
        <v/>
      </c>
      <c r="M142" s="418" t="str">
        <f>IF(ISBLANK(K142),"",K142)</f>
        <v/>
      </c>
      <c r="N142"/>
      <c r="P142" s="418" t="str">
        <f>IF(ISBLANK(M142),"",M142)</f>
        <v/>
      </c>
      <c r="Q142"/>
      <c r="S142" s="475"/>
      <c r="T142" s="475"/>
      <c r="U142" s="475"/>
      <c r="V142" s="475"/>
    </row>
    <row r="143" spans="1:22" outlineLevel="3" x14ac:dyDescent="0.25">
      <c r="G143" s="416" t="str">
        <f>'Folha de cálculo'!E143</f>
        <v>2.2.5.2</v>
      </c>
      <c r="H143" s="416" t="str">
        <f>'Folha de cálculo'!F143</f>
        <v>apresentam indícios de fuga (justifique)</v>
      </c>
      <c r="I143" s="416"/>
      <c r="J143" s="431"/>
      <c r="K143" s="418" t="str">
        <f t="shared" si="47"/>
        <v/>
      </c>
      <c r="M143" s="418" t="str">
        <f t="shared" ref="M143:M145" si="58">IF(ISBLANK(K143),"",K143)</f>
        <v/>
      </c>
      <c r="N143"/>
      <c r="P143" s="418" t="str">
        <f t="shared" ref="P143:P145" si="59">IF(ISBLANK(M143),"",M143)</f>
        <v/>
      </c>
      <c r="Q143"/>
      <c r="S143" s="475"/>
      <c r="T143" s="475"/>
      <c r="U143" s="475"/>
      <c r="V143" s="475"/>
    </row>
    <row r="144" spans="1:22" outlineLevel="3" x14ac:dyDescent="0.25">
      <c r="G144" s="416" t="str">
        <f>'Folha de cálculo'!E144</f>
        <v>2.2.5.3</v>
      </c>
      <c r="H144" s="416" t="str">
        <f>'Folha de cálculo'!F144</f>
        <v>apresentam evidências de fuga</v>
      </c>
      <c r="I144" s="416"/>
      <c r="J144" s="431"/>
      <c r="K144" s="418" t="str">
        <f t="shared" si="47"/>
        <v/>
      </c>
      <c r="M144" s="418" t="str">
        <f t="shared" si="58"/>
        <v/>
      </c>
      <c r="N144"/>
      <c r="P144" s="418" t="str">
        <f t="shared" si="59"/>
        <v/>
      </c>
      <c r="Q144"/>
      <c r="S144" s="475"/>
      <c r="T144" s="475"/>
      <c r="U144" s="475"/>
      <c r="V144" s="475"/>
    </row>
    <row r="145" spans="1:22" outlineLevel="3" x14ac:dyDescent="0.25">
      <c r="G145" s="416" t="str">
        <f>'Folha de cálculo'!E145</f>
        <v>2.2.5.4</v>
      </c>
      <c r="H145" s="416" t="str">
        <f>'Folha de cálculo'!F145</f>
        <v>Não foi possível determinar (justifique)</v>
      </c>
      <c r="I145" s="416"/>
      <c r="J145" s="431"/>
      <c r="K145" s="418" t="str">
        <f t="shared" si="47"/>
        <v/>
      </c>
      <c r="M145" s="418" t="str">
        <f t="shared" si="58"/>
        <v/>
      </c>
      <c r="N145"/>
      <c r="P145" s="418" t="str">
        <f t="shared" si="59"/>
        <v/>
      </c>
      <c r="Q145"/>
      <c r="S145" s="475"/>
      <c r="T145" s="475"/>
      <c r="U145" s="475"/>
      <c r="V145" s="475"/>
    </row>
    <row r="146" spans="1:22" x14ac:dyDescent="0.25">
      <c r="D146"/>
      <c r="J146" s="400"/>
      <c r="K146" s="400"/>
      <c r="M146" s="400"/>
      <c r="N146"/>
      <c r="P146" s="400"/>
      <c r="Q146"/>
      <c r="S146" s="476"/>
      <c r="T146" s="476"/>
      <c r="U146" s="476"/>
      <c r="V146" s="476"/>
    </row>
    <row r="147" spans="1:22" x14ac:dyDescent="0.25">
      <c r="D147" s="7">
        <f>'Folha de cálculo'!B147</f>
        <v>3</v>
      </c>
      <c r="E147" s="398" t="str">
        <f>'Folha de cálculo'!C147</f>
        <v>Piscinas e SPA's</v>
      </c>
      <c r="F147" s="398"/>
      <c r="G147" s="398"/>
      <c r="H147" s="398"/>
      <c r="I147" s="398"/>
      <c r="J147" s="399"/>
      <c r="K147" s="399"/>
      <c r="M147" s="399"/>
      <c r="N147"/>
      <c r="P147" s="399"/>
      <c r="Q147"/>
      <c r="S147" s="489"/>
      <c r="T147" s="489"/>
      <c r="U147" s="489"/>
      <c r="V147" s="489"/>
    </row>
    <row r="148" spans="1:22" outlineLevel="1" x14ac:dyDescent="0.25">
      <c r="D148"/>
      <c r="J148" s="432"/>
      <c r="K148" s="432"/>
      <c r="M148" s="432"/>
      <c r="N148"/>
      <c r="P148" s="432"/>
      <c r="Q148"/>
      <c r="S148" s="476"/>
      <c r="T148" s="476"/>
      <c r="U148" s="476"/>
      <c r="V148" s="476"/>
    </row>
    <row r="149" spans="1:22" ht="15.75" outlineLevel="1" thickBot="1" x14ac:dyDescent="0.3">
      <c r="D149" s="433"/>
      <c r="E149" s="8" t="str">
        <f>'Folha de cálculo'!C149</f>
        <v>3.1</v>
      </c>
      <c r="F149" s="8" t="str">
        <f>'Folha de cálculo'!D149</f>
        <v>Piscinas aquecidas e não aquecidas</v>
      </c>
      <c r="G149" s="8"/>
      <c r="H149" s="8"/>
      <c r="I149" s="8"/>
      <c r="J149" s="403"/>
      <c r="K149" s="404"/>
      <c r="M149" s="403"/>
      <c r="N149"/>
      <c r="P149" s="403"/>
      <c r="Q149"/>
      <c r="S149" s="478"/>
      <c r="T149" s="479"/>
      <c r="U149" s="479"/>
      <c r="V149" s="480"/>
    </row>
    <row r="150" spans="1:22" ht="14.65" customHeight="1" outlineLevel="2" thickBot="1" x14ac:dyDescent="0.3">
      <c r="A150" s="401"/>
      <c r="B150" s="405">
        <f>IF(SUM('Registo de informação'!B123:B147)=0,0,1)</f>
        <v>0</v>
      </c>
      <c r="C150" s="401"/>
      <c r="E150" s="401"/>
      <c r="F150" s="407" t="str">
        <f>'Folha de cálculo'!D150</f>
        <v>3.1.1</v>
      </c>
      <c r="G150" s="407" t="str">
        <f>'Folha de cálculo'!E150</f>
        <v>A taxa de renovação da água da piscina é promovida por um sistema…</v>
      </c>
      <c r="H150" s="407"/>
      <c r="I150" s="407"/>
      <c r="J150" s="408" t="s">
        <v>731</v>
      </c>
      <c r="K150" s="409" t="s">
        <v>731</v>
      </c>
      <c r="M150" s="408" t="s">
        <v>731</v>
      </c>
      <c r="N150"/>
      <c r="P150" s="408" t="s">
        <v>731</v>
      </c>
      <c r="Q150"/>
      <c r="S150" s="477"/>
      <c r="T150" s="477"/>
      <c r="U150" s="477"/>
      <c r="V150" s="477"/>
    </row>
    <row r="151" spans="1:22" outlineLevel="3" x14ac:dyDescent="0.25">
      <c r="F151" s="413"/>
      <c r="G151" s="410" t="str">
        <f>'Folha de cálculo'!E151</f>
        <v>3.1.1.1</v>
      </c>
      <c r="H151" s="410" t="str">
        <f>'Folha de cálculo'!F151</f>
        <v>biológico ou recorrendo a água do mar</v>
      </c>
      <c r="I151" s="410"/>
      <c r="J151" s="418"/>
      <c r="K151" s="418" t="str">
        <f t="shared" ref="K151:K158" si="60">IF(ISBLANK(J151),"",J151)</f>
        <v/>
      </c>
      <c r="M151" s="418" t="str">
        <f>IF(ISBLANK(K151),"",K151)</f>
        <v/>
      </c>
      <c r="N151"/>
      <c r="P151" s="418" t="str">
        <f>IF(ISBLANK(M151),"",M151)</f>
        <v/>
      </c>
      <c r="Q151"/>
      <c r="S151" s="475"/>
      <c r="T151" s="475"/>
      <c r="U151" s="475"/>
      <c r="V151" s="475"/>
    </row>
    <row r="152" spans="1:22" outlineLevel="3" x14ac:dyDescent="0.25">
      <c r="E152" s="5"/>
      <c r="F152" s="413"/>
      <c r="G152" s="410" t="str">
        <f>'Folha de cálculo'!E152</f>
        <v>3.1.1.2</v>
      </c>
      <c r="H152" s="410" t="str">
        <f>'Folha de cálculo'!F152</f>
        <v>inteligente de tratamento (em função da qualidade de água da piscina ou similar)</v>
      </c>
      <c r="I152" s="410"/>
      <c r="J152" s="418"/>
      <c r="K152" s="418" t="str">
        <f t="shared" si="60"/>
        <v/>
      </c>
      <c r="M152" s="418" t="str">
        <f t="shared" ref="M152:M158" si="61">IF(ISBLANK(K152),"",K152)</f>
        <v/>
      </c>
      <c r="N152"/>
      <c r="P152" s="418" t="str">
        <f t="shared" ref="P152:P158" si="62">IF(ISBLANK(M152),"",M152)</f>
        <v/>
      </c>
      <c r="Q152"/>
      <c r="S152" s="475"/>
      <c r="T152" s="475"/>
      <c r="U152" s="475"/>
      <c r="V152" s="475"/>
    </row>
    <row r="153" spans="1:22" outlineLevel="3" x14ac:dyDescent="0.25">
      <c r="E153" s="5"/>
      <c r="F153" s="413"/>
      <c r="G153" s="410" t="str">
        <f>'Folha de cálculo'!E153</f>
        <v>3.1.1.3</v>
      </c>
      <c r="H153" s="410" t="str">
        <f>'Folha de cálculo'!F153</f>
        <v>automático de tratamento complementado com UV ou ozono</v>
      </c>
      <c r="I153" s="410"/>
      <c r="J153" s="418"/>
      <c r="K153" s="418" t="str">
        <f t="shared" si="60"/>
        <v/>
      </c>
      <c r="M153" s="418" t="str">
        <f t="shared" si="61"/>
        <v/>
      </c>
      <c r="N153"/>
      <c r="P153" s="418" t="str">
        <f t="shared" si="62"/>
        <v/>
      </c>
      <c r="Q153"/>
      <c r="S153" s="475"/>
      <c r="T153" s="475"/>
      <c r="U153" s="475"/>
      <c r="V153" s="475"/>
    </row>
    <row r="154" spans="1:22" outlineLevel="3" x14ac:dyDescent="0.25">
      <c r="F154" s="413"/>
      <c r="G154" s="410" t="str">
        <f>'Folha de cálculo'!E154</f>
        <v>3.1.1.4</v>
      </c>
      <c r="H154" s="410" t="str">
        <f>'Folha de cálculo'!F154</f>
        <v>automático de tratamento convencional (pH, cloro, sal)</v>
      </c>
      <c r="I154" s="410"/>
      <c r="J154" s="418"/>
      <c r="K154" s="418" t="str">
        <f t="shared" si="60"/>
        <v/>
      </c>
      <c r="M154" s="418" t="str">
        <f t="shared" si="61"/>
        <v/>
      </c>
      <c r="N154"/>
      <c r="P154" s="418" t="str">
        <f t="shared" si="62"/>
        <v/>
      </c>
      <c r="Q154"/>
      <c r="S154" s="475"/>
      <c r="T154" s="475"/>
      <c r="U154" s="475"/>
      <c r="V154" s="475"/>
    </row>
    <row r="155" spans="1:22" outlineLevel="3" x14ac:dyDescent="0.25">
      <c r="F155" s="413"/>
      <c r="G155" s="410" t="str">
        <f>'Folha de cálculo'!E155</f>
        <v>3.1.1.5</v>
      </c>
      <c r="H155" s="410" t="str">
        <f>'Folha de cálculo'!F155</f>
        <v>manual de tratamento complementado com UV ou ozono</v>
      </c>
      <c r="I155" s="410"/>
      <c r="J155" s="418"/>
      <c r="K155" s="418" t="str">
        <f t="shared" si="60"/>
        <v/>
      </c>
      <c r="M155" s="418" t="str">
        <f t="shared" si="61"/>
        <v/>
      </c>
      <c r="N155"/>
      <c r="P155" s="418" t="str">
        <f t="shared" si="62"/>
        <v/>
      </c>
      <c r="Q155"/>
      <c r="S155" s="475"/>
      <c r="T155" s="475"/>
      <c r="U155" s="475"/>
      <c r="V155" s="475"/>
    </row>
    <row r="156" spans="1:22" outlineLevel="3" x14ac:dyDescent="0.25">
      <c r="F156" s="413"/>
      <c r="G156" s="410" t="str">
        <f>'Folha de cálculo'!E156</f>
        <v>3.1.1.6</v>
      </c>
      <c r="H156" s="410" t="str">
        <f>'Folha de cálculo'!F156</f>
        <v>manual de tratamento convencional (pH, cloro, sal)</v>
      </c>
      <c r="I156" s="410"/>
      <c r="J156" s="418"/>
      <c r="K156" s="418" t="str">
        <f t="shared" si="60"/>
        <v/>
      </c>
      <c r="M156" s="418" t="str">
        <f t="shared" si="61"/>
        <v/>
      </c>
      <c r="N156"/>
      <c r="P156" s="418" t="str">
        <f t="shared" si="62"/>
        <v/>
      </c>
      <c r="Q156"/>
      <c r="S156" s="475"/>
      <c r="T156" s="475"/>
      <c r="U156" s="475"/>
      <c r="V156" s="475"/>
    </row>
    <row r="157" spans="1:22" outlineLevel="3" x14ac:dyDescent="0.25">
      <c r="F157" s="413"/>
      <c r="G157" s="410" t="str">
        <f>'Folha de cálculo'!E157</f>
        <v>3.1.1.7</v>
      </c>
      <c r="H157" s="410" t="str">
        <f>'Folha de cálculo'!F157</f>
        <v>Nenhuma das opções anteriores</v>
      </c>
      <c r="I157" s="410"/>
      <c r="J157" s="418"/>
      <c r="K157" s="418" t="str">
        <f t="shared" si="60"/>
        <v/>
      </c>
      <c r="M157" s="418" t="str">
        <f t="shared" si="61"/>
        <v/>
      </c>
      <c r="N157"/>
      <c r="P157" s="418" t="str">
        <f t="shared" si="62"/>
        <v/>
      </c>
      <c r="Q157"/>
      <c r="S157" s="475"/>
      <c r="T157" s="475"/>
      <c r="U157" s="475"/>
      <c r="V157" s="475"/>
    </row>
    <row r="158" spans="1:22" ht="15.75" outlineLevel="3" thickBot="1" x14ac:dyDescent="0.3">
      <c r="F158" s="413"/>
      <c r="G158" s="410" t="str">
        <f>'Folha de cálculo'!E158</f>
        <v>3.1.1.8</v>
      </c>
      <c r="H158" s="410" t="str">
        <f>'Folha de cálculo'!F158</f>
        <v>Não foi possível determinar (justifique)</v>
      </c>
      <c r="I158" s="410"/>
      <c r="J158" s="418"/>
      <c r="K158" s="418" t="str">
        <f t="shared" si="60"/>
        <v/>
      </c>
      <c r="M158" s="418" t="str">
        <f t="shared" si="61"/>
        <v/>
      </c>
      <c r="N158"/>
      <c r="P158" s="418" t="str">
        <f t="shared" si="62"/>
        <v/>
      </c>
      <c r="Q158"/>
      <c r="S158" s="475"/>
      <c r="T158" s="475"/>
      <c r="U158" s="475"/>
      <c r="V158" s="475"/>
    </row>
    <row r="159" spans="1:22" ht="14.65" customHeight="1" outlineLevel="2" thickBot="1" x14ac:dyDescent="0.3">
      <c r="B159" s="405">
        <f>IF(SUM('Registo de informação'!B123:B147)=0,0,1)</f>
        <v>0</v>
      </c>
      <c r="E159" s="401"/>
      <c r="F159" s="407" t="str">
        <f>'Folha de cálculo'!D159</f>
        <v>3.1.2</v>
      </c>
      <c r="G159" s="482" t="str">
        <f>'Folha de cálculo'!E159</f>
        <v>O sistema de filtração tem uma média filtrante constituida por…</v>
      </c>
      <c r="H159" s="482"/>
      <c r="I159" s="482"/>
      <c r="J159" s="408" t="s">
        <v>731</v>
      </c>
      <c r="K159" s="409" t="s">
        <v>731</v>
      </c>
      <c r="M159" s="408" t="s">
        <v>731</v>
      </c>
      <c r="N159"/>
      <c r="P159" s="408" t="s">
        <v>731</v>
      </c>
      <c r="Q159"/>
      <c r="S159" s="477"/>
      <c r="T159" s="477"/>
      <c r="U159" s="477"/>
      <c r="V159" s="477"/>
    </row>
    <row r="160" spans="1:22" outlineLevel="3" x14ac:dyDescent="0.25">
      <c r="F160" s="413"/>
      <c r="G160" s="410" t="str">
        <f>'Folha de cálculo'!E160</f>
        <v>3.1.2.1</v>
      </c>
      <c r="H160" s="410" t="str">
        <f>'Folha de cálculo'!F160</f>
        <v>OC - 1</v>
      </c>
      <c r="I160" s="410"/>
      <c r="J160" s="434"/>
      <c r="K160" s="418" t="str">
        <f t="shared" ref="K160:K165" si="63">IF(ISBLANK(J160),"",J160)</f>
        <v/>
      </c>
      <c r="M160" s="418" t="str">
        <f>IF(ISBLANK(K160),"",K160)</f>
        <v/>
      </c>
      <c r="N160"/>
      <c r="P160" s="418" t="str">
        <f>IF(ISBLANK(M160),"",M160)</f>
        <v/>
      </c>
      <c r="Q160"/>
      <c r="S160" s="475"/>
      <c r="T160" s="475"/>
      <c r="U160" s="475"/>
      <c r="V160" s="475"/>
    </row>
    <row r="161" spans="2:22" outlineLevel="3" x14ac:dyDescent="0.25">
      <c r="F161" s="413"/>
      <c r="G161" s="410" t="str">
        <f>'Folha de cálculo'!E161</f>
        <v>3.1.2.2</v>
      </c>
      <c r="H161" s="410" t="str">
        <f>'Folha de cálculo'!F161</f>
        <v>vidro</v>
      </c>
      <c r="I161" s="410"/>
      <c r="J161" s="434"/>
      <c r="K161" s="418" t="str">
        <f t="shared" si="63"/>
        <v/>
      </c>
      <c r="M161" s="418" t="str">
        <f t="shared" ref="M161:M165" si="64">IF(ISBLANK(K161),"",K161)</f>
        <v/>
      </c>
      <c r="N161"/>
      <c r="P161" s="418" t="str">
        <f t="shared" ref="P161:P165" si="65">IF(ISBLANK(M161),"",M161)</f>
        <v/>
      </c>
      <c r="Q161"/>
      <c r="S161" s="475"/>
      <c r="T161" s="475"/>
      <c r="U161" s="475"/>
      <c r="V161" s="475"/>
    </row>
    <row r="162" spans="2:22" outlineLevel="3" x14ac:dyDescent="0.25">
      <c r="F162" s="413"/>
      <c r="G162" s="410" t="str">
        <f>'Folha de cálculo'!E162</f>
        <v>3.1.2.3</v>
      </c>
      <c r="H162" s="410" t="str">
        <f>'Folha de cálculo'!F162</f>
        <v>areia e antracite</v>
      </c>
      <c r="I162" s="410"/>
      <c r="J162" s="434"/>
      <c r="K162" s="418" t="str">
        <f t="shared" si="63"/>
        <v/>
      </c>
      <c r="M162" s="418" t="str">
        <f t="shared" si="64"/>
        <v/>
      </c>
      <c r="N162"/>
      <c r="P162" s="418" t="str">
        <f t="shared" si="65"/>
        <v/>
      </c>
      <c r="Q162"/>
      <c r="S162" s="475"/>
      <c r="T162" s="475"/>
      <c r="U162" s="475"/>
      <c r="V162" s="475"/>
    </row>
    <row r="163" spans="2:22" outlineLevel="3" x14ac:dyDescent="0.25">
      <c r="F163" s="413"/>
      <c r="G163" s="410" t="str">
        <f>'Folha de cálculo'!E163</f>
        <v>3.1.2.4</v>
      </c>
      <c r="H163" s="410" t="str">
        <f>'Folha de cálculo'!F163</f>
        <v>areia</v>
      </c>
      <c r="I163" s="410"/>
      <c r="J163" s="434"/>
      <c r="K163" s="418" t="str">
        <f t="shared" si="63"/>
        <v/>
      </c>
      <c r="M163" s="418" t="str">
        <f t="shared" si="64"/>
        <v/>
      </c>
      <c r="N163"/>
      <c r="P163" s="418" t="str">
        <f t="shared" si="65"/>
        <v/>
      </c>
      <c r="Q163"/>
      <c r="S163" s="475"/>
      <c r="T163" s="475"/>
      <c r="U163" s="475"/>
      <c r="V163" s="475"/>
    </row>
    <row r="164" spans="2:22" outlineLevel="3" x14ac:dyDescent="0.25">
      <c r="F164" s="413"/>
      <c r="G164" s="410" t="str">
        <f>'Folha de cálculo'!E164</f>
        <v>3.1.2.5</v>
      </c>
      <c r="H164" s="410" t="str">
        <f>'Folha de cálculo'!F164</f>
        <v>Nenhuma das opções anteriores</v>
      </c>
      <c r="I164" s="410"/>
      <c r="J164" s="434"/>
      <c r="K164" s="418" t="str">
        <f t="shared" si="63"/>
        <v/>
      </c>
      <c r="M164" s="418" t="str">
        <f t="shared" si="64"/>
        <v/>
      </c>
      <c r="N164"/>
      <c r="P164" s="418" t="str">
        <f t="shared" si="65"/>
        <v/>
      </c>
      <c r="Q164"/>
      <c r="S164" s="475"/>
      <c r="T164" s="475"/>
      <c r="U164" s="475"/>
      <c r="V164" s="475"/>
    </row>
    <row r="165" spans="2:22" ht="15.75" outlineLevel="3" thickBot="1" x14ac:dyDescent="0.3">
      <c r="F165" s="413"/>
      <c r="G165" s="410" t="str">
        <f>'Folha de cálculo'!E165</f>
        <v>3.1.2.6</v>
      </c>
      <c r="H165" s="410" t="str">
        <f>'Folha de cálculo'!F165</f>
        <v>Não foi possível determinar (justifique)</v>
      </c>
      <c r="I165" s="410"/>
      <c r="J165" s="434"/>
      <c r="K165" s="418" t="str">
        <f t="shared" si="63"/>
        <v/>
      </c>
      <c r="M165" s="418" t="str">
        <f t="shared" si="64"/>
        <v/>
      </c>
      <c r="N165"/>
      <c r="P165" s="418" t="str">
        <f t="shared" si="65"/>
        <v/>
      </c>
      <c r="Q165"/>
      <c r="S165" s="475"/>
      <c r="T165" s="475"/>
      <c r="U165" s="475"/>
      <c r="V165" s="475"/>
    </row>
    <row r="166" spans="2:22" ht="14.65" customHeight="1" outlineLevel="2" thickBot="1" x14ac:dyDescent="0.3">
      <c r="B166" s="405">
        <f>IF(SUM('Registo de informação'!B123:B147)=0,0,IF('Registo de informação'!B9&lt;&gt;'Folha Oculta'!AL9,0,1))</f>
        <v>0</v>
      </c>
      <c r="C166" s="5"/>
      <c r="E166" s="401"/>
      <c r="F166" s="407" t="str">
        <f>'Folha de cálculo'!D166</f>
        <v>3.1.3</v>
      </c>
      <c r="G166" s="482" t="str">
        <f>'Folha de cálculo'!E166</f>
        <v>A taxa de renovação diária da água da piscina apresenta um consumo de água correspondente a…</v>
      </c>
      <c r="H166" s="482"/>
      <c r="I166" s="482"/>
      <c r="J166" s="408" t="s">
        <v>731</v>
      </c>
      <c r="K166" s="409" t="s">
        <v>731</v>
      </c>
      <c r="M166" s="408" t="s">
        <v>731</v>
      </c>
      <c r="N166"/>
      <c r="P166" s="408" t="s">
        <v>731</v>
      </c>
      <c r="Q166"/>
      <c r="S166" s="477"/>
      <c r="T166" s="477"/>
      <c r="U166" s="477"/>
      <c r="V166" s="477"/>
    </row>
    <row r="167" spans="2:22" outlineLevel="3" x14ac:dyDescent="0.25">
      <c r="F167" s="413"/>
      <c r="G167" s="410" t="str">
        <f>'Folha de cálculo'!E167</f>
        <v>3.1.3.1</v>
      </c>
      <c r="H167" s="410" t="str">
        <f>'Folha de cálculo'!F167</f>
        <v>3% ou menos do volume da piscina</v>
      </c>
      <c r="I167" s="410"/>
      <c r="J167" s="434"/>
      <c r="K167" s="418" t="str">
        <f t="shared" ref="K167:K172" si="66">IF(ISBLANK(J167),"",J167)</f>
        <v/>
      </c>
      <c r="M167" s="418" t="str">
        <f t="shared" ref="M167:M172" si="67">IF(ISBLANK(K167),"",K167)</f>
        <v/>
      </c>
      <c r="N167"/>
      <c r="P167" s="418" t="str">
        <f t="shared" ref="P167:P172" si="68">IF(ISBLANK(M167),"",M167)</f>
        <v/>
      </c>
      <c r="Q167"/>
      <c r="S167" s="475"/>
      <c r="T167" s="475"/>
      <c r="U167" s="475"/>
      <c r="V167" s="475"/>
    </row>
    <row r="168" spans="2:22" outlineLevel="3" x14ac:dyDescent="0.25">
      <c r="F168" s="413"/>
      <c r="G168" s="410" t="str">
        <f>'Folha de cálculo'!E168</f>
        <v>3.1.3.2</v>
      </c>
      <c r="H168" s="410" t="str">
        <f>'Folha de cálculo'!F168</f>
        <v>entre ]3% e 4%] do volume da piscina</v>
      </c>
      <c r="I168" s="410"/>
      <c r="J168" s="434"/>
      <c r="K168" s="418" t="str">
        <f t="shared" si="66"/>
        <v/>
      </c>
      <c r="M168" s="418" t="str">
        <f t="shared" si="67"/>
        <v/>
      </c>
      <c r="N168"/>
      <c r="P168" s="418" t="str">
        <f t="shared" si="68"/>
        <v/>
      </c>
      <c r="Q168"/>
      <c r="S168" s="475"/>
      <c r="T168" s="475"/>
      <c r="U168" s="475"/>
      <c r="V168" s="475"/>
    </row>
    <row r="169" spans="2:22" outlineLevel="3" x14ac:dyDescent="0.25">
      <c r="F169" s="413"/>
      <c r="G169" s="410" t="str">
        <f>'Folha de cálculo'!E169</f>
        <v>3.1.3.3</v>
      </c>
      <c r="H169" s="410" t="str">
        <f>'Folha de cálculo'!F169</f>
        <v>entre ]4% e 5%] do volume da piscina</v>
      </c>
      <c r="I169" s="410"/>
      <c r="J169" s="434"/>
      <c r="K169" s="418" t="str">
        <f t="shared" si="66"/>
        <v/>
      </c>
      <c r="M169" s="418" t="str">
        <f t="shared" si="67"/>
        <v/>
      </c>
      <c r="N169"/>
      <c r="P169" s="418" t="str">
        <f t="shared" si="68"/>
        <v/>
      </c>
      <c r="Q169"/>
      <c r="S169" s="475"/>
      <c r="T169" s="475"/>
      <c r="U169" s="475"/>
      <c r="V169" s="475"/>
    </row>
    <row r="170" spans="2:22" outlineLevel="3" x14ac:dyDescent="0.25">
      <c r="F170" s="413"/>
      <c r="G170" s="410" t="str">
        <f>'Folha de cálculo'!E170</f>
        <v>3.1.3.4</v>
      </c>
      <c r="H170" s="410" t="str">
        <f>'Folha de cálculo'!F170</f>
        <v>superior a 5% do volume da piscina</v>
      </c>
      <c r="I170" s="410"/>
      <c r="J170" s="434"/>
      <c r="K170" s="418" t="str">
        <f t="shared" si="66"/>
        <v/>
      </c>
      <c r="M170" s="418" t="str">
        <f t="shared" si="67"/>
        <v/>
      </c>
      <c r="N170"/>
      <c r="P170" s="418" t="str">
        <f t="shared" si="68"/>
        <v/>
      </c>
      <c r="Q170"/>
      <c r="S170" s="475"/>
      <c r="T170" s="475"/>
      <c r="U170" s="475"/>
      <c r="V170" s="475"/>
    </row>
    <row r="171" spans="2:22" outlineLevel="3" x14ac:dyDescent="0.25">
      <c r="F171" s="413"/>
      <c r="G171" s="410" t="str">
        <f>'Folha de cálculo'!E171</f>
        <v>3.1.3.5</v>
      </c>
      <c r="H171" s="410" t="str">
        <f>'Folha de cálculo'!F171</f>
        <v>Nenhuma das opções anteriores</v>
      </c>
      <c r="I171" s="410"/>
      <c r="J171" s="434"/>
      <c r="K171" s="418" t="str">
        <f t="shared" si="66"/>
        <v/>
      </c>
      <c r="M171" s="418" t="str">
        <f t="shared" si="67"/>
        <v/>
      </c>
      <c r="N171"/>
      <c r="P171" s="418" t="str">
        <f t="shared" si="68"/>
        <v/>
      </c>
      <c r="Q171"/>
      <c r="S171" s="475"/>
      <c r="T171" s="475"/>
      <c r="U171" s="475"/>
      <c r="V171" s="475"/>
    </row>
    <row r="172" spans="2:22" ht="15.75" outlineLevel="3" thickBot="1" x14ac:dyDescent="0.3">
      <c r="F172" s="413"/>
      <c r="G172" s="410" t="str">
        <f>'Folha de cálculo'!E172</f>
        <v>3.1.3.6</v>
      </c>
      <c r="H172" s="410" t="str">
        <f>'Folha de cálculo'!F172</f>
        <v>Não foi possível determinar (justifique)</v>
      </c>
      <c r="I172" s="410"/>
      <c r="J172" s="434"/>
      <c r="K172" s="418" t="str">
        <f t="shared" si="66"/>
        <v/>
      </c>
      <c r="M172" s="418" t="str">
        <f t="shared" si="67"/>
        <v/>
      </c>
      <c r="N172"/>
      <c r="P172" s="418" t="str">
        <f t="shared" si="68"/>
        <v/>
      </c>
      <c r="Q172"/>
      <c r="S172" s="475"/>
      <c r="T172" s="475"/>
      <c r="U172" s="475"/>
      <c r="V172" s="475"/>
    </row>
    <row r="173" spans="2:22" ht="15.75" outlineLevel="2" thickBot="1" x14ac:dyDescent="0.3">
      <c r="B173" s="405">
        <f>IF(SUM('Registo de informação'!B123:B147)=0,0,1)</f>
        <v>0</v>
      </c>
      <c r="F173" s="407" t="str">
        <f>'Folha de cálculo'!D173</f>
        <v>3.1.4</v>
      </c>
      <c r="G173" s="415" t="str">
        <f>'Folha de cálculo'!E173</f>
        <v>A verificação de fugas no sistema de circulação é realizada com base…</v>
      </c>
      <c r="H173" s="415"/>
      <c r="I173" s="415"/>
      <c r="J173" s="408" t="s">
        <v>731</v>
      </c>
      <c r="K173" s="424" t="s">
        <v>731</v>
      </c>
      <c r="M173" s="425" t="s">
        <v>731</v>
      </c>
      <c r="N173"/>
      <c r="P173" s="425" t="s">
        <v>731</v>
      </c>
      <c r="Q173"/>
      <c r="S173" s="477"/>
      <c r="T173" s="477"/>
      <c r="U173" s="477"/>
      <c r="V173" s="477"/>
    </row>
    <row r="174" spans="2:22" ht="14.65" customHeight="1" outlineLevel="3" x14ac:dyDescent="0.25">
      <c r="G174" s="410" t="str">
        <f>'Folha de cálculo'!E174</f>
        <v>3.1.4.1</v>
      </c>
      <c r="H174" s="416" t="str">
        <f>'Folha de cálculo'!F174</f>
        <v>num sistema de monitorização</v>
      </c>
      <c r="I174" s="416"/>
      <c r="J174" s="417"/>
      <c r="K174" s="418" t="str">
        <f t="shared" ref="K174:K178" si="69">IF(ISBLANK(J174),"",J174)</f>
        <v/>
      </c>
      <c r="M174" s="418" t="str">
        <f>IF(ISBLANK(K174),"",K174)</f>
        <v/>
      </c>
      <c r="N174"/>
      <c r="P174" s="418" t="str">
        <f>IF(ISBLANK(M174),"",M174)</f>
        <v/>
      </c>
      <c r="Q174"/>
      <c r="S174" s="475"/>
      <c r="T174" s="475"/>
      <c r="U174" s="475"/>
      <c r="V174" s="475"/>
    </row>
    <row r="175" spans="2:22" outlineLevel="3" x14ac:dyDescent="0.25">
      <c r="G175" s="410" t="str">
        <f>'Folha de cálculo'!E175</f>
        <v>3.1.4.2</v>
      </c>
      <c r="H175" s="416" t="str">
        <f>'Folha de cálculo'!F175</f>
        <v>na comparação de faturas</v>
      </c>
      <c r="I175" s="416"/>
      <c r="J175" s="417"/>
      <c r="K175" s="418" t="str">
        <f t="shared" si="69"/>
        <v/>
      </c>
      <c r="M175" s="418" t="str">
        <f t="shared" ref="M175:M178" si="70">IF(ISBLANK(K175),"",K175)</f>
        <v/>
      </c>
      <c r="N175"/>
      <c r="P175" s="418" t="str">
        <f t="shared" ref="P175:P178" si="71">IF(ISBLANK(M175),"",M175)</f>
        <v/>
      </c>
      <c r="Q175"/>
      <c r="S175" s="475"/>
      <c r="T175" s="475"/>
      <c r="U175" s="475"/>
      <c r="V175" s="475"/>
    </row>
    <row r="176" spans="2:22" outlineLevel="3" x14ac:dyDescent="0.25">
      <c r="G176" s="410" t="str">
        <f>'Folha de cálculo'!E176</f>
        <v>3.1.4.3</v>
      </c>
      <c r="H176" s="416" t="str">
        <f>'Folha de cálculo'!F176</f>
        <v>em inspeção visual</v>
      </c>
      <c r="I176" s="416"/>
      <c r="J176" s="417"/>
      <c r="K176" s="418" t="str">
        <f t="shared" si="69"/>
        <v/>
      </c>
      <c r="M176" s="418" t="str">
        <f t="shared" ref="M176" si="72">IF(ISBLANK(K176),"",K176)</f>
        <v/>
      </c>
      <c r="N176"/>
      <c r="P176" s="418" t="str">
        <f t="shared" ref="P176" si="73">IF(ISBLANK(M176),"",M176)</f>
        <v/>
      </c>
      <c r="Q176"/>
      <c r="S176" s="475"/>
      <c r="T176" s="475"/>
      <c r="U176" s="475"/>
      <c r="V176" s="475"/>
    </row>
    <row r="177" spans="2:22" outlineLevel="3" x14ac:dyDescent="0.25">
      <c r="G177" s="410" t="str">
        <f>'Folha de cálculo'!E177</f>
        <v>3.1.4.4</v>
      </c>
      <c r="H177" s="410" t="str">
        <f>'Folha de cálculo'!F177</f>
        <v>Nenhuma das opções anteriores</v>
      </c>
      <c r="I177" s="416"/>
      <c r="J177" s="417"/>
      <c r="K177" s="418" t="str">
        <f t="shared" si="69"/>
        <v/>
      </c>
      <c r="M177" s="418" t="str">
        <f t="shared" si="70"/>
        <v/>
      </c>
      <c r="N177"/>
      <c r="P177" s="418" t="str">
        <f t="shared" si="71"/>
        <v/>
      </c>
      <c r="Q177"/>
      <c r="S177" s="475"/>
      <c r="T177" s="475"/>
      <c r="U177" s="475"/>
      <c r="V177" s="475"/>
    </row>
    <row r="178" spans="2:22" ht="15.75" outlineLevel="3" thickBot="1" x14ac:dyDescent="0.3">
      <c r="G178" s="410" t="str">
        <f>'Folha de cálculo'!E178</f>
        <v>3.1.4.5</v>
      </c>
      <c r="H178" s="416" t="str">
        <f>'Folha de cálculo'!F178</f>
        <v>Não foi possível determinar (justifique)</v>
      </c>
      <c r="I178" s="416"/>
      <c r="J178" s="417"/>
      <c r="K178" s="418" t="str">
        <f t="shared" si="69"/>
        <v/>
      </c>
      <c r="M178" s="418" t="str">
        <f t="shared" si="70"/>
        <v/>
      </c>
      <c r="N178"/>
      <c r="P178" s="418" t="str">
        <f t="shared" si="71"/>
        <v/>
      </c>
      <c r="Q178"/>
      <c r="S178" s="475"/>
      <c r="T178" s="475"/>
      <c r="U178" s="475"/>
      <c r="V178" s="475"/>
    </row>
    <row r="179" spans="2:22" ht="14.65" customHeight="1" outlineLevel="2" thickBot="1" x14ac:dyDescent="0.3">
      <c r="B179" s="405">
        <f>IF(SUM('Registo de informação'!B123:B147)=0,0,1)</f>
        <v>0</v>
      </c>
      <c r="E179" s="401"/>
      <c r="F179" s="407" t="str">
        <f>'Folha de cálculo'!D179</f>
        <v>3.1.5</v>
      </c>
      <c r="G179" s="487" t="str">
        <f>'Folha de cálculo'!E179</f>
        <v>A piscina dispõe de…</v>
      </c>
      <c r="H179" s="487"/>
      <c r="I179" s="487"/>
      <c r="J179" s="408" t="s">
        <v>732</v>
      </c>
      <c r="K179" s="409" t="s">
        <v>732</v>
      </c>
      <c r="M179" s="408" t="s">
        <v>732</v>
      </c>
      <c r="N179"/>
      <c r="P179" s="408" t="s">
        <v>732</v>
      </c>
      <c r="Q179"/>
      <c r="S179" s="477"/>
      <c r="T179" s="477"/>
      <c r="U179" s="477"/>
      <c r="V179" s="477"/>
    </row>
    <row r="180" spans="2:22" outlineLevel="3" x14ac:dyDescent="0.25">
      <c r="F180" s="413"/>
      <c r="G180" s="410" t="str">
        <f>'Folha de cálculo'!E180</f>
        <v>3.1.5.1</v>
      </c>
      <c r="H180" s="410" t="str">
        <f>'Folha de cálculo'!F180</f>
        <v>cobertura de espelho de água</v>
      </c>
      <c r="I180" s="410"/>
      <c r="J180" s="418"/>
      <c r="K180" s="418" t="str">
        <f t="shared" ref="K180:K184" si="74">IF(ISBLANK(J180),"",J180)</f>
        <v/>
      </c>
      <c r="M180" s="418" t="str">
        <f t="shared" ref="M180:M184" si="75">IF(ISBLANK(K180),"",K180)</f>
        <v/>
      </c>
      <c r="N180"/>
      <c r="P180" s="418" t="str">
        <f>IF(ISBLANK(M180),"",M180)</f>
        <v/>
      </c>
      <c r="Q180"/>
      <c r="S180" s="475"/>
      <c r="T180" s="475"/>
      <c r="U180" s="475"/>
      <c r="V180" s="475"/>
    </row>
    <row r="181" spans="2:22" outlineLevel="3" x14ac:dyDescent="0.25">
      <c r="F181" s="413"/>
      <c r="G181" s="410" t="str">
        <f>'Folha de cálculo'!E181</f>
        <v>3.1.5.2</v>
      </c>
      <c r="H181" s="410" t="str">
        <f>'Folha de cálculo'!F181</f>
        <v>variadores de velocidade para bombas de circulação de água</v>
      </c>
      <c r="I181" s="410"/>
      <c r="J181" s="418"/>
      <c r="K181" s="418" t="str">
        <f t="shared" si="74"/>
        <v/>
      </c>
      <c r="M181" s="418" t="str">
        <f t="shared" si="75"/>
        <v/>
      </c>
      <c r="N181"/>
      <c r="P181" s="418" t="str">
        <f t="shared" ref="P181:P184" si="76">IF(ISBLANK(M181),"",M181)</f>
        <v/>
      </c>
      <c r="Q181"/>
      <c r="S181" s="475"/>
      <c r="T181" s="475"/>
      <c r="U181" s="475"/>
      <c r="V181" s="475"/>
    </row>
    <row r="182" spans="2:22" outlineLevel="3" x14ac:dyDescent="0.25">
      <c r="F182" s="413"/>
      <c r="G182" s="410" t="str">
        <f>'Folha de cálculo'!E182</f>
        <v>3.1.5.3</v>
      </c>
      <c r="H182" s="410" t="str">
        <f>'Folha de cálculo'!F182</f>
        <v>caleira com tanque de compensação</v>
      </c>
      <c r="I182" s="410"/>
      <c r="J182" s="418"/>
      <c r="K182" s="418" t="str">
        <f t="shared" si="74"/>
        <v/>
      </c>
      <c r="M182" s="418" t="str">
        <f t="shared" si="75"/>
        <v/>
      </c>
      <c r="N182"/>
      <c r="P182" s="418" t="str">
        <f t="shared" si="76"/>
        <v/>
      </c>
      <c r="Q182"/>
      <c r="S182" s="475"/>
      <c r="T182" s="475"/>
      <c r="U182" s="475"/>
      <c r="V182" s="475"/>
    </row>
    <row r="183" spans="2:22" outlineLevel="3" x14ac:dyDescent="0.25">
      <c r="F183" s="413"/>
      <c r="G183" s="410" t="str">
        <f>'Folha de cálculo'!E183</f>
        <v>3.1.5.4</v>
      </c>
      <c r="H183" s="410" t="str">
        <f>'Folha de cálculo'!F183</f>
        <v>Nenhuma das opções anteriores</v>
      </c>
      <c r="I183" s="410"/>
      <c r="J183" s="418"/>
      <c r="K183" s="418" t="str">
        <f t="shared" si="74"/>
        <v/>
      </c>
      <c r="M183" s="418" t="str">
        <f t="shared" si="75"/>
        <v/>
      </c>
      <c r="N183"/>
      <c r="P183" s="418" t="str">
        <f t="shared" si="76"/>
        <v/>
      </c>
      <c r="Q183"/>
      <c r="S183" s="475"/>
      <c r="T183" s="475"/>
      <c r="U183" s="475"/>
      <c r="V183" s="475"/>
    </row>
    <row r="184" spans="2:22" ht="15.75" outlineLevel="3" thickBot="1" x14ac:dyDescent="0.3">
      <c r="F184" s="413"/>
      <c r="G184" s="410" t="str">
        <f>'Folha de cálculo'!E184</f>
        <v>3.1.5.5</v>
      </c>
      <c r="H184" s="410" t="str">
        <f>'Folha de cálculo'!F184</f>
        <v>Não foi possível determinar (justifique)</v>
      </c>
      <c r="I184" s="410"/>
      <c r="J184" s="418"/>
      <c r="K184" s="418" t="str">
        <f t="shared" si="74"/>
        <v/>
      </c>
      <c r="M184" s="418" t="str">
        <f t="shared" si="75"/>
        <v/>
      </c>
      <c r="N184"/>
      <c r="P184" s="418" t="str">
        <f t="shared" si="76"/>
        <v/>
      </c>
      <c r="Q184"/>
      <c r="S184" s="475"/>
      <c r="T184" s="475"/>
      <c r="U184" s="475"/>
      <c r="V184" s="475"/>
    </row>
    <row r="185" spans="2:22" ht="14.65" customHeight="1" outlineLevel="2" thickBot="1" x14ac:dyDescent="0.3">
      <c r="B185" s="405">
        <f>IF(SUM('Registo de informação'!B123:B147)=0,0,1)</f>
        <v>0</v>
      </c>
      <c r="E185" s="401"/>
      <c r="F185" s="407" t="str">
        <f>'Folha de cálculo'!D185</f>
        <v>3.1.6</v>
      </c>
      <c r="G185" s="487" t="str">
        <f>'Folha de cálculo'!E185</f>
        <v>O gestor/proprietário dispõe e tem acesso direto a…</v>
      </c>
      <c r="H185" s="487"/>
      <c r="I185" s="487"/>
      <c r="J185" s="408" t="s">
        <v>732</v>
      </c>
      <c r="K185" s="409" t="s">
        <v>732</v>
      </c>
      <c r="M185" s="408" t="s">
        <v>732</v>
      </c>
      <c r="N185"/>
      <c r="P185" s="408" t="s">
        <v>732</v>
      </c>
      <c r="Q185"/>
      <c r="S185" s="477"/>
      <c r="T185" s="477"/>
      <c r="U185" s="477"/>
      <c r="V185" s="477"/>
    </row>
    <row r="186" spans="2:22" outlineLevel="3" x14ac:dyDescent="0.25">
      <c r="G186" s="410" t="str">
        <f>'Folha de cálculo'!E186</f>
        <v>3.1.6.1</v>
      </c>
      <c r="H186" s="416" t="str">
        <f>'Folha de cálculo'!F186</f>
        <v>plano de manutenção da piscina</v>
      </c>
      <c r="I186" s="416"/>
      <c r="J186" s="431"/>
      <c r="K186" s="418" t="str">
        <f t="shared" ref="K186:K190" si="77">IF(ISBLANK(J186),"",J186)</f>
        <v/>
      </c>
      <c r="L186" s="435"/>
      <c r="M186" s="418" t="str">
        <f>IF(ISBLANK(K186),"",K186)</f>
        <v/>
      </c>
      <c r="N186" s="436"/>
      <c r="O186" s="437"/>
      <c r="P186" s="418" t="str">
        <f>IF(ISBLANK(M186),"",M186)</f>
        <v/>
      </c>
      <c r="Q186"/>
      <c r="S186" s="475"/>
      <c r="T186" s="475"/>
      <c r="U186" s="475"/>
      <c r="V186" s="475"/>
    </row>
    <row r="187" spans="2:22" outlineLevel="3" x14ac:dyDescent="0.25">
      <c r="G187" s="410" t="str">
        <f>'Folha de cálculo'!E187</f>
        <v>3.1.6.2</v>
      </c>
      <c r="H187" s="416" t="str">
        <f>'Folha de cálculo'!F187</f>
        <v>registos de manutenção</v>
      </c>
      <c r="I187" s="416"/>
      <c r="J187" s="431"/>
      <c r="K187" s="418" t="str">
        <f t="shared" si="77"/>
        <v/>
      </c>
      <c r="L187" s="435"/>
      <c r="M187" s="418" t="str">
        <f t="shared" ref="M187:M190" si="78">IF(ISBLANK(K187),"",K187)</f>
        <v/>
      </c>
      <c r="N187" s="436"/>
      <c r="O187" s="437"/>
      <c r="P187" s="418" t="str">
        <f t="shared" ref="P187:P190" si="79">IF(ISBLANK(M187),"",M187)</f>
        <v/>
      </c>
      <c r="Q187"/>
      <c r="S187" s="475"/>
      <c r="T187" s="475"/>
      <c r="U187" s="475"/>
      <c r="V187" s="475"/>
    </row>
    <row r="188" spans="2:22" outlineLevel="3" x14ac:dyDescent="0.25">
      <c r="G188" s="410" t="str">
        <f>'Folha de cálculo'!E188</f>
        <v>3.1.6.3</v>
      </c>
      <c r="H188" s="416" t="str">
        <f>'Folha de cálculo'!F188</f>
        <v>registo de ocorrências (sanitária e outras)</v>
      </c>
      <c r="I188" s="416"/>
      <c r="J188" s="431"/>
      <c r="K188" s="418" t="str">
        <f t="shared" si="77"/>
        <v/>
      </c>
      <c r="L188" s="435"/>
      <c r="M188" s="418" t="str">
        <f t="shared" si="78"/>
        <v/>
      </c>
      <c r="N188" s="436"/>
      <c r="O188" s="437"/>
      <c r="P188" s="418" t="str">
        <f t="shared" si="79"/>
        <v/>
      </c>
      <c r="Q188"/>
      <c r="S188" s="475"/>
      <c r="T188" s="475"/>
      <c r="U188" s="475"/>
      <c r="V188" s="475"/>
    </row>
    <row r="189" spans="2:22" outlineLevel="3" x14ac:dyDescent="0.25">
      <c r="G189" s="410" t="str">
        <f>'Folha de cálculo'!E189</f>
        <v>3.1.6.4</v>
      </c>
      <c r="H189" s="416" t="str">
        <f>'Folha de cálculo'!F189</f>
        <v>Nenhuma das opções anteriores</v>
      </c>
      <c r="I189" s="416"/>
      <c r="J189" s="431"/>
      <c r="K189" s="418" t="str">
        <f t="shared" si="77"/>
        <v/>
      </c>
      <c r="L189" s="435"/>
      <c r="M189" s="418" t="str">
        <f t="shared" si="78"/>
        <v/>
      </c>
      <c r="N189" s="436"/>
      <c r="O189" s="437"/>
      <c r="P189" s="418" t="str">
        <f t="shared" si="79"/>
        <v/>
      </c>
      <c r="Q189"/>
      <c r="S189" s="475"/>
      <c r="T189" s="475"/>
      <c r="U189" s="475"/>
      <c r="V189" s="475"/>
    </row>
    <row r="190" spans="2:22" outlineLevel="3" x14ac:dyDescent="0.25">
      <c r="G190" s="410" t="str">
        <f>'Folha de cálculo'!E190</f>
        <v>3.1.6.5</v>
      </c>
      <c r="H190" s="416" t="str">
        <f>'Folha de cálculo'!F190</f>
        <v>Não foi possível determinar (justifique)</v>
      </c>
      <c r="I190" s="416"/>
      <c r="J190" s="431"/>
      <c r="K190" s="418" t="str">
        <f t="shared" si="77"/>
        <v/>
      </c>
      <c r="L190" s="435"/>
      <c r="M190" s="418" t="str">
        <f t="shared" si="78"/>
        <v/>
      </c>
      <c r="N190" s="436"/>
      <c r="O190" s="437"/>
      <c r="P190" s="418" t="str">
        <f t="shared" si="79"/>
        <v/>
      </c>
      <c r="Q190"/>
      <c r="S190" s="475"/>
      <c r="T190" s="475"/>
      <c r="U190" s="475"/>
      <c r="V190" s="475"/>
    </row>
    <row r="191" spans="2:22" ht="15.75" outlineLevel="1" thickBot="1" x14ac:dyDescent="0.3">
      <c r="D191"/>
      <c r="J191" s="432"/>
      <c r="K191" s="432"/>
      <c r="M191" s="432"/>
      <c r="N191"/>
      <c r="P191" s="432"/>
      <c r="Q191"/>
      <c r="S191" s="476"/>
      <c r="T191" s="476"/>
      <c r="U191" s="476"/>
      <c r="V191" s="476"/>
    </row>
    <row r="192" spans="2:22" ht="15.75" outlineLevel="1" thickBot="1" x14ac:dyDescent="0.3">
      <c r="B192" s="405">
        <f>IF('Registo de informação'!B148=0,0,1)</f>
        <v>0</v>
      </c>
      <c r="E192" s="8" t="str">
        <f>'Folha de cálculo'!C192</f>
        <v>3.2</v>
      </c>
      <c r="F192" s="8" t="str">
        <f>'Folha de cálculo'!D192</f>
        <v>Jacuzzi's e banheiras de hidromassagem</v>
      </c>
      <c r="G192" s="8"/>
      <c r="H192" s="8"/>
      <c r="I192" s="8"/>
      <c r="J192" s="403"/>
      <c r="K192" s="404"/>
      <c r="M192" s="403"/>
      <c r="N192"/>
      <c r="P192" s="403"/>
      <c r="Q192"/>
      <c r="S192" s="478"/>
      <c r="T192" s="479"/>
      <c r="U192" s="479"/>
      <c r="V192" s="480"/>
    </row>
    <row r="193" spans="1:22" ht="14.65" customHeight="1" outlineLevel="2" x14ac:dyDescent="0.25">
      <c r="A193" s="401"/>
      <c r="C193" s="401"/>
      <c r="E193" s="401"/>
      <c r="F193" s="407" t="str">
        <f>'Folha de cálculo'!D193</f>
        <v>3.2.1</v>
      </c>
      <c r="G193" s="407" t="str">
        <f>'Folha de cálculo'!E193</f>
        <v>A inspeção e limpeza dos filtros dos equipamentos é realizada…</v>
      </c>
      <c r="H193" s="407"/>
      <c r="I193" s="407"/>
      <c r="J193" s="408" t="s">
        <v>731</v>
      </c>
      <c r="K193" s="409" t="s">
        <v>731</v>
      </c>
      <c r="M193" s="408" t="s">
        <v>731</v>
      </c>
      <c r="N193"/>
      <c r="P193" s="408" t="s">
        <v>731</v>
      </c>
      <c r="Q193"/>
      <c r="S193" s="477"/>
      <c r="T193" s="477"/>
      <c r="U193" s="477"/>
      <c r="V193" s="477"/>
    </row>
    <row r="194" spans="1:22" outlineLevel="3" x14ac:dyDescent="0.25">
      <c r="F194" s="413"/>
      <c r="G194" s="410" t="str">
        <f>'Folha de cálculo'!E194</f>
        <v>3.2.1.1</v>
      </c>
      <c r="H194" s="410" t="str">
        <f>'Folha de cálculo'!F194</f>
        <v>pelo menos uma vez por semana</v>
      </c>
      <c r="I194" s="410"/>
      <c r="J194" s="418"/>
      <c r="K194" s="418" t="str">
        <f t="shared" ref="K194:K204" si="80">IF(ISBLANK(J194),"",J194)</f>
        <v/>
      </c>
      <c r="M194" s="418" t="str">
        <f>IF(ISBLANK(K194),"",K194)</f>
        <v/>
      </c>
      <c r="N194"/>
      <c r="P194" s="418" t="str">
        <f>IF(ISBLANK(M194),"",M194)</f>
        <v/>
      </c>
      <c r="Q194"/>
      <c r="S194" s="475"/>
      <c r="T194" s="475"/>
      <c r="U194" s="475"/>
      <c r="V194" s="475"/>
    </row>
    <row r="195" spans="1:22" outlineLevel="3" x14ac:dyDescent="0.25">
      <c r="E195" s="5"/>
      <c r="F195" s="413"/>
      <c r="G195" s="410" t="str">
        <f>'Folha de cálculo'!E195</f>
        <v>3.2.1.2</v>
      </c>
      <c r="H195" s="410" t="str">
        <f>'Folha de cálculo'!F195</f>
        <v>uma vez entre uma a duas semanas</v>
      </c>
      <c r="I195" s="410"/>
      <c r="J195" s="418"/>
      <c r="K195" s="418" t="str">
        <f t="shared" si="80"/>
        <v/>
      </c>
      <c r="M195" s="418" t="str">
        <f t="shared" ref="M195:M198" si="81">IF(ISBLANK(K195),"",K195)</f>
        <v/>
      </c>
      <c r="N195"/>
      <c r="P195" s="418" t="str">
        <f t="shared" ref="P195:P198" si="82">IF(ISBLANK(M195),"",M195)</f>
        <v/>
      </c>
      <c r="Q195"/>
      <c r="S195" s="475"/>
      <c r="T195" s="475"/>
      <c r="U195" s="475"/>
      <c r="V195" s="475"/>
    </row>
    <row r="196" spans="1:22" outlineLevel="3" x14ac:dyDescent="0.25">
      <c r="E196" s="5"/>
      <c r="F196" s="413"/>
      <c r="G196" s="410" t="str">
        <f>'Folha de cálculo'!E196</f>
        <v>3.2.1.3</v>
      </c>
      <c r="H196" s="410" t="str">
        <f>'Folha de cálculo'!F196</f>
        <v>uma vez entre duas semanas a um mês</v>
      </c>
      <c r="I196" s="410"/>
      <c r="J196" s="418"/>
      <c r="K196" s="418" t="str">
        <f t="shared" si="80"/>
        <v/>
      </c>
      <c r="M196" s="418" t="str">
        <f t="shared" si="81"/>
        <v/>
      </c>
      <c r="N196"/>
      <c r="P196" s="418" t="str">
        <f t="shared" si="82"/>
        <v/>
      </c>
      <c r="Q196"/>
      <c r="S196" s="475"/>
      <c r="T196" s="475"/>
      <c r="U196" s="475"/>
      <c r="V196" s="475"/>
    </row>
    <row r="197" spans="1:22" outlineLevel="3" x14ac:dyDescent="0.25">
      <c r="F197" s="413"/>
      <c r="G197" s="410" t="str">
        <f>'Folha de cálculo'!E197</f>
        <v>3.2.1.4</v>
      </c>
      <c r="H197" s="410" t="str">
        <f>'Folha de cálculo'!F197</f>
        <v>menos de uma vez por mês</v>
      </c>
      <c r="I197" s="410"/>
      <c r="J197" s="418"/>
      <c r="K197" s="418" t="str">
        <f t="shared" si="80"/>
        <v/>
      </c>
      <c r="M197" s="418" t="str">
        <f t="shared" si="81"/>
        <v/>
      </c>
      <c r="N197"/>
      <c r="P197" s="418" t="str">
        <f t="shared" si="82"/>
        <v/>
      </c>
      <c r="Q197"/>
      <c r="S197" s="475"/>
      <c r="T197" s="475"/>
      <c r="U197" s="475"/>
      <c r="V197" s="475"/>
    </row>
    <row r="198" spans="1:22" outlineLevel="3" x14ac:dyDescent="0.25">
      <c r="F198" s="413"/>
      <c r="G198" s="410" t="str">
        <f>'Folha de cálculo'!E198</f>
        <v>3.2.1.5</v>
      </c>
      <c r="H198" s="410" t="str">
        <f>'Folha de cálculo'!F198</f>
        <v>Não foi possível determinar (justifique)</v>
      </c>
      <c r="I198" s="410"/>
      <c r="J198" s="418"/>
      <c r="K198" s="418" t="str">
        <f t="shared" si="80"/>
        <v/>
      </c>
      <c r="M198" s="418" t="str">
        <f t="shared" si="81"/>
        <v/>
      </c>
      <c r="N198"/>
      <c r="P198" s="418" t="str">
        <f t="shared" si="82"/>
        <v/>
      </c>
      <c r="Q198"/>
      <c r="S198" s="475"/>
      <c r="T198" s="475"/>
      <c r="U198" s="475"/>
      <c r="V198" s="475"/>
    </row>
    <row r="199" spans="1:22" ht="14.65" customHeight="1" outlineLevel="2" x14ac:dyDescent="0.25">
      <c r="A199" s="401"/>
      <c r="C199" s="401"/>
      <c r="F199" s="407" t="str">
        <f>'Folha de cálculo'!D199</f>
        <v>3.2.2</v>
      </c>
      <c r="G199" s="407" t="str">
        <f>'Folha de cálculo'!E199</f>
        <v>Os equipamentos existentes…</v>
      </c>
      <c r="H199" s="407"/>
      <c r="I199" s="407"/>
      <c r="J199" s="408" t="s">
        <v>731</v>
      </c>
      <c r="K199" s="409" t="s">
        <v>731</v>
      </c>
      <c r="M199" s="408" t="s">
        <v>731</v>
      </c>
      <c r="N199"/>
      <c r="P199" s="408" t="s">
        <v>731</v>
      </c>
      <c r="Q199"/>
      <c r="S199" s="477"/>
      <c r="T199" s="477"/>
      <c r="U199" s="477"/>
      <c r="V199" s="477"/>
    </row>
    <row r="200" spans="1:22" outlineLevel="3" x14ac:dyDescent="0.25">
      <c r="F200" s="413"/>
      <c r="G200" s="410" t="str">
        <f>'Folha de cálculo'!E200</f>
        <v>3.2.2.1</v>
      </c>
      <c r="H200" s="410" t="str">
        <f>'Folha de cálculo'!F200</f>
        <v>não apresentam evidências de fuga ou respingo</v>
      </c>
      <c r="I200" s="410"/>
      <c r="J200" s="418"/>
      <c r="K200" s="418" t="str">
        <f t="shared" si="80"/>
        <v/>
      </c>
      <c r="M200" s="418" t="str">
        <f>IF(ISBLANK(K200),"",K200)</f>
        <v/>
      </c>
      <c r="N200"/>
      <c r="P200" s="418" t="str">
        <f>IF(ISBLANK(M200),"",M200)</f>
        <v/>
      </c>
      <c r="Q200"/>
      <c r="S200" s="475"/>
      <c r="T200" s="475"/>
      <c r="U200" s="475"/>
      <c r="V200" s="475"/>
    </row>
    <row r="201" spans="1:22" outlineLevel="3" x14ac:dyDescent="0.25">
      <c r="E201" s="5"/>
      <c r="F201" s="413"/>
      <c r="G201" s="410" t="str">
        <f>'Folha de cálculo'!E201</f>
        <v>3.2.2.2</v>
      </c>
      <c r="H201" s="410" t="str">
        <f>'Folha de cálculo'!F201</f>
        <v>não apresentam evidências de fuga mas apresentam evidências de respingo</v>
      </c>
      <c r="I201" s="410"/>
      <c r="J201" s="418"/>
      <c r="K201" s="418" t="str">
        <f t="shared" si="80"/>
        <v/>
      </c>
      <c r="M201" s="418" t="str">
        <f t="shared" ref="M201:M204" si="83">IF(ISBLANK(K201),"",K201)</f>
        <v/>
      </c>
      <c r="N201"/>
      <c r="P201" s="418" t="str">
        <f t="shared" ref="P201:P204" si="84">IF(ISBLANK(M201),"",M201)</f>
        <v/>
      </c>
      <c r="Q201"/>
      <c r="S201" s="475"/>
      <c r="T201" s="475"/>
      <c r="U201" s="475"/>
      <c r="V201" s="475"/>
    </row>
    <row r="202" spans="1:22" outlineLevel="3" x14ac:dyDescent="0.25">
      <c r="E202" s="5"/>
      <c r="F202" s="413"/>
      <c r="G202" s="410" t="str">
        <f>'Folha de cálculo'!E202</f>
        <v>3.2.2.3</v>
      </c>
      <c r="H202" s="410" t="str">
        <f>'Folha de cálculo'!F202</f>
        <v>apresentam evidências de fuga mas não apresentam evidências de respingo</v>
      </c>
      <c r="I202" s="410"/>
      <c r="J202" s="418"/>
      <c r="K202" s="418" t="str">
        <f t="shared" si="80"/>
        <v/>
      </c>
      <c r="M202" s="418" t="str">
        <f t="shared" si="83"/>
        <v/>
      </c>
      <c r="N202"/>
      <c r="P202" s="418" t="str">
        <f t="shared" si="84"/>
        <v/>
      </c>
      <c r="Q202"/>
      <c r="S202" s="475"/>
      <c r="T202" s="475"/>
      <c r="U202" s="475"/>
      <c r="V202" s="475"/>
    </row>
    <row r="203" spans="1:22" outlineLevel="3" x14ac:dyDescent="0.25">
      <c r="F203" s="413"/>
      <c r="G203" s="410" t="str">
        <f>'Folha de cálculo'!E203</f>
        <v>3.2.2.4</v>
      </c>
      <c r="H203" s="410" t="str">
        <f>'Folha de cálculo'!F203</f>
        <v>Nenhuma das opções anteriores</v>
      </c>
      <c r="I203" s="410"/>
      <c r="J203" s="418"/>
      <c r="K203" s="418" t="str">
        <f t="shared" si="80"/>
        <v/>
      </c>
      <c r="M203" s="418" t="str">
        <f t="shared" si="83"/>
        <v/>
      </c>
      <c r="N203"/>
      <c r="P203" s="418" t="str">
        <f t="shared" si="84"/>
        <v/>
      </c>
      <c r="Q203"/>
      <c r="S203" s="475"/>
      <c r="T203" s="475"/>
      <c r="U203" s="475"/>
      <c r="V203" s="475"/>
    </row>
    <row r="204" spans="1:22" outlineLevel="3" x14ac:dyDescent="0.25">
      <c r="F204" s="413"/>
      <c r="G204" s="410" t="str">
        <f>'Folha de cálculo'!E204</f>
        <v>3.2.2.5</v>
      </c>
      <c r="H204" s="410" t="str">
        <f>'Folha de cálculo'!F204</f>
        <v>Não foi possível determinar (justifique)</v>
      </c>
      <c r="I204" s="410"/>
      <c r="J204" s="418"/>
      <c r="K204" s="418" t="str">
        <f t="shared" si="80"/>
        <v/>
      </c>
      <c r="M204" s="418" t="str">
        <f t="shared" si="83"/>
        <v/>
      </c>
      <c r="N204"/>
      <c r="P204" s="418" t="str">
        <f t="shared" si="84"/>
        <v/>
      </c>
      <c r="Q204"/>
      <c r="S204" s="475"/>
      <c r="T204" s="475"/>
      <c r="U204" s="475"/>
      <c r="V204" s="475"/>
    </row>
    <row r="205" spans="1:22" x14ac:dyDescent="0.25">
      <c r="J205" s="432"/>
      <c r="K205" s="432"/>
      <c r="M205" s="432"/>
      <c r="N205"/>
      <c r="P205" s="432"/>
      <c r="Q205"/>
      <c r="S205" s="5"/>
      <c r="T205" s="5"/>
      <c r="U205" s="5"/>
      <c r="V205" s="5"/>
    </row>
    <row r="206" spans="1:22" x14ac:dyDescent="0.25">
      <c r="D206" s="7">
        <f>'Folha de cálculo'!B206</f>
        <v>4</v>
      </c>
      <c r="E206" s="398" t="str">
        <f>'Folha de cálculo'!C206</f>
        <v>Unidades de alojamento</v>
      </c>
      <c r="F206" s="398"/>
      <c r="G206" s="398"/>
      <c r="H206" s="398"/>
      <c r="I206" s="398"/>
      <c r="J206" s="399"/>
      <c r="K206" s="399"/>
      <c r="M206" s="399"/>
      <c r="N206"/>
      <c r="P206" s="399"/>
      <c r="Q206"/>
      <c r="S206" s="489"/>
      <c r="T206" s="489"/>
      <c r="U206" s="489"/>
      <c r="V206" s="489"/>
    </row>
    <row r="207" spans="1:22" x14ac:dyDescent="0.25">
      <c r="J207" s="400"/>
      <c r="K207" s="400"/>
      <c r="M207" s="400"/>
      <c r="N207"/>
      <c r="P207" s="400"/>
      <c r="Q207"/>
      <c r="S207" s="476"/>
      <c r="T207" s="476"/>
      <c r="U207" s="476"/>
      <c r="V207" s="476"/>
    </row>
    <row r="208" spans="1:22" outlineLevel="1" x14ac:dyDescent="0.25">
      <c r="B208"/>
      <c r="E208" s="8" t="str">
        <f>'Folha de cálculo'!C208</f>
        <v>4.1</v>
      </c>
      <c r="F208" s="8" t="str">
        <f>'Folha de cálculo'!D208</f>
        <v>Sistema de duche / chuveiro</v>
      </c>
      <c r="G208" s="8"/>
      <c r="H208" s="8"/>
      <c r="I208" s="8"/>
      <c r="J208" s="403"/>
      <c r="K208" s="404"/>
      <c r="M208" s="403"/>
      <c r="N208"/>
      <c r="P208" s="403"/>
      <c r="Q208"/>
      <c r="S208" s="478"/>
      <c r="T208" s="479"/>
      <c r="U208" s="479"/>
      <c r="V208" s="480"/>
    </row>
    <row r="209" spans="4:22" ht="14.65" customHeight="1" outlineLevel="2" x14ac:dyDescent="0.25">
      <c r="D209"/>
      <c r="F209" s="407" t="str">
        <f>'Folha de cálculo'!D209</f>
        <v>4.1.1</v>
      </c>
      <c r="G209" s="415" t="str">
        <f>'Folha de cálculo'!E209</f>
        <v>O dispositivo instalado integra um(a)…</v>
      </c>
      <c r="H209" s="415"/>
      <c r="I209" s="415"/>
      <c r="J209" s="425" t="s">
        <v>732</v>
      </c>
      <c r="K209" s="424" t="s">
        <v>732</v>
      </c>
      <c r="M209" s="425" t="s">
        <v>732</v>
      </c>
      <c r="N209"/>
      <c r="P209" s="425" t="s">
        <v>732</v>
      </c>
      <c r="Q209"/>
      <c r="S209" s="477"/>
      <c r="T209" s="477"/>
      <c r="U209" s="477"/>
      <c r="V209" s="477"/>
    </row>
    <row r="210" spans="4:22" outlineLevel="3" x14ac:dyDescent="0.25">
      <c r="D210"/>
      <c r="G210" s="416" t="str">
        <f>'Folha de cálculo'!E210</f>
        <v>4.1.1.1</v>
      </c>
      <c r="H210" s="416" t="str">
        <f>'Folha de cálculo'!F210</f>
        <v>o dispositivo tem um certificado A ou superior emitido pela ANQIP ou Unified Water Label</v>
      </c>
      <c r="I210" s="416"/>
      <c r="J210" s="438" t="str">
        <f>IF('Folha Oculta'!AR31&gt;0,'Folha Oculta'!AR31/'Folha Oculta'!AO32,"")</f>
        <v/>
      </c>
      <c r="K210" s="418" t="str">
        <f t="shared" ref="K210:K216" si="85">IF(ISBLANK(J210),"",J210)</f>
        <v/>
      </c>
      <c r="M210" s="418" t="str">
        <f>IF(ISBLANK(K210),"",K210)</f>
        <v/>
      </c>
      <c r="N210"/>
      <c r="P210" s="418" t="str">
        <f>IF(ISBLANK(M210),"",M210)</f>
        <v/>
      </c>
      <c r="Q210"/>
      <c r="S210" s="475"/>
      <c r="T210" s="475"/>
      <c r="U210" s="475"/>
      <c r="V210" s="475"/>
    </row>
    <row r="211" spans="4:22" outlineLevel="3" x14ac:dyDescent="0.25">
      <c r="D211"/>
      <c r="G211" s="416" t="str">
        <f>'Folha de cálculo'!E211</f>
        <v>4.1.1.2</v>
      </c>
      <c r="H211" s="416" t="str">
        <f>'Folha de cálculo'!F211</f>
        <v>redutor/regulador de caudal (inclui arejador)</v>
      </c>
      <c r="I211" s="416"/>
      <c r="J211" s="438" t="str">
        <f>IF('Folha Oculta'!AR32&gt;0,'Folha Oculta'!AR32/'Folha Oculta'!AO32,"")</f>
        <v/>
      </c>
      <c r="K211" s="418" t="str">
        <f t="shared" si="85"/>
        <v/>
      </c>
      <c r="M211" s="418" t="str">
        <f t="shared" ref="M211:M216" si="86">IF(ISBLANK(K211),"",K211)</f>
        <v/>
      </c>
      <c r="N211"/>
      <c r="P211" s="418" t="str">
        <f t="shared" ref="P211:P216" si="87">IF(ISBLANK(M211),"",M211)</f>
        <v/>
      </c>
      <c r="Q211"/>
      <c r="S211" s="475"/>
      <c r="T211" s="475"/>
      <c r="U211" s="475"/>
      <c r="V211" s="475"/>
    </row>
    <row r="212" spans="4:22" outlineLevel="3" x14ac:dyDescent="0.25">
      <c r="G212" s="416" t="str">
        <f>'Folha de cálculo'!E212</f>
        <v>4.1.1.3</v>
      </c>
      <c r="H212" s="416" t="str">
        <f>'Folha de cálculo'!F212</f>
        <v>torneira com posições fixas de caudal / eco-stop</v>
      </c>
      <c r="I212" s="416"/>
      <c r="J212" s="438" t="str">
        <f>IF('Folha Oculta'!AR33&gt;0,'Folha Oculta'!AR33/'Folha Oculta'!AO32,"")</f>
        <v/>
      </c>
      <c r="K212" s="418" t="str">
        <f t="shared" si="85"/>
        <v/>
      </c>
      <c r="M212" s="418" t="str">
        <f t="shared" si="86"/>
        <v/>
      </c>
      <c r="N212"/>
      <c r="P212" s="418" t="str">
        <f t="shared" si="87"/>
        <v/>
      </c>
      <c r="Q212"/>
      <c r="S212" s="475"/>
      <c r="T212" s="475"/>
      <c r="U212" s="475"/>
      <c r="V212" s="475"/>
    </row>
    <row r="213" spans="4:22" outlineLevel="3" x14ac:dyDescent="0.25">
      <c r="G213" s="416" t="str">
        <f>'Folha de cálculo'!E213</f>
        <v>4.1.1.4</v>
      </c>
      <c r="H213" s="416" t="str">
        <f>'Folha de cálculo'!F213</f>
        <v>torneira misturadora termostática</v>
      </c>
      <c r="I213" s="416"/>
      <c r="J213" s="438" t="str">
        <f>IF('Folha Oculta'!AR34&gt;0,'Folha Oculta'!AR34/'Folha Oculta'!AO32,"")</f>
        <v/>
      </c>
      <c r="K213" s="418" t="str">
        <f t="shared" si="85"/>
        <v/>
      </c>
      <c r="M213" s="418" t="str">
        <f t="shared" si="86"/>
        <v/>
      </c>
      <c r="N213"/>
      <c r="P213" s="418" t="str">
        <f t="shared" si="87"/>
        <v/>
      </c>
      <c r="Q213"/>
      <c r="S213" s="475"/>
      <c r="T213" s="475"/>
      <c r="U213" s="475"/>
      <c r="V213" s="475"/>
    </row>
    <row r="214" spans="4:22" outlineLevel="3" x14ac:dyDescent="0.25">
      <c r="G214" s="416" t="str">
        <f>'Folha de cálculo'!E214</f>
        <v>4.1.1.5</v>
      </c>
      <c r="H214" s="416" t="str">
        <f>'Folha de cálculo'!F214</f>
        <v>torneira temporizada/com sensor</v>
      </c>
      <c r="I214" s="416"/>
      <c r="J214" s="438" t="str">
        <f>IF('Folha Oculta'!AR35&gt;0,'Folha Oculta'!AR35/'Folha Oculta'!AO32,"")</f>
        <v/>
      </c>
      <c r="K214" s="418" t="str">
        <f t="shared" si="85"/>
        <v/>
      </c>
      <c r="M214" s="418" t="str">
        <f t="shared" si="86"/>
        <v/>
      </c>
      <c r="N214"/>
      <c r="P214" s="418" t="str">
        <f t="shared" si="87"/>
        <v/>
      </c>
      <c r="Q214"/>
      <c r="S214" s="475"/>
      <c r="T214" s="475"/>
      <c r="U214" s="475"/>
      <c r="V214" s="475"/>
    </row>
    <row r="215" spans="4:22" outlineLevel="3" x14ac:dyDescent="0.25">
      <c r="G215" s="416" t="str">
        <f>'Folha de cálculo'!E215</f>
        <v>4.1.1.6</v>
      </c>
      <c r="H215" s="416" t="str">
        <f>'Folha de cálculo'!F215</f>
        <v>Nenhuma das opções anteriores</v>
      </c>
      <c r="I215" s="416"/>
      <c r="J215" s="438" t="str">
        <f>IF('Folha Oculta'!AR36&gt;0,'Folha Oculta'!AR36/'Folha Oculta'!AO32,"")</f>
        <v/>
      </c>
      <c r="K215" s="418" t="str">
        <f t="shared" si="85"/>
        <v/>
      </c>
      <c r="M215" s="418" t="str">
        <f t="shared" si="86"/>
        <v/>
      </c>
      <c r="N215"/>
      <c r="P215" s="418" t="str">
        <f t="shared" si="87"/>
        <v/>
      </c>
      <c r="Q215"/>
      <c r="S215" s="475"/>
      <c r="T215" s="475"/>
      <c r="U215" s="475"/>
      <c r="V215" s="475"/>
    </row>
    <row r="216" spans="4:22" outlineLevel="3" x14ac:dyDescent="0.25">
      <c r="G216" s="416" t="str">
        <f>'Folha de cálculo'!E216</f>
        <v>4.1.1.7</v>
      </c>
      <c r="H216" s="416" t="str">
        <f>'Folha de cálculo'!F216</f>
        <v>Não foi possível determinar (justifique)</v>
      </c>
      <c r="I216" s="416"/>
      <c r="J216" s="438" t="str">
        <f>IF('Folha Oculta'!AR37&gt;0,'Folha Oculta'!AR37/'Folha Oculta'!AO32,"")</f>
        <v/>
      </c>
      <c r="K216" s="418" t="str">
        <f t="shared" si="85"/>
        <v/>
      </c>
      <c r="M216" s="418" t="str">
        <f t="shared" si="86"/>
        <v/>
      </c>
      <c r="N216"/>
      <c r="P216" s="418" t="str">
        <f t="shared" si="87"/>
        <v/>
      </c>
      <c r="Q216"/>
      <c r="S216" s="475"/>
      <c r="T216" s="475"/>
      <c r="U216" s="475"/>
      <c r="V216" s="475"/>
    </row>
    <row r="217" spans="4:22" ht="14.65" customHeight="1" outlineLevel="2" x14ac:dyDescent="0.25">
      <c r="E217" s="401"/>
      <c r="F217" s="415" t="str">
        <f>'Folha de cálculo'!D217</f>
        <v>4.1.2</v>
      </c>
      <c r="G217" s="415" t="str">
        <f>'Folha de cálculo'!E217</f>
        <v xml:space="preserve">O caudal do dispositivo (cabeça de duche) em abertura máxima para água fria é...  </v>
      </c>
      <c r="H217" s="415"/>
      <c r="I217" s="415"/>
      <c r="J217" s="425" t="s">
        <v>731</v>
      </c>
      <c r="K217" s="424" t="s">
        <v>731</v>
      </c>
      <c r="M217" s="425" t="s">
        <v>731</v>
      </c>
      <c r="N217"/>
      <c r="P217" s="425" t="s">
        <v>731</v>
      </c>
      <c r="Q217"/>
      <c r="S217" s="477"/>
      <c r="T217" s="477"/>
      <c r="U217" s="477"/>
      <c r="V217" s="477"/>
    </row>
    <row r="218" spans="4:22" outlineLevel="3" x14ac:dyDescent="0.25">
      <c r="G218" s="416" t="str">
        <f>'Folha de cálculo'!E218</f>
        <v>4.1.2.1</v>
      </c>
      <c r="H218" s="416" t="str">
        <f>'Folha de cálculo'!F218</f>
        <v>igual ou inferior a 7 litros/min</v>
      </c>
      <c r="I218" s="416"/>
      <c r="J218" s="438" t="str">
        <f>IF('Folha Oculta'!AU31&gt;0,'Folha Oculta'!AU31/'Folha Oculta'!AO32,"")</f>
        <v/>
      </c>
      <c r="K218" s="418" t="str">
        <f t="shared" ref="K218:K222" si="88">IF(ISBLANK(J218),"",J218)</f>
        <v/>
      </c>
      <c r="M218" s="418" t="str">
        <f t="shared" ref="M218:M222" si="89">IF(ISBLANK(K218),"",K218)</f>
        <v/>
      </c>
      <c r="N218"/>
      <c r="P218" s="418" t="str">
        <f>IF(ISBLANK(M218),"",M218)</f>
        <v/>
      </c>
      <c r="Q218"/>
      <c r="S218" s="475"/>
      <c r="T218" s="475"/>
      <c r="U218" s="475"/>
      <c r="V218" s="475"/>
    </row>
    <row r="219" spans="4:22" outlineLevel="3" x14ac:dyDescent="0.25">
      <c r="G219" s="416" t="str">
        <f>'Folha de cálculo'!E219</f>
        <v>4.1.2.2</v>
      </c>
      <c r="H219" s="416" t="str">
        <f>'Folha de cálculo'!F219</f>
        <v>entre ]7 e 9] litros/min</v>
      </c>
      <c r="I219" s="416"/>
      <c r="J219" s="438" t="str">
        <f>IF('Folha Oculta'!AU32&gt;0,'Folha Oculta'!AU32/'Folha Oculta'!AO32,"")</f>
        <v/>
      </c>
      <c r="K219" s="418" t="str">
        <f t="shared" si="88"/>
        <v/>
      </c>
      <c r="M219" s="418" t="str">
        <f t="shared" si="89"/>
        <v/>
      </c>
      <c r="N219"/>
      <c r="P219" s="418" t="str">
        <f t="shared" ref="P219:P222" si="90">IF(ISBLANK(M219),"",M219)</f>
        <v/>
      </c>
      <c r="Q219"/>
      <c r="S219" s="475"/>
      <c r="T219" s="475"/>
      <c r="U219" s="475"/>
      <c r="V219" s="475"/>
    </row>
    <row r="220" spans="4:22" outlineLevel="3" x14ac:dyDescent="0.25">
      <c r="G220" s="416" t="str">
        <f>'Folha de cálculo'!E220</f>
        <v>4.1.2.3</v>
      </c>
      <c r="H220" s="416" t="str">
        <f>'Folha de cálculo'!F220</f>
        <v>entre ]9 e 15] litros/min</v>
      </c>
      <c r="I220" s="416"/>
      <c r="J220" s="438" t="str">
        <f>IF('Folha Oculta'!AU33&gt;0,'Folha Oculta'!AU33/'Folha Oculta'!AO32,"")</f>
        <v/>
      </c>
      <c r="K220" s="418" t="str">
        <f t="shared" si="88"/>
        <v/>
      </c>
      <c r="M220" s="418" t="str">
        <f t="shared" si="89"/>
        <v/>
      </c>
      <c r="N220"/>
      <c r="P220" s="418" t="str">
        <f t="shared" si="90"/>
        <v/>
      </c>
      <c r="Q220"/>
      <c r="S220" s="475"/>
      <c r="T220" s="475"/>
      <c r="U220" s="475"/>
      <c r="V220" s="475"/>
    </row>
    <row r="221" spans="4:22" outlineLevel="3" x14ac:dyDescent="0.25">
      <c r="E221" s="439"/>
      <c r="G221" s="416" t="str">
        <f>'Folha de cálculo'!E221</f>
        <v>4.1.2.4</v>
      </c>
      <c r="H221" s="416" t="str">
        <f>'Folha de cálculo'!F221</f>
        <v>superior a 15 litros/min</v>
      </c>
      <c r="I221" s="416"/>
      <c r="J221" s="438" t="str">
        <f>IF('Folha Oculta'!AU34&gt;0,'Folha Oculta'!AU34/'Folha Oculta'!AO32,"")</f>
        <v/>
      </c>
      <c r="K221" s="418" t="str">
        <f t="shared" si="88"/>
        <v/>
      </c>
      <c r="M221" s="418" t="str">
        <f t="shared" si="89"/>
        <v/>
      </c>
      <c r="N221"/>
      <c r="P221" s="418" t="str">
        <f t="shared" si="90"/>
        <v/>
      </c>
      <c r="Q221"/>
      <c r="S221" s="475"/>
      <c r="T221" s="475"/>
      <c r="U221" s="475"/>
      <c r="V221" s="475"/>
    </row>
    <row r="222" spans="4:22" outlineLevel="3" x14ac:dyDescent="0.25">
      <c r="G222" s="416" t="str">
        <f>'Folha de cálculo'!E222</f>
        <v>4.1.2.5</v>
      </c>
      <c r="H222" s="416" t="str">
        <f>'Folha de cálculo'!F222</f>
        <v>Não foi possível determinar (justifique)</v>
      </c>
      <c r="I222" s="416"/>
      <c r="J222" s="438">
        <f>IF(SUM(J218:J221)&lt;1,1-SUM(J218:J221),"")</f>
        <v>1</v>
      </c>
      <c r="K222" s="418">
        <f t="shared" si="88"/>
        <v>1</v>
      </c>
      <c r="M222" s="418">
        <f t="shared" si="89"/>
        <v>1</v>
      </c>
      <c r="N222"/>
      <c r="P222" s="418">
        <f t="shared" si="90"/>
        <v>1</v>
      </c>
      <c r="Q222"/>
      <c r="S222" s="475"/>
      <c r="T222" s="475"/>
      <c r="U222" s="475"/>
      <c r="V222" s="475"/>
    </row>
    <row r="223" spans="4:22" outlineLevel="2" x14ac:dyDescent="0.25">
      <c r="F223" s="415" t="str">
        <f>'Folha de cálculo'!D223</f>
        <v>4.1.3</v>
      </c>
      <c r="G223" s="415" t="str">
        <f>'Folha de cálculo'!E223</f>
        <v>O dispositivo instalado…</v>
      </c>
      <c r="H223" s="415"/>
      <c r="I223" s="415"/>
      <c r="J223" s="425" t="s">
        <v>731</v>
      </c>
      <c r="K223" s="424" t="s">
        <v>731</v>
      </c>
      <c r="M223" s="425" t="s">
        <v>731</v>
      </c>
      <c r="N223"/>
      <c r="P223" s="425" t="s">
        <v>731</v>
      </c>
      <c r="Q223"/>
      <c r="S223" s="477"/>
      <c r="T223" s="477"/>
      <c r="U223" s="477"/>
      <c r="V223" s="477"/>
    </row>
    <row r="224" spans="4:22" ht="14.65" customHeight="1" outlineLevel="3" x14ac:dyDescent="0.25">
      <c r="G224" s="416" t="str">
        <f>'Folha de cálculo'!E224</f>
        <v>4.1.3.1</v>
      </c>
      <c r="H224" s="416" t="str">
        <f>'Folha de cálculo'!F224</f>
        <v>não apresenta indícios de fuga</v>
      </c>
      <c r="I224" s="416"/>
      <c r="J224" s="438" t="str">
        <f>IF('Folha Oculta'!AX31&gt;0,'Folha Oculta'!AX31/'Folha Oculta'!AO32,"")</f>
        <v/>
      </c>
      <c r="K224" s="418" t="str">
        <f t="shared" ref="K224:K227" si="91">IF(ISBLANK(J224),"",J224)</f>
        <v/>
      </c>
      <c r="M224" s="418" t="str">
        <f>IF(ISBLANK(K224),"",K224)</f>
        <v/>
      </c>
      <c r="N224"/>
      <c r="P224" s="418" t="str">
        <f>IF(ISBLANK(M224),"",M224)</f>
        <v/>
      </c>
      <c r="Q224"/>
      <c r="S224" s="475"/>
      <c r="T224" s="475"/>
      <c r="U224" s="475"/>
      <c r="V224" s="475"/>
    </row>
    <row r="225" spans="4:22" outlineLevel="3" x14ac:dyDescent="0.25">
      <c r="G225" s="416" t="str">
        <f>'Folha de cálculo'!E225</f>
        <v>4.1.3.2</v>
      </c>
      <c r="H225" s="416" t="str">
        <f>'Folha de cálculo'!F225</f>
        <v>apresenta indícios de fuga (justifique)</v>
      </c>
      <c r="I225" s="416"/>
      <c r="J225" s="438" t="str">
        <f>IF('Folha Oculta'!AX32&gt;0,'Folha Oculta'!AX32/'Folha Oculta'!AO32,"")</f>
        <v/>
      </c>
      <c r="K225" s="418" t="str">
        <f t="shared" si="91"/>
        <v/>
      </c>
      <c r="M225" s="418" t="str">
        <f t="shared" ref="M225:M227" si="92">IF(ISBLANK(K225),"",K225)</f>
        <v/>
      </c>
      <c r="N225"/>
      <c r="P225" s="418" t="str">
        <f t="shared" ref="P225:P227" si="93">IF(ISBLANK(M225),"",M225)</f>
        <v/>
      </c>
      <c r="Q225"/>
      <c r="S225" s="475"/>
      <c r="T225" s="475"/>
      <c r="U225" s="475"/>
      <c r="V225" s="475"/>
    </row>
    <row r="226" spans="4:22" outlineLevel="3" x14ac:dyDescent="0.25">
      <c r="G226" s="416" t="str">
        <f>'Folha de cálculo'!E226</f>
        <v>4.1.3.3</v>
      </c>
      <c r="H226" s="416" t="str">
        <f>'Folha de cálculo'!F226</f>
        <v>apresenta evidências de fuga</v>
      </c>
      <c r="I226" s="416"/>
      <c r="J226" s="438" t="str">
        <f>IF('Folha Oculta'!AX33&gt;0,'Folha Oculta'!AX33/'Folha Oculta'!AO32,"")</f>
        <v/>
      </c>
      <c r="K226" s="418" t="str">
        <f t="shared" si="91"/>
        <v/>
      </c>
      <c r="M226" s="418" t="str">
        <f t="shared" si="92"/>
        <v/>
      </c>
      <c r="N226"/>
      <c r="P226" s="418" t="str">
        <f t="shared" si="93"/>
        <v/>
      </c>
      <c r="Q226"/>
      <c r="S226" s="475"/>
      <c r="T226" s="475"/>
      <c r="U226" s="475"/>
      <c r="V226" s="475"/>
    </row>
    <row r="227" spans="4:22" outlineLevel="3" x14ac:dyDescent="0.25">
      <c r="G227" s="416" t="str">
        <f>'Folha de cálculo'!E227</f>
        <v>4.1.3.4</v>
      </c>
      <c r="H227" s="416" t="str">
        <f>'Folha de cálculo'!F227</f>
        <v>Não foi possível determinar (justifique)</v>
      </c>
      <c r="I227" s="416"/>
      <c r="J227" s="438">
        <f>IF(SUM(J224:J226)&lt;1,1-SUM(J224:J226),"")</f>
        <v>1</v>
      </c>
      <c r="K227" s="418">
        <f t="shared" si="91"/>
        <v>1</v>
      </c>
      <c r="M227" s="418">
        <f t="shared" si="92"/>
        <v>1</v>
      </c>
      <c r="N227"/>
      <c r="P227" s="418">
        <f t="shared" si="93"/>
        <v>1</v>
      </c>
      <c r="Q227"/>
      <c r="S227" s="475"/>
      <c r="T227" s="475"/>
      <c r="U227" s="475"/>
      <c r="V227" s="475"/>
    </row>
    <row r="228" spans="4:22" ht="14.65" customHeight="1" outlineLevel="2" x14ac:dyDescent="0.25">
      <c r="F228" s="415" t="str">
        <f>'Folha de cálculo'!D228</f>
        <v>4.1.4</v>
      </c>
      <c r="G228" s="415" t="str">
        <f>'Folha de cálculo'!E228</f>
        <v>O dispositivo foi instalado…</v>
      </c>
      <c r="H228" s="415"/>
      <c r="I228" s="415"/>
      <c r="J228" s="425" t="s">
        <v>731</v>
      </c>
      <c r="K228" s="424" t="s">
        <v>731</v>
      </c>
      <c r="M228" s="425" t="s">
        <v>731</v>
      </c>
      <c r="N228"/>
      <c r="P228" s="425" t="s">
        <v>731</v>
      </c>
      <c r="Q228"/>
      <c r="S228" s="477"/>
      <c r="T228" s="477"/>
      <c r="U228" s="477"/>
      <c r="V228" s="477"/>
    </row>
    <row r="229" spans="4:22" outlineLevel="3" x14ac:dyDescent="0.25">
      <c r="G229" s="416" t="str">
        <f>'Folha de cálculo'!E229</f>
        <v>4.1.4.1</v>
      </c>
      <c r="H229" s="416" t="str">
        <f>'Folha de cálculo'!F229</f>
        <v>há 5 ou menos anos</v>
      </c>
      <c r="I229" s="416"/>
      <c r="J229" s="438" t="str">
        <f>IF('Folha Oculta'!AZ31&gt;0,'Folha Oculta'!AZ31/'Folha Oculta'!AO32,"")</f>
        <v/>
      </c>
      <c r="K229" s="418" t="str">
        <f t="shared" ref="K229:K232" si="94">IF(ISBLANK(J229),"",J229)</f>
        <v/>
      </c>
      <c r="M229" s="418" t="str">
        <f t="shared" ref="M229:M232" si="95">IF(ISBLANK(K229),"",K229)</f>
        <v/>
      </c>
      <c r="N229"/>
      <c r="P229" s="418" t="str">
        <f>IF(ISBLANK(M229),"",M229)</f>
        <v/>
      </c>
      <c r="Q229"/>
      <c r="S229" s="475"/>
      <c r="T229" s="475"/>
      <c r="U229" s="475"/>
      <c r="V229" s="475"/>
    </row>
    <row r="230" spans="4:22" outlineLevel="3" x14ac:dyDescent="0.25">
      <c r="G230" s="416" t="str">
        <f>'Folha de cálculo'!E230</f>
        <v>4.1.4.2</v>
      </c>
      <c r="H230" s="416" t="str">
        <f>'Folha de cálculo'!F230</f>
        <v>entre ]5 e 15] anos</v>
      </c>
      <c r="I230" s="416"/>
      <c r="J230" s="438" t="str">
        <f>IF('Folha Oculta'!AZ32&gt;0,'Folha Oculta'!AZ32/'Folha Oculta'!AO32,"")</f>
        <v/>
      </c>
      <c r="K230" s="418" t="str">
        <f t="shared" si="94"/>
        <v/>
      </c>
      <c r="M230" s="418" t="str">
        <f t="shared" si="95"/>
        <v/>
      </c>
      <c r="N230"/>
      <c r="P230" s="418" t="str">
        <f t="shared" ref="P230:P232" si="96">IF(ISBLANK(M230),"",M230)</f>
        <v/>
      </c>
      <c r="Q230"/>
      <c r="S230" s="475"/>
      <c r="T230" s="475"/>
      <c r="U230" s="475"/>
      <c r="V230" s="475"/>
    </row>
    <row r="231" spans="4:22" outlineLevel="3" x14ac:dyDescent="0.25">
      <c r="G231" s="416" t="str">
        <f>'Folha de cálculo'!E231</f>
        <v>4.1.4.3</v>
      </c>
      <c r="H231" s="416" t="str">
        <f>'Folha de cálculo'!F231</f>
        <v xml:space="preserve">há mais de 15 anos </v>
      </c>
      <c r="I231" s="416"/>
      <c r="J231" s="438" t="str">
        <f>IF('Folha Oculta'!AZ33&gt;0,'Folha Oculta'!AZ33/'Folha Oculta'!AO32,"")</f>
        <v/>
      </c>
      <c r="K231" s="418" t="str">
        <f t="shared" si="94"/>
        <v/>
      </c>
      <c r="M231" s="418" t="str">
        <f t="shared" si="95"/>
        <v/>
      </c>
      <c r="N231"/>
      <c r="P231" s="418" t="str">
        <f t="shared" si="96"/>
        <v/>
      </c>
      <c r="Q231"/>
      <c r="S231" s="475"/>
      <c r="T231" s="475"/>
      <c r="U231" s="475"/>
      <c r="V231" s="475"/>
    </row>
    <row r="232" spans="4:22" outlineLevel="3" x14ac:dyDescent="0.25">
      <c r="D232"/>
      <c r="G232" s="416" t="str">
        <f>'Folha de cálculo'!E232</f>
        <v>4.1.4.4</v>
      </c>
      <c r="H232" s="416" t="str">
        <f>'Folha de cálculo'!F232</f>
        <v>Não foi possível determinar (justifique)</v>
      </c>
      <c r="I232" s="416"/>
      <c r="J232" s="438">
        <f>IF(SUM(J229:J231)&lt;1,1-SUM(J229:J231),"")</f>
        <v>1</v>
      </c>
      <c r="K232" s="418">
        <f t="shared" si="94"/>
        <v>1</v>
      </c>
      <c r="M232" s="418">
        <f t="shared" si="95"/>
        <v>1</v>
      </c>
      <c r="N232"/>
      <c r="P232" s="418">
        <f t="shared" si="96"/>
        <v>1</v>
      </c>
      <c r="Q232"/>
      <c r="S232" s="475"/>
      <c r="T232" s="475"/>
      <c r="U232" s="475"/>
      <c r="V232" s="475"/>
    </row>
    <row r="233" spans="4:22" outlineLevel="2" x14ac:dyDescent="0.25">
      <c r="D233"/>
      <c r="F233" s="415" t="str">
        <f>'Folha de cálculo'!D233</f>
        <v>4.1.5</v>
      </c>
      <c r="G233" s="415" t="str">
        <f>'Folha de cálculo'!E233</f>
        <v>O dispositivo serve uma...</v>
      </c>
      <c r="H233" s="415"/>
      <c r="I233" s="415"/>
      <c r="J233" s="425" t="s">
        <v>731</v>
      </c>
      <c r="K233" s="424" t="s">
        <v>731</v>
      </c>
      <c r="M233" s="425" t="s">
        <v>731</v>
      </c>
      <c r="N233"/>
      <c r="P233" s="425" t="s">
        <v>731</v>
      </c>
      <c r="Q233"/>
      <c r="S233" s="477"/>
      <c r="T233" s="477"/>
      <c r="U233" s="477"/>
      <c r="V233" s="477"/>
    </row>
    <row r="234" spans="4:22" outlineLevel="3" x14ac:dyDescent="0.25">
      <c r="D234"/>
      <c r="G234" s="416" t="str">
        <f>'Folha de cálculo'!E234</f>
        <v>4.1.5.1</v>
      </c>
      <c r="H234" s="416" t="str">
        <f>'Folha de cálculo'!F234</f>
        <v>base de duche</v>
      </c>
      <c r="I234" s="416"/>
      <c r="J234" s="438" t="str">
        <f>IF('Registo de informação'!F180&gt;0,'Registo de informação'!F180/('Registo de informação'!F180+'Registo de informação'!G180),"")</f>
        <v/>
      </c>
      <c r="K234" s="418" t="str">
        <f t="shared" ref="K234:K237" si="97">IF(ISBLANK(J234),"",J234)</f>
        <v/>
      </c>
      <c r="M234" s="418" t="str">
        <f>IF(ISBLANK(K234),"",K234)</f>
        <v/>
      </c>
      <c r="N234"/>
      <c r="P234" s="418" t="str">
        <f>IF(ISBLANK(M234),"",M234)</f>
        <v/>
      </c>
      <c r="Q234"/>
      <c r="S234" s="475"/>
      <c r="T234" s="475"/>
      <c r="U234" s="475"/>
      <c r="V234" s="475"/>
    </row>
    <row r="235" spans="4:22" outlineLevel="3" x14ac:dyDescent="0.25">
      <c r="G235" s="416" t="str">
        <f>'Folha de cálculo'!E235</f>
        <v>4.1.5.2</v>
      </c>
      <c r="H235" s="416" t="str">
        <f>'Folha de cálculo'!F235</f>
        <v>banheira</v>
      </c>
      <c r="I235" s="416"/>
      <c r="J235" s="438" t="str">
        <f>IF('Registo de informação'!G180&gt;0,'Registo de informação'!G180/('Registo de informação'!G180+'Registo de informação'!F180),"")</f>
        <v/>
      </c>
      <c r="K235" s="418" t="str">
        <f t="shared" si="97"/>
        <v/>
      </c>
      <c r="M235" s="418" t="str">
        <f t="shared" ref="M235:M237" si="98">IF(ISBLANK(K235),"",K235)</f>
        <v/>
      </c>
      <c r="N235"/>
      <c r="P235" s="418" t="str">
        <f t="shared" ref="P235:P237" si="99">IF(ISBLANK(M235),"",M235)</f>
        <v/>
      </c>
      <c r="Q235"/>
      <c r="S235" s="475"/>
      <c r="T235" s="475"/>
      <c r="U235" s="475"/>
      <c r="V235" s="475"/>
    </row>
    <row r="236" spans="4:22" outlineLevel="3" x14ac:dyDescent="0.25">
      <c r="G236" s="416" t="str">
        <f>'Folha de cálculo'!E236</f>
        <v>4.1.5.3</v>
      </c>
      <c r="H236" s="416" t="str">
        <f>'Folha de cálculo'!F236</f>
        <v>Nenhuma das opções anteriores</v>
      </c>
      <c r="I236" s="416"/>
      <c r="J236" s="438">
        <f>IF(SUM(J234:J235)&lt;1,1-SUM(J234:J235),"")</f>
        <v>1</v>
      </c>
      <c r="K236" s="418">
        <f t="shared" si="97"/>
        <v>1</v>
      </c>
      <c r="M236" s="418">
        <f t="shared" si="98"/>
        <v>1</v>
      </c>
      <c r="N236"/>
      <c r="P236" s="418">
        <f t="shared" si="99"/>
        <v>1</v>
      </c>
      <c r="Q236"/>
      <c r="S236" s="475"/>
      <c r="T236" s="475"/>
      <c r="U236" s="475"/>
      <c r="V236" s="475"/>
    </row>
    <row r="237" spans="4:22" outlineLevel="3" x14ac:dyDescent="0.25">
      <c r="G237" s="416" t="str">
        <f>'Folha de cálculo'!E237</f>
        <v>4.1.5.4</v>
      </c>
      <c r="H237" s="416" t="str">
        <f>'Folha de cálculo'!F237</f>
        <v>Não foi possível determinar (justifique)</v>
      </c>
      <c r="I237" s="416"/>
      <c r="J237" s="417"/>
      <c r="K237" s="418" t="str">
        <f t="shared" si="97"/>
        <v/>
      </c>
      <c r="M237" s="418" t="str">
        <f t="shared" si="98"/>
        <v/>
      </c>
      <c r="N237"/>
      <c r="P237" s="418" t="str">
        <f t="shared" si="99"/>
        <v/>
      </c>
      <c r="Q237"/>
      <c r="S237" s="475"/>
      <c r="T237" s="475"/>
      <c r="U237" s="475"/>
      <c r="V237" s="475"/>
    </row>
    <row r="238" spans="4:22" outlineLevel="1" x14ac:dyDescent="0.25">
      <c r="J238" s="400"/>
      <c r="K238" s="400"/>
      <c r="M238" s="400"/>
      <c r="N238"/>
      <c r="P238" s="400"/>
      <c r="Q238"/>
      <c r="S238" s="476"/>
      <c r="T238" s="476"/>
      <c r="U238" s="476"/>
      <c r="V238" s="476"/>
    </row>
    <row r="239" spans="4:22" outlineLevel="1" x14ac:dyDescent="0.25">
      <c r="E239" s="8" t="str">
        <f>'Folha de cálculo'!C239</f>
        <v>4.2</v>
      </c>
      <c r="F239" s="8" t="str">
        <f>'Folha de cálculo'!D239</f>
        <v>Autoclismo</v>
      </c>
      <c r="G239" s="8"/>
      <c r="H239" s="8"/>
      <c r="I239" s="8"/>
      <c r="J239" s="403"/>
      <c r="K239" s="404"/>
      <c r="M239" s="403"/>
      <c r="N239"/>
      <c r="P239" s="403"/>
      <c r="Q239"/>
      <c r="S239" s="478"/>
      <c r="T239" s="479"/>
      <c r="U239" s="479"/>
      <c r="V239" s="480"/>
    </row>
    <row r="240" spans="4:22" ht="14.65" customHeight="1" outlineLevel="2" x14ac:dyDescent="0.25">
      <c r="D240"/>
      <c r="F240" s="415" t="str">
        <f>'Folha de cálculo'!D240</f>
        <v>4.2.1</v>
      </c>
      <c r="G240" s="415" t="str">
        <f>'Folha de cálculo'!E240</f>
        <v>O dispositivo instalado dispõe de…</v>
      </c>
      <c r="H240" s="415"/>
      <c r="I240" s="415"/>
      <c r="J240" s="425" t="s">
        <v>732</v>
      </c>
      <c r="K240" s="424" t="s">
        <v>732</v>
      </c>
      <c r="M240" s="425" t="s">
        <v>732</v>
      </c>
      <c r="N240"/>
      <c r="P240" s="425" t="s">
        <v>732</v>
      </c>
      <c r="Q240"/>
      <c r="S240" s="477"/>
      <c r="T240" s="477"/>
      <c r="U240" s="477"/>
      <c r="V240" s="477"/>
    </row>
    <row r="241" spans="4:22" ht="14.65" customHeight="1" outlineLevel="3" x14ac:dyDescent="0.25">
      <c r="D241"/>
      <c r="G241" s="416" t="str">
        <f>'Folha de cálculo'!E241</f>
        <v>4.2.1.1</v>
      </c>
      <c r="H241" s="416" t="str">
        <f>'Folha de cálculo'!F241</f>
        <v>certificado A ou superior emitido pela ANQIP ou Unified Water Label</v>
      </c>
      <c r="I241" s="416"/>
      <c r="J241" s="438" t="str">
        <f>IF('Folha Oculta'!AQ39&gt;0,'Folha Oculta'!AQ39/'Folha Oculta'!AN41,"")</f>
        <v/>
      </c>
      <c r="K241" s="418" t="str">
        <f t="shared" ref="K241:K263" si="100">IF(ISBLANK(J241),"",J241)</f>
        <v/>
      </c>
      <c r="M241" s="418" t="str">
        <f>IF(ISBLANK(K241),"",K241)</f>
        <v/>
      </c>
      <c r="N241"/>
      <c r="P241" s="418" t="str">
        <f>IF(ISBLANK(M241),"",M241)</f>
        <v/>
      </c>
      <c r="Q241"/>
      <c r="S241" s="475"/>
      <c r="T241" s="475"/>
      <c r="U241" s="475"/>
      <c r="V241" s="475"/>
    </row>
    <row r="242" spans="4:22" outlineLevel="3" x14ac:dyDescent="0.25">
      <c r="D242"/>
      <c r="G242" s="416" t="str">
        <f>'Folha de cálculo'!E242</f>
        <v>4.2.1.2</v>
      </c>
      <c r="H242" s="416" t="str">
        <f>'Folha de cálculo'!F242</f>
        <v>duplo abastecimento (água potável e não potável)</v>
      </c>
      <c r="I242" s="416"/>
      <c r="J242" s="438" t="str">
        <f>IF('Folha Oculta'!AQ40&gt;0,'Folha Oculta'!AQ40/'Folha Oculta'!AN41,"")</f>
        <v/>
      </c>
      <c r="K242" s="418" t="str">
        <f t="shared" si="100"/>
        <v/>
      </c>
      <c r="M242" s="418" t="str">
        <f>IF(ISBLANK(K242),"",K242)</f>
        <v/>
      </c>
      <c r="N242"/>
      <c r="P242" s="418" t="str">
        <f>IF(ISBLANK(M242),"",M242)</f>
        <v/>
      </c>
      <c r="Q242"/>
      <c r="S242" s="475"/>
      <c r="T242" s="475"/>
      <c r="U242" s="475"/>
      <c r="V242" s="475"/>
    </row>
    <row r="243" spans="4:22" outlineLevel="3" x14ac:dyDescent="0.25">
      <c r="D243"/>
      <c r="G243" s="416" t="str">
        <f>'Folha de cálculo'!E243</f>
        <v>4.2.1.3</v>
      </c>
      <c r="H243" s="416" t="str">
        <f>'Folha de cálculo'!F243</f>
        <v>dupla descarga</v>
      </c>
      <c r="I243" s="416"/>
      <c r="J243" s="438" t="str">
        <f>IF('Folha Oculta'!AQ41&gt;0,'Folha Oculta'!AQ41/'Folha Oculta'!AN41,"")</f>
        <v/>
      </c>
      <c r="K243" s="418" t="str">
        <f t="shared" si="100"/>
        <v/>
      </c>
      <c r="M243" s="418" t="str">
        <f t="shared" ref="M243:M246" si="101">IF(ISBLANK(K243),"",K243)</f>
        <v/>
      </c>
      <c r="N243"/>
      <c r="P243" s="418" t="str">
        <f t="shared" ref="P243:P245" si="102">IF(ISBLANK(M243),"",M243)</f>
        <v/>
      </c>
      <c r="Q243"/>
      <c r="S243" s="475"/>
      <c r="T243" s="475"/>
      <c r="U243" s="475"/>
      <c r="V243" s="475"/>
    </row>
    <row r="244" spans="4:22" outlineLevel="3" x14ac:dyDescent="0.25">
      <c r="D244"/>
      <c r="G244" s="416" t="str">
        <f>'Folha de cálculo'!E244</f>
        <v>4.2.1.4</v>
      </c>
      <c r="H244" s="416" t="str">
        <f>'Folha de cálculo'!F244</f>
        <v>descarga interrompida</v>
      </c>
      <c r="I244" s="416"/>
      <c r="J244" s="438" t="str">
        <f>IF('Folha Oculta'!AQ42&gt;0,'Folha Oculta'!AQ42/'Folha Oculta'!AN41,"")</f>
        <v/>
      </c>
      <c r="K244" s="418" t="str">
        <f>IF(ISBLANK(J244),"",J244)</f>
        <v/>
      </c>
      <c r="M244" s="418" t="str">
        <f>IF(ISBLANK(K244),"",K244)</f>
        <v/>
      </c>
      <c r="N244"/>
      <c r="P244" s="418" t="str">
        <f>IF(ISBLANK(M244),"",M244)</f>
        <v/>
      </c>
      <c r="Q244"/>
      <c r="S244" s="475"/>
      <c r="T244" s="475"/>
      <c r="U244" s="475"/>
      <c r="V244" s="475"/>
    </row>
    <row r="245" spans="4:22" outlineLevel="3" x14ac:dyDescent="0.25">
      <c r="D245"/>
      <c r="G245" s="416" t="str">
        <f>'Folha de cálculo'!E245</f>
        <v>4.2.1.5</v>
      </c>
      <c r="H245" s="416" t="str">
        <f>'Folha de cálculo'!F245</f>
        <v>válvula de enchimento regulável</v>
      </c>
      <c r="I245" s="416"/>
      <c r="J245" s="438" t="str">
        <f>IF('Folha Oculta'!AQ43&gt;0,'Folha Oculta'!AQ43/'Folha Oculta'!AN41,"")</f>
        <v/>
      </c>
      <c r="K245" s="418" t="str">
        <f t="shared" si="100"/>
        <v/>
      </c>
      <c r="M245" s="418" t="str">
        <f t="shared" si="101"/>
        <v/>
      </c>
      <c r="N245"/>
      <c r="P245" s="418" t="str">
        <f t="shared" si="102"/>
        <v/>
      </c>
      <c r="Q245"/>
      <c r="S245" s="475"/>
      <c r="T245" s="475"/>
      <c r="U245" s="475"/>
      <c r="V245" s="475"/>
    </row>
    <row r="246" spans="4:22" outlineLevel="3" x14ac:dyDescent="0.25">
      <c r="D246"/>
      <c r="G246" s="416" t="str">
        <f>'Folha de cálculo'!E246</f>
        <v>4.2.1.6</v>
      </c>
      <c r="H246" s="416" t="str">
        <f>'Folha de cálculo'!F246</f>
        <v>Nenhuma das opções anteriores</v>
      </c>
      <c r="I246" s="416"/>
      <c r="J246" s="438" t="str">
        <f>IF('Folha Oculta'!AQ44&gt;0,'Folha Oculta'!AQ44/'Folha Oculta'!AN41,"")</f>
        <v/>
      </c>
      <c r="K246" s="418" t="str">
        <f t="shared" si="100"/>
        <v/>
      </c>
      <c r="M246" s="418" t="str">
        <f t="shared" si="101"/>
        <v/>
      </c>
      <c r="N246"/>
      <c r="P246" s="418" t="str">
        <f t="shared" ref="P246:P247" si="103">IF(ISBLANK(M246),"",M246)</f>
        <v/>
      </c>
      <c r="Q246"/>
      <c r="S246" s="475"/>
      <c r="T246" s="475"/>
      <c r="U246" s="475"/>
      <c r="V246" s="475"/>
    </row>
    <row r="247" spans="4:22" outlineLevel="3" x14ac:dyDescent="0.25">
      <c r="D247"/>
      <c r="G247" s="416" t="str">
        <f>'Folha de cálculo'!E247</f>
        <v>4.2.1.7</v>
      </c>
      <c r="H247" s="416" t="str">
        <f>'Folha de cálculo'!F247</f>
        <v>Não foi possível determinar (justifique)</v>
      </c>
      <c r="I247" s="416"/>
      <c r="J247" s="438" t="str">
        <f>IF('Folha Oculta'!AQ45&gt;0,'Folha Oculta'!AQ45/'Folha Oculta'!AN41,"")</f>
        <v/>
      </c>
      <c r="K247" s="418" t="str">
        <f t="shared" si="100"/>
        <v/>
      </c>
      <c r="M247" s="418" t="str">
        <f t="shared" ref="M247" si="104">IF(ISBLANK(K247),"",K247)</f>
        <v/>
      </c>
      <c r="N247"/>
      <c r="P247" s="418" t="str">
        <f t="shared" si="103"/>
        <v/>
      </c>
      <c r="Q247"/>
      <c r="S247" s="475"/>
      <c r="T247" s="475"/>
      <c r="U247" s="475"/>
      <c r="V247" s="475"/>
    </row>
    <row r="248" spans="4:22" outlineLevel="2" x14ac:dyDescent="0.25">
      <c r="D248"/>
      <c r="F248" s="415" t="str">
        <f>'Folha de cálculo'!D248</f>
        <v>4.2.2</v>
      </c>
      <c r="G248" s="415" t="str">
        <f>'Folha de cálculo'!E248</f>
        <v xml:space="preserve">O volume da descarga completa do dispositivo é...  </v>
      </c>
      <c r="H248" s="415"/>
      <c r="I248" s="415"/>
      <c r="J248" s="425" t="s">
        <v>731</v>
      </c>
      <c r="K248" s="424" t="s">
        <v>731</v>
      </c>
      <c r="M248" s="425" t="s">
        <v>731</v>
      </c>
      <c r="N248"/>
      <c r="P248" s="425" t="s">
        <v>731</v>
      </c>
      <c r="Q248"/>
      <c r="S248" s="477"/>
      <c r="T248" s="477"/>
      <c r="U248" s="477"/>
      <c r="V248" s="477"/>
    </row>
    <row r="249" spans="4:22" ht="14.65" customHeight="1" outlineLevel="3" x14ac:dyDescent="0.25">
      <c r="D249"/>
      <c r="G249" s="416" t="str">
        <f>'Folha de cálculo'!E249</f>
        <v>4.2.2.1</v>
      </c>
      <c r="H249" s="416" t="str">
        <f>'Folha de cálculo'!F249</f>
        <v>igual ou inferior a 6,5 litros</v>
      </c>
      <c r="I249" s="416"/>
      <c r="J249" s="438" t="str">
        <f>IF('Folha Oculta'!AS39&gt;0,'Folha Oculta'!AS39/'Folha Oculta'!AN41,"")</f>
        <v/>
      </c>
      <c r="K249" s="418" t="str">
        <f t="shared" si="100"/>
        <v/>
      </c>
      <c r="M249" s="418" t="str">
        <f>IF(ISBLANK(K249),"",K249)</f>
        <v/>
      </c>
      <c r="N249"/>
      <c r="P249" s="418" t="str">
        <f>IF(ISBLANK(M249),"",M249)</f>
        <v/>
      </c>
      <c r="Q249"/>
      <c r="S249" s="475"/>
      <c r="T249" s="475"/>
      <c r="U249" s="475"/>
      <c r="V249" s="475"/>
    </row>
    <row r="250" spans="4:22" outlineLevel="3" x14ac:dyDescent="0.25">
      <c r="D250"/>
      <c r="G250" s="416" t="str">
        <f>'Folha de cálculo'!E250</f>
        <v>4.2.2.2</v>
      </c>
      <c r="H250" s="416" t="str">
        <f>'Folha de cálculo'!F250</f>
        <v>entre ]6,5 e 7,5] litros</v>
      </c>
      <c r="I250" s="416"/>
      <c r="J250" s="438" t="str">
        <f>IF('Folha Oculta'!AS40&gt;0,'Folha Oculta'!AS40/'Folha Oculta'!AN41,"")</f>
        <v/>
      </c>
      <c r="K250" s="418" t="str">
        <f t="shared" si="100"/>
        <v/>
      </c>
      <c r="M250" s="418" t="str">
        <f t="shared" ref="M250:M253" si="105">IF(ISBLANK(K250),"",K250)</f>
        <v/>
      </c>
      <c r="N250"/>
      <c r="P250" s="418" t="str">
        <f t="shared" ref="P250:P253" si="106">IF(ISBLANK(M250),"",M250)</f>
        <v/>
      </c>
      <c r="Q250"/>
      <c r="S250" s="475"/>
      <c r="T250" s="475"/>
      <c r="U250" s="475"/>
      <c r="V250" s="475"/>
    </row>
    <row r="251" spans="4:22" outlineLevel="3" x14ac:dyDescent="0.25">
      <c r="D251"/>
      <c r="G251" s="416" t="str">
        <f>'Folha de cálculo'!E251</f>
        <v>4.2.2.3</v>
      </c>
      <c r="H251" s="416" t="str">
        <f>'Folha de cálculo'!F251</f>
        <v>entre ]7,5 e 9,0] litros</v>
      </c>
      <c r="I251" s="416"/>
      <c r="J251" s="438" t="str">
        <f>IF('Folha Oculta'!AS41&gt;0,'Folha Oculta'!AS41/'Folha Oculta'!AN41,"")</f>
        <v/>
      </c>
      <c r="K251" s="418" t="str">
        <f t="shared" si="100"/>
        <v/>
      </c>
      <c r="M251" s="418" t="str">
        <f t="shared" si="105"/>
        <v/>
      </c>
      <c r="N251"/>
      <c r="P251" s="418" t="str">
        <f t="shared" si="106"/>
        <v/>
      </c>
      <c r="Q251"/>
      <c r="S251" s="475"/>
      <c r="T251" s="475"/>
      <c r="U251" s="475"/>
      <c r="V251" s="475"/>
    </row>
    <row r="252" spans="4:22" outlineLevel="3" x14ac:dyDescent="0.25">
      <c r="D252"/>
      <c r="G252" s="416" t="str">
        <f>'Folha de cálculo'!E252</f>
        <v>4.2.2.4</v>
      </c>
      <c r="H252" s="416" t="str">
        <f>'Folha de cálculo'!F252</f>
        <v>superior a 9,0 litros</v>
      </c>
      <c r="I252" s="416"/>
      <c r="J252" s="438" t="str">
        <f>IF('Folha Oculta'!AS42&gt;0,'Folha Oculta'!AS42/'Folha Oculta'!AN41,"")</f>
        <v/>
      </c>
      <c r="K252" s="418" t="str">
        <f t="shared" si="100"/>
        <v/>
      </c>
      <c r="M252" s="418" t="str">
        <f t="shared" si="105"/>
        <v/>
      </c>
      <c r="N252"/>
      <c r="P252" s="418" t="str">
        <f t="shared" si="106"/>
        <v/>
      </c>
      <c r="Q252"/>
      <c r="S252" s="475"/>
      <c r="T252" s="475"/>
      <c r="U252" s="475"/>
      <c r="V252" s="475"/>
    </row>
    <row r="253" spans="4:22" outlineLevel="3" x14ac:dyDescent="0.25">
      <c r="D253"/>
      <c r="G253" s="416" t="str">
        <f>'Folha de cálculo'!E253</f>
        <v>4.2.2.5</v>
      </c>
      <c r="H253" s="416" t="str">
        <f>'Folha de cálculo'!F253</f>
        <v>Não foi possível determinar (justifique)</v>
      </c>
      <c r="I253" s="416"/>
      <c r="J253" s="438">
        <f>IF(SUM(J249:J252)&lt;1,1-SUM(J249:J252),"")</f>
        <v>1</v>
      </c>
      <c r="K253" s="418">
        <f t="shared" si="100"/>
        <v>1</v>
      </c>
      <c r="M253" s="418">
        <f t="shared" si="105"/>
        <v>1</v>
      </c>
      <c r="N253"/>
      <c r="P253" s="418">
        <f t="shared" si="106"/>
        <v>1</v>
      </c>
      <c r="Q253"/>
      <c r="S253" s="475"/>
      <c r="T253" s="475"/>
      <c r="U253" s="475"/>
      <c r="V253" s="475"/>
    </row>
    <row r="254" spans="4:22" outlineLevel="2" x14ac:dyDescent="0.25">
      <c r="D254"/>
      <c r="F254" s="415" t="str">
        <f>'Folha de cálculo'!D254</f>
        <v>4.2.3</v>
      </c>
      <c r="G254" s="415" t="str">
        <f>'Folha de cálculo'!E254</f>
        <v>O dispositivo instalado…</v>
      </c>
      <c r="H254" s="415"/>
      <c r="I254" s="415"/>
      <c r="J254" s="425" t="s">
        <v>731</v>
      </c>
      <c r="K254" s="424" t="s">
        <v>731</v>
      </c>
      <c r="M254" s="425" t="s">
        <v>731</v>
      </c>
      <c r="N254"/>
      <c r="P254" s="425" t="s">
        <v>731</v>
      </c>
      <c r="Q254"/>
      <c r="S254" s="477"/>
      <c r="T254" s="477"/>
      <c r="U254" s="477"/>
      <c r="V254" s="477"/>
    </row>
    <row r="255" spans="4:22" ht="14.65" customHeight="1" outlineLevel="3" x14ac:dyDescent="0.25">
      <c r="D255"/>
      <c r="G255" s="416" t="str">
        <f>'Folha de cálculo'!E255</f>
        <v>4.2.3.1</v>
      </c>
      <c r="H255" s="416" t="str">
        <f>'Folha de cálculo'!F255</f>
        <v>não apresenta indícios de fuga</v>
      </c>
      <c r="I255" s="416"/>
      <c r="J255" s="438" t="str">
        <f>IF('Folha Oculta'!AV39&gt;0,'Folha Oculta'!AV39/'Folha Oculta'!AN41,"")</f>
        <v/>
      </c>
      <c r="K255" s="418" t="str">
        <f t="shared" si="100"/>
        <v/>
      </c>
      <c r="M255" s="418" t="str">
        <f>IF(ISBLANK(K255),"",K255)</f>
        <v/>
      </c>
      <c r="N255"/>
      <c r="P255" s="418" t="str">
        <f>IF(ISBLANK(M255),"",M255)</f>
        <v/>
      </c>
      <c r="Q255"/>
      <c r="S255" s="475"/>
      <c r="T255" s="475"/>
      <c r="U255" s="475"/>
      <c r="V255" s="475"/>
    </row>
    <row r="256" spans="4:22" outlineLevel="3" x14ac:dyDescent="0.25">
      <c r="D256"/>
      <c r="G256" s="416" t="str">
        <f>'Folha de cálculo'!E256</f>
        <v>4.2.3.2</v>
      </c>
      <c r="H256" s="416" t="str">
        <f>'Folha de cálculo'!F256</f>
        <v>apresenta indícios de fuga (justifique)</v>
      </c>
      <c r="I256" s="416"/>
      <c r="J256" s="438" t="str">
        <f>IF('Folha Oculta'!AV40&gt;0,'Folha Oculta'!AV40/'Folha Oculta'!AN41,"")</f>
        <v/>
      </c>
      <c r="K256" s="418" t="str">
        <f t="shared" si="100"/>
        <v/>
      </c>
      <c r="M256" s="418" t="str">
        <f t="shared" ref="M256:M258" si="107">IF(ISBLANK(K256),"",K256)</f>
        <v/>
      </c>
      <c r="N256"/>
      <c r="P256" s="418" t="str">
        <f t="shared" ref="P256:P258" si="108">IF(ISBLANK(M256),"",M256)</f>
        <v/>
      </c>
      <c r="Q256"/>
      <c r="S256" s="475"/>
      <c r="T256" s="475"/>
      <c r="U256" s="475"/>
      <c r="V256" s="475"/>
    </row>
    <row r="257" spans="4:22" outlineLevel="3" x14ac:dyDescent="0.25">
      <c r="G257" s="416" t="str">
        <f>'Folha de cálculo'!E257</f>
        <v>4.2.3.3</v>
      </c>
      <c r="H257" s="416" t="str">
        <f>'Folha de cálculo'!F257</f>
        <v>apresenta evidências de fuga</v>
      </c>
      <c r="I257" s="416"/>
      <c r="J257" s="438" t="str">
        <f>IF('Folha Oculta'!AV41&gt;0,'Folha Oculta'!AV41/'Folha Oculta'!AN41,"")</f>
        <v/>
      </c>
      <c r="K257" s="418" t="str">
        <f t="shared" si="100"/>
        <v/>
      </c>
      <c r="M257" s="418" t="str">
        <f t="shared" si="107"/>
        <v/>
      </c>
      <c r="N257"/>
      <c r="P257" s="418" t="str">
        <f t="shared" si="108"/>
        <v/>
      </c>
      <c r="Q257"/>
      <c r="S257" s="475"/>
      <c r="T257" s="475"/>
      <c r="U257" s="475"/>
      <c r="V257" s="475"/>
    </row>
    <row r="258" spans="4:22" outlineLevel="3" x14ac:dyDescent="0.25">
      <c r="G258" s="416" t="str">
        <f>'Folha de cálculo'!E258</f>
        <v>4.2.3.4</v>
      </c>
      <c r="H258" s="416" t="str">
        <f>'Folha de cálculo'!F258</f>
        <v>Não foi possível determinar (justifique)</v>
      </c>
      <c r="I258" s="416"/>
      <c r="J258" s="438">
        <f>IF(SUM(J255:J257)&lt;1,1-SUM(J255:J257),"")</f>
        <v>1</v>
      </c>
      <c r="K258" s="418">
        <f t="shared" si="100"/>
        <v>1</v>
      </c>
      <c r="M258" s="418">
        <f t="shared" si="107"/>
        <v>1</v>
      </c>
      <c r="N258"/>
      <c r="P258" s="418">
        <f t="shared" si="108"/>
        <v>1</v>
      </c>
      <c r="Q258"/>
      <c r="S258" s="475"/>
      <c r="T258" s="475"/>
      <c r="U258" s="475"/>
      <c r="V258" s="475"/>
    </row>
    <row r="259" spans="4:22" outlineLevel="2" x14ac:dyDescent="0.25">
      <c r="F259" s="415" t="str">
        <f>'Folha de cálculo'!D259</f>
        <v>4.2.4</v>
      </c>
      <c r="G259" s="415" t="str">
        <f>'Folha de cálculo'!E259</f>
        <v>O dispositivo foi instalado…</v>
      </c>
      <c r="H259" s="415"/>
      <c r="I259" s="415"/>
      <c r="J259" s="425" t="s">
        <v>731</v>
      </c>
      <c r="K259" s="424" t="s">
        <v>731</v>
      </c>
      <c r="M259" s="425" t="s">
        <v>731</v>
      </c>
      <c r="N259"/>
      <c r="P259" s="425" t="s">
        <v>731</v>
      </c>
      <c r="Q259"/>
      <c r="S259" s="477"/>
      <c r="T259" s="477"/>
      <c r="U259" s="477"/>
      <c r="V259" s="477"/>
    </row>
    <row r="260" spans="4:22" ht="14.65" customHeight="1" outlineLevel="3" x14ac:dyDescent="0.25">
      <c r="G260" s="416" t="str">
        <f>'Folha de cálculo'!E260</f>
        <v>4.2.4.1</v>
      </c>
      <c r="H260" s="416" t="str">
        <f>'Folha de cálculo'!F260</f>
        <v>há 5 ou menos anos</v>
      </c>
      <c r="I260" s="416"/>
      <c r="J260" s="438" t="str">
        <f>IF('Folha Oculta'!AX39&gt;0,'Folha Oculta'!AX39/'Folha Oculta'!AN41,"")</f>
        <v/>
      </c>
      <c r="K260" s="418" t="str">
        <f t="shared" si="100"/>
        <v/>
      </c>
      <c r="M260" s="418" t="str">
        <f t="shared" ref="M260:M263" si="109">IF(ISBLANK(K260),"",K260)</f>
        <v/>
      </c>
      <c r="N260"/>
      <c r="P260" s="418" t="str">
        <f>IF(ISBLANK(M260),"",M260)</f>
        <v/>
      </c>
      <c r="Q260"/>
      <c r="S260" s="475"/>
      <c r="T260" s="475"/>
      <c r="U260" s="475"/>
      <c r="V260" s="475"/>
    </row>
    <row r="261" spans="4:22" outlineLevel="3" x14ac:dyDescent="0.25">
      <c r="G261" s="416" t="str">
        <f>'Folha de cálculo'!E261</f>
        <v>4.2.4.2</v>
      </c>
      <c r="H261" s="416" t="str">
        <f>'Folha de cálculo'!F261</f>
        <v>entre ]5 e 15] anos</v>
      </c>
      <c r="I261" s="416"/>
      <c r="J261" s="438" t="str">
        <f>IF('Folha Oculta'!AX40&gt;0,'Folha Oculta'!AX40/'Folha Oculta'!AN41,"")</f>
        <v/>
      </c>
      <c r="K261" s="418" t="str">
        <f t="shared" si="100"/>
        <v/>
      </c>
      <c r="M261" s="418" t="str">
        <f t="shared" si="109"/>
        <v/>
      </c>
      <c r="N261"/>
      <c r="P261" s="418" t="str">
        <f t="shared" ref="P261:P263" si="110">IF(ISBLANK(M261),"",M261)</f>
        <v/>
      </c>
      <c r="Q261"/>
      <c r="S261" s="475"/>
      <c r="T261" s="475"/>
      <c r="U261" s="475"/>
      <c r="V261" s="475"/>
    </row>
    <row r="262" spans="4:22" outlineLevel="3" x14ac:dyDescent="0.25">
      <c r="G262" s="416" t="str">
        <f>'Folha de cálculo'!E262</f>
        <v>4.2.4.3</v>
      </c>
      <c r="H262" s="416" t="str">
        <f>'Folha de cálculo'!F262</f>
        <v>há mais de 15 anos</v>
      </c>
      <c r="I262" s="416"/>
      <c r="J262" s="438" t="str">
        <f>IF('Folha Oculta'!AX41&gt;0,'Folha Oculta'!AX41/'Folha Oculta'!AN41,"")</f>
        <v/>
      </c>
      <c r="K262" s="418" t="str">
        <f t="shared" si="100"/>
        <v/>
      </c>
      <c r="M262" s="418" t="str">
        <f t="shared" si="109"/>
        <v/>
      </c>
      <c r="N262"/>
      <c r="P262" s="418" t="str">
        <f t="shared" si="110"/>
        <v/>
      </c>
      <c r="Q262"/>
      <c r="S262" s="475"/>
      <c r="T262" s="475"/>
      <c r="U262" s="475"/>
      <c r="V262" s="475"/>
    </row>
    <row r="263" spans="4:22" outlineLevel="3" x14ac:dyDescent="0.25">
      <c r="G263" s="416" t="str">
        <f>'Folha de cálculo'!E263</f>
        <v>4.2.4.4</v>
      </c>
      <c r="H263" s="416" t="str">
        <f>'Folha de cálculo'!F263</f>
        <v>Não foi possível determinar (justifique)</v>
      </c>
      <c r="I263" s="416"/>
      <c r="J263" s="438">
        <f>IF(SUM(J260:J262)&lt;1,1-SUM(J260:J262),"")</f>
        <v>1</v>
      </c>
      <c r="K263" s="418">
        <f t="shared" si="100"/>
        <v>1</v>
      </c>
      <c r="M263" s="418">
        <f t="shared" si="109"/>
        <v>1</v>
      </c>
      <c r="N263"/>
      <c r="P263" s="418">
        <f t="shared" si="110"/>
        <v>1</v>
      </c>
      <c r="Q263"/>
      <c r="S263" s="475"/>
      <c r="T263" s="475"/>
      <c r="U263" s="475"/>
      <c r="V263" s="475"/>
    </row>
    <row r="264" spans="4:22" outlineLevel="1" x14ac:dyDescent="0.25">
      <c r="J264" s="400"/>
      <c r="K264" s="400"/>
      <c r="M264" s="400"/>
      <c r="N264"/>
      <c r="P264" s="400"/>
      <c r="Q264"/>
      <c r="S264" s="476"/>
      <c r="T264" s="476"/>
      <c r="U264" s="476"/>
      <c r="V264" s="476"/>
    </row>
    <row r="265" spans="4:22" ht="14.65" customHeight="1" outlineLevel="1" x14ac:dyDescent="0.25">
      <c r="E265" s="8" t="str">
        <f>'Folha de cálculo'!C265</f>
        <v>4.3</v>
      </c>
      <c r="F265" s="8" t="str">
        <f>'Folha de cálculo'!D265</f>
        <v>Lavatório de casa de banho</v>
      </c>
      <c r="G265" s="8"/>
      <c r="H265" s="8"/>
      <c r="I265" s="8"/>
      <c r="J265" s="403"/>
      <c r="K265" s="404"/>
      <c r="M265" s="403"/>
      <c r="N265"/>
      <c r="P265" s="403"/>
      <c r="Q265"/>
      <c r="S265" s="478"/>
      <c r="T265" s="479"/>
      <c r="U265" s="479"/>
      <c r="V265" s="480"/>
    </row>
    <row r="266" spans="4:22" ht="14.65" customHeight="1" outlineLevel="2" x14ac:dyDescent="0.25">
      <c r="D266"/>
      <c r="F266" s="415" t="str">
        <f>'Folha de cálculo'!D266</f>
        <v>4.3.1</v>
      </c>
      <c r="G266" s="415" t="str">
        <f>'Folha de cálculo'!E266</f>
        <v>O dispositivo instalado dispõe de…</v>
      </c>
      <c r="H266" s="415"/>
      <c r="I266" s="415"/>
      <c r="J266" s="425" t="s">
        <v>732</v>
      </c>
      <c r="K266" s="424" t="s">
        <v>732</v>
      </c>
      <c r="M266" s="425" t="s">
        <v>732</v>
      </c>
      <c r="N266"/>
      <c r="P266" s="425" t="s">
        <v>732</v>
      </c>
      <c r="Q266"/>
      <c r="S266" s="477"/>
      <c r="T266" s="477"/>
      <c r="U266" s="477"/>
      <c r="V266" s="477"/>
    </row>
    <row r="267" spans="4:22" outlineLevel="3" x14ac:dyDescent="0.25">
      <c r="D267"/>
      <c r="G267" s="416" t="str">
        <f>'Folha de cálculo'!E267</f>
        <v>4.3.1.1</v>
      </c>
      <c r="H267" s="416" t="str">
        <f>'Folha de cálculo'!F267</f>
        <v>certificado A ou superior emitido pela ANQIP ou Unified Water Label</v>
      </c>
      <c r="I267" s="416"/>
      <c r="J267" s="438" t="str">
        <f>IF('Folha Oculta'!AQ47&gt;0,'Folha Oculta'!AQ47/'Folha Oculta'!AN49,"")</f>
        <v/>
      </c>
      <c r="K267" s="418" t="str">
        <f t="shared" ref="K267:K273" si="111">IF(ISBLANK(J267),"",J267)</f>
        <v/>
      </c>
      <c r="M267" s="418" t="str">
        <f>IF(ISBLANK(K267),"",K267)</f>
        <v/>
      </c>
      <c r="N267"/>
      <c r="P267" s="418" t="str">
        <f>IF(ISBLANK(M267),"",M267)</f>
        <v/>
      </c>
      <c r="Q267"/>
      <c r="S267" s="475"/>
      <c r="T267" s="475"/>
      <c r="U267" s="475"/>
      <c r="V267" s="475"/>
    </row>
    <row r="268" spans="4:22" outlineLevel="3" x14ac:dyDescent="0.25">
      <c r="D268"/>
      <c r="G268" s="416" t="str">
        <f>'Folha de cálculo'!E268</f>
        <v>4.3.1.2</v>
      </c>
      <c r="H268" s="416" t="str">
        <f>'Folha de cálculo'!F268</f>
        <v>redutor/regulador de caudal (inclui arejador)</v>
      </c>
      <c r="I268" s="416"/>
      <c r="J268" s="438" t="str">
        <f>IF('Folha Oculta'!AQ48&gt;0,'Folha Oculta'!AQ48/'Folha Oculta'!AN49,"")</f>
        <v/>
      </c>
      <c r="K268" s="418" t="str">
        <f t="shared" si="111"/>
        <v/>
      </c>
      <c r="M268" s="418" t="str">
        <f t="shared" ref="M268:M273" si="112">IF(ISBLANK(K268),"",K268)</f>
        <v/>
      </c>
      <c r="N268"/>
      <c r="P268" s="418" t="str">
        <f t="shared" ref="P268:P273" si="113">IF(ISBLANK(M268),"",M268)</f>
        <v/>
      </c>
      <c r="Q268"/>
      <c r="S268" s="475"/>
      <c r="T268" s="475"/>
      <c r="U268" s="475"/>
      <c r="V268" s="475"/>
    </row>
    <row r="269" spans="4:22" outlineLevel="3" x14ac:dyDescent="0.25">
      <c r="D269"/>
      <c r="G269" s="416" t="str">
        <f>'Folha de cálculo'!E269</f>
        <v>4.3.1.3</v>
      </c>
      <c r="H269" s="416" t="str">
        <f>'Folha de cálculo'!F269</f>
        <v>torneira com posições fixas de caudal / eco-stop</v>
      </c>
      <c r="I269" s="416"/>
      <c r="J269" s="438" t="str">
        <f>IF('Folha Oculta'!AQ49&gt;0,'Folha Oculta'!AQ49/'Folha Oculta'!AN49,"")</f>
        <v/>
      </c>
      <c r="K269" s="418" t="str">
        <f t="shared" si="111"/>
        <v/>
      </c>
      <c r="M269" s="418" t="str">
        <f t="shared" si="112"/>
        <v/>
      </c>
      <c r="N269"/>
      <c r="P269" s="418" t="str">
        <f t="shared" si="113"/>
        <v/>
      </c>
      <c r="Q269"/>
      <c r="S269" s="475"/>
      <c r="T269" s="475"/>
      <c r="U269" s="475"/>
      <c r="V269" s="475"/>
    </row>
    <row r="270" spans="4:22" outlineLevel="3" x14ac:dyDescent="0.25">
      <c r="D270"/>
      <c r="G270" s="416" t="str">
        <f>'Folha de cálculo'!E270</f>
        <v>4.3.1.4</v>
      </c>
      <c r="H270" s="416" t="str">
        <f>'Folha de cálculo'!F270</f>
        <v>torneira misturadora termostática</v>
      </c>
      <c r="I270" s="416"/>
      <c r="J270" s="438" t="str">
        <f>IF('Folha Oculta'!AQ50&gt;0,'Folha Oculta'!AQ50/'Folha Oculta'!AN49,"")</f>
        <v/>
      </c>
      <c r="K270" s="418" t="str">
        <f t="shared" si="111"/>
        <v/>
      </c>
      <c r="M270" s="418" t="str">
        <f t="shared" si="112"/>
        <v/>
      </c>
      <c r="N270"/>
      <c r="P270" s="418" t="str">
        <f t="shared" si="113"/>
        <v/>
      </c>
      <c r="Q270"/>
      <c r="S270" s="475"/>
      <c r="T270" s="475"/>
      <c r="U270" s="475"/>
      <c r="V270" s="475"/>
    </row>
    <row r="271" spans="4:22" outlineLevel="3" x14ac:dyDescent="0.25">
      <c r="D271"/>
      <c r="G271" s="416" t="str">
        <f>'Folha de cálculo'!E271</f>
        <v>4.3.1.5</v>
      </c>
      <c r="H271" s="416" t="str">
        <f>'Folha de cálculo'!F271</f>
        <v>torneira temporizada/com sensor</v>
      </c>
      <c r="I271" s="416"/>
      <c r="J271" s="438" t="str">
        <f>IF('Folha Oculta'!AQ51&gt;0,'Folha Oculta'!AQ51/'Folha Oculta'!AN49,"")</f>
        <v/>
      </c>
      <c r="K271" s="418" t="str">
        <f t="shared" si="111"/>
        <v/>
      </c>
      <c r="M271" s="418" t="str">
        <f t="shared" si="112"/>
        <v/>
      </c>
      <c r="N271"/>
      <c r="P271" s="418" t="str">
        <f t="shared" si="113"/>
        <v/>
      </c>
      <c r="Q271"/>
      <c r="S271" s="475"/>
      <c r="T271" s="475"/>
      <c r="U271" s="475"/>
      <c r="V271" s="475"/>
    </row>
    <row r="272" spans="4:22" outlineLevel="3" x14ac:dyDescent="0.25">
      <c r="D272"/>
      <c r="G272" s="416" t="str">
        <f>'Folha de cálculo'!E272</f>
        <v>4.3.1.6</v>
      </c>
      <c r="H272" s="416" t="str">
        <f>'Folha de cálculo'!F272</f>
        <v>Nenhuma das opções anteriores</v>
      </c>
      <c r="I272" s="416"/>
      <c r="J272" s="438" t="str">
        <f>IF('Folha Oculta'!AQ52&gt;0,'Folha Oculta'!AQ52/'Folha Oculta'!AN49,"")</f>
        <v/>
      </c>
      <c r="K272" s="418" t="str">
        <f t="shared" si="111"/>
        <v/>
      </c>
      <c r="M272" s="418" t="str">
        <f t="shared" si="112"/>
        <v/>
      </c>
      <c r="N272"/>
      <c r="P272" s="418" t="str">
        <f t="shared" si="113"/>
        <v/>
      </c>
      <c r="Q272"/>
      <c r="S272" s="475"/>
      <c r="T272" s="475"/>
      <c r="U272" s="475"/>
      <c r="V272" s="475"/>
    </row>
    <row r="273" spans="4:22" outlineLevel="3" x14ac:dyDescent="0.25">
      <c r="D273"/>
      <c r="G273" s="416" t="str">
        <f>'Folha de cálculo'!E273</f>
        <v>4.3.1.7</v>
      </c>
      <c r="H273" s="416" t="str">
        <f>'Folha de cálculo'!F273</f>
        <v>Não foi possível determinar (justifique)</v>
      </c>
      <c r="I273" s="416"/>
      <c r="J273" s="438" t="str">
        <f>IF('Folha Oculta'!AQ53&gt;0,'Folha Oculta'!AQ53/'Folha Oculta'!AN49,"")</f>
        <v/>
      </c>
      <c r="K273" s="418" t="str">
        <f t="shared" si="111"/>
        <v/>
      </c>
      <c r="M273" s="418" t="str">
        <f t="shared" si="112"/>
        <v/>
      </c>
      <c r="N273"/>
      <c r="P273" s="418" t="str">
        <f t="shared" si="113"/>
        <v/>
      </c>
      <c r="Q273"/>
      <c r="S273" s="475"/>
      <c r="T273" s="475"/>
      <c r="U273" s="475"/>
      <c r="V273" s="475"/>
    </row>
    <row r="274" spans="4:22" ht="14.65" customHeight="1" outlineLevel="2" x14ac:dyDescent="0.25">
      <c r="D274"/>
      <c r="F274" s="415" t="str">
        <f>'Folha de cálculo'!D274</f>
        <v>4.3.2</v>
      </c>
      <c r="G274" s="415" t="str">
        <f>'Folha de cálculo'!E274</f>
        <v xml:space="preserve">O caudal do dispositivo em abertura máxima para água fria é...  </v>
      </c>
      <c r="H274" s="415"/>
      <c r="I274" s="415"/>
      <c r="J274" s="425" t="s">
        <v>731</v>
      </c>
      <c r="K274" s="424" t="s">
        <v>731</v>
      </c>
      <c r="M274" s="425" t="s">
        <v>731</v>
      </c>
      <c r="N274"/>
      <c r="P274" s="425" t="s">
        <v>731</v>
      </c>
      <c r="Q274"/>
      <c r="S274" s="477"/>
      <c r="T274" s="477"/>
      <c r="U274" s="477"/>
      <c r="V274" s="477"/>
    </row>
    <row r="275" spans="4:22" outlineLevel="3" x14ac:dyDescent="0.25">
      <c r="D275"/>
      <c r="G275" s="416" t="str">
        <f>'Folha de cálculo'!E275</f>
        <v>4.3.2.1</v>
      </c>
      <c r="H275" s="416" t="str">
        <f>'Folha de cálculo'!F275</f>
        <v>igual ou inferior a 4 litros/min</v>
      </c>
      <c r="I275" s="416"/>
      <c r="J275" s="438" t="str">
        <f>IF('Folha Oculta'!AS47&gt;0,'Folha Oculta'!AS47/'Folha Oculta'!AN49,"")</f>
        <v/>
      </c>
      <c r="K275" s="418" t="str">
        <f t="shared" ref="K275:K278" si="114">IF(ISBLANK(J275),"",J275)</f>
        <v/>
      </c>
      <c r="M275" s="418" t="str">
        <f>IF(ISBLANK(K275),"",K275)</f>
        <v/>
      </c>
      <c r="N275"/>
      <c r="P275" s="418" t="str">
        <f>IF(ISBLANK(M275),"",M275)</f>
        <v/>
      </c>
      <c r="Q275"/>
      <c r="S275" s="475"/>
      <c r="T275" s="475"/>
      <c r="U275" s="475"/>
      <c r="V275" s="475"/>
    </row>
    <row r="276" spans="4:22" outlineLevel="3" x14ac:dyDescent="0.25">
      <c r="D276"/>
      <c r="G276" s="416" t="str">
        <f>'Folha de cálculo'!E276</f>
        <v>4.3.2.2</v>
      </c>
      <c r="H276" s="416" t="str">
        <f>'Folha de cálculo'!F276</f>
        <v>entre ]4 e 6] litros/min</v>
      </c>
      <c r="I276" s="416"/>
      <c r="J276" s="438" t="str">
        <f>IF('Folha Oculta'!AS48&gt;0,'Folha Oculta'!AS48/'Folha Oculta'!AN49,"")</f>
        <v/>
      </c>
      <c r="K276" s="418" t="str">
        <f t="shared" si="114"/>
        <v/>
      </c>
      <c r="M276" s="418" t="str">
        <f t="shared" ref="M276:M278" si="115">IF(ISBLANK(K276),"",K276)</f>
        <v/>
      </c>
      <c r="N276"/>
      <c r="P276" s="418" t="str">
        <f t="shared" ref="P276:P278" si="116">IF(ISBLANK(M276),"",M276)</f>
        <v/>
      </c>
      <c r="Q276"/>
      <c r="S276" s="475"/>
      <c r="T276" s="475"/>
      <c r="U276" s="475"/>
      <c r="V276" s="475"/>
    </row>
    <row r="277" spans="4:22" outlineLevel="3" x14ac:dyDescent="0.25">
      <c r="D277"/>
      <c r="G277" s="416" t="str">
        <f>'Folha de cálculo'!E277</f>
        <v>4.3.2.3</v>
      </c>
      <c r="H277" s="416" t="str">
        <f>'Folha de cálculo'!F277</f>
        <v>superior a 6 litros/min</v>
      </c>
      <c r="I277" s="416"/>
      <c r="J277" s="438" t="str">
        <f>IF('Folha Oculta'!AS49&gt;0,'Folha Oculta'!AS49/'Folha Oculta'!AN49,"")</f>
        <v/>
      </c>
      <c r="K277" s="418" t="str">
        <f t="shared" si="114"/>
        <v/>
      </c>
      <c r="M277" s="418" t="str">
        <f t="shared" si="115"/>
        <v/>
      </c>
      <c r="N277"/>
      <c r="P277" s="418" t="str">
        <f t="shared" si="116"/>
        <v/>
      </c>
      <c r="Q277"/>
      <c r="S277" s="475"/>
      <c r="T277" s="475"/>
      <c r="U277" s="475"/>
      <c r="V277" s="475"/>
    </row>
    <row r="278" spans="4:22" outlineLevel="3" x14ac:dyDescent="0.25">
      <c r="D278"/>
      <c r="G278" s="416" t="str">
        <f>'Folha de cálculo'!E278</f>
        <v>4.3.2.4</v>
      </c>
      <c r="H278" s="416" t="str">
        <f>'Folha de cálculo'!F278</f>
        <v>Não foi possível determinar (justifique)</v>
      </c>
      <c r="I278" s="416"/>
      <c r="J278" s="438">
        <f>IF(SUM(J275:J277)&lt;1,1-SUM(J275:J277),"")</f>
        <v>1</v>
      </c>
      <c r="K278" s="418">
        <f t="shared" si="114"/>
        <v>1</v>
      </c>
      <c r="M278" s="418">
        <f t="shared" si="115"/>
        <v>1</v>
      </c>
      <c r="N278"/>
      <c r="P278" s="418">
        <f t="shared" si="116"/>
        <v>1</v>
      </c>
      <c r="Q278"/>
      <c r="S278" s="475"/>
      <c r="T278" s="475"/>
      <c r="U278" s="475"/>
      <c r="V278" s="475"/>
    </row>
    <row r="279" spans="4:22" outlineLevel="2" x14ac:dyDescent="0.25">
      <c r="D279"/>
      <c r="F279" s="415" t="str">
        <f>'Folha de cálculo'!D279</f>
        <v>4.3.3</v>
      </c>
      <c r="G279" s="415" t="str">
        <f>'Folha de cálculo'!E279</f>
        <v>O dispositivo instalado…</v>
      </c>
      <c r="H279" s="415"/>
      <c r="I279" s="415"/>
      <c r="J279" s="425" t="s">
        <v>731</v>
      </c>
      <c r="K279" s="424" t="s">
        <v>731</v>
      </c>
      <c r="M279" s="425" t="s">
        <v>731</v>
      </c>
      <c r="N279"/>
      <c r="P279" s="425" t="s">
        <v>731</v>
      </c>
      <c r="Q279"/>
      <c r="S279" s="477"/>
      <c r="T279" s="477"/>
      <c r="U279" s="477"/>
      <c r="V279" s="477"/>
    </row>
    <row r="280" spans="4:22" ht="14.65" customHeight="1" outlineLevel="3" x14ac:dyDescent="0.25">
      <c r="D280"/>
      <c r="G280" s="416" t="str">
        <f>'Folha de cálculo'!E280</f>
        <v>4.3.3.1</v>
      </c>
      <c r="H280" s="416" t="str">
        <f>'Folha de cálculo'!F280</f>
        <v>não apresenta indícios de fuga</v>
      </c>
      <c r="I280" s="416"/>
      <c r="J280" s="438" t="str">
        <f>IF('Folha Oculta'!AV47&gt;0,'Folha Oculta'!AV47/'Folha Oculta'!AN49,"")</f>
        <v/>
      </c>
      <c r="K280" s="418" t="str">
        <f t="shared" ref="K280:K283" si="117">IF(ISBLANK(J280),"",J280)</f>
        <v/>
      </c>
      <c r="M280" s="418" t="str">
        <f>IF(ISBLANK(K280),"",K280)</f>
        <v/>
      </c>
      <c r="N280"/>
      <c r="P280" s="418" t="str">
        <f>IF(ISBLANK(M280),"",M280)</f>
        <v/>
      </c>
      <c r="Q280"/>
      <c r="S280" s="475"/>
      <c r="T280" s="475"/>
      <c r="U280" s="475"/>
      <c r="V280" s="475"/>
    </row>
    <row r="281" spans="4:22" outlineLevel="3" x14ac:dyDescent="0.25">
      <c r="D281"/>
      <c r="G281" s="416" t="str">
        <f>'Folha de cálculo'!E281</f>
        <v>4.3.3.2</v>
      </c>
      <c r="H281" s="416" t="str">
        <f>'Folha de cálculo'!F281</f>
        <v>apresenta indícios de fuga (justifique)</v>
      </c>
      <c r="I281" s="416"/>
      <c r="J281" s="438" t="str">
        <f>IF('Folha Oculta'!AV48&gt;0,'Folha Oculta'!AV48/'Folha Oculta'!AN49,"")</f>
        <v/>
      </c>
      <c r="K281" s="418" t="str">
        <f t="shared" si="117"/>
        <v/>
      </c>
      <c r="M281" s="418" t="str">
        <f t="shared" ref="M281:M283" si="118">IF(ISBLANK(K281),"",K281)</f>
        <v/>
      </c>
      <c r="N281"/>
      <c r="P281" s="418" t="str">
        <f t="shared" ref="P281:P283" si="119">IF(ISBLANK(M281),"",M281)</f>
        <v/>
      </c>
      <c r="Q281"/>
      <c r="S281" s="475"/>
      <c r="T281" s="475"/>
      <c r="U281" s="475"/>
      <c r="V281" s="475"/>
    </row>
    <row r="282" spans="4:22" outlineLevel="3" x14ac:dyDescent="0.25">
      <c r="D282"/>
      <c r="G282" s="416" t="str">
        <f>'Folha de cálculo'!E282</f>
        <v>4.3.3.3</v>
      </c>
      <c r="H282" s="416" t="str">
        <f>'Folha de cálculo'!F282</f>
        <v>apresenta evidências de fuga</v>
      </c>
      <c r="I282" s="416"/>
      <c r="J282" s="438" t="str">
        <f>IF('Folha Oculta'!AV49&gt;0,'Folha Oculta'!AV49/'Folha Oculta'!AN49,"")</f>
        <v/>
      </c>
      <c r="K282" s="418" t="str">
        <f t="shared" si="117"/>
        <v/>
      </c>
      <c r="M282" s="418" t="str">
        <f t="shared" si="118"/>
        <v/>
      </c>
      <c r="N282"/>
      <c r="P282" s="418" t="str">
        <f t="shared" si="119"/>
        <v/>
      </c>
      <c r="Q282"/>
      <c r="S282" s="475"/>
      <c r="T282" s="475"/>
      <c r="U282" s="475"/>
      <c r="V282" s="475"/>
    </row>
    <row r="283" spans="4:22" outlineLevel="3" x14ac:dyDescent="0.25">
      <c r="D283"/>
      <c r="G283" s="416" t="str">
        <f>'Folha de cálculo'!E283</f>
        <v>4.3.3.4</v>
      </c>
      <c r="H283" s="416" t="str">
        <f>'Folha de cálculo'!F283</f>
        <v>Não foi possível determinar (justifique)</v>
      </c>
      <c r="I283" s="416"/>
      <c r="J283" s="438">
        <f>IF(SUM(J280:J282)&lt;1,1-SUM(J280:J282),"")</f>
        <v>1</v>
      </c>
      <c r="K283" s="418">
        <f t="shared" si="117"/>
        <v>1</v>
      </c>
      <c r="M283" s="418">
        <f t="shared" si="118"/>
        <v>1</v>
      </c>
      <c r="N283"/>
      <c r="P283" s="418">
        <f t="shared" si="119"/>
        <v>1</v>
      </c>
      <c r="Q283"/>
      <c r="S283" s="475"/>
      <c r="T283" s="475"/>
      <c r="U283" s="475"/>
      <c r="V283" s="475"/>
    </row>
    <row r="284" spans="4:22" outlineLevel="2" x14ac:dyDescent="0.25">
      <c r="D284"/>
      <c r="F284" s="415" t="str">
        <f>'Folha de cálculo'!D284</f>
        <v>4.3.4</v>
      </c>
      <c r="G284" s="415" t="str">
        <f>'Folha de cálculo'!E284</f>
        <v>O dispositivo foi instalado…</v>
      </c>
      <c r="H284" s="415"/>
      <c r="I284" s="415"/>
      <c r="J284" s="425" t="s">
        <v>731</v>
      </c>
      <c r="K284" s="424" t="s">
        <v>731</v>
      </c>
      <c r="M284" s="425" t="s">
        <v>731</v>
      </c>
      <c r="N284"/>
      <c r="P284" s="425" t="s">
        <v>731</v>
      </c>
      <c r="Q284"/>
      <c r="S284" s="477"/>
      <c r="T284" s="477"/>
      <c r="U284" s="477"/>
      <c r="V284" s="477"/>
    </row>
    <row r="285" spans="4:22" ht="14.65" customHeight="1" outlineLevel="3" x14ac:dyDescent="0.25">
      <c r="D285"/>
      <c r="G285" s="416" t="str">
        <f>'Folha de cálculo'!E285</f>
        <v>4.3.4.1</v>
      </c>
      <c r="H285" s="416" t="str">
        <f>'Folha de cálculo'!F285</f>
        <v>há 5 ou menos anos</v>
      </c>
      <c r="I285" s="416"/>
      <c r="J285" s="438" t="str">
        <f>IF('Folha Oculta'!AX47&gt;0,'Folha Oculta'!AX47/'Folha Oculta'!AN49,"")</f>
        <v/>
      </c>
      <c r="K285" s="418" t="str">
        <f t="shared" ref="K285:K288" si="120">IF(ISBLANK(J285),"",J285)</f>
        <v/>
      </c>
      <c r="M285" s="418" t="str">
        <f t="shared" ref="M285:M288" si="121">IF(ISBLANK(K285),"",K285)</f>
        <v/>
      </c>
      <c r="N285"/>
      <c r="P285" s="418" t="str">
        <f>IF(ISBLANK(M285),"",M285)</f>
        <v/>
      </c>
      <c r="Q285"/>
      <c r="S285" s="475"/>
      <c r="T285" s="475"/>
      <c r="U285" s="475"/>
      <c r="V285" s="475"/>
    </row>
    <row r="286" spans="4:22" outlineLevel="3" x14ac:dyDescent="0.25">
      <c r="D286"/>
      <c r="G286" s="416" t="str">
        <f>'Folha de cálculo'!E286</f>
        <v>4.3.4.2</v>
      </c>
      <c r="H286" s="416" t="str">
        <f>'Folha de cálculo'!F286</f>
        <v>entre ]5 e 15] anos</v>
      </c>
      <c r="I286" s="416"/>
      <c r="J286" s="438" t="str">
        <f>IF('Folha Oculta'!AX48&gt;0,'Folha Oculta'!AX48/'Folha Oculta'!AN49,"")</f>
        <v/>
      </c>
      <c r="K286" s="418" t="str">
        <f t="shared" si="120"/>
        <v/>
      </c>
      <c r="M286" s="418" t="str">
        <f t="shared" si="121"/>
        <v/>
      </c>
      <c r="N286"/>
      <c r="P286" s="418" t="str">
        <f t="shared" ref="P286:P288" si="122">IF(ISBLANK(M286),"",M286)</f>
        <v/>
      </c>
      <c r="Q286"/>
      <c r="S286" s="475"/>
      <c r="T286" s="475"/>
      <c r="U286" s="475"/>
      <c r="V286" s="475"/>
    </row>
    <row r="287" spans="4:22" outlineLevel="3" x14ac:dyDescent="0.25">
      <c r="D287"/>
      <c r="G287" s="416" t="str">
        <f>'Folha de cálculo'!E287</f>
        <v>4.3.4.3</v>
      </c>
      <c r="H287" s="416" t="str">
        <f>'Folha de cálculo'!F287</f>
        <v xml:space="preserve">há mais de 15 anos </v>
      </c>
      <c r="I287" s="416"/>
      <c r="J287" s="438" t="str">
        <f>IF('Folha Oculta'!AX49&gt;0,'Folha Oculta'!AX49/'Folha Oculta'!AN49,"")</f>
        <v/>
      </c>
      <c r="K287" s="418" t="str">
        <f t="shared" si="120"/>
        <v/>
      </c>
      <c r="M287" s="418" t="str">
        <f t="shared" si="121"/>
        <v/>
      </c>
      <c r="N287"/>
      <c r="P287" s="418" t="str">
        <f t="shared" si="122"/>
        <v/>
      </c>
      <c r="Q287"/>
      <c r="S287" s="475"/>
      <c r="T287" s="475"/>
      <c r="U287" s="475"/>
      <c r="V287" s="475"/>
    </row>
    <row r="288" spans="4:22" outlineLevel="3" x14ac:dyDescent="0.25">
      <c r="D288"/>
      <c r="G288" s="416" t="str">
        <f>'Folha de cálculo'!E288</f>
        <v>4.3.4.4</v>
      </c>
      <c r="H288" s="416" t="str">
        <f>'Folha de cálculo'!F288</f>
        <v>Não foi possível determinar (justifique)</v>
      </c>
      <c r="I288" s="416"/>
      <c r="J288" s="438">
        <f>IF(SUM(J285:J287)&lt;1,1-SUM(J285:J287),"")</f>
        <v>1</v>
      </c>
      <c r="K288" s="418">
        <f t="shared" si="120"/>
        <v>1</v>
      </c>
      <c r="M288" s="418">
        <f t="shared" si="121"/>
        <v>1</v>
      </c>
      <c r="N288"/>
      <c r="P288" s="418">
        <f t="shared" si="122"/>
        <v>1</v>
      </c>
      <c r="Q288"/>
      <c r="S288" s="475"/>
      <c r="T288" s="475"/>
      <c r="U288" s="475"/>
      <c r="V288" s="475"/>
    </row>
    <row r="289" spans="4:22" outlineLevel="2" x14ac:dyDescent="0.25">
      <c r="D289"/>
      <c r="F289" s="415" t="str">
        <f>'Folha de cálculo'!D289</f>
        <v>4.3.5</v>
      </c>
      <c r="G289" s="415" t="str">
        <f>'Folha de cálculo'!E289</f>
        <v>A válvula ou tampa do ralo da cuba que serve o dispositivo…</v>
      </c>
      <c r="H289" s="415"/>
      <c r="I289" s="415"/>
      <c r="J289" s="425" t="s">
        <v>731</v>
      </c>
      <c r="K289" s="424" t="s">
        <v>731</v>
      </c>
      <c r="M289" s="425" t="s">
        <v>731</v>
      </c>
      <c r="N289"/>
      <c r="P289" s="425" t="s">
        <v>731</v>
      </c>
      <c r="Q289"/>
      <c r="S289" s="477"/>
      <c r="T289" s="477"/>
      <c r="U289" s="477"/>
      <c r="V289" s="477"/>
    </row>
    <row r="290" spans="4:22" ht="14.65" customHeight="1" outlineLevel="3" x14ac:dyDescent="0.25">
      <c r="D290"/>
      <c r="G290" s="416" t="str">
        <f>'Folha de cálculo'!E290</f>
        <v>4.3.5.1</v>
      </c>
      <c r="H290" s="416" t="str">
        <f>'Folha de cálculo'!F290</f>
        <v>não apresenta indícios de fugas de qualquer tipo</v>
      </c>
      <c r="I290" s="416"/>
      <c r="J290" s="417"/>
      <c r="K290" s="418" t="str">
        <f t="shared" ref="K290:K293" si="123">IF(ISBLANK(J290),"",J290)</f>
        <v/>
      </c>
      <c r="M290" s="418" t="str">
        <f>IF(ISBLANK(K290),"",K290)</f>
        <v/>
      </c>
      <c r="N290"/>
      <c r="P290" s="418" t="str">
        <f>IF(ISBLANK(M290),"",M290)</f>
        <v/>
      </c>
      <c r="Q290"/>
      <c r="S290" s="475"/>
      <c r="T290" s="475"/>
      <c r="U290" s="475"/>
      <c r="V290" s="475"/>
    </row>
    <row r="291" spans="4:22" outlineLevel="3" x14ac:dyDescent="0.25">
      <c r="D291"/>
      <c r="G291" s="416" t="str">
        <f>'Folha de cálculo'!E291</f>
        <v>4.3.5.2</v>
      </c>
      <c r="H291" s="416" t="str">
        <f>'Folha de cálculo'!F291</f>
        <v>apresenta indícios de fugas ou de mau funcionamento</v>
      </c>
      <c r="I291" s="416"/>
      <c r="J291" s="417"/>
      <c r="K291" s="418" t="str">
        <f t="shared" si="123"/>
        <v/>
      </c>
      <c r="M291" s="418" t="str">
        <f t="shared" ref="M291:M293" si="124">IF(ISBLANK(K291),"",K291)</f>
        <v/>
      </c>
      <c r="N291"/>
      <c r="P291" s="418" t="str">
        <f t="shared" ref="P291:P293" si="125">IF(ISBLANK(M291),"",M291)</f>
        <v/>
      </c>
      <c r="Q291"/>
      <c r="S291" s="475"/>
      <c r="T291" s="475"/>
      <c r="U291" s="475"/>
      <c r="V291" s="475"/>
    </row>
    <row r="292" spans="4:22" outlineLevel="3" x14ac:dyDescent="0.25">
      <c r="D292"/>
      <c r="G292" s="416" t="str">
        <f>'Folha de cálculo'!E292</f>
        <v>4.3.5.3</v>
      </c>
      <c r="H292" s="416" t="str">
        <f>'Folha de cálculo'!F292</f>
        <v>apresenta evidência de fuga(s), não dispõe de tampa ou a tampa não está em boa condição de funcionamento</v>
      </c>
      <c r="I292" s="416"/>
      <c r="J292" s="417"/>
      <c r="K292" s="418" t="str">
        <f t="shared" si="123"/>
        <v/>
      </c>
      <c r="M292" s="418" t="str">
        <f t="shared" si="124"/>
        <v/>
      </c>
      <c r="N292"/>
      <c r="P292" s="418" t="str">
        <f t="shared" si="125"/>
        <v/>
      </c>
      <c r="Q292"/>
      <c r="S292" s="475"/>
      <c r="T292" s="475"/>
      <c r="U292" s="475"/>
      <c r="V292" s="475"/>
    </row>
    <row r="293" spans="4:22" outlineLevel="3" x14ac:dyDescent="0.25">
      <c r="D293"/>
      <c r="G293" s="416" t="str">
        <f>'Folha de cálculo'!E293</f>
        <v>4.3.5.4</v>
      </c>
      <c r="H293" s="416" t="str">
        <f>'Folha de cálculo'!F293</f>
        <v>Não foi possível determinar (justifique)</v>
      </c>
      <c r="I293" s="416"/>
      <c r="J293" s="417"/>
      <c r="K293" s="418" t="str">
        <f t="shared" si="123"/>
        <v/>
      </c>
      <c r="M293" s="418" t="str">
        <f t="shared" si="124"/>
        <v/>
      </c>
      <c r="N293"/>
      <c r="P293" s="418" t="str">
        <f t="shared" si="125"/>
        <v/>
      </c>
      <c r="Q293"/>
      <c r="S293" s="475"/>
      <c r="T293" s="475"/>
      <c r="U293" s="475"/>
      <c r="V293" s="475"/>
    </row>
    <row r="294" spans="4:22" outlineLevel="1" x14ac:dyDescent="0.25">
      <c r="J294" s="400"/>
      <c r="K294" s="400"/>
      <c r="M294" s="400"/>
      <c r="N294"/>
      <c r="P294" s="400"/>
      <c r="Q294"/>
      <c r="S294" s="476"/>
      <c r="T294" s="476"/>
      <c r="U294" s="476"/>
      <c r="V294" s="476"/>
    </row>
    <row r="295" spans="4:22" outlineLevel="1" x14ac:dyDescent="0.25">
      <c r="E295" s="8" t="str">
        <f>'Folha de cálculo'!C295</f>
        <v>4.4</v>
      </c>
      <c r="F295" s="8" t="str">
        <f>'Folha de cálculo'!D295</f>
        <v>Bidé ou chuveiro higiénico</v>
      </c>
      <c r="G295" s="8"/>
      <c r="H295" s="8"/>
      <c r="I295" s="8"/>
      <c r="J295" s="403"/>
      <c r="K295" s="404"/>
      <c r="M295" s="403"/>
      <c r="N295"/>
      <c r="P295" s="403"/>
      <c r="Q295"/>
      <c r="S295" s="478"/>
      <c r="T295" s="479"/>
      <c r="U295" s="479"/>
      <c r="V295" s="480"/>
    </row>
    <row r="296" spans="4:22" ht="14.65" customHeight="1" outlineLevel="2" x14ac:dyDescent="0.25">
      <c r="D296"/>
      <c r="F296" s="415" t="str">
        <f>'Folha de cálculo'!D296</f>
        <v>4.4.1</v>
      </c>
      <c r="G296" s="415" t="str">
        <f>'Folha de cálculo'!E296</f>
        <v>O dispositivo instalado dispõe de…</v>
      </c>
      <c r="H296" s="415"/>
      <c r="I296" s="415"/>
      <c r="J296" s="425" t="s">
        <v>732</v>
      </c>
      <c r="K296" s="424" t="s">
        <v>732</v>
      </c>
      <c r="M296" s="425" t="s">
        <v>732</v>
      </c>
      <c r="N296"/>
      <c r="P296" s="425" t="s">
        <v>732</v>
      </c>
      <c r="Q296"/>
      <c r="S296" s="477"/>
      <c r="T296" s="477"/>
      <c r="U296" s="477"/>
      <c r="V296" s="477"/>
    </row>
    <row r="297" spans="4:22" outlineLevel="3" x14ac:dyDescent="0.25">
      <c r="D297"/>
      <c r="G297" s="416" t="str">
        <f>'Folha de cálculo'!E297</f>
        <v>4.4.1.1</v>
      </c>
      <c r="H297" s="416" t="str">
        <f>'Folha de cálculo'!F297</f>
        <v>certificado A ou superior emitido pela ANQIP ou Unified Water Label</v>
      </c>
      <c r="I297" s="416"/>
      <c r="J297" s="438" t="str">
        <f>IF('Folha Oculta'!AQ55&gt;0,'Folha Oculta'!AQ55/'Folha Oculta'!AN57,"")</f>
        <v/>
      </c>
      <c r="K297" s="418" t="str">
        <f t="shared" ref="K297:K301" si="126">IF(ISBLANK(J297),"",J297)</f>
        <v/>
      </c>
      <c r="M297" s="418" t="str">
        <f>IF(ISBLANK(K297),"",K297)</f>
        <v/>
      </c>
      <c r="N297"/>
      <c r="P297" s="418" t="str">
        <f>IF(ISBLANK(M297),"",M297)</f>
        <v/>
      </c>
      <c r="Q297"/>
      <c r="S297" s="475"/>
      <c r="T297" s="475"/>
      <c r="U297" s="475"/>
      <c r="V297" s="475"/>
    </row>
    <row r="298" spans="4:22" outlineLevel="3" x14ac:dyDescent="0.25">
      <c r="D298"/>
      <c r="G298" s="416" t="str">
        <f>'Folha de cálculo'!E298</f>
        <v>4.4.1.2</v>
      </c>
      <c r="H298" s="416" t="str">
        <f>'Folha de cálculo'!F298</f>
        <v>redutor/regulador de caudal (inclui arejador)</v>
      </c>
      <c r="I298" s="416"/>
      <c r="J298" s="438" t="str">
        <f>IF('Folha Oculta'!AQ56&gt;0,'Folha Oculta'!AQ56/'Folha Oculta'!AN57,"")</f>
        <v/>
      </c>
      <c r="K298" s="418" t="str">
        <f t="shared" si="126"/>
        <v/>
      </c>
      <c r="M298" s="418" t="str">
        <f t="shared" ref="M298:M301" si="127">IF(ISBLANK(K298),"",K298)</f>
        <v/>
      </c>
      <c r="N298"/>
      <c r="P298" s="418" t="str">
        <f t="shared" ref="P298:P301" si="128">IF(ISBLANK(M298),"",M298)</f>
        <v/>
      </c>
      <c r="Q298"/>
      <c r="S298" s="475"/>
      <c r="T298" s="475"/>
      <c r="U298" s="475"/>
      <c r="V298" s="475"/>
    </row>
    <row r="299" spans="4:22" outlineLevel="3" x14ac:dyDescent="0.25">
      <c r="D299"/>
      <c r="G299" s="416" t="str">
        <f>'Folha de cálculo'!E299</f>
        <v>4.4.1.3</v>
      </c>
      <c r="H299" s="416" t="str">
        <f>'Folha de cálculo'!F299</f>
        <v>torneira com posições fixas de caudal / eco-stop</v>
      </c>
      <c r="I299" s="416"/>
      <c r="J299" s="438" t="str">
        <f>IF('Folha Oculta'!AQ57&gt;0,'Folha Oculta'!AQ57/'Folha Oculta'!AN57,"")</f>
        <v/>
      </c>
      <c r="K299" s="418" t="str">
        <f t="shared" si="126"/>
        <v/>
      </c>
      <c r="M299" s="418" t="str">
        <f t="shared" si="127"/>
        <v/>
      </c>
      <c r="N299"/>
      <c r="P299" s="418" t="str">
        <f t="shared" si="128"/>
        <v/>
      </c>
      <c r="Q299"/>
      <c r="S299" s="475"/>
      <c r="T299" s="475"/>
      <c r="U299" s="475"/>
      <c r="V299" s="475"/>
    </row>
    <row r="300" spans="4:22" outlineLevel="3" x14ac:dyDescent="0.25">
      <c r="D300"/>
      <c r="G300" s="416" t="str">
        <f>'Folha de cálculo'!E300</f>
        <v>4.4.1.4</v>
      </c>
      <c r="H300" s="416" t="str">
        <f>'Folha de cálculo'!F300</f>
        <v>Nenhuma das opções anteriores</v>
      </c>
      <c r="I300" s="416"/>
      <c r="J300" s="438" t="str">
        <f>IF('Folha Oculta'!AQ58&gt;0,'Folha Oculta'!AQ58/'Folha Oculta'!AN57,"")</f>
        <v/>
      </c>
      <c r="K300" s="418" t="str">
        <f t="shared" si="126"/>
        <v/>
      </c>
      <c r="M300" s="418" t="str">
        <f t="shared" si="127"/>
        <v/>
      </c>
      <c r="N300"/>
      <c r="P300" s="418" t="str">
        <f t="shared" si="128"/>
        <v/>
      </c>
      <c r="Q300"/>
      <c r="S300" s="475"/>
      <c r="T300" s="475"/>
      <c r="U300" s="475"/>
      <c r="V300" s="475"/>
    </row>
    <row r="301" spans="4:22" outlineLevel="3" x14ac:dyDescent="0.25">
      <c r="D301"/>
      <c r="G301" s="416" t="str">
        <f>'Folha de cálculo'!E301</f>
        <v>4.4.1.5</v>
      </c>
      <c r="H301" s="416" t="str">
        <f>'Folha de cálculo'!F301</f>
        <v>Não foi possível determinar (justifique)</v>
      </c>
      <c r="I301" s="416"/>
      <c r="J301" s="438" t="str">
        <f>IF('Folha Oculta'!AQ59&gt;0,'Folha Oculta'!AQ59/'Folha Oculta'!AN57,"")</f>
        <v/>
      </c>
      <c r="K301" s="418" t="str">
        <f t="shared" si="126"/>
        <v/>
      </c>
      <c r="M301" s="418" t="str">
        <f t="shared" si="127"/>
        <v/>
      </c>
      <c r="N301"/>
      <c r="P301" s="418" t="str">
        <f t="shared" si="128"/>
        <v/>
      </c>
      <c r="Q301"/>
      <c r="S301" s="475"/>
      <c r="T301" s="475"/>
      <c r="U301" s="475"/>
      <c r="V301" s="475"/>
    </row>
    <row r="302" spans="4:22" outlineLevel="2" x14ac:dyDescent="0.25">
      <c r="D302"/>
      <c r="F302" s="415" t="str">
        <f>'Folha de cálculo'!D302</f>
        <v>4.4.2</v>
      </c>
      <c r="G302" s="415" t="str">
        <f>'Folha de cálculo'!E302</f>
        <v xml:space="preserve">O caudal do dispositivo em abertura máxima para água fria é...  </v>
      </c>
      <c r="H302" s="415"/>
      <c r="I302" s="415"/>
      <c r="J302" s="425" t="s">
        <v>731</v>
      </c>
      <c r="K302" s="424" t="s">
        <v>731</v>
      </c>
      <c r="M302" s="425" t="s">
        <v>731</v>
      </c>
      <c r="N302"/>
      <c r="P302" s="425" t="s">
        <v>731</v>
      </c>
      <c r="Q302"/>
      <c r="S302" s="477"/>
      <c r="T302" s="477"/>
      <c r="U302" s="477"/>
      <c r="V302" s="477"/>
    </row>
    <row r="303" spans="4:22" outlineLevel="3" x14ac:dyDescent="0.25">
      <c r="D303"/>
      <c r="G303" s="416" t="str">
        <f>'Folha de cálculo'!E303</f>
        <v>4.4.2.1</v>
      </c>
      <c r="H303" s="416" t="str">
        <f>'Folha de cálculo'!F303</f>
        <v>igual ou inferior a 4 litros/min</v>
      </c>
      <c r="I303" s="416"/>
      <c r="J303" s="438" t="str">
        <f>IF('Folha Oculta'!AS55&gt;0,'Folha Oculta'!AS55/'Folha Oculta'!AN57,"")</f>
        <v/>
      </c>
      <c r="K303" s="418" t="str">
        <f t="shared" ref="K303:K306" si="129">IF(ISBLANK(J303),"",J303)</f>
        <v/>
      </c>
      <c r="M303" s="418" t="str">
        <f>IF(ISBLANK(K303),"",K303)</f>
        <v/>
      </c>
      <c r="N303"/>
      <c r="P303" s="418" t="str">
        <f>IF(ISBLANK(M303),"",M303)</f>
        <v/>
      </c>
      <c r="Q303"/>
      <c r="S303" s="475"/>
      <c r="T303" s="475"/>
      <c r="U303" s="475"/>
      <c r="V303" s="475"/>
    </row>
    <row r="304" spans="4:22" ht="14.65" customHeight="1" outlineLevel="3" x14ac:dyDescent="0.25">
      <c r="D304"/>
      <c r="G304" s="416" t="str">
        <f>'Folha de cálculo'!E304</f>
        <v>4.4.2.2</v>
      </c>
      <c r="H304" s="416" t="str">
        <f>'Folha de cálculo'!F304</f>
        <v>entre ]4 e 6] litros/min</v>
      </c>
      <c r="I304" s="416"/>
      <c r="J304" s="438" t="str">
        <f>IF('Folha Oculta'!AS56&gt;0,'Folha Oculta'!AS56/'Folha Oculta'!AN57,"")</f>
        <v/>
      </c>
      <c r="K304" s="418" t="str">
        <f t="shared" si="129"/>
        <v/>
      </c>
      <c r="M304" s="418" t="str">
        <f t="shared" ref="M304:M306" si="130">IF(ISBLANK(K304),"",K304)</f>
        <v/>
      </c>
      <c r="N304"/>
      <c r="P304" s="418" t="str">
        <f t="shared" ref="P304:P306" si="131">IF(ISBLANK(M304),"",M304)</f>
        <v/>
      </c>
      <c r="Q304"/>
      <c r="S304" s="475"/>
      <c r="T304" s="475"/>
      <c r="U304" s="475"/>
      <c r="V304" s="475"/>
    </row>
    <row r="305" spans="2:22" outlineLevel="3" x14ac:dyDescent="0.25">
      <c r="D305"/>
      <c r="G305" s="416" t="str">
        <f>'Folha de cálculo'!E305</f>
        <v>4.4.2.3</v>
      </c>
      <c r="H305" s="416" t="str">
        <f>'Folha de cálculo'!F305</f>
        <v>superior a 6 litros/min</v>
      </c>
      <c r="I305" s="416"/>
      <c r="J305" s="438" t="str">
        <f>IF('Folha Oculta'!AS57&gt;0,'Folha Oculta'!AS57/'Folha Oculta'!AN57,"")</f>
        <v/>
      </c>
      <c r="K305" s="418" t="str">
        <f t="shared" si="129"/>
        <v/>
      </c>
      <c r="M305" s="418" t="str">
        <f t="shared" si="130"/>
        <v/>
      </c>
      <c r="N305"/>
      <c r="P305" s="418" t="str">
        <f t="shared" si="131"/>
        <v/>
      </c>
      <c r="Q305"/>
      <c r="S305" s="475"/>
      <c r="T305" s="475"/>
      <c r="U305" s="475"/>
      <c r="V305" s="475"/>
    </row>
    <row r="306" spans="2:22" outlineLevel="3" x14ac:dyDescent="0.25">
      <c r="D306"/>
      <c r="G306" s="416" t="str">
        <f>'Folha de cálculo'!E306</f>
        <v>4.4.2.4</v>
      </c>
      <c r="H306" s="416" t="str">
        <f>'Folha de cálculo'!F306</f>
        <v>Não foi possível determinar (justifique)</v>
      </c>
      <c r="I306" s="416"/>
      <c r="J306" s="438">
        <f>IF(SUM(J303:J305)&lt;1,1-SUM(J303:J305),"")</f>
        <v>1</v>
      </c>
      <c r="K306" s="418">
        <f t="shared" si="129"/>
        <v>1</v>
      </c>
      <c r="M306" s="418">
        <f t="shared" si="130"/>
        <v>1</v>
      </c>
      <c r="N306"/>
      <c r="P306" s="418">
        <f t="shared" si="131"/>
        <v>1</v>
      </c>
      <c r="Q306"/>
      <c r="S306" s="475"/>
      <c r="T306" s="475"/>
      <c r="U306" s="475"/>
      <c r="V306" s="475"/>
    </row>
    <row r="307" spans="2:22" outlineLevel="2" x14ac:dyDescent="0.25">
      <c r="D307"/>
      <c r="F307" s="415" t="str">
        <f>'Folha de cálculo'!D307</f>
        <v>4.4.3</v>
      </c>
      <c r="G307" s="415" t="str">
        <f>'Folha de cálculo'!E307</f>
        <v>O dispositivo instalado…</v>
      </c>
      <c r="H307" s="415"/>
      <c r="I307" s="415"/>
      <c r="J307" s="425" t="s">
        <v>731</v>
      </c>
      <c r="K307" s="440" t="s">
        <v>731</v>
      </c>
      <c r="M307" s="425" t="s">
        <v>731</v>
      </c>
      <c r="N307"/>
      <c r="P307" s="425" t="s">
        <v>731</v>
      </c>
      <c r="Q307"/>
      <c r="S307" s="477"/>
      <c r="T307" s="477"/>
      <c r="U307" s="477"/>
      <c r="V307" s="477"/>
    </row>
    <row r="308" spans="2:22" outlineLevel="3" x14ac:dyDescent="0.25">
      <c r="D308"/>
      <c r="G308" s="416" t="str">
        <f>'Folha de cálculo'!E308</f>
        <v>4.4.3.1</v>
      </c>
      <c r="H308" s="416" t="str">
        <f>'Folha de cálculo'!F308</f>
        <v>não apresenta indícios de fuga</v>
      </c>
      <c r="I308" s="416"/>
      <c r="J308" s="438" t="str">
        <f>IF('Folha Oculta'!AV55&gt;0,'Folha Oculta'!AV55/'Folha Oculta'!AN57,"")</f>
        <v/>
      </c>
      <c r="K308" s="418" t="str">
        <f t="shared" ref="K308:K311" si="132">IF(ISBLANK(J308),"",J308)</f>
        <v/>
      </c>
      <c r="M308" s="418" t="str">
        <f>IF(ISBLANK(K308),"",K308)</f>
        <v/>
      </c>
      <c r="N308"/>
      <c r="P308" s="418" t="str">
        <f>IF(ISBLANK(M308),"",M308)</f>
        <v/>
      </c>
      <c r="Q308"/>
      <c r="S308" s="475"/>
      <c r="T308" s="475"/>
      <c r="U308" s="475"/>
      <c r="V308" s="475"/>
    </row>
    <row r="309" spans="2:22" outlineLevel="3" x14ac:dyDescent="0.25">
      <c r="D309"/>
      <c r="G309" s="416" t="str">
        <f>'Folha de cálculo'!E309</f>
        <v>4.4.3.2</v>
      </c>
      <c r="H309" s="416" t="str">
        <f>'Folha de cálculo'!F309</f>
        <v>apresenta indícios de fuga (justifique)</v>
      </c>
      <c r="I309" s="416"/>
      <c r="J309" s="438" t="str">
        <f>IF('Folha Oculta'!AV56&gt;0,'Folha Oculta'!AV56/'Folha Oculta'!AN57,"")</f>
        <v/>
      </c>
      <c r="K309" s="418" t="str">
        <f t="shared" si="132"/>
        <v/>
      </c>
      <c r="M309" s="418" t="str">
        <f t="shared" ref="M309:M311" si="133">IF(ISBLANK(K309),"",K309)</f>
        <v/>
      </c>
      <c r="N309"/>
      <c r="P309" s="418" t="str">
        <f t="shared" ref="P309:P311" si="134">IF(ISBLANK(M309),"",M309)</f>
        <v/>
      </c>
      <c r="Q309"/>
      <c r="S309" s="475"/>
      <c r="T309" s="475"/>
      <c r="U309" s="475"/>
      <c r="V309" s="475"/>
    </row>
    <row r="310" spans="2:22" ht="14.65" customHeight="1" outlineLevel="3" x14ac:dyDescent="0.25">
      <c r="D310"/>
      <c r="G310" s="416" t="str">
        <f>'Folha de cálculo'!E310</f>
        <v>4.4.3.3</v>
      </c>
      <c r="H310" s="416" t="str">
        <f>'Folha de cálculo'!F310</f>
        <v>apresenta evidências de fuga</v>
      </c>
      <c r="I310" s="416"/>
      <c r="J310" s="438" t="str">
        <f>IF('Folha Oculta'!AV57&gt;0,'Folha Oculta'!AV57/'Folha Oculta'!AN57,"")</f>
        <v/>
      </c>
      <c r="K310" s="418" t="str">
        <f t="shared" si="132"/>
        <v/>
      </c>
      <c r="M310" s="418" t="str">
        <f t="shared" si="133"/>
        <v/>
      </c>
      <c r="N310"/>
      <c r="P310" s="418" t="str">
        <f t="shared" si="134"/>
        <v/>
      </c>
      <c r="Q310"/>
      <c r="S310" s="475"/>
      <c r="T310" s="475"/>
      <c r="U310" s="475"/>
      <c r="V310" s="475"/>
    </row>
    <row r="311" spans="2:22" outlineLevel="3" x14ac:dyDescent="0.25">
      <c r="D311"/>
      <c r="G311" s="416" t="str">
        <f>'Folha de cálculo'!E311</f>
        <v>4.4.3.4</v>
      </c>
      <c r="H311" s="416" t="str">
        <f>'Folha de cálculo'!F311</f>
        <v>Não foi possível determinar (justifique)</v>
      </c>
      <c r="I311" s="416"/>
      <c r="J311" s="438">
        <f>IF(SUM(J308:J310)&lt;1,1-SUM(J308:J310),"")</f>
        <v>1</v>
      </c>
      <c r="K311" s="418">
        <f t="shared" si="132"/>
        <v>1</v>
      </c>
      <c r="M311" s="418">
        <f t="shared" si="133"/>
        <v>1</v>
      </c>
      <c r="N311"/>
      <c r="P311" s="418">
        <f t="shared" si="134"/>
        <v>1</v>
      </c>
      <c r="Q311"/>
      <c r="S311" s="475"/>
      <c r="T311" s="475"/>
      <c r="U311" s="475"/>
      <c r="V311" s="475"/>
    </row>
    <row r="312" spans="2:22" outlineLevel="2" x14ac:dyDescent="0.25">
      <c r="D312"/>
      <c r="F312" s="415" t="str">
        <f>'Folha de cálculo'!D312</f>
        <v>4.4.4</v>
      </c>
      <c r="G312" s="415" t="str">
        <f>'Folha de cálculo'!E312</f>
        <v>O dispositivo foi instalado…</v>
      </c>
      <c r="H312" s="415"/>
      <c r="I312" s="415"/>
      <c r="J312" s="425" t="s">
        <v>731</v>
      </c>
      <c r="K312" s="424" t="s">
        <v>731</v>
      </c>
      <c r="M312" s="425" t="s">
        <v>731</v>
      </c>
      <c r="N312"/>
      <c r="P312" s="425" t="s">
        <v>731</v>
      </c>
      <c r="Q312"/>
      <c r="S312" s="477"/>
      <c r="T312" s="477"/>
      <c r="U312" s="477"/>
      <c r="V312" s="477"/>
    </row>
    <row r="313" spans="2:22" outlineLevel="3" x14ac:dyDescent="0.25">
      <c r="D313"/>
      <c r="G313" s="416" t="str">
        <f>'Folha de cálculo'!E313</f>
        <v>4.4.4.1</v>
      </c>
      <c r="H313" s="416" t="str">
        <f>'Folha de cálculo'!F313</f>
        <v>há 5 ou menos anos</v>
      </c>
      <c r="I313" s="416"/>
      <c r="J313" s="438" t="str">
        <f>IF('Folha Oculta'!AX55&gt;0,'Folha Oculta'!AX55/'Folha Oculta'!AN57,"")</f>
        <v/>
      </c>
      <c r="K313" s="418" t="str">
        <f t="shared" ref="K313:K315" si="135">IF(ISBLANK(J313),"",J313)</f>
        <v/>
      </c>
      <c r="M313" s="418" t="str">
        <f t="shared" ref="M313:M315" si="136">IF(ISBLANK(K313),"",K313)</f>
        <v/>
      </c>
      <c r="N313"/>
      <c r="P313" s="418" t="str">
        <f>IF(ISBLANK(M313),"",M313)</f>
        <v/>
      </c>
      <c r="Q313"/>
      <c r="S313" s="475"/>
      <c r="T313" s="475"/>
      <c r="U313" s="475"/>
      <c r="V313" s="475"/>
    </row>
    <row r="314" spans="2:22" outlineLevel="3" x14ac:dyDescent="0.25">
      <c r="D314"/>
      <c r="G314" s="416" t="str">
        <f>'Folha de cálculo'!E314</f>
        <v>4.4.4.2</v>
      </c>
      <c r="H314" s="416" t="str">
        <f>'Folha de cálculo'!F314</f>
        <v>entre ]5 e 15] anos</v>
      </c>
      <c r="I314" s="416"/>
      <c r="J314" s="438" t="str">
        <f>IF('Folha Oculta'!AX56&gt;0,'Folha Oculta'!AX56/'Folha Oculta'!AN57,"")</f>
        <v/>
      </c>
      <c r="K314" s="418" t="str">
        <f t="shared" si="135"/>
        <v/>
      </c>
      <c r="M314" s="418" t="str">
        <f t="shared" si="136"/>
        <v/>
      </c>
      <c r="N314"/>
      <c r="P314" s="418" t="str">
        <f t="shared" ref="P314:P315" si="137">IF(ISBLANK(M314),"",M314)</f>
        <v/>
      </c>
      <c r="Q314"/>
      <c r="S314" s="475"/>
      <c r="T314" s="475"/>
      <c r="U314" s="475"/>
      <c r="V314" s="475"/>
    </row>
    <row r="315" spans="2:22" ht="14.65" customHeight="1" outlineLevel="3" x14ac:dyDescent="0.25">
      <c r="D315"/>
      <c r="G315" s="416" t="str">
        <f>'Folha de cálculo'!E315</f>
        <v>4.4.4.3</v>
      </c>
      <c r="H315" s="416" t="str">
        <f>'Folha de cálculo'!F315</f>
        <v>há mais de 15 anos</v>
      </c>
      <c r="I315" s="416"/>
      <c r="J315" s="438" t="str">
        <f>IF('Folha Oculta'!AX57&gt;0,'Folha Oculta'!AX57/'Folha Oculta'!AN57,"")</f>
        <v/>
      </c>
      <c r="K315" s="418" t="str">
        <f t="shared" si="135"/>
        <v/>
      </c>
      <c r="M315" s="418" t="str">
        <f t="shared" si="136"/>
        <v/>
      </c>
      <c r="N315"/>
      <c r="P315" s="418" t="str">
        <f t="shared" si="137"/>
        <v/>
      </c>
      <c r="Q315"/>
      <c r="S315" s="475"/>
      <c r="T315" s="475"/>
      <c r="U315" s="475"/>
      <c r="V315" s="475"/>
    </row>
    <row r="316" spans="2:22" ht="14.65" customHeight="1" outlineLevel="3" x14ac:dyDescent="0.25">
      <c r="D316"/>
      <c r="G316" s="416" t="str">
        <f>'Folha de cálculo'!E316</f>
        <v>4.4.4.4</v>
      </c>
      <c r="H316" s="416" t="str">
        <f>'Folha de cálculo'!F316</f>
        <v>Não foi possível determinar (justifique)</v>
      </c>
      <c r="I316" s="416"/>
      <c r="J316" s="438" t="str">
        <f>IF('Folha Oculta'!AX58&gt;0,'Folha Oculta'!AX58/'Folha Oculta'!AN57,"")</f>
        <v/>
      </c>
      <c r="K316" s="418" t="str">
        <f>IF(ISBLANK(J316),"",J316)</f>
        <v/>
      </c>
      <c r="M316" s="418" t="str">
        <f>IF(ISBLANK(K316),"",K316)</f>
        <v/>
      </c>
      <c r="N316"/>
      <c r="P316" s="418" t="str">
        <f>IF(ISBLANK(M316),"",M316)</f>
        <v/>
      </c>
      <c r="Q316"/>
      <c r="S316" s="475"/>
      <c r="T316" s="475"/>
      <c r="U316" s="475"/>
      <c r="V316" s="475"/>
    </row>
    <row r="317" spans="2:22" ht="14.65" customHeight="1" outlineLevel="1" thickBot="1" x14ac:dyDescent="0.3">
      <c r="D317"/>
      <c r="J317"/>
      <c r="K317"/>
      <c r="L317"/>
      <c r="M317"/>
      <c r="N317"/>
      <c r="P317"/>
      <c r="Q317"/>
    </row>
    <row r="318" spans="2:22" ht="15.75" outlineLevel="1" thickBot="1" x14ac:dyDescent="0.3">
      <c r="B318" s="441">
        <f>IF('Registo de informação'!H180=0,0,1)</f>
        <v>0</v>
      </c>
      <c r="E318" s="8" t="str">
        <f>'Folha de cálculo'!C318</f>
        <v>4.5</v>
      </c>
      <c r="F318" s="8" t="str">
        <f>'Folha de cálculo'!D318</f>
        <v>Lava-loiças</v>
      </c>
      <c r="G318" s="8"/>
      <c r="H318" s="8"/>
      <c r="I318" s="8"/>
      <c r="J318" s="403"/>
      <c r="K318" s="404"/>
      <c r="M318" s="403"/>
      <c r="N318"/>
      <c r="P318" s="403"/>
      <c r="Q318"/>
      <c r="S318" s="478"/>
      <c r="T318" s="479"/>
      <c r="U318" s="479"/>
      <c r="V318" s="480"/>
    </row>
    <row r="319" spans="2:22" ht="14.65" customHeight="1" outlineLevel="2" x14ac:dyDescent="0.25">
      <c r="B319"/>
      <c r="D319"/>
      <c r="F319" s="415" t="str">
        <f>'Folha de cálculo'!D319</f>
        <v>4.5.1</v>
      </c>
      <c r="G319" s="415" t="str">
        <f>'Folha de cálculo'!E319</f>
        <v>O dispositivo instalado dispõe de…</v>
      </c>
      <c r="H319" s="415"/>
      <c r="I319" s="415"/>
      <c r="J319" s="425" t="s">
        <v>732</v>
      </c>
      <c r="K319" s="442" t="s">
        <v>732</v>
      </c>
      <c r="M319" s="443" t="s">
        <v>732</v>
      </c>
      <c r="N319"/>
      <c r="P319" s="443" t="s">
        <v>732</v>
      </c>
      <c r="Q319"/>
      <c r="S319" s="477"/>
      <c r="T319" s="477"/>
      <c r="U319" s="477"/>
      <c r="V319" s="477"/>
    </row>
    <row r="320" spans="2:22" ht="14.65" customHeight="1" outlineLevel="3" x14ac:dyDescent="0.25">
      <c r="D320"/>
      <c r="G320" s="416" t="str">
        <f>'Folha de cálculo'!E320</f>
        <v>4.5.1.1</v>
      </c>
      <c r="H320" s="416" t="str">
        <f>'Folha de cálculo'!F320</f>
        <v>certificado A ou superior emitido pela ANQIP ou Unified Water Label</v>
      </c>
      <c r="I320" s="416"/>
      <c r="J320" s="438" t="str">
        <f>IF('Folha Oculta'!AQ61&gt;0,'Folha Oculta'!AQ61/'Folha Oculta'!AN63,"")</f>
        <v/>
      </c>
      <c r="K320" s="418" t="str">
        <f>IF(ISBLANK(J320),"",J320)</f>
        <v/>
      </c>
      <c r="M320" s="418" t="str">
        <f>IF(ISBLANK(K320),"",K320)</f>
        <v/>
      </c>
      <c r="N320"/>
      <c r="P320" s="418" t="str">
        <f>IF(ISBLANK(M320),"",M320)</f>
        <v/>
      </c>
      <c r="Q320"/>
      <c r="S320" s="475"/>
      <c r="T320" s="475"/>
      <c r="U320" s="475"/>
      <c r="V320" s="475"/>
    </row>
    <row r="321" spans="4:22" ht="14.65" customHeight="1" outlineLevel="3" x14ac:dyDescent="0.25">
      <c r="D321"/>
      <c r="G321" s="416" t="str">
        <f>'Folha de cálculo'!E321</f>
        <v>4.5.1.2</v>
      </c>
      <c r="H321" s="416" t="str">
        <f>'Folha de cálculo'!F321</f>
        <v>redutor/regulador de caudal (inclui arejador)</v>
      </c>
      <c r="I321" s="416"/>
      <c r="J321" s="438" t="str">
        <f>IF('Folha Oculta'!AQ62&gt;0,'Folha Oculta'!AQ62/'Folha Oculta'!AN63,"")</f>
        <v/>
      </c>
      <c r="K321" s="418" t="str">
        <f>IF(ISBLANK(J321),"",J321)</f>
        <v/>
      </c>
      <c r="M321" s="418" t="str">
        <f>IF(ISBLANK(K321),"",K321)</f>
        <v/>
      </c>
      <c r="N321"/>
      <c r="P321" s="418" t="str">
        <f>IF(ISBLANK(M321),"",M321)</f>
        <v/>
      </c>
      <c r="Q321"/>
      <c r="S321" s="475"/>
      <c r="T321" s="475"/>
      <c r="U321" s="475"/>
      <c r="V321" s="475"/>
    </row>
    <row r="322" spans="4:22" ht="14.65" customHeight="1" outlineLevel="3" x14ac:dyDescent="0.25">
      <c r="D322"/>
      <c r="G322" s="416" t="str">
        <f>'Folha de cálculo'!E322</f>
        <v>4.5.1.3</v>
      </c>
      <c r="H322" s="416" t="str">
        <f>'Folha de cálculo'!F322</f>
        <v>torneira com posições fixas de caudal / eco-stop</v>
      </c>
      <c r="I322" s="416"/>
      <c r="J322" s="438" t="str">
        <f>IF('Folha Oculta'!AQ63&gt;0,'Folha Oculta'!AQ63/'Folha Oculta'!AN63,"")</f>
        <v/>
      </c>
      <c r="K322" s="418" t="str">
        <f>IF(ISBLANK(J322),"",J322)</f>
        <v/>
      </c>
      <c r="M322" s="418" t="str">
        <f t="shared" ref="M322:M323" si="138">IF(ISBLANK(K322),"",K322)</f>
        <v/>
      </c>
      <c r="N322"/>
      <c r="P322" s="418" t="str">
        <f t="shared" ref="P322" si="139">IF(ISBLANK(M322),"",M322)</f>
        <v/>
      </c>
      <c r="Q322"/>
      <c r="S322" s="475"/>
      <c r="T322" s="475"/>
      <c r="U322" s="475"/>
      <c r="V322" s="475"/>
    </row>
    <row r="323" spans="4:22" ht="14.65" customHeight="1" outlineLevel="3" x14ac:dyDescent="0.25">
      <c r="D323"/>
      <c r="G323" s="416" t="str">
        <f>'Folha de cálculo'!E323</f>
        <v>4.5.1.4</v>
      </c>
      <c r="H323" s="416" t="str">
        <f>'Folha de cálculo'!F323</f>
        <v>torneira misturadora termostática</v>
      </c>
      <c r="I323" s="416"/>
      <c r="J323" s="438" t="str">
        <f>IF('Folha Oculta'!AQ64&gt;0,'Folha Oculta'!AQ64/'Folha Oculta'!AN63,"")</f>
        <v/>
      </c>
      <c r="K323" s="418" t="str">
        <f>IF(ISBLANK(J323),"",J323)</f>
        <v/>
      </c>
      <c r="M323" s="418" t="str">
        <f t="shared" si="138"/>
        <v/>
      </c>
      <c r="N323"/>
      <c r="P323" s="418" t="str">
        <f t="shared" ref="P323:P331" si="140">IF(ISBLANK(M323),"",M323)</f>
        <v/>
      </c>
      <c r="Q323"/>
      <c r="S323" s="475"/>
      <c r="T323" s="475"/>
      <c r="U323" s="475"/>
      <c r="V323" s="475"/>
    </row>
    <row r="324" spans="4:22" ht="14.65" customHeight="1" outlineLevel="3" x14ac:dyDescent="0.25">
      <c r="D324"/>
      <c r="G324" s="416" t="str">
        <f>'Folha de cálculo'!E324</f>
        <v>4.5.1.5</v>
      </c>
      <c r="H324" s="416" t="str">
        <f>'Folha de cálculo'!F324</f>
        <v>torneira temporizada/com sensor</v>
      </c>
      <c r="I324" s="416"/>
      <c r="J324" s="438" t="str">
        <f>IF('Folha Oculta'!AQ65&gt;0,'Folha Oculta'!AQ65/'Folha Oculta'!AN63,"")</f>
        <v/>
      </c>
      <c r="K324" s="418" t="str">
        <f t="shared" ref="K324:K331" si="141">IF(ISBLANK(J324),"",J324)</f>
        <v/>
      </c>
      <c r="M324" s="418" t="str">
        <f t="shared" ref="M324:M331" si="142">IF(ISBLANK(K324),"",K324)</f>
        <v/>
      </c>
      <c r="N324"/>
      <c r="P324" s="418" t="str">
        <f t="shared" si="140"/>
        <v/>
      </c>
      <c r="Q324"/>
      <c r="S324" s="475"/>
      <c r="T324" s="475"/>
      <c r="U324" s="475"/>
      <c r="V324" s="475"/>
    </row>
    <row r="325" spans="4:22" ht="14.65" customHeight="1" outlineLevel="3" x14ac:dyDescent="0.25">
      <c r="D325"/>
      <c r="G325" s="416" t="str">
        <f>'Folha de cálculo'!E325</f>
        <v>4.5.1.6</v>
      </c>
      <c r="H325" s="416" t="str">
        <f>'Folha de cálculo'!F325</f>
        <v>Nenhuma das opções anteriores</v>
      </c>
      <c r="I325" s="416"/>
      <c r="J325" s="438" t="str">
        <f>IF('Folha Oculta'!AQ66&gt;0,'Folha Oculta'!AQ66/'Folha Oculta'!AN63,"")</f>
        <v/>
      </c>
      <c r="K325" s="418" t="str">
        <f t="shared" si="141"/>
        <v/>
      </c>
      <c r="M325" s="418" t="str">
        <f t="shared" si="142"/>
        <v/>
      </c>
      <c r="N325"/>
      <c r="P325" s="418" t="str">
        <f t="shared" si="140"/>
        <v/>
      </c>
      <c r="Q325"/>
      <c r="S325" s="475"/>
      <c r="T325" s="475"/>
      <c r="U325" s="475"/>
      <c r="V325" s="475"/>
    </row>
    <row r="326" spans="4:22" ht="14.65" customHeight="1" outlineLevel="3" x14ac:dyDescent="0.25">
      <c r="D326"/>
      <c r="G326" s="416" t="str">
        <f>'Folha de cálculo'!E326</f>
        <v>4.5.1.7</v>
      </c>
      <c r="H326" s="416" t="str">
        <f>'Folha de cálculo'!F326</f>
        <v>Não foi possível determinar (justifique)</v>
      </c>
      <c r="I326" s="416"/>
      <c r="J326" s="438" t="str">
        <f>IF('Folha Oculta'!AQ67&gt;0,'Folha Oculta'!AQ67/'Folha Oculta'!AN63,"")</f>
        <v/>
      </c>
      <c r="K326" s="418" t="str">
        <f t="shared" si="141"/>
        <v/>
      </c>
      <c r="M326" s="418" t="str">
        <f t="shared" si="142"/>
        <v/>
      </c>
      <c r="N326"/>
      <c r="P326" s="418" t="str">
        <f t="shared" si="140"/>
        <v/>
      </c>
      <c r="Q326"/>
      <c r="S326" s="475"/>
      <c r="T326" s="475"/>
      <c r="U326" s="475"/>
      <c r="V326" s="475"/>
    </row>
    <row r="327" spans="4:22" ht="14.65" customHeight="1" outlineLevel="2" x14ac:dyDescent="0.25">
      <c r="D327"/>
      <c r="F327" s="415" t="str">
        <f>'Folha de cálculo'!D327</f>
        <v>4.5.2</v>
      </c>
      <c r="G327" s="415" t="str">
        <f>'Folha de cálculo'!E327</f>
        <v xml:space="preserve">O caudal do dispositivo em abertura máxima para água fria é...  </v>
      </c>
      <c r="H327" s="415"/>
      <c r="I327" s="415"/>
      <c r="J327" s="425" t="s">
        <v>731</v>
      </c>
      <c r="K327" s="424" t="s">
        <v>731</v>
      </c>
      <c r="M327" s="425" t="s">
        <v>731</v>
      </c>
      <c r="N327"/>
      <c r="P327" s="425" t="s">
        <v>731</v>
      </c>
      <c r="Q327"/>
      <c r="S327" s="477"/>
      <c r="T327" s="477"/>
      <c r="U327" s="477"/>
      <c r="V327" s="477"/>
    </row>
    <row r="328" spans="4:22" ht="14.65" customHeight="1" outlineLevel="3" x14ac:dyDescent="0.25">
      <c r="D328"/>
      <c r="G328" s="416" t="str">
        <f>'Folha de cálculo'!E328</f>
        <v>4.5.2.1</v>
      </c>
      <c r="H328" s="416" t="str">
        <f>'Folha de cálculo'!F328</f>
        <v>igual ou inferior a 6 litros/min</v>
      </c>
      <c r="I328" s="416"/>
      <c r="J328" s="438" t="str">
        <f>IF('Folha Oculta'!AS61&gt;0,'Folha Oculta'!AS61/'Folha Oculta'!AN63,"")</f>
        <v/>
      </c>
      <c r="K328" s="418" t="str">
        <f t="shared" si="141"/>
        <v/>
      </c>
      <c r="M328" s="418" t="str">
        <f t="shared" si="142"/>
        <v/>
      </c>
      <c r="N328"/>
      <c r="P328" s="418" t="str">
        <f t="shared" si="140"/>
        <v/>
      </c>
      <c r="Q328"/>
      <c r="S328" s="475"/>
      <c r="T328" s="475"/>
      <c r="U328" s="475"/>
      <c r="V328" s="475"/>
    </row>
    <row r="329" spans="4:22" ht="14.65" customHeight="1" outlineLevel="3" x14ac:dyDescent="0.25">
      <c r="D329"/>
      <c r="G329" s="416" t="str">
        <f>'Folha de cálculo'!E329</f>
        <v>4.5.2.2</v>
      </c>
      <c r="H329" s="416" t="str">
        <f>'Folha de cálculo'!F329</f>
        <v>entre ]6 e 8] litros/min</v>
      </c>
      <c r="I329" s="416"/>
      <c r="J329" s="438" t="str">
        <f>IF('Folha Oculta'!AS62&gt;0,'Folha Oculta'!AS62/'Folha Oculta'!AN63,"")</f>
        <v/>
      </c>
      <c r="K329" s="418" t="str">
        <f t="shared" si="141"/>
        <v/>
      </c>
      <c r="M329" s="418" t="str">
        <f t="shared" si="142"/>
        <v/>
      </c>
      <c r="N329"/>
      <c r="P329" s="418" t="str">
        <f t="shared" si="140"/>
        <v/>
      </c>
      <c r="Q329"/>
      <c r="S329" s="475"/>
      <c r="T329" s="475"/>
      <c r="U329" s="475"/>
      <c r="V329" s="475"/>
    </row>
    <row r="330" spans="4:22" ht="14.65" customHeight="1" outlineLevel="3" x14ac:dyDescent="0.25">
      <c r="D330"/>
      <c r="G330" s="416" t="str">
        <f>'Folha de cálculo'!E330</f>
        <v>4.5.2.3</v>
      </c>
      <c r="H330" s="416" t="str">
        <f>'Folha de cálculo'!F330</f>
        <v xml:space="preserve">superior a 8 litros/min </v>
      </c>
      <c r="I330" s="416"/>
      <c r="J330" s="438" t="str">
        <f>IF('Folha Oculta'!AS63&gt;0,'Folha Oculta'!AS63/'Folha Oculta'!AN63,"")</f>
        <v/>
      </c>
      <c r="K330" s="418" t="str">
        <f>IF(ISBLANK(J330),"",J330)</f>
        <v/>
      </c>
      <c r="M330" s="418" t="str">
        <f t="shared" si="142"/>
        <v/>
      </c>
      <c r="N330"/>
      <c r="P330" s="418" t="str">
        <f t="shared" si="140"/>
        <v/>
      </c>
      <c r="Q330"/>
      <c r="S330" s="475"/>
      <c r="T330" s="475"/>
      <c r="U330" s="475"/>
      <c r="V330" s="475"/>
    </row>
    <row r="331" spans="4:22" ht="14.65" customHeight="1" outlineLevel="3" x14ac:dyDescent="0.25">
      <c r="D331"/>
      <c r="G331" s="416" t="str">
        <f>'Folha de cálculo'!E331</f>
        <v>4.5.2.4</v>
      </c>
      <c r="H331" s="416" t="str">
        <f>'Folha de cálculo'!F331</f>
        <v>Não foi possível determinar (justifique)</v>
      </c>
      <c r="I331" s="416"/>
      <c r="J331" s="438">
        <f>IF(SUM(J328:J330)&lt;1,1-SUM(J328:J330),"")</f>
        <v>1</v>
      </c>
      <c r="K331" s="418">
        <f t="shared" si="141"/>
        <v>1</v>
      </c>
      <c r="M331" s="418">
        <f t="shared" si="142"/>
        <v>1</v>
      </c>
      <c r="N331"/>
      <c r="P331" s="418">
        <f t="shared" si="140"/>
        <v>1</v>
      </c>
      <c r="Q331"/>
      <c r="S331" s="475"/>
      <c r="T331" s="475"/>
      <c r="U331" s="475"/>
      <c r="V331" s="475"/>
    </row>
    <row r="332" spans="4:22" ht="14.65" customHeight="1" outlineLevel="2" x14ac:dyDescent="0.25">
      <c r="D332"/>
      <c r="F332" s="415" t="str">
        <f>'Folha de cálculo'!D332</f>
        <v>4.5.3</v>
      </c>
      <c r="G332" s="415" t="str">
        <f>'Folha de cálculo'!E332</f>
        <v>O dispositivo instalado…</v>
      </c>
      <c r="H332" s="415"/>
      <c r="I332" s="415"/>
      <c r="J332" s="425" t="s">
        <v>731</v>
      </c>
      <c r="K332" s="424" t="s">
        <v>731</v>
      </c>
      <c r="M332" s="425" t="s">
        <v>731</v>
      </c>
      <c r="N332"/>
      <c r="P332" s="425" t="s">
        <v>731</v>
      </c>
      <c r="Q332"/>
      <c r="S332" s="477"/>
      <c r="T332" s="477"/>
      <c r="U332" s="477"/>
      <c r="V332" s="477"/>
    </row>
    <row r="333" spans="4:22" ht="14.65" customHeight="1" outlineLevel="3" x14ac:dyDescent="0.25">
      <c r="D333"/>
      <c r="G333" s="416" t="str">
        <f>'Folha de cálculo'!E333</f>
        <v>4.5.3.1</v>
      </c>
      <c r="H333" s="416" t="str">
        <f>'Folha de cálculo'!F333</f>
        <v>não apresenta indícios de fuga</v>
      </c>
      <c r="I333" s="416"/>
      <c r="J333" s="438" t="str">
        <f>IF('Folha Oculta'!AV61&gt;0,'Folha Oculta'!AV61/'Folha Oculta'!AN63,"")</f>
        <v/>
      </c>
      <c r="K333" s="418" t="str">
        <f t="shared" ref="K333:K336" si="143">IF(ISBLANK(J333),"",J333)</f>
        <v/>
      </c>
      <c r="M333" s="418" t="str">
        <f t="shared" ref="M333:M341" si="144">IF(ISBLANK(K333),"",K333)</f>
        <v/>
      </c>
      <c r="N333"/>
      <c r="P333" s="418" t="str">
        <f t="shared" ref="P333:P341" si="145">IF(ISBLANK(M333),"",M333)</f>
        <v/>
      </c>
      <c r="Q333"/>
      <c r="S333" s="475"/>
      <c r="T333" s="475"/>
      <c r="U333" s="475"/>
      <c r="V333" s="475"/>
    </row>
    <row r="334" spans="4:22" ht="14.65" customHeight="1" outlineLevel="3" x14ac:dyDescent="0.25">
      <c r="D334"/>
      <c r="G334" s="416" t="str">
        <f>'Folha de cálculo'!E334</f>
        <v>4.5.3.2</v>
      </c>
      <c r="H334" s="416" t="str">
        <f>'Folha de cálculo'!F334</f>
        <v>apresenta indícios de fuga (justifique)</v>
      </c>
      <c r="I334" s="416"/>
      <c r="J334" s="438" t="str">
        <f>IF('Folha Oculta'!AV62&gt;0,'Folha Oculta'!AV62/'Folha Oculta'!AN63,"")</f>
        <v/>
      </c>
      <c r="K334" s="418" t="str">
        <f t="shared" si="143"/>
        <v/>
      </c>
      <c r="M334" s="418" t="str">
        <f t="shared" si="144"/>
        <v/>
      </c>
      <c r="N334"/>
      <c r="P334" s="418" t="str">
        <f t="shared" si="145"/>
        <v/>
      </c>
      <c r="Q334"/>
      <c r="S334" s="475"/>
      <c r="T334" s="475"/>
      <c r="U334" s="475"/>
      <c r="V334" s="475"/>
    </row>
    <row r="335" spans="4:22" ht="14.65" customHeight="1" outlineLevel="3" x14ac:dyDescent="0.25">
      <c r="D335"/>
      <c r="G335" s="416" t="str">
        <f>'Folha de cálculo'!E335</f>
        <v>4.5.3.3</v>
      </c>
      <c r="H335" s="416" t="str">
        <f>'Folha de cálculo'!F335</f>
        <v>apresenta evidências de fuga</v>
      </c>
      <c r="I335" s="416"/>
      <c r="J335" s="438" t="str">
        <f>IF('Folha Oculta'!AV63&gt;0,'Folha Oculta'!AV63/'Folha Oculta'!AN63,"")</f>
        <v/>
      </c>
      <c r="K335" s="418" t="str">
        <f t="shared" si="143"/>
        <v/>
      </c>
      <c r="M335" s="418" t="str">
        <f t="shared" si="144"/>
        <v/>
      </c>
      <c r="N335"/>
      <c r="P335" s="418" t="str">
        <f t="shared" si="145"/>
        <v/>
      </c>
      <c r="Q335"/>
      <c r="S335" s="475"/>
      <c r="T335" s="475"/>
      <c r="U335" s="475"/>
      <c r="V335" s="475"/>
    </row>
    <row r="336" spans="4:22" ht="14.65" customHeight="1" outlineLevel="3" x14ac:dyDescent="0.25">
      <c r="D336"/>
      <c r="G336" s="416" t="str">
        <f>'Folha de cálculo'!E336</f>
        <v>4.5.3.4</v>
      </c>
      <c r="H336" s="416" t="str">
        <f>'Folha de cálculo'!F336</f>
        <v>Não foi possível determinar (justifique)</v>
      </c>
      <c r="I336" s="416"/>
      <c r="J336" s="438">
        <f>IF(SUM(J333:J335)&lt;1,1-SUM(J333:J335),"")</f>
        <v>1</v>
      </c>
      <c r="K336" s="418">
        <f t="shared" si="143"/>
        <v>1</v>
      </c>
      <c r="M336" s="418">
        <f t="shared" si="144"/>
        <v>1</v>
      </c>
      <c r="N336"/>
      <c r="P336" s="418">
        <f t="shared" si="145"/>
        <v>1</v>
      </c>
      <c r="Q336"/>
      <c r="S336" s="475"/>
      <c r="T336" s="475"/>
      <c r="U336" s="475"/>
      <c r="V336" s="475"/>
    </row>
    <row r="337" spans="2:22" ht="14.65" customHeight="1" outlineLevel="2" x14ac:dyDescent="0.25">
      <c r="D337"/>
      <c r="F337" s="415" t="str">
        <f>'Folha de cálculo'!D337</f>
        <v>4.5.4</v>
      </c>
      <c r="G337" s="415" t="str">
        <f>'Folha de cálculo'!E337</f>
        <v>O dispositivo foi instalado…</v>
      </c>
      <c r="H337" s="415"/>
      <c r="I337" s="415"/>
      <c r="J337" s="425" t="s">
        <v>731</v>
      </c>
      <c r="K337" s="424" t="s">
        <v>731</v>
      </c>
      <c r="M337" s="425" t="s">
        <v>731</v>
      </c>
      <c r="N337"/>
      <c r="P337" s="425" t="s">
        <v>731</v>
      </c>
      <c r="Q337"/>
      <c r="S337" s="477"/>
      <c r="T337" s="477"/>
      <c r="U337" s="477"/>
      <c r="V337" s="477"/>
    </row>
    <row r="338" spans="2:22" ht="14.65" customHeight="1" outlineLevel="3" x14ac:dyDescent="0.25">
      <c r="D338"/>
      <c r="E338" s="444"/>
      <c r="G338" s="416" t="str">
        <f>'Folha de cálculo'!E338</f>
        <v>4.5.4.1</v>
      </c>
      <c r="H338" s="416" t="str">
        <f>'Folha de cálculo'!F338</f>
        <v>há 5 ou menos anos</v>
      </c>
      <c r="I338" s="416"/>
      <c r="J338" s="438" t="str">
        <f>IF('Folha Oculta'!AX61&gt;0,'Folha Oculta'!AX61/'Folha Oculta'!AN63,"")</f>
        <v/>
      </c>
      <c r="K338" s="418" t="str">
        <f t="shared" ref="K338:K340" si="146">IF(ISBLANK(J338),"",J338)</f>
        <v/>
      </c>
      <c r="M338" s="418" t="str">
        <f t="shared" si="144"/>
        <v/>
      </c>
      <c r="N338"/>
      <c r="P338" s="418" t="str">
        <f t="shared" si="145"/>
        <v/>
      </c>
      <c r="Q338"/>
      <c r="S338" s="475"/>
      <c r="T338" s="475"/>
      <c r="U338" s="475"/>
      <c r="V338" s="475"/>
    </row>
    <row r="339" spans="2:22" ht="14.65" customHeight="1" outlineLevel="3" x14ac:dyDescent="0.25">
      <c r="D339"/>
      <c r="G339" s="416" t="str">
        <f>'Folha de cálculo'!E339</f>
        <v>4.5.4.2</v>
      </c>
      <c r="H339" s="416" t="str">
        <f>'Folha de cálculo'!F339</f>
        <v>entre ]5 e 15] anos</v>
      </c>
      <c r="I339" s="416"/>
      <c r="J339" s="438" t="str">
        <f>IF('Folha Oculta'!AX62&gt;0,'Folha Oculta'!AX62/'Folha Oculta'!AN63,"")</f>
        <v/>
      </c>
      <c r="K339" s="418" t="str">
        <f t="shared" si="146"/>
        <v/>
      </c>
      <c r="M339" s="418" t="str">
        <f t="shared" si="144"/>
        <v/>
      </c>
      <c r="N339"/>
      <c r="P339" s="418" t="str">
        <f t="shared" si="145"/>
        <v/>
      </c>
      <c r="Q339"/>
      <c r="S339" s="475"/>
      <c r="T339" s="475"/>
      <c r="U339" s="475"/>
      <c r="V339" s="475"/>
    </row>
    <row r="340" spans="2:22" ht="14.65" customHeight="1" outlineLevel="3" x14ac:dyDescent="0.25">
      <c r="D340"/>
      <c r="G340" s="416" t="str">
        <f>'Folha de cálculo'!E340</f>
        <v>4.5.4.3</v>
      </c>
      <c r="H340" s="416" t="str">
        <f>'Folha de cálculo'!F340</f>
        <v>há mais de 15 anos</v>
      </c>
      <c r="I340" s="416"/>
      <c r="J340" s="438" t="str">
        <f>IF('Folha Oculta'!AX63&gt;0,'Folha Oculta'!AX63/'Folha Oculta'!AN63,"")</f>
        <v/>
      </c>
      <c r="K340" s="418" t="str">
        <f t="shared" si="146"/>
        <v/>
      </c>
      <c r="M340" s="418" t="str">
        <f t="shared" si="144"/>
        <v/>
      </c>
      <c r="N340"/>
      <c r="P340" s="418" t="str">
        <f t="shared" si="145"/>
        <v/>
      </c>
      <c r="Q340"/>
      <c r="S340" s="475"/>
      <c r="T340" s="475"/>
      <c r="U340" s="475"/>
      <c r="V340" s="475"/>
    </row>
    <row r="341" spans="2:22" ht="14.65" customHeight="1" outlineLevel="3" x14ac:dyDescent="0.25">
      <c r="D341"/>
      <c r="G341" s="416" t="str">
        <f>'Folha de cálculo'!E341</f>
        <v>4.5.4.4</v>
      </c>
      <c r="H341" s="416" t="str">
        <f>'Folha de cálculo'!F341</f>
        <v>Não foi possível determinar (justifique)</v>
      </c>
      <c r="I341" s="416"/>
      <c r="J341" s="438">
        <f>IF(SUM(J338:J340)&lt;1,1-SUM(J338:J340),"")</f>
        <v>1</v>
      </c>
      <c r="K341" s="418">
        <f t="shared" ref="K341" si="147">IF(ISBLANK(J341),"",J341)</f>
        <v>1</v>
      </c>
      <c r="M341" s="418">
        <f t="shared" si="144"/>
        <v>1</v>
      </c>
      <c r="N341"/>
      <c r="P341" s="418">
        <f t="shared" si="145"/>
        <v>1</v>
      </c>
      <c r="Q341"/>
      <c r="S341" s="475"/>
      <c r="T341" s="475"/>
      <c r="U341" s="475"/>
      <c r="V341" s="475"/>
    </row>
    <row r="342" spans="2:22" ht="14.65" customHeight="1" outlineLevel="2" x14ac:dyDescent="0.25">
      <c r="D342"/>
      <c r="F342" s="415" t="str">
        <f>'Folha de cálculo'!D342</f>
        <v>4.5.5</v>
      </c>
      <c r="G342" s="415" t="str">
        <f>'Folha de cálculo'!E342</f>
        <v>A válvula ou tampa do ralo da cuba que serve o dispositivo…</v>
      </c>
      <c r="H342" s="415"/>
      <c r="I342" s="415"/>
      <c r="J342" s="425" t="s">
        <v>731</v>
      </c>
      <c r="K342" s="424" t="s">
        <v>731</v>
      </c>
      <c r="M342" s="425" t="s">
        <v>731</v>
      </c>
      <c r="N342"/>
      <c r="P342" s="425" t="s">
        <v>731</v>
      </c>
      <c r="Q342"/>
      <c r="S342" s="477"/>
      <c r="T342" s="477"/>
      <c r="U342" s="477"/>
      <c r="V342" s="477"/>
    </row>
    <row r="343" spans="2:22" ht="14.65" customHeight="1" outlineLevel="3" x14ac:dyDescent="0.25">
      <c r="D343"/>
      <c r="G343" s="416" t="str">
        <f>'Folha de cálculo'!E343</f>
        <v>4.5.5.1</v>
      </c>
      <c r="H343" s="416" t="str">
        <f>'Folha de cálculo'!F343</f>
        <v>não apresenta indícios de fugas de qualquer tipo</v>
      </c>
      <c r="I343" s="416"/>
      <c r="J343" s="417"/>
      <c r="K343" s="418" t="str">
        <f t="shared" ref="K343:K346" si="148">IF(ISBLANK(J343),"",J343)</f>
        <v/>
      </c>
      <c r="M343" s="418" t="str">
        <f t="shared" ref="M343:M346" si="149">IF(ISBLANK(K343),"",K343)</f>
        <v/>
      </c>
      <c r="N343"/>
      <c r="P343" s="418" t="str">
        <f t="shared" ref="P343:P346" si="150">IF(ISBLANK(M343),"",M343)</f>
        <v/>
      </c>
      <c r="Q343"/>
      <c r="S343" s="475"/>
      <c r="T343" s="475"/>
      <c r="U343" s="475"/>
      <c r="V343" s="475"/>
    </row>
    <row r="344" spans="2:22" ht="14.65" customHeight="1" outlineLevel="3" x14ac:dyDescent="0.25">
      <c r="D344"/>
      <c r="G344" s="416" t="str">
        <f>'Folha de cálculo'!E344</f>
        <v>4.5.5.2</v>
      </c>
      <c r="H344" s="416" t="str">
        <f>'Folha de cálculo'!F344</f>
        <v>apresenta indícios de fugas ou de mau funcionamento</v>
      </c>
      <c r="I344" s="416"/>
      <c r="J344" s="417"/>
      <c r="K344" s="418" t="str">
        <f t="shared" si="148"/>
        <v/>
      </c>
      <c r="M344" s="418" t="str">
        <f>IF(ISBLANK(K344),"",K344)</f>
        <v/>
      </c>
      <c r="N344"/>
      <c r="P344" s="418" t="str">
        <f t="shared" si="150"/>
        <v/>
      </c>
      <c r="Q344"/>
      <c r="S344" s="475"/>
      <c r="T344" s="475"/>
      <c r="U344" s="475"/>
      <c r="V344" s="475"/>
    </row>
    <row r="345" spans="2:22" ht="14.65" customHeight="1" outlineLevel="3" x14ac:dyDescent="0.25">
      <c r="D345"/>
      <c r="G345" s="416" t="str">
        <f>'Folha de cálculo'!E345</f>
        <v>4.5.5.3</v>
      </c>
      <c r="H345" s="416" t="str">
        <f>'Folha de cálculo'!F345</f>
        <v>apresenta evidência de fuga(s), não dispõe de tampa ou a tampa não está em boa condição de funcionamento</v>
      </c>
      <c r="I345" s="416"/>
      <c r="J345" s="417"/>
      <c r="K345" s="418" t="str">
        <f>IF(ISBLANK(J345),"",J345)</f>
        <v/>
      </c>
      <c r="M345" s="418" t="str">
        <f t="shared" si="149"/>
        <v/>
      </c>
      <c r="N345"/>
      <c r="P345" s="418" t="str">
        <f t="shared" si="150"/>
        <v/>
      </c>
      <c r="Q345"/>
      <c r="S345" s="475"/>
      <c r="T345" s="475"/>
      <c r="U345" s="475"/>
      <c r="V345" s="475"/>
    </row>
    <row r="346" spans="2:22" ht="14.65" customHeight="1" outlineLevel="3" x14ac:dyDescent="0.25">
      <c r="D346"/>
      <c r="G346" s="416" t="str">
        <f>'Folha de cálculo'!E346</f>
        <v>4.5.5.4</v>
      </c>
      <c r="H346" s="416" t="str">
        <f>'Folha de cálculo'!F346</f>
        <v>Não foi possível determinar (justifique)</v>
      </c>
      <c r="I346" s="416"/>
      <c r="J346" s="417"/>
      <c r="K346" s="418" t="str">
        <f t="shared" si="148"/>
        <v/>
      </c>
      <c r="M346" s="418" t="str">
        <f t="shared" si="149"/>
        <v/>
      </c>
      <c r="N346"/>
      <c r="P346" s="418" t="str">
        <f t="shared" si="150"/>
        <v/>
      </c>
      <c r="Q346"/>
      <c r="S346" s="475"/>
      <c r="T346" s="475"/>
      <c r="U346" s="475"/>
      <c r="V346" s="475"/>
    </row>
    <row r="347" spans="2:22" ht="14.65" customHeight="1" outlineLevel="1" thickBot="1" x14ac:dyDescent="0.3">
      <c r="D347"/>
      <c r="J347"/>
      <c r="K347"/>
      <c r="L347"/>
      <c r="M347"/>
      <c r="N347"/>
      <c r="P347"/>
      <c r="Q347"/>
    </row>
    <row r="348" spans="2:22" ht="15.75" outlineLevel="1" thickBot="1" x14ac:dyDescent="0.3">
      <c r="B348" s="441">
        <f>IF('Registo de informação'!I180=0,0,1)</f>
        <v>0</v>
      </c>
      <c r="E348" s="8" t="str">
        <f>'Folha de cálculo'!C348</f>
        <v>4.6</v>
      </c>
      <c r="F348" s="8" t="str">
        <f>'Folha de cálculo'!D348</f>
        <v>Máquina lavar loiça</v>
      </c>
      <c r="G348" s="8"/>
      <c r="H348" s="8"/>
      <c r="I348" s="8"/>
      <c r="J348" s="403"/>
      <c r="K348" s="404"/>
      <c r="M348" s="403"/>
      <c r="N348"/>
      <c r="P348" s="403"/>
      <c r="Q348"/>
      <c r="S348" s="478"/>
      <c r="T348" s="479"/>
      <c r="U348" s="479"/>
      <c r="V348" s="480"/>
    </row>
    <row r="349" spans="2:22" ht="14.65" customHeight="1" outlineLevel="2" x14ac:dyDescent="0.25">
      <c r="B349"/>
      <c r="D349"/>
      <c r="F349" s="415" t="str">
        <f>'Folha de cálculo'!D349</f>
        <v>4.6.1</v>
      </c>
      <c r="G349" s="415" t="str">
        <f>'Folha de cálculo'!E349</f>
        <v>O equipamento instalado dispõe de…</v>
      </c>
      <c r="H349" s="415"/>
      <c r="I349" s="415"/>
      <c r="J349" s="425" t="s">
        <v>732</v>
      </c>
      <c r="K349" s="442" t="s">
        <v>732</v>
      </c>
      <c r="M349" s="443" t="s">
        <v>732</v>
      </c>
      <c r="N349"/>
      <c r="P349" s="443" t="s">
        <v>732</v>
      </c>
      <c r="Q349"/>
      <c r="S349" s="477"/>
      <c r="T349" s="477"/>
      <c r="U349" s="477"/>
      <c r="V349" s="477"/>
    </row>
    <row r="350" spans="2:22" ht="14.65" customHeight="1" outlineLevel="3" x14ac:dyDescent="0.25">
      <c r="B350"/>
      <c r="D350"/>
      <c r="G350" s="416" t="str">
        <f>'Folha de cálculo'!E350</f>
        <v>4.6.1.1</v>
      </c>
      <c r="H350" s="416" t="str">
        <f>'Folha de cálculo'!F350</f>
        <v>sistema de otimização da distribuição de água (sistema orbital e oscilante)</v>
      </c>
      <c r="I350" s="416"/>
      <c r="J350" s="417"/>
      <c r="K350" s="418" t="str">
        <f t="shared" ref="K350:K355" si="151">IF(ISBLANK(J350),"",J350)</f>
        <v/>
      </c>
      <c r="M350" s="418" t="str">
        <f t="shared" ref="M350:M355" si="152">IF(ISBLANK(K350),"",K350)</f>
        <v/>
      </c>
      <c r="N350"/>
      <c r="P350" s="418" t="str">
        <f>IF(ISBLANK(M350),"",M350)</f>
        <v/>
      </c>
      <c r="Q350"/>
      <c r="S350" s="475"/>
      <c r="T350" s="475"/>
      <c r="U350" s="475"/>
      <c r="V350" s="475"/>
    </row>
    <row r="351" spans="2:22" ht="14.65" customHeight="1" outlineLevel="3" x14ac:dyDescent="0.25">
      <c r="B351"/>
      <c r="D351"/>
      <c r="G351" s="416" t="str">
        <f>'Folha de cálculo'!E351</f>
        <v>4.6.1.2</v>
      </c>
      <c r="H351" s="416" t="str">
        <f>'Folha de cálculo'!F351</f>
        <v>sensor de turvação da água</v>
      </c>
      <c r="I351" s="416"/>
      <c r="J351" s="417"/>
      <c r="K351" s="418" t="str">
        <f t="shared" si="151"/>
        <v/>
      </c>
      <c r="M351" s="418" t="str">
        <f t="shared" si="152"/>
        <v/>
      </c>
      <c r="N351"/>
      <c r="P351" s="418" t="str">
        <f t="shared" ref="P351:P355" si="153">IF(ISBLANK(M351),"",M351)</f>
        <v/>
      </c>
      <c r="Q351"/>
      <c r="S351" s="475"/>
      <c r="T351" s="475"/>
      <c r="U351" s="475"/>
      <c r="V351" s="475"/>
    </row>
    <row r="352" spans="2:22" ht="14.65" customHeight="1" outlineLevel="3" x14ac:dyDescent="0.25">
      <c r="B352"/>
      <c r="D352"/>
      <c r="G352" s="416" t="str">
        <f>'Folha de cálculo'!E352</f>
        <v>4.6.1.3</v>
      </c>
      <c r="H352" s="416" t="str">
        <f>'Folha de cálculo'!F352</f>
        <v>AquaStop ou sistema anti-inundação</v>
      </c>
      <c r="I352" s="416"/>
      <c r="J352" s="417"/>
      <c r="K352" s="418" t="str">
        <f t="shared" si="151"/>
        <v/>
      </c>
      <c r="M352" s="418" t="str">
        <f t="shared" si="152"/>
        <v/>
      </c>
      <c r="N352"/>
      <c r="P352" s="418" t="str">
        <f t="shared" si="153"/>
        <v/>
      </c>
      <c r="Q352"/>
      <c r="S352" s="475"/>
      <c r="T352" s="475"/>
      <c r="U352" s="475"/>
      <c r="V352" s="475"/>
    </row>
    <row r="353" spans="2:22" ht="14.65" customHeight="1" outlineLevel="3" x14ac:dyDescent="0.25">
      <c r="B353"/>
      <c r="D353"/>
      <c r="G353" s="416" t="str">
        <f>'Folha de cálculo'!E353</f>
        <v>4.6.1.4</v>
      </c>
      <c r="H353" s="416" t="str">
        <f>'Folha de cálculo'!F353</f>
        <v>programa de lavagem "ECO"</v>
      </c>
      <c r="I353" s="416"/>
      <c r="J353" s="417"/>
      <c r="K353" s="418" t="str">
        <f>IF(ISBLANK(J353),"",J353)</f>
        <v/>
      </c>
      <c r="M353" s="418" t="str">
        <f t="shared" si="152"/>
        <v/>
      </c>
      <c r="N353"/>
      <c r="P353" s="418" t="str">
        <f t="shared" si="153"/>
        <v/>
      </c>
      <c r="Q353"/>
      <c r="S353" s="475"/>
      <c r="T353" s="475"/>
      <c r="U353" s="475"/>
      <c r="V353" s="475"/>
    </row>
    <row r="354" spans="2:22" ht="14.65" customHeight="1" outlineLevel="3" x14ac:dyDescent="0.25">
      <c r="B354"/>
      <c r="D354"/>
      <c r="G354" s="416" t="str">
        <f>'Folha de cálculo'!E354</f>
        <v>4.6.1.5</v>
      </c>
      <c r="H354" s="416" t="str">
        <f>'Folha de cálculo'!F354</f>
        <v>Nenhuma das opções anteriores</v>
      </c>
      <c r="I354" s="416"/>
      <c r="J354" s="417"/>
      <c r="K354" s="418" t="str">
        <f t="shared" si="151"/>
        <v/>
      </c>
      <c r="M354" s="418" t="str">
        <f t="shared" si="152"/>
        <v/>
      </c>
      <c r="N354"/>
      <c r="P354" s="418" t="str">
        <f t="shared" si="153"/>
        <v/>
      </c>
      <c r="Q354"/>
      <c r="S354" s="475"/>
      <c r="T354" s="475"/>
      <c r="U354" s="475"/>
      <c r="V354" s="475"/>
    </row>
    <row r="355" spans="2:22" ht="14.65" customHeight="1" outlineLevel="3" x14ac:dyDescent="0.25">
      <c r="B355"/>
      <c r="D355"/>
      <c r="G355" s="416" t="str">
        <f>'Folha de cálculo'!E355</f>
        <v>4.6.1.6</v>
      </c>
      <c r="H355" s="416" t="str">
        <f>'Folha de cálculo'!F355</f>
        <v>Não foi possível determinar (justifique)</v>
      </c>
      <c r="I355" s="416"/>
      <c r="J355" s="417"/>
      <c r="K355" s="418" t="str">
        <f t="shared" si="151"/>
        <v/>
      </c>
      <c r="M355" s="418" t="str">
        <f t="shared" si="152"/>
        <v/>
      </c>
      <c r="N355"/>
      <c r="P355" s="418" t="str">
        <f t="shared" si="153"/>
        <v/>
      </c>
      <c r="Q355"/>
      <c r="S355" s="475"/>
      <c r="T355" s="475"/>
      <c r="U355" s="475"/>
      <c r="V355" s="475"/>
    </row>
    <row r="356" spans="2:22" ht="14.65" customHeight="1" outlineLevel="2" x14ac:dyDescent="0.25">
      <c r="B356"/>
      <c r="D356"/>
      <c r="F356" s="415" t="str">
        <f>'Folha de cálculo'!D356</f>
        <v>4.6.2</v>
      </c>
      <c r="G356" s="415" t="str">
        <f>'Folha de cálculo'!E356</f>
        <v>O consumo específico de água do equipamento, determinado de acordo com as regras de respetiva etiqueta europeia ou pelas especificações do equipamento, é…</v>
      </c>
      <c r="H356" s="415"/>
      <c r="I356" s="415"/>
      <c r="J356" s="425" t="s">
        <v>731</v>
      </c>
      <c r="K356" s="442" t="s">
        <v>731</v>
      </c>
      <c r="M356" s="443" t="s">
        <v>731</v>
      </c>
      <c r="N356"/>
      <c r="P356" s="443" t="s">
        <v>731</v>
      </c>
      <c r="Q356"/>
      <c r="S356" s="477"/>
      <c r="T356" s="477"/>
      <c r="U356" s="477"/>
      <c r="V356" s="477"/>
    </row>
    <row r="357" spans="2:22" ht="14.65" customHeight="1" outlineLevel="3" x14ac:dyDescent="0.25">
      <c r="B357"/>
      <c r="D357"/>
      <c r="G357" s="416" t="str">
        <f>'Folha de cálculo'!E357</f>
        <v>4.6.2.1</v>
      </c>
      <c r="H357" s="416" t="str">
        <f>'Folha de cálculo'!F357</f>
        <v>igual ou inferior a 0,6 litros por ciclo e por talher</v>
      </c>
      <c r="I357" s="416"/>
      <c r="J357" s="438" t="str">
        <f>IF('Folha Oculta'!AU26&gt;0,'Folha Oculta'!AU26/'Registo de informação'!I180,"")</f>
        <v/>
      </c>
      <c r="K357" s="418" t="str">
        <f t="shared" ref="K357:K361" si="154">IF(ISBLANK(J357),"",J357)</f>
        <v/>
      </c>
      <c r="M357" s="418" t="str">
        <f t="shared" ref="M357:M361" si="155">IF(ISBLANK(K357),"",K357)</f>
        <v/>
      </c>
      <c r="N357"/>
      <c r="P357" s="418" t="str">
        <f t="shared" ref="P357:P361" si="156">IF(ISBLANK(M357),"",M357)</f>
        <v/>
      </c>
      <c r="Q357"/>
      <c r="S357" s="475"/>
      <c r="T357" s="475"/>
      <c r="U357" s="475"/>
      <c r="V357" s="475"/>
    </row>
    <row r="358" spans="2:22" ht="14.65" customHeight="1" outlineLevel="3" x14ac:dyDescent="0.25">
      <c r="B358"/>
      <c r="D358"/>
      <c r="G358" s="416" t="str">
        <f>'Folha de cálculo'!E358</f>
        <v>4.6.2.2</v>
      </c>
      <c r="H358" s="416" t="str">
        <f>'Folha de cálculo'!F358</f>
        <v>entre ]0,6 e 0,9] litros por ciclo e por talher</v>
      </c>
      <c r="I358" s="416"/>
      <c r="J358" s="438" t="str">
        <f>IF('Folha Oculta'!AU27&gt;0,'Folha Oculta'!AU27/'Registo de informação'!I180,"")</f>
        <v/>
      </c>
      <c r="K358" s="418" t="str">
        <f t="shared" si="154"/>
        <v/>
      </c>
      <c r="M358" s="418" t="str">
        <f t="shared" si="155"/>
        <v/>
      </c>
      <c r="N358"/>
      <c r="P358" s="418" t="str">
        <f t="shared" si="156"/>
        <v/>
      </c>
      <c r="Q358"/>
      <c r="S358" s="475"/>
      <c r="T358" s="475"/>
      <c r="U358" s="475"/>
      <c r="V358" s="475"/>
    </row>
    <row r="359" spans="2:22" ht="14.65" customHeight="1" outlineLevel="3" x14ac:dyDescent="0.25">
      <c r="B359"/>
      <c r="D359"/>
      <c r="G359" s="416" t="str">
        <f>'Folha de cálculo'!E359</f>
        <v>4.6.2.3</v>
      </c>
      <c r="H359" s="416" t="str">
        <f>'Folha de cálculo'!F359</f>
        <v>entre ]0,9 e 1,2] litros por ciclo e por talher</v>
      </c>
      <c r="I359" s="416"/>
      <c r="J359" s="438" t="str">
        <f>IF('Folha Oculta'!AU28&gt;0,'Folha Oculta'!AU28/'Registo de informação'!I180,"")</f>
        <v/>
      </c>
      <c r="K359" s="418" t="str">
        <f>IF(ISBLANK(J359),"",J359)</f>
        <v/>
      </c>
      <c r="M359" s="418" t="str">
        <f t="shared" si="155"/>
        <v/>
      </c>
      <c r="N359"/>
      <c r="P359" s="418" t="str">
        <f t="shared" si="156"/>
        <v/>
      </c>
      <c r="Q359"/>
      <c r="S359" s="475"/>
      <c r="T359" s="475"/>
      <c r="U359" s="475"/>
      <c r="V359" s="475"/>
    </row>
    <row r="360" spans="2:22" ht="14.65" customHeight="1" outlineLevel="3" x14ac:dyDescent="0.25">
      <c r="B360"/>
      <c r="D360"/>
      <c r="G360" s="416" t="str">
        <f>'Folha de cálculo'!E360</f>
        <v>4.6.2.4</v>
      </c>
      <c r="H360" s="416" t="str">
        <f>'Folha de cálculo'!F360</f>
        <v>superior a 1,2 litros por ciclo e por talher</v>
      </c>
      <c r="I360" s="416"/>
      <c r="J360" s="438" t="str">
        <f>IF('Folha Oculta'!AU29&gt;0,'Folha Oculta'!AU29/'Registo de informação'!I180,"")</f>
        <v/>
      </c>
      <c r="K360" s="418" t="str">
        <f t="shared" si="154"/>
        <v/>
      </c>
      <c r="M360" s="418" t="str">
        <f t="shared" si="155"/>
        <v/>
      </c>
      <c r="N360"/>
      <c r="P360" s="418" t="str">
        <f t="shared" si="156"/>
        <v/>
      </c>
      <c r="Q360"/>
      <c r="S360" s="475"/>
      <c r="T360" s="475"/>
      <c r="U360" s="475"/>
      <c r="V360" s="475"/>
    </row>
    <row r="361" spans="2:22" ht="14.65" customHeight="1" outlineLevel="3" x14ac:dyDescent="0.25">
      <c r="B361"/>
      <c r="D361"/>
      <c r="G361" s="416" t="str">
        <f>'Folha de cálculo'!E361</f>
        <v>4.6.2.5</v>
      </c>
      <c r="H361" s="416" t="str">
        <f>'Folha de cálculo'!F361</f>
        <v>Não foi possível determinar (justifique)</v>
      </c>
      <c r="I361" s="416"/>
      <c r="J361" s="438">
        <f>IF(SUM(J357:J360)=1,"",1-SUM(J357:J360))</f>
        <v>1</v>
      </c>
      <c r="K361" s="418">
        <f t="shared" si="154"/>
        <v>1</v>
      </c>
      <c r="M361" s="418">
        <f t="shared" si="155"/>
        <v>1</v>
      </c>
      <c r="N361"/>
      <c r="P361" s="418">
        <f t="shared" si="156"/>
        <v>1</v>
      </c>
      <c r="Q361"/>
      <c r="S361" s="475"/>
      <c r="T361" s="475"/>
      <c r="U361" s="475"/>
      <c r="V361" s="475"/>
    </row>
    <row r="362" spans="2:22" ht="14.65" customHeight="1" outlineLevel="2" x14ac:dyDescent="0.25">
      <c r="B362"/>
      <c r="D362"/>
      <c r="F362" s="415" t="str">
        <f>'Folha de cálculo'!D362</f>
        <v>4.6.3</v>
      </c>
      <c r="G362" s="415" t="str">
        <f>'Folha de cálculo'!E362</f>
        <v>O equipamento foi adquirido novo e instalado…</v>
      </c>
      <c r="H362" s="415"/>
      <c r="I362" s="415"/>
      <c r="J362" s="425" t="s">
        <v>731</v>
      </c>
      <c r="K362" s="442" t="s">
        <v>731</v>
      </c>
      <c r="M362" s="443" t="s">
        <v>731</v>
      </c>
      <c r="N362"/>
      <c r="P362" s="443" t="s">
        <v>731</v>
      </c>
      <c r="Q362"/>
      <c r="S362" s="477"/>
      <c r="T362" s="477"/>
      <c r="U362" s="477"/>
      <c r="V362" s="477"/>
    </row>
    <row r="363" spans="2:22" ht="14.65" customHeight="1" outlineLevel="3" x14ac:dyDescent="0.25">
      <c r="B363"/>
      <c r="D363"/>
      <c r="G363" s="416" t="str">
        <f>'Folha de cálculo'!E363</f>
        <v>4.6.3.1</v>
      </c>
      <c r="H363" s="416" t="str">
        <f>'Folha de cálculo'!F363</f>
        <v>há 8 ou menos anos</v>
      </c>
      <c r="I363" s="416"/>
      <c r="J363" s="438" t="str">
        <f>IF('Folha Oculta'!AR26&gt;0,'Folha Oculta'!AR26/'Registo de informação'!I180,"")</f>
        <v/>
      </c>
      <c r="K363" s="418" t="str">
        <f t="shared" ref="K363:K366" si="157">IF(ISBLANK(J363),"",J363)</f>
        <v/>
      </c>
      <c r="M363" s="418" t="str">
        <f t="shared" ref="M363:M366" si="158">IF(ISBLANK(K363),"",K363)</f>
        <v/>
      </c>
      <c r="N363"/>
      <c r="P363" s="418" t="str">
        <f t="shared" ref="P363:P366" si="159">IF(ISBLANK(M363),"",M363)</f>
        <v/>
      </c>
      <c r="Q363"/>
      <c r="S363" s="475"/>
      <c r="T363" s="475"/>
      <c r="U363" s="475"/>
      <c r="V363" s="475"/>
    </row>
    <row r="364" spans="2:22" ht="14.65" customHeight="1" outlineLevel="3" x14ac:dyDescent="0.25">
      <c r="B364"/>
      <c r="D364"/>
      <c r="G364" s="416" t="str">
        <f>'Folha de cálculo'!E364</f>
        <v>4.6.3.2</v>
      </c>
      <c r="H364" s="416" t="str">
        <f>'Folha de cálculo'!F364</f>
        <v>entre ]8 e 12] anos</v>
      </c>
      <c r="I364" s="416"/>
      <c r="J364" s="438" t="str">
        <f>IF('Folha Oculta'!AR27&gt;0,'Folha Oculta'!AR27/'Registo de informação'!I180,"")</f>
        <v/>
      </c>
      <c r="K364" s="418" t="str">
        <f t="shared" si="157"/>
        <v/>
      </c>
      <c r="M364" s="418" t="str">
        <f t="shared" si="158"/>
        <v/>
      </c>
      <c r="N364"/>
      <c r="P364" s="418" t="str">
        <f t="shared" si="159"/>
        <v/>
      </c>
      <c r="Q364"/>
      <c r="S364" s="475"/>
      <c r="T364" s="475"/>
      <c r="U364" s="475"/>
      <c r="V364" s="475"/>
    </row>
    <row r="365" spans="2:22" ht="14.65" customHeight="1" outlineLevel="3" x14ac:dyDescent="0.25">
      <c r="B365"/>
      <c r="D365"/>
      <c r="G365" s="416" t="str">
        <f>'Folha de cálculo'!E365</f>
        <v>4.6.3.3</v>
      </c>
      <c r="H365" s="416" t="str">
        <f>'Folha de cálculo'!F365</f>
        <v>há mais de 12 anos</v>
      </c>
      <c r="I365" s="416"/>
      <c r="J365" s="438" t="str">
        <f>IF('Folha Oculta'!AR28&gt;0,'Folha Oculta'!AR28/'Registo de informação'!I180,"")</f>
        <v/>
      </c>
      <c r="K365" s="418" t="str">
        <f t="shared" si="157"/>
        <v/>
      </c>
      <c r="M365" s="418" t="str">
        <f t="shared" si="158"/>
        <v/>
      </c>
      <c r="N365"/>
      <c r="P365" s="418" t="str">
        <f t="shared" si="159"/>
        <v/>
      </c>
      <c r="Q365"/>
      <c r="S365" s="475"/>
      <c r="T365" s="475"/>
      <c r="U365" s="475"/>
      <c r="V365" s="475"/>
    </row>
    <row r="366" spans="2:22" ht="14.65" customHeight="1" outlineLevel="3" x14ac:dyDescent="0.25">
      <c r="B366"/>
      <c r="D366"/>
      <c r="G366" s="416" t="str">
        <f>'Folha de cálculo'!E366</f>
        <v>4.6.3.4</v>
      </c>
      <c r="H366" s="416" t="str">
        <f>'Folha de cálculo'!F366</f>
        <v>Não foi possível determinar (justifique)</v>
      </c>
      <c r="I366" s="416"/>
      <c r="J366" s="438">
        <f>IF(SUM(J363:J365)=1,"",1-SUM(J363:J365))</f>
        <v>1</v>
      </c>
      <c r="K366" s="418">
        <f t="shared" si="157"/>
        <v>1</v>
      </c>
      <c r="M366" s="418">
        <f t="shared" si="158"/>
        <v>1</v>
      </c>
      <c r="N366"/>
      <c r="P366" s="418">
        <f t="shared" si="159"/>
        <v>1</v>
      </c>
      <c r="Q366"/>
      <c r="S366" s="475"/>
      <c r="T366" s="475"/>
      <c r="U366" s="475"/>
      <c r="V366" s="475"/>
    </row>
    <row r="367" spans="2:22" ht="14.65" customHeight="1" outlineLevel="1" thickBot="1" x14ac:dyDescent="0.3">
      <c r="B367"/>
      <c r="D367"/>
      <c r="J367"/>
      <c r="K367"/>
      <c r="L367"/>
      <c r="M367"/>
      <c r="N367"/>
      <c r="P367"/>
      <c r="Q367"/>
    </row>
    <row r="368" spans="2:22" ht="15.75" outlineLevel="1" thickBot="1" x14ac:dyDescent="0.3">
      <c r="B368" s="441">
        <f>IF('Registo de informação'!J180=0,0,1)</f>
        <v>0</v>
      </c>
      <c r="E368" s="8" t="str">
        <f>'Folha de cálculo'!C368</f>
        <v>4.7</v>
      </c>
      <c r="F368" s="8" t="str">
        <f>'Folha de cálculo'!D368</f>
        <v>Máquina lavar roupa</v>
      </c>
      <c r="G368" s="8"/>
      <c r="H368" s="8"/>
      <c r="I368" s="8"/>
      <c r="J368" s="403"/>
      <c r="K368" s="404"/>
      <c r="M368" s="403"/>
      <c r="N368"/>
      <c r="P368" s="403"/>
      <c r="Q368"/>
      <c r="S368" s="478"/>
      <c r="T368" s="479"/>
      <c r="U368" s="479"/>
      <c r="V368" s="480"/>
    </row>
    <row r="369" spans="2:22" ht="14.65" customHeight="1" outlineLevel="2" x14ac:dyDescent="0.25">
      <c r="B369"/>
      <c r="D369"/>
      <c r="F369" s="415" t="str">
        <f>'Folha de cálculo'!D369</f>
        <v>4.7.1</v>
      </c>
      <c r="G369" s="415" t="str">
        <f>'Folha de cálculo'!E369</f>
        <v>O equipamento instalado dispõe de…</v>
      </c>
      <c r="H369" s="415"/>
      <c r="I369" s="415"/>
      <c r="J369" s="425" t="s">
        <v>732</v>
      </c>
      <c r="K369" s="442" t="s">
        <v>732</v>
      </c>
      <c r="M369" s="443" t="s">
        <v>732</v>
      </c>
      <c r="N369"/>
      <c r="P369" s="443" t="s">
        <v>732</v>
      </c>
      <c r="Q369"/>
      <c r="S369" s="477"/>
      <c r="T369" s="477"/>
      <c r="U369" s="477"/>
      <c r="V369" s="477"/>
    </row>
    <row r="370" spans="2:22" ht="14.65" customHeight="1" outlineLevel="3" x14ac:dyDescent="0.25">
      <c r="B370"/>
      <c r="D370"/>
      <c r="G370" s="416" t="str">
        <f>'Folha de cálculo'!E370</f>
        <v>4.7.1.1</v>
      </c>
      <c r="H370" s="416" t="str">
        <f>'Folha de cálculo'!F370</f>
        <v>admissão de água por duas vias (rede de água potável e não potável)</v>
      </c>
      <c r="I370" s="416"/>
      <c r="J370" s="417"/>
      <c r="K370" s="418" t="str">
        <f t="shared" ref="K370:K382" si="160">IF(ISBLANK(J370),"",J370)</f>
        <v/>
      </c>
      <c r="M370" s="418" t="str">
        <f>IF(ISBLANK(K370),"",K370)</f>
        <v/>
      </c>
      <c r="N370"/>
      <c r="P370" s="418" t="str">
        <f>IF(ISBLANK(M370),"",M370)</f>
        <v/>
      </c>
      <c r="Q370"/>
      <c r="S370" s="475"/>
      <c r="T370" s="475"/>
      <c r="U370" s="475"/>
      <c r="V370" s="475"/>
    </row>
    <row r="371" spans="2:22" ht="14.65" customHeight="1" outlineLevel="3" x14ac:dyDescent="0.25">
      <c r="B371"/>
      <c r="D371"/>
      <c r="G371" s="416" t="str">
        <f>'Folha de cálculo'!E371</f>
        <v>4.7.1.2</v>
      </c>
      <c r="H371" s="416" t="str">
        <f>'Folha de cálculo'!F371</f>
        <v>admissão de água aquecida recorrendo a energia de origem renovável</v>
      </c>
      <c r="I371" s="416"/>
      <c r="J371" s="417"/>
      <c r="K371" s="418" t="str">
        <f t="shared" si="160"/>
        <v/>
      </c>
      <c r="M371" s="418" t="str">
        <f t="shared" ref="M371:M382" si="161">IF(ISBLANK(K371),"",K371)</f>
        <v/>
      </c>
      <c r="N371"/>
      <c r="P371" s="418" t="str">
        <f t="shared" ref="P371:P376" si="162">IF(ISBLANK(M371),"",M371)</f>
        <v/>
      </c>
      <c r="Q371"/>
      <c r="S371" s="475"/>
      <c r="T371" s="475"/>
      <c r="U371" s="475"/>
      <c r="V371" s="475"/>
    </row>
    <row r="372" spans="2:22" ht="14.65" customHeight="1" outlineLevel="3" x14ac:dyDescent="0.25">
      <c r="B372"/>
      <c r="D372"/>
      <c r="G372" s="416" t="str">
        <f>'Folha de cálculo'!E372</f>
        <v>4.7.1.3</v>
      </c>
      <c r="H372" s="416" t="str">
        <f>'Folha de cálculo'!F372</f>
        <v>sistema automático de ajuste de carga</v>
      </c>
      <c r="I372" s="416"/>
      <c r="J372" s="417"/>
      <c r="K372" s="418" t="str">
        <f t="shared" si="160"/>
        <v/>
      </c>
      <c r="M372" s="418" t="str">
        <f t="shared" si="161"/>
        <v/>
      </c>
      <c r="N372"/>
      <c r="P372" s="418" t="str">
        <f t="shared" si="162"/>
        <v/>
      </c>
      <c r="Q372"/>
      <c r="S372" s="475"/>
      <c r="T372" s="475"/>
      <c r="U372" s="475"/>
      <c r="V372" s="475"/>
    </row>
    <row r="373" spans="2:22" ht="14.65" customHeight="1" outlineLevel="3" x14ac:dyDescent="0.25">
      <c r="B373"/>
      <c r="D373"/>
      <c r="G373" s="416" t="str">
        <f>'Folha de cálculo'!E373</f>
        <v>4.7.1.4</v>
      </c>
      <c r="H373" s="416" t="str">
        <f>'Folha de cálculo'!F373</f>
        <v>AquaStop ou sistema anti-inundação</v>
      </c>
      <c r="I373" s="416"/>
      <c r="J373" s="417"/>
      <c r="K373" s="418" t="str">
        <f t="shared" si="160"/>
        <v/>
      </c>
      <c r="M373" s="418" t="str">
        <f>IF(ISBLANK(K373),"",K373)</f>
        <v/>
      </c>
      <c r="N373"/>
      <c r="P373" s="418" t="str">
        <f t="shared" si="162"/>
        <v/>
      </c>
      <c r="Q373"/>
      <c r="S373" s="475"/>
      <c r="T373" s="475"/>
      <c r="U373" s="475"/>
      <c r="V373" s="475"/>
    </row>
    <row r="374" spans="2:22" ht="14.65" customHeight="1" outlineLevel="3" x14ac:dyDescent="0.25">
      <c r="B374"/>
      <c r="D374"/>
      <c r="G374" s="416" t="str">
        <f>'Folha de cálculo'!E374</f>
        <v>4.7.1.5</v>
      </c>
      <c r="H374" s="416" t="str">
        <f>'Folha de cálculo'!F374</f>
        <v>programa de lavagem "ECO"</v>
      </c>
      <c r="I374" s="416"/>
      <c r="J374" s="417"/>
      <c r="K374" s="418" t="str">
        <f t="shared" si="160"/>
        <v/>
      </c>
      <c r="M374" s="418" t="str">
        <f t="shared" si="161"/>
        <v/>
      </c>
      <c r="N374"/>
      <c r="P374" s="418" t="str">
        <f>IF(ISBLANK(M374),"",M374)</f>
        <v/>
      </c>
      <c r="Q374"/>
      <c r="S374" s="475"/>
      <c r="T374" s="475"/>
      <c r="U374" s="475"/>
      <c r="V374" s="475"/>
    </row>
    <row r="375" spans="2:22" ht="14.65" customHeight="1" outlineLevel="3" x14ac:dyDescent="0.25">
      <c r="B375"/>
      <c r="D375"/>
      <c r="G375" s="416" t="str">
        <f>'Folha de cálculo'!E375</f>
        <v>4.7.1.6</v>
      </c>
      <c r="H375" s="416" t="str">
        <f>'Folha de cálculo'!F375</f>
        <v>Nenhuma das opções anteriores</v>
      </c>
      <c r="I375" s="416"/>
      <c r="J375" s="417"/>
      <c r="K375" s="418" t="str">
        <f t="shared" si="160"/>
        <v/>
      </c>
      <c r="M375" s="418" t="str">
        <f t="shared" si="161"/>
        <v/>
      </c>
      <c r="N375"/>
      <c r="P375" s="418" t="str">
        <f t="shared" si="162"/>
        <v/>
      </c>
      <c r="Q375"/>
      <c r="S375" s="475"/>
      <c r="T375" s="475"/>
      <c r="U375" s="475"/>
      <c r="V375" s="475"/>
    </row>
    <row r="376" spans="2:22" ht="14.65" customHeight="1" outlineLevel="3" x14ac:dyDescent="0.25">
      <c r="B376"/>
      <c r="D376"/>
      <c r="G376" s="416" t="str">
        <f>'Folha de cálculo'!E376</f>
        <v>4.7.1.7</v>
      </c>
      <c r="H376" s="416" t="str">
        <f>'Folha de cálculo'!F376</f>
        <v>Não foi possível determinar (justifique)</v>
      </c>
      <c r="I376" s="416"/>
      <c r="J376" s="417"/>
      <c r="K376" s="418" t="str">
        <f t="shared" si="160"/>
        <v/>
      </c>
      <c r="M376" s="418" t="str">
        <f t="shared" si="161"/>
        <v/>
      </c>
      <c r="N376"/>
      <c r="P376" s="418" t="str">
        <f t="shared" si="162"/>
        <v/>
      </c>
      <c r="Q376"/>
      <c r="S376" s="475"/>
      <c r="T376" s="475"/>
      <c r="U376" s="475"/>
      <c r="V376" s="475"/>
    </row>
    <row r="377" spans="2:22" ht="14.65" customHeight="1" outlineLevel="2" x14ac:dyDescent="0.25">
      <c r="B377"/>
      <c r="D377"/>
      <c r="F377" s="415" t="str">
        <f>'Folha de cálculo'!D377</f>
        <v>4.7.2</v>
      </c>
      <c r="G377" s="415" t="str">
        <f>'Folha de cálculo'!E377</f>
        <v>O consumo específico de água do equipamento, determinado de acordo com as regras de respetiva etiqueta europeia, é…</v>
      </c>
      <c r="H377" s="415"/>
      <c r="I377" s="415"/>
      <c r="J377" s="425" t="s">
        <v>731</v>
      </c>
      <c r="K377" s="424" t="s">
        <v>731</v>
      </c>
      <c r="M377" s="425" t="s">
        <v>731</v>
      </c>
      <c r="N377"/>
      <c r="P377" s="425" t="s">
        <v>731</v>
      </c>
      <c r="Q377"/>
      <c r="S377" s="477"/>
      <c r="T377" s="477"/>
      <c r="U377" s="477"/>
      <c r="V377" s="477"/>
    </row>
    <row r="378" spans="2:22" ht="14.65" customHeight="1" outlineLevel="3" x14ac:dyDescent="0.25">
      <c r="B378"/>
      <c r="D378"/>
      <c r="G378" s="416" t="str">
        <f>'Folha de cálculo'!E378</f>
        <v>4.7.2.1</v>
      </c>
      <c r="H378" s="416" t="str">
        <f>'Folha de cálculo'!F378</f>
        <v>igual ou inferior a 4,5 litros por ciclo e por kg de carga</v>
      </c>
      <c r="I378" s="416"/>
      <c r="J378" s="438" t="str">
        <f>IF('Folha Oculta'!AZ26&gt;0,'Folha Oculta'!AZ26/'Registo de informação'!J180,"")</f>
        <v/>
      </c>
      <c r="K378" s="418" t="str">
        <f t="shared" si="160"/>
        <v/>
      </c>
      <c r="M378" s="418" t="str">
        <f t="shared" si="161"/>
        <v/>
      </c>
      <c r="N378"/>
      <c r="P378" s="418" t="str">
        <f>IF(ISBLANK(M378),"",M378)</f>
        <v/>
      </c>
      <c r="Q378"/>
      <c r="S378" s="475"/>
      <c r="T378" s="475"/>
      <c r="U378" s="475"/>
      <c r="V378" s="475"/>
    </row>
    <row r="379" spans="2:22" ht="14.65" customHeight="1" outlineLevel="3" x14ac:dyDescent="0.25">
      <c r="B379"/>
      <c r="D379"/>
      <c r="G379" s="416" t="str">
        <f>'Folha de cálculo'!E379</f>
        <v>4.7.2.2</v>
      </c>
      <c r="H379" s="416" t="str">
        <f>'Folha de cálculo'!F379</f>
        <v>entre ]4,5 e 5,5] litros por ciclo e por kg de carga</v>
      </c>
      <c r="I379" s="416"/>
      <c r="J379" s="438" t="str">
        <f>IF('Folha Oculta'!AZ27&gt;0,'Folha Oculta'!AZ27/'Registo de informação'!J180,"")</f>
        <v/>
      </c>
      <c r="K379" s="418" t="str">
        <f t="shared" si="160"/>
        <v/>
      </c>
      <c r="M379" s="418" t="str">
        <f t="shared" si="161"/>
        <v/>
      </c>
      <c r="N379"/>
      <c r="P379" s="418" t="str">
        <f t="shared" ref="P379:P382" si="163">IF(ISBLANK(M379),"",M379)</f>
        <v/>
      </c>
      <c r="Q379"/>
      <c r="S379" s="475"/>
      <c r="T379" s="475"/>
      <c r="U379" s="475"/>
      <c r="V379" s="475"/>
    </row>
    <row r="380" spans="2:22" ht="14.65" customHeight="1" outlineLevel="3" x14ac:dyDescent="0.25">
      <c r="B380"/>
      <c r="D380"/>
      <c r="G380" s="416" t="str">
        <f>'Folha de cálculo'!E380</f>
        <v>4.7.2.3</v>
      </c>
      <c r="H380" s="416" t="str">
        <f>'Folha de cálculo'!F380</f>
        <v>entre ]5,5 e 6,5] litros por ciclo e por kg de carga</v>
      </c>
      <c r="I380" s="416"/>
      <c r="J380" s="438" t="str">
        <f>IF('Folha Oculta'!AZ28&gt;0,'Folha Oculta'!AZ28/'Registo de informação'!J180,"")</f>
        <v/>
      </c>
      <c r="K380" s="418" t="str">
        <f t="shared" si="160"/>
        <v/>
      </c>
      <c r="M380" s="418" t="str">
        <f t="shared" si="161"/>
        <v/>
      </c>
      <c r="N380"/>
      <c r="P380" s="418" t="str">
        <f t="shared" si="163"/>
        <v/>
      </c>
      <c r="Q380"/>
      <c r="S380" s="475"/>
      <c r="T380" s="475"/>
      <c r="U380" s="475"/>
      <c r="V380" s="475"/>
    </row>
    <row r="381" spans="2:22" ht="14.65" customHeight="1" outlineLevel="3" x14ac:dyDescent="0.25">
      <c r="B381"/>
      <c r="D381"/>
      <c r="G381" s="416" t="str">
        <f>'Folha de cálculo'!E381</f>
        <v>4.7.2.4</v>
      </c>
      <c r="H381" s="416" t="str">
        <f>'Folha de cálculo'!F381</f>
        <v>superior a 6,5 litros por ciclo e por kg de carga</v>
      </c>
      <c r="I381" s="416"/>
      <c r="J381" s="438" t="str">
        <f>IF('Folha Oculta'!AZ29&gt;0,'Folha Oculta'!AZ29/'Registo de informação'!J180,"")</f>
        <v/>
      </c>
      <c r="K381" s="418" t="str">
        <f t="shared" si="160"/>
        <v/>
      </c>
      <c r="M381" s="418" t="str">
        <f t="shared" si="161"/>
        <v/>
      </c>
      <c r="N381"/>
      <c r="P381" s="418" t="str">
        <f t="shared" si="163"/>
        <v/>
      </c>
      <c r="Q381"/>
      <c r="S381" s="475"/>
      <c r="T381" s="475"/>
      <c r="U381" s="475"/>
      <c r="V381" s="475"/>
    </row>
    <row r="382" spans="2:22" ht="14.65" customHeight="1" outlineLevel="3" x14ac:dyDescent="0.25">
      <c r="B382"/>
      <c r="D382"/>
      <c r="G382" s="416" t="str">
        <f>'Folha de cálculo'!E382</f>
        <v>4.7.2.5</v>
      </c>
      <c r="H382" s="416" t="str">
        <f>'Folha de cálculo'!F382</f>
        <v>Não foi possível determinar (justifique)</v>
      </c>
      <c r="I382" s="416"/>
      <c r="J382" s="438">
        <f>IF(SUM(J378:J381)=1,"",1-SUM(J378:J381))</f>
        <v>1</v>
      </c>
      <c r="K382" s="418">
        <f t="shared" si="160"/>
        <v>1</v>
      </c>
      <c r="M382" s="418">
        <f t="shared" si="161"/>
        <v>1</v>
      </c>
      <c r="N382"/>
      <c r="P382" s="418">
        <f t="shared" si="163"/>
        <v>1</v>
      </c>
      <c r="Q382"/>
      <c r="S382" s="475"/>
      <c r="T382" s="475"/>
      <c r="U382" s="475"/>
      <c r="V382" s="475"/>
    </row>
    <row r="383" spans="2:22" ht="14.65" customHeight="1" outlineLevel="2" x14ac:dyDescent="0.25">
      <c r="B383"/>
      <c r="D383"/>
      <c r="F383" s="415" t="str">
        <f>'Folha de cálculo'!D383</f>
        <v>4.7.3</v>
      </c>
      <c r="G383" s="415" t="str">
        <f>'Folha de cálculo'!E383</f>
        <v>O equipamento foi adquirido novo e instalado…</v>
      </c>
      <c r="H383" s="415"/>
      <c r="I383" s="415"/>
      <c r="J383" s="425" t="s">
        <v>731</v>
      </c>
      <c r="K383" s="424" t="s">
        <v>731</v>
      </c>
      <c r="M383" s="425" t="s">
        <v>731</v>
      </c>
      <c r="N383"/>
      <c r="P383" s="425" t="s">
        <v>731</v>
      </c>
      <c r="Q383"/>
      <c r="S383" s="477"/>
      <c r="T383" s="477"/>
      <c r="U383" s="477"/>
      <c r="V383" s="477"/>
    </row>
    <row r="384" spans="2:22" ht="14.65" customHeight="1" outlineLevel="3" x14ac:dyDescent="0.25">
      <c r="B384"/>
      <c r="D384"/>
      <c r="G384" s="416" t="str">
        <f>'Folha de cálculo'!E384</f>
        <v>4.7.3.1</v>
      </c>
      <c r="H384" s="416" t="str">
        <f>'Folha de cálculo'!F384</f>
        <v>há 8 ou menos anos</v>
      </c>
      <c r="I384" s="416"/>
      <c r="J384" s="438" t="str">
        <f>IF('Folha Oculta'!AW26&gt;0,'Folha Oculta'!AW26/'Registo de informação'!J180,"")</f>
        <v/>
      </c>
      <c r="K384" s="418" t="str">
        <f t="shared" ref="K384:K387" si="164">IF(ISBLANK(J384),"",J384)</f>
        <v/>
      </c>
      <c r="M384" s="418" t="str">
        <f t="shared" ref="M384:M387" si="165">IF(ISBLANK(K384),"",K384)</f>
        <v/>
      </c>
      <c r="N384"/>
      <c r="P384" s="418" t="str">
        <f>IF(ISBLANK(M384),"",M384)</f>
        <v/>
      </c>
      <c r="Q384"/>
      <c r="S384" s="475"/>
      <c r="T384" s="475"/>
      <c r="U384" s="475"/>
      <c r="V384" s="475"/>
    </row>
    <row r="385" spans="2:22" ht="14.65" customHeight="1" outlineLevel="3" x14ac:dyDescent="0.25">
      <c r="B385"/>
      <c r="D385"/>
      <c r="G385" s="416" t="str">
        <f>'Folha de cálculo'!E385</f>
        <v>4.7.3.2</v>
      </c>
      <c r="H385" s="416" t="str">
        <f>'Folha de cálculo'!F385</f>
        <v>entre ]8 e 12] anos</v>
      </c>
      <c r="I385" s="416"/>
      <c r="J385" s="438" t="str">
        <f>IF('Folha Oculta'!AW27&gt;0,'Folha Oculta'!AW27/'Registo de informação'!J180,"")</f>
        <v/>
      </c>
      <c r="K385" s="418" t="str">
        <f t="shared" si="164"/>
        <v/>
      </c>
      <c r="M385" s="418" t="str">
        <f t="shared" si="165"/>
        <v/>
      </c>
      <c r="N385"/>
      <c r="P385" s="418" t="str">
        <f t="shared" ref="P385:P387" si="166">IF(ISBLANK(M385),"",M385)</f>
        <v/>
      </c>
      <c r="Q385"/>
      <c r="S385" s="475"/>
      <c r="T385" s="475"/>
      <c r="U385" s="475"/>
      <c r="V385" s="475"/>
    </row>
    <row r="386" spans="2:22" ht="14.65" customHeight="1" outlineLevel="3" x14ac:dyDescent="0.25">
      <c r="B386"/>
      <c r="D386"/>
      <c r="G386" s="416" t="str">
        <f>'Folha de cálculo'!E386</f>
        <v>4.7.3.3</v>
      </c>
      <c r="H386" s="416" t="str">
        <f>'Folha de cálculo'!F386</f>
        <v>há mais de 12 anos</v>
      </c>
      <c r="I386" s="416"/>
      <c r="J386" s="438" t="str">
        <f>IF('Folha Oculta'!AW28&gt;0,'Folha Oculta'!AW28/'Registo de informação'!J180,"")</f>
        <v/>
      </c>
      <c r="K386" s="418" t="str">
        <f t="shared" si="164"/>
        <v/>
      </c>
      <c r="M386" s="418" t="str">
        <f t="shared" si="165"/>
        <v/>
      </c>
      <c r="N386"/>
      <c r="P386" s="418" t="str">
        <f t="shared" si="166"/>
        <v/>
      </c>
      <c r="Q386"/>
      <c r="S386" s="475"/>
      <c r="T386" s="475"/>
      <c r="U386" s="475"/>
      <c r="V386" s="475"/>
    </row>
    <row r="387" spans="2:22" ht="14.65" customHeight="1" outlineLevel="3" x14ac:dyDescent="0.25">
      <c r="B387"/>
      <c r="D387"/>
      <c r="G387" s="416" t="str">
        <f>'Folha de cálculo'!E387</f>
        <v>4.7.3.4</v>
      </c>
      <c r="H387" s="416" t="str">
        <f>'Folha de cálculo'!F387</f>
        <v>Não foi possível determinar (justifique)</v>
      </c>
      <c r="I387" s="416"/>
      <c r="J387" s="438">
        <f>IF(SUM(J384:J386)=1,"",1-SUM(J384:J386))</f>
        <v>1</v>
      </c>
      <c r="K387" s="418">
        <f t="shared" si="164"/>
        <v>1</v>
      </c>
      <c r="M387" s="418">
        <f t="shared" si="165"/>
        <v>1</v>
      </c>
      <c r="N387"/>
      <c r="P387" s="418">
        <f t="shared" si="166"/>
        <v>1</v>
      </c>
      <c r="Q387"/>
      <c r="S387" s="475"/>
      <c r="T387" s="475"/>
      <c r="U387" s="475"/>
      <c r="V387" s="475"/>
    </row>
    <row r="388" spans="2:22" ht="14.65" customHeight="1" outlineLevel="1" x14ac:dyDescent="0.25">
      <c r="B388"/>
      <c r="J388" s="432"/>
      <c r="K388" s="432"/>
      <c r="M388" s="432"/>
      <c r="N388"/>
      <c r="P388" s="432"/>
      <c r="Q388"/>
      <c r="S388" s="476"/>
      <c r="T388" s="476"/>
      <c r="U388" s="476"/>
      <c r="V388" s="476"/>
    </row>
    <row r="389" spans="2:22" x14ac:dyDescent="0.25">
      <c r="D389" s="7">
        <f>'Folha de cálculo'!B389</f>
        <v>5</v>
      </c>
      <c r="E389" s="398" t="str">
        <f>'Folha de cálculo'!C389</f>
        <v>Casas de banho comuns e balneários</v>
      </c>
      <c r="F389" s="445"/>
      <c r="G389" s="445"/>
      <c r="H389" s="445"/>
      <c r="I389" s="445"/>
      <c r="J389" s="399"/>
      <c r="K389" s="399"/>
      <c r="M389" s="399"/>
      <c r="N389"/>
      <c r="P389" s="399"/>
      <c r="Q389"/>
      <c r="S389" s="489"/>
      <c r="T389" s="489"/>
      <c r="U389" s="489"/>
      <c r="V389" s="489"/>
    </row>
    <row r="390" spans="2:22" ht="15.75" thickBot="1" x14ac:dyDescent="0.3">
      <c r="J390" s="400"/>
      <c r="K390" s="400"/>
      <c r="M390" s="400"/>
      <c r="N390"/>
      <c r="P390" s="400"/>
      <c r="Q390"/>
      <c r="S390" s="476"/>
      <c r="T390" s="476"/>
      <c r="U390" s="476"/>
      <c r="V390" s="476"/>
    </row>
    <row r="391" spans="2:22" ht="15.75" outlineLevel="1" thickBot="1" x14ac:dyDescent="0.3">
      <c r="B391" s="441">
        <f>IF('Folha Oculta'!AN72=0,0,1)</f>
        <v>0</v>
      </c>
      <c r="E391" s="8" t="str">
        <f>'Folha de cálculo'!C391</f>
        <v>5.1</v>
      </c>
      <c r="F391" s="8" t="str">
        <f>'Folha de cálculo'!D391</f>
        <v>Autoclismo</v>
      </c>
      <c r="G391" s="8"/>
      <c r="H391" s="8"/>
      <c r="I391" s="8"/>
      <c r="J391" s="403"/>
      <c r="K391" s="404"/>
      <c r="M391" s="403"/>
      <c r="N391"/>
      <c r="P391" s="403"/>
      <c r="Q391"/>
      <c r="S391" s="478"/>
      <c r="T391" s="479"/>
      <c r="U391" s="479"/>
      <c r="V391" s="480"/>
    </row>
    <row r="392" spans="2:22" ht="14.65" customHeight="1" outlineLevel="2" x14ac:dyDescent="0.25">
      <c r="D392"/>
      <c r="F392" s="415" t="str">
        <f>'Folha de cálculo'!D392</f>
        <v>5.1.1</v>
      </c>
      <c r="G392" s="415" t="str">
        <f>'Folha de cálculo'!E392</f>
        <v>O dispositivo instalado dispõe de…</v>
      </c>
      <c r="H392" s="415"/>
      <c r="I392" s="415"/>
      <c r="J392" s="425" t="s">
        <v>732</v>
      </c>
      <c r="K392" s="424" t="s">
        <v>732</v>
      </c>
      <c r="M392" s="425" t="s">
        <v>732</v>
      </c>
      <c r="N392"/>
      <c r="P392" s="425" t="s">
        <v>732</v>
      </c>
      <c r="Q392"/>
      <c r="S392" s="477"/>
      <c r="T392" s="477"/>
      <c r="U392" s="477"/>
      <c r="V392" s="477"/>
    </row>
    <row r="393" spans="2:22" ht="14.65" customHeight="1" outlineLevel="3" x14ac:dyDescent="0.25">
      <c r="D393"/>
      <c r="G393" s="416" t="str">
        <f>'Folha de cálculo'!E393</f>
        <v>5.1.1.1</v>
      </c>
      <c r="H393" s="416" t="str">
        <f>'Folha de cálculo'!F393</f>
        <v>certificado A ou superior emitido pela ANQIP ou Unified Water Label</v>
      </c>
      <c r="I393" s="416"/>
      <c r="J393" s="446" t="str">
        <f>IF('Folha Oculta'!AR70&gt;0,'Folha Oculta'!AR70/'Folha Oculta'!AN72,"")</f>
        <v/>
      </c>
      <c r="K393" s="418" t="str">
        <f t="shared" ref="K393:K399" si="167">IF(ISBLANK(J393),"",J393)</f>
        <v/>
      </c>
      <c r="M393" s="418" t="str">
        <f>IF(ISBLANK(K393),"",K393)</f>
        <v/>
      </c>
      <c r="N393"/>
      <c r="P393" s="418" t="str">
        <f>IF(ISBLANK(M393),"",M393)</f>
        <v/>
      </c>
      <c r="Q393"/>
      <c r="S393" s="475"/>
      <c r="T393" s="475"/>
      <c r="U393" s="475"/>
      <c r="V393" s="475"/>
    </row>
    <row r="394" spans="2:22" outlineLevel="3" x14ac:dyDescent="0.25">
      <c r="D394"/>
      <c r="G394" s="416" t="str">
        <f>'Folha de cálculo'!E394</f>
        <v>5.1.1.2</v>
      </c>
      <c r="H394" s="416" t="str">
        <f>'Folha de cálculo'!F394</f>
        <v>duplo abastecimento (água potável e não potável)</v>
      </c>
      <c r="I394" s="416"/>
      <c r="J394" s="438" t="str">
        <f>IF('Folha Oculta'!AR71&gt;0,'Folha Oculta'!AR71/'Folha Oculta'!AN72,"")</f>
        <v/>
      </c>
      <c r="K394" s="418" t="str">
        <f t="shared" si="167"/>
        <v/>
      </c>
      <c r="M394" s="418" t="str">
        <f>IF(ISBLANK(K394),"",K394)</f>
        <v/>
      </c>
      <c r="N394"/>
      <c r="P394" s="418" t="str">
        <f>IF(ISBLANK(M394),"",M394)</f>
        <v/>
      </c>
      <c r="Q394"/>
      <c r="S394" s="475"/>
      <c r="T394" s="475"/>
      <c r="U394" s="475"/>
      <c r="V394" s="475"/>
    </row>
    <row r="395" spans="2:22" outlineLevel="3" x14ac:dyDescent="0.25">
      <c r="D395"/>
      <c r="G395" s="416" t="str">
        <f>'Folha de cálculo'!E395</f>
        <v>5.1.1.3</v>
      </c>
      <c r="H395" s="416" t="str">
        <f>'Folha de cálculo'!F395</f>
        <v>dupla descarga</v>
      </c>
      <c r="I395" s="416"/>
      <c r="J395" s="446" t="str">
        <f>IF('Folha Oculta'!AR72&gt;0,'Folha Oculta'!AR72/'Folha Oculta'!AN72,"")</f>
        <v/>
      </c>
      <c r="K395" s="418" t="str">
        <f t="shared" si="167"/>
        <v/>
      </c>
      <c r="M395" s="418" t="str">
        <f t="shared" ref="M395" si="168">IF(ISBLANK(K395),"",K395)</f>
        <v/>
      </c>
      <c r="N395"/>
      <c r="P395" s="418" t="str">
        <f t="shared" ref="P395:P398" si="169">IF(ISBLANK(M395),"",M395)</f>
        <v/>
      </c>
      <c r="Q395"/>
      <c r="S395" s="475"/>
      <c r="T395" s="475"/>
      <c r="U395" s="475"/>
      <c r="V395" s="475"/>
    </row>
    <row r="396" spans="2:22" outlineLevel="3" x14ac:dyDescent="0.25">
      <c r="D396"/>
      <c r="G396" s="416" t="str">
        <f>'Folha de cálculo'!E396</f>
        <v>5.1.1.4</v>
      </c>
      <c r="H396" s="416" t="str">
        <f>'Folha de cálculo'!F396</f>
        <v>descarga interrompida</v>
      </c>
      <c r="I396" s="416"/>
      <c r="J396" s="446" t="str">
        <f>IF('Folha Oculta'!AR73&gt;0,'Folha Oculta'!AR73/'Folha Oculta'!AN72,"")</f>
        <v/>
      </c>
      <c r="K396" s="418" t="str">
        <f t="shared" si="167"/>
        <v/>
      </c>
      <c r="M396" s="418" t="str">
        <f>IF(ISBLANK(K396),"",K396)</f>
        <v/>
      </c>
      <c r="N396"/>
      <c r="P396" s="418" t="str">
        <f t="shared" si="169"/>
        <v/>
      </c>
      <c r="Q396"/>
      <c r="S396" s="475"/>
      <c r="T396" s="475"/>
      <c r="U396" s="475"/>
      <c r="V396" s="475"/>
    </row>
    <row r="397" spans="2:22" outlineLevel="3" x14ac:dyDescent="0.25">
      <c r="D397"/>
      <c r="G397" s="416" t="str">
        <f>'Folha de cálculo'!E397</f>
        <v>5.1.1.5</v>
      </c>
      <c r="H397" s="416" t="str">
        <f>'Folha de cálculo'!F397</f>
        <v xml:space="preserve">válvula de enchimento regulável </v>
      </c>
      <c r="I397" s="416"/>
      <c r="J397" s="446" t="str">
        <f>IF('Folha Oculta'!AR74&gt;0,'Folha Oculta'!AR74/'Folha Oculta'!AN72,"")</f>
        <v/>
      </c>
      <c r="K397" s="418" t="str">
        <f t="shared" si="167"/>
        <v/>
      </c>
      <c r="M397" s="418" t="str">
        <f t="shared" ref="M397:M399" si="170">IF(ISBLANK(K397),"",K397)</f>
        <v/>
      </c>
      <c r="N397"/>
      <c r="P397" s="418" t="str">
        <f t="shared" si="169"/>
        <v/>
      </c>
      <c r="Q397"/>
      <c r="S397" s="475"/>
      <c r="T397" s="475"/>
      <c r="U397" s="475"/>
      <c r="V397" s="475"/>
    </row>
    <row r="398" spans="2:22" outlineLevel="3" x14ac:dyDescent="0.25">
      <c r="D398"/>
      <c r="G398" s="416" t="str">
        <f>'Folha de cálculo'!E398</f>
        <v>5.1.1.6</v>
      </c>
      <c r="H398" s="416" t="str">
        <f>'Folha de cálculo'!F398</f>
        <v>Nenhuma das opções anteriores</v>
      </c>
      <c r="I398" s="416"/>
      <c r="J398" s="446" t="str">
        <f>IF('Folha Oculta'!AR75&gt;0,'Folha Oculta'!AR75/'Folha Oculta'!AN72,"")</f>
        <v/>
      </c>
      <c r="K398" s="418" t="str">
        <f t="shared" si="167"/>
        <v/>
      </c>
      <c r="M398" s="418" t="str">
        <f t="shared" si="170"/>
        <v/>
      </c>
      <c r="N398"/>
      <c r="P398" s="418" t="str">
        <f t="shared" si="169"/>
        <v/>
      </c>
      <c r="Q398"/>
      <c r="S398" s="475"/>
      <c r="T398" s="475"/>
      <c r="U398" s="475"/>
      <c r="V398" s="475"/>
    </row>
    <row r="399" spans="2:22" outlineLevel="3" x14ac:dyDescent="0.25">
      <c r="D399"/>
      <c r="G399" s="416" t="str">
        <f>'Folha de cálculo'!E399</f>
        <v>5.1.1.7</v>
      </c>
      <c r="H399" s="416" t="str">
        <f>'Folha de cálculo'!F399</f>
        <v>Não foi possível determinar (justifique)</v>
      </c>
      <c r="I399" s="416"/>
      <c r="J399" s="446" t="str">
        <f>IF('Folha Oculta'!AR76&gt;0,'Folha Oculta'!AR76/'Folha Oculta'!AN72,"")</f>
        <v/>
      </c>
      <c r="K399" s="418" t="str">
        <f t="shared" si="167"/>
        <v/>
      </c>
      <c r="M399" s="418" t="str">
        <f t="shared" si="170"/>
        <v/>
      </c>
      <c r="N399"/>
      <c r="P399" s="418" t="str">
        <f t="shared" ref="P399" si="171">IF(ISBLANK(M399),"",M399)</f>
        <v/>
      </c>
      <c r="Q399"/>
      <c r="S399" s="475"/>
      <c r="T399" s="475"/>
      <c r="U399" s="475"/>
      <c r="V399" s="475"/>
    </row>
    <row r="400" spans="2:22" outlineLevel="2" x14ac:dyDescent="0.25">
      <c r="D400"/>
      <c r="F400" s="415" t="str">
        <f>'Folha de cálculo'!D400</f>
        <v>5.1.2</v>
      </c>
      <c r="G400" s="415" t="str">
        <f>'Folha de cálculo'!E400</f>
        <v xml:space="preserve">O volume da descarga completa do dispositivo é...  </v>
      </c>
      <c r="H400" s="415"/>
      <c r="I400" s="415"/>
      <c r="J400" s="425" t="s">
        <v>731</v>
      </c>
      <c r="K400" s="424" t="s">
        <v>731</v>
      </c>
      <c r="M400" s="425" t="s">
        <v>731</v>
      </c>
      <c r="N400"/>
      <c r="P400" s="425" t="s">
        <v>731</v>
      </c>
      <c r="Q400"/>
      <c r="S400" s="477"/>
      <c r="T400" s="477"/>
      <c r="U400" s="477"/>
      <c r="V400" s="477"/>
    </row>
    <row r="401" spans="4:22" ht="14.65" customHeight="1" outlineLevel="3" x14ac:dyDescent="0.25">
      <c r="D401"/>
      <c r="G401" s="416" t="str">
        <f>'Folha de cálculo'!E401</f>
        <v>5.1.2.1</v>
      </c>
      <c r="H401" s="416" t="str">
        <f>'Folha de cálculo'!F401</f>
        <v>igual ou inferior a 6,5 litros</v>
      </c>
      <c r="I401" s="416"/>
      <c r="J401" s="438" t="str">
        <f>IF('Folha Oculta'!AT70&gt;0,'Folha Oculta'!AT70/'Folha Oculta'!AN72,"")</f>
        <v/>
      </c>
      <c r="K401" s="418" t="str">
        <f t="shared" ref="K401:K405" si="172">IF(ISBLANK(J401),"",J401)</f>
        <v/>
      </c>
      <c r="M401" s="418" t="str">
        <f>IF(ISBLANK(K401),"",K401)</f>
        <v/>
      </c>
      <c r="N401"/>
      <c r="P401" s="418" t="str">
        <f>IF(ISBLANK(M401),"",M401)</f>
        <v/>
      </c>
      <c r="Q401"/>
      <c r="S401" s="475"/>
      <c r="T401" s="475"/>
      <c r="U401" s="475"/>
      <c r="V401" s="475"/>
    </row>
    <row r="402" spans="4:22" outlineLevel="3" x14ac:dyDescent="0.25">
      <c r="D402"/>
      <c r="G402" s="416" t="str">
        <f>'Folha de cálculo'!E402</f>
        <v>5.1.2.2</v>
      </c>
      <c r="H402" s="416" t="str">
        <f>'Folha de cálculo'!F402</f>
        <v>entre ]6,5 e 7,5] litros</v>
      </c>
      <c r="I402" s="416"/>
      <c r="J402" s="438" t="str">
        <f>IF('Folha Oculta'!AT71&gt;0,'Folha Oculta'!AT71/'Folha Oculta'!AN72,"")</f>
        <v/>
      </c>
      <c r="K402" s="418" t="str">
        <f t="shared" si="172"/>
        <v/>
      </c>
      <c r="M402" s="418" t="str">
        <f t="shared" ref="M402:M405" si="173">IF(ISBLANK(K402),"",K402)</f>
        <v/>
      </c>
      <c r="N402"/>
      <c r="P402" s="418" t="str">
        <f t="shared" ref="P402:P405" si="174">IF(ISBLANK(M402),"",M402)</f>
        <v/>
      </c>
      <c r="Q402"/>
      <c r="S402" s="475"/>
      <c r="T402" s="475"/>
      <c r="U402" s="475"/>
      <c r="V402" s="475"/>
    </row>
    <row r="403" spans="4:22" outlineLevel="3" x14ac:dyDescent="0.25">
      <c r="D403"/>
      <c r="G403" s="416" t="str">
        <f>'Folha de cálculo'!E403</f>
        <v>5.1.2.3</v>
      </c>
      <c r="H403" s="416" t="str">
        <f>'Folha de cálculo'!F403</f>
        <v>entre ]7,5 e 9,0] litros</v>
      </c>
      <c r="I403" s="416"/>
      <c r="J403" s="438" t="str">
        <f>IF('Folha Oculta'!AT72&gt;0,'Folha Oculta'!AT72/'Folha Oculta'!AN72,"")</f>
        <v/>
      </c>
      <c r="K403" s="418" t="str">
        <f t="shared" si="172"/>
        <v/>
      </c>
      <c r="M403" s="418" t="str">
        <f t="shared" si="173"/>
        <v/>
      </c>
      <c r="N403"/>
      <c r="P403" s="418" t="str">
        <f t="shared" si="174"/>
        <v/>
      </c>
      <c r="Q403"/>
      <c r="S403" s="475"/>
      <c r="T403" s="475"/>
      <c r="U403" s="475"/>
      <c r="V403" s="475"/>
    </row>
    <row r="404" spans="4:22" outlineLevel="3" x14ac:dyDescent="0.25">
      <c r="D404"/>
      <c r="G404" s="416" t="str">
        <f>'Folha de cálculo'!E404</f>
        <v>5.1.2.4</v>
      </c>
      <c r="H404" s="416" t="str">
        <f>'Folha de cálculo'!F404</f>
        <v>superior a 9,0 litros</v>
      </c>
      <c r="I404" s="416"/>
      <c r="J404" s="438" t="str">
        <f>IF('Folha Oculta'!AT73&gt;0,'Folha Oculta'!AT73/'Folha Oculta'!AN72,"")</f>
        <v/>
      </c>
      <c r="K404" s="418" t="str">
        <f t="shared" si="172"/>
        <v/>
      </c>
      <c r="M404" s="418" t="str">
        <f t="shared" si="173"/>
        <v/>
      </c>
      <c r="N404"/>
      <c r="P404" s="418" t="str">
        <f t="shared" si="174"/>
        <v/>
      </c>
      <c r="Q404"/>
      <c r="S404" s="475"/>
      <c r="T404" s="475"/>
      <c r="U404" s="475"/>
      <c r="V404" s="475"/>
    </row>
    <row r="405" spans="4:22" outlineLevel="3" x14ac:dyDescent="0.25">
      <c r="D405"/>
      <c r="G405" s="416" t="str">
        <f>'Folha de cálculo'!E405</f>
        <v>5.1.2.5</v>
      </c>
      <c r="H405" s="416" t="str">
        <f>'Folha de cálculo'!F405</f>
        <v>Não foi possível determinar (justifique)</v>
      </c>
      <c r="I405" s="416"/>
      <c r="J405" s="438">
        <f>IF(SUM(J401:J404)&lt;1,1-SUM(J401:J404),"")</f>
        <v>1</v>
      </c>
      <c r="K405" s="418">
        <f t="shared" si="172"/>
        <v>1</v>
      </c>
      <c r="M405" s="418">
        <f t="shared" si="173"/>
        <v>1</v>
      </c>
      <c r="N405"/>
      <c r="P405" s="418">
        <f t="shared" si="174"/>
        <v>1</v>
      </c>
      <c r="Q405"/>
      <c r="S405" s="475"/>
      <c r="T405" s="475"/>
      <c r="U405" s="475"/>
      <c r="V405" s="475"/>
    </row>
    <row r="406" spans="4:22" outlineLevel="2" x14ac:dyDescent="0.25">
      <c r="D406"/>
      <c r="F406" s="415" t="str">
        <f>'Folha de cálculo'!D406</f>
        <v>5.1.3</v>
      </c>
      <c r="G406" s="415" t="str">
        <f>'Folha de cálculo'!E406</f>
        <v>O dispositivo instalado…</v>
      </c>
      <c r="H406" s="415"/>
      <c r="I406" s="415"/>
      <c r="J406" s="425" t="s">
        <v>731</v>
      </c>
      <c r="K406" s="424" t="s">
        <v>731</v>
      </c>
      <c r="M406" s="425" t="s">
        <v>731</v>
      </c>
      <c r="N406"/>
      <c r="P406" s="425" t="s">
        <v>731</v>
      </c>
      <c r="Q406"/>
      <c r="S406" s="477"/>
      <c r="T406" s="477"/>
      <c r="U406" s="477"/>
      <c r="V406" s="477"/>
    </row>
    <row r="407" spans="4:22" ht="14.65" customHeight="1" outlineLevel="3" x14ac:dyDescent="0.25">
      <c r="D407"/>
      <c r="G407" s="416" t="str">
        <f>'Folha de cálculo'!E407</f>
        <v>5.1.3.1</v>
      </c>
      <c r="H407" s="416" t="str">
        <f>'Folha de cálculo'!F407</f>
        <v>não apresenta indícios de fuga</v>
      </c>
      <c r="I407" s="416"/>
      <c r="J407" s="438" t="str">
        <f>IF('Folha Oculta'!AW70&gt;0,'Folha Oculta'!AW70/'Folha Oculta'!AN72,"")</f>
        <v/>
      </c>
      <c r="K407" s="418" t="str">
        <f t="shared" ref="K407:K410" si="175">IF(ISBLANK(J407),"",J407)</f>
        <v/>
      </c>
      <c r="M407" s="418" t="str">
        <f>IF(ISBLANK(K407),"",K407)</f>
        <v/>
      </c>
      <c r="N407"/>
      <c r="P407" s="418" t="str">
        <f>IF(ISBLANK(M407),"",M407)</f>
        <v/>
      </c>
      <c r="Q407"/>
      <c r="S407" s="475"/>
      <c r="T407" s="475"/>
      <c r="U407" s="475"/>
      <c r="V407" s="475"/>
    </row>
    <row r="408" spans="4:22" outlineLevel="3" x14ac:dyDescent="0.25">
      <c r="D408"/>
      <c r="G408" s="416" t="str">
        <f>'Folha de cálculo'!E408</f>
        <v>5.1.3.2</v>
      </c>
      <c r="H408" s="416" t="str">
        <f>'Folha de cálculo'!F408</f>
        <v>apresenta indícios de fuga (justifique)</v>
      </c>
      <c r="I408" s="416"/>
      <c r="J408" s="438" t="str">
        <f>IF('Folha Oculta'!AW71&gt;0,'Folha Oculta'!AW71/'Folha Oculta'!AN72,"")</f>
        <v/>
      </c>
      <c r="K408" s="418" t="str">
        <f t="shared" si="175"/>
        <v/>
      </c>
      <c r="M408" s="418" t="str">
        <f t="shared" ref="M408:M410" si="176">IF(ISBLANK(K408),"",K408)</f>
        <v/>
      </c>
      <c r="N408"/>
      <c r="P408" s="418" t="str">
        <f t="shared" ref="P408:P410" si="177">IF(ISBLANK(M408),"",M408)</f>
        <v/>
      </c>
      <c r="Q408"/>
      <c r="S408" s="475"/>
      <c r="T408" s="475"/>
      <c r="U408" s="475"/>
      <c r="V408" s="475"/>
    </row>
    <row r="409" spans="4:22" outlineLevel="3" x14ac:dyDescent="0.25">
      <c r="D409"/>
      <c r="G409" s="416" t="str">
        <f>'Folha de cálculo'!E409</f>
        <v>5.1.3.3</v>
      </c>
      <c r="H409" s="416" t="str">
        <f>'Folha de cálculo'!F409</f>
        <v>apresenta evidências de fuga</v>
      </c>
      <c r="I409" s="416"/>
      <c r="J409" s="438" t="str">
        <f>IF('Folha Oculta'!AW72&gt;0,'Folha Oculta'!AW72/'Folha Oculta'!AN72,"")</f>
        <v/>
      </c>
      <c r="K409" s="418" t="str">
        <f t="shared" si="175"/>
        <v/>
      </c>
      <c r="M409" s="418" t="str">
        <f t="shared" si="176"/>
        <v/>
      </c>
      <c r="N409"/>
      <c r="P409" s="418" t="str">
        <f t="shared" si="177"/>
        <v/>
      </c>
      <c r="Q409"/>
      <c r="S409" s="475"/>
      <c r="T409" s="475"/>
      <c r="U409" s="475"/>
      <c r="V409" s="475"/>
    </row>
    <row r="410" spans="4:22" outlineLevel="3" x14ac:dyDescent="0.25">
      <c r="D410"/>
      <c r="G410" s="416" t="str">
        <f>'Folha de cálculo'!E410</f>
        <v>5.1.3.4</v>
      </c>
      <c r="H410" s="416" t="str">
        <f>'Folha de cálculo'!F410</f>
        <v>Não foi possível determinar (justifique)</v>
      </c>
      <c r="I410" s="416"/>
      <c r="J410" s="438">
        <f>IF(SUM(J407:J409)&lt;1,1-SUM(J407:J409),"")</f>
        <v>1</v>
      </c>
      <c r="K410" s="418">
        <f t="shared" si="175"/>
        <v>1</v>
      </c>
      <c r="M410" s="418">
        <f t="shared" si="176"/>
        <v>1</v>
      </c>
      <c r="N410"/>
      <c r="P410" s="418">
        <f t="shared" si="177"/>
        <v>1</v>
      </c>
      <c r="Q410"/>
      <c r="S410" s="475"/>
      <c r="T410" s="475"/>
      <c r="U410" s="475"/>
      <c r="V410" s="475"/>
    </row>
    <row r="411" spans="4:22" outlineLevel="2" x14ac:dyDescent="0.25">
      <c r="D411"/>
      <c r="F411" s="415" t="str">
        <f>'Folha de cálculo'!D411</f>
        <v>5.1.4</v>
      </c>
      <c r="G411" s="415" t="str">
        <f>'Folha de cálculo'!E411</f>
        <v>O dispositivo foi instalado…</v>
      </c>
      <c r="H411" s="415"/>
      <c r="I411" s="415"/>
      <c r="J411" s="425" t="s">
        <v>731</v>
      </c>
      <c r="K411" s="424" t="s">
        <v>731</v>
      </c>
      <c r="M411" s="425" t="s">
        <v>731</v>
      </c>
      <c r="N411"/>
      <c r="P411" s="425" t="s">
        <v>731</v>
      </c>
      <c r="Q411"/>
      <c r="S411" s="477"/>
      <c r="T411" s="477"/>
      <c r="U411" s="477"/>
      <c r="V411" s="477"/>
    </row>
    <row r="412" spans="4:22" ht="14.65" customHeight="1" outlineLevel="3" x14ac:dyDescent="0.25">
      <c r="D412"/>
      <c r="G412" s="416" t="str">
        <f>'Folha de cálculo'!E412</f>
        <v>5.1.4.1</v>
      </c>
      <c r="H412" s="416" t="str">
        <f>'Folha de cálculo'!F412</f>
        <v>há 5 ou menos anos</v>
      </c>
      <c r="I412" s="416"/>
      <c r="J412" s="438" t="str">
        <f>IF('Folha Oculta'!AY70&gt;0,'Folha Oculta'!AY70/'Folha Oculta'!AN72,"")</f>
        <v/>
      </c>
      <c r="K412" s="418" t="str">
        <f t="shared" ref="K412:K415" si="178">IF(ISBLANK(J412),"",J412)</f>
        <v/>
      </c>
      <c r="M412" s="418" t="str">
        <f t="shared" ref="M412:M415" si="179">IF(ISBLANK(K412),"",K412)</f>
        <v/>
      </c>
      <c r="N412"/>
      <c r="P412" s="418" t="str">
        <f>IF(ISBLANK(M412),"",M412)</f>
        <v/>
      </c>
      <c r="Q412"/>
      <c r="S412" s="475"/>
      <c r="T412" s="475"/>
      <c r="U412" s="475"/>
      <c r="V412" s="475"/>
    </row>
    <row r="413" spans="4:22" outlineLevel="3" x14ac:dyDescent="0.25">
      <c r="D413"/>
      <c r="G413" s="416" t="str">
        <f>'Folha de cálculo'!E413</f>
        <v>5.1.4.2</v>
      </c>
      <c r="H413" s="416" t="str">
        <f>'Folha de cálculo'!F413</f>
        <v>entre ]5 e 15] anos</v>
      </c>
      <c r="I413" s="416"/>
      <c r="J413" s="438" t="str">
        <f>IF('Folha Oculta'!AY71&gt;0,'Folha Oculta'!AY71/'Folha Oculta'!AN72,"")</f>
        <v/>
      </c>
      <c r="K413" s="418" t="str">
        <f t="shared" si="178"/>
        <v/>
      </c>
      <c r="M413" s="418" t="str">
        <f t="shared" si="179"/>
        <v/>
      </c>
      <c r="N413"/>
      <c r="P413" s="418" t="str">
        <f t="shared" ref="P413:P415" si="180">IF(ISBLANK(M413),"",M413)</f>
        <v/>
      </c>
      <c r="Q413"/>
      <c r="S413" s="475"/>
      <c r="T413" s="475"/>
      <c r="U413" s="475"/>
      <c r="V413" s="475"/>
    </row>
    <row r="414" spans="4:22" outlineLevel="3" x14ac:dyDescent="0.25">
      <c r="D414"/>
      <c r="G414" s="416" t="str">
        <f>'Folha de cálculo'!E414</f>
        <v>5.1.4.3</v>
      </c>
      <c r="H414" s="416" t="str">
        <f>'Folha de cálculo'!F414</f>
        <v>há mais de 15 anos</v>
      </c>
      <c r="I414" s="416"/>
      <c r="J414" s="438" t="str">
        <f>IF('Folha Oculta'!AY72&gt;0,'Folha Oculta'!AY72/'Folha Oculta'!AN72,"")</f>
        <v/>
      </c>
      <c r="K414" s="418" t="str">
        <f t="shared" si="178"/>
        <v/>
      </c>
      <c r="M414" s="418" t="str">
        <f t="shared" si="179"/>
        <v/>
      </c>
      <c r="N414"/>
      <c r="P414" s="418" t="str">
        <f t="shared" si="180"/>
        <v/>
      </c>
      <c r="Q414"/>
      <c r="S414" s="475"/>
      <c r="T414" s="475"/>
      <c r="U414" s="475"/>
      <c r="V414" s="475"/>
    </row>
    <row r="415" spans="4:22" outlineLevel="3" x14ac:dyDescent="0.25">
      <c r="D415"/>
      <c r="G415" s="416" t="str">
        <f>'Folha de cálculo'!E415</f>
        <v>5.1.4.4</v>
      </c>
      <c r="H415" s="416" t="str">
        <f>'Folha de cálculo'!F415</f>
        <v>Não foi possível determinar (justifique)</v>
      </c>
      <c r="I415" s="416"/>
      <c r="J415" s="438">
        <f>IF(SUM(J412:J414)&lt;1,1-SUM(J412:J414),"")</f>
        <v>1</v>
      </c>
      <c r="K415" s="418">
        <f t="shared" si="178"/>
        <v>1</v>
      </c>
      <c r="M415" s="418">
        <f t="shared" si="179"/>
        <v>1</v>
      </c>
      <c r="N415"/>
      <c r="P415" s="418">
        <f t="shared" si="180"/>
        <v>1</v>
      </c>
      <c r="Q415"/>
      <c r="S415" s="475"/>
      <c r="T415" s="475"/>
      <c r="U415" s="475"/>
      <c r="V415" s="475"/>
    </row>
    <row r="416" spans="4:22" ht="15.75" outlineLevel="1" thickBot="1" x14ac:dyDescent="0.3">
      <c r="J416" s="400"/>
      <c r="K416" s="400"/>
      <c r="M416" s="400"/>
      <c r="N416"/>
      <c r="P416" s="400"/>
      <c r="Q416"/>
      <c r="S416" s="476"/>
      <c r="T416" s="476"/>
      <c r="U416" s="476"/>
      <c r="V416" s="476"/>
    </row>
    <row r="417" spans="2:22" ht="15.75" outlineLevel="1" thickBot="1" x14ac:dyDescent="0.3">
      <c r="B417" s="405">
        <f>IF('Folha Oculta'!AN80=0,0,1)</f>
        <v>0</v>
      </c>
      <c r="E417" s="8" t="str">
        <f>'Folha de cálculo'!C417</f>
        <v>5.2</v>
      </c>
      <c r="F417" s="8" t="str">
        <f>'Folha de cálculo'!D417</f>
        <v>Fluxómetro</v>
      </c>
      <c r="G417" s="8"/>
      <c r="H417" s="8"/>
      <c r="I417" s="8"/>
      <c r="J417" s="447"/>
      <c r="K417" s="448"/>
      <c r="M417" s="447"/>
      <c r="N417"/>
      <c r="P417" s="447"/>
      <c r="Q417"/>
      <c r="S417" s="478"/>
      <c r="T417" s="479"/>
      <c r="U417" s="479"/>
      <c r="V417" s="480"/>
    </row>
    <row r="418" spans="2:22" ht="14.65" customHeight="1" outlineLevel="2" x14ac:dyDescent="0.25">
      <c r="B418"/>
      <c r="D418"/>
      <c r="F418" s="415" t="str">
        <f>'Folha de cálculo'!D418</f>
        <v>5.2.1</v>
      </c>
      <c r="G418" s="415" t="str">
        <f>'Folha de cálculo'!E418</f>
        <v>O dispositivo instalado dispõe de…</v>
      </c>
      <c r="H418" s="415"/>
      <c r="I418" s="415"/>
      <c r="J418" s="425" t="s">
        <v>732</v>
      </c>
      <c r="K418" s="449" t="s">
        <v>732</v>
      </c>
      <c r="M418" s="450" t="s">
        <v>732</v>
      </c>
      <c r="N418"/>
      <c r="P418" s="450" t="s">
        <v>732</v>
      </c>
      <c r="Q418"/>
      <c r="S418" s="477"/>
      <c r="T418" s="477"/>
      <c r="U418" s="477"/>
      <c r="V418" s="477"/>
    </row>
    <row r="419" spans="2:22" outlineLevel="3" x14ac:dyDescent="0.25">
      <c r="B419"/>
      <c r="D419"/>
      <c r="G419" s="416" t="str">
        <f>'Folha de cálculo'!E419</f>
        <v>5.2.1.1</v>
      </c>
      <c r="H419" s="416" t="str">
        <f>'Folha de cálculo'!F419</f>
        <v>certificado A ou superior emitido pela ANQIP ou Unified Water Label</v>
      </c>
      <c r="I419" s="416"/>
      <c r="J419" s="451" t="str">
        <f>IF('Folha Oculta'!AQ79&gt;0,'Folha Oculta'!AQ79/'Folha Oculta'!AN80,"")</f>
        <v/>
      </c>
      <c r="K419" s="418" t="str">
        <f t="shared" ref="K419:K424" si="181">IF(ISBLANK(J419),"",J419)</f>
        <v/>
      </c>
      <c r="M419" s="418" t="str">
        <f>IF(ISBLANK(K419),"",K419)</f>
        <v/>
      </c>
      <c r="N419"/>
      <c r="P419" s="418" t="str">
        <f>IF(ISBLANK(M419),"",M419)</f>
        <v/>
      </c>
      <c r="Q419"/>
      <c r="S419" s="475"/>
      <c r="T419" s="475"/>
      <c r="U419" s="475"/>
      <c r="V419" s="475"/>
    </row>
    <row r="420" spans="2:22" outlineLevel="3" x14ac:dyDescent="0.25">
      <c r="B420"/>
      <c r="D420"/>
      <c r="G420" s="416" t="str">
        <f>'Folha de cálculo'!E420</f>
        <v>5.2.1.2</v>
      </c>
      <c r="H420" s="416" t="str">
        <f>'Folha de cálculo'!F420</f>
        <v>torneira temporizada / sensor de presença</v>
      </c>
      <c r="I420" s="416"/>
      <c r="J420" s="451" t="str">
        <f>IF('Folha Oculta'!AQ80&gt;0,'Folha Oculta'!AQ80/'Folha Oculta'!AN80,"")</f>
        <v/>
      </c>
      <c r="K420" s="418" t="str">
        <f t="shared" si="181"/>
        <v/>
      </c>
      <c r="M420" s="418" t="str">
        <f t="shared" ref="M420:M424" si="182">IF(ISBLANK(K420),"",K420)</f>
        <v/>
      </c>
      <c r="N420"/>
      <c r="P420" s="418" t="str">
        <f t="shared" ref="P420:P424" si="183">IF(ISBLANK(M420),"",M420)</f>
        <v/>
      </c>
      <c r="Q420"/>
      <c r="S420" s="475"/>
      <c r="T420" s="475"/>
      <c r="U420" s="475"/>
      <c r="V420" s="475"/>
    </row>
    <row r="421" spans="2:22" outlineLevel="3" x14ac:dyDescent="0.25">
      <c r="B421"/>
      <c r="D421"/>
      <c r="G421" s="416" t="str">
        <f>'Folha de cálculo'!E421</f>
        <v>5.2.1.3</v>
      </c>
      <c r="H421" s="416" t="str">
        <f>'Folha de cálculo'!F421</f>
        <v>caudal adaptado à utilização (descarga interrompida)</v>
      </c>
      <c r="I421" s="416"/>
      <c r="J421" s="451" t="str">
        <f>IF('Folha Oculta'!AQ81&gt;0,'Folha Oculta'!AQ81/'Folha Oculta'!AN80,"")</f>
        <v/>
      </c>
      <c r="K421" s="418" t="str">
        <f t="shared" si="181"/>
        <v/>
      </c>
      <c r="M421" s="418" t="str">
        <f t="shared" si="182"/>
        <v/>
      </c>
      <c r="N421"/>
      <c r="P421" s="418" t="str">
        <f t="shared" si="183"/>
        <v/>
      </c>
      <c r="Q421"/>
      <c r="S421" s="475"/>
      <c r="T421" s="475"/>
      <c r="U421" s="475"/>
      <c r="V421" s="475"/>
    </row>
    <row r="422" spans="2:22" outlineLevel="3" x14ac:dyDescent="0.25">
      <c r="B422"/>
      <c r="D422"/>
      <c r="G422" s="416" t="str">
        <f>'Folha de cálculo'!E422</f>
        <v>5.2.1.4</v>
      </c>
      <c r="H422" s="416" t="str">
        <f>'Folha de cálculo'!F422</f>
        <v>sistema que não necessita de consumo de água</v>
      </c>
      <c r="I422" s="416"/>
      <c r="J422" s="451" t="str">
        <f>IF('Folha Oculta'!AQ82&gt;0,'Folha Oculta'!AQ82/'Folha Oculta'!AN80,"")</f>
        <v/>
      </c>
      <c r="K422" s="418" t="str">
        <f t="shared" si="181"/>
        <v/>
      </c>
      <c r="M422" s="418" t="str">
        <f t="shared" si="182"/>
        <v/>
      </c>
      <c r="N422"/>
      <c r="P422" s="418" t="str">
        <f t="shared" si="183"/>
        <v/>
      </c>
      <c r="Q422"/>
      <c r="S422" s="475"/>
      <c r="T422" s="475"/>
      <c r="U422" s="475"/>
      <c r="V422" s="475"/>
    </row>
    <row r="423" spans="2:22" outlineLevel="3" x14ac:dyDescent="0.25">
      <c r="B423"/>
      <c r="D423"/>
      <c r="G423" s="416" t="str">
        <f>'Folha de cálculo'!E423</f>
        <v>5.2.1.5</v>
      </c>
      <c r="H423" s="416" t="str">
        <f>'Folha de cálculo'!F423</f>
        <v>Nenhuma das opções anteriores</v>
      </c>
      <c r="I423" s="416"/>
      <c r="J423" s="451" t="str">
        <f>IF('Folha Oculta'!AQ83&gt;0,'Folha Oculta'!AQ83/'Folha Oculta'!AN80,"")</f>
        <v/>
      </c>
      <c r="K423" s="418" t="str">
        <f t="shared" si="181"/>
        <v/>
      </c>
      <c r="M423" s="418" t="str">
        <f t="shared" si="182"/>
        <v/>
      </c>
      <c r="N423"/>
      <c r="P423" s="418" t="str">
        <f t="shared" si="183"/>
        <v/>
      </c>
      <c r="Q423"/>
      <c r="S423" s="475"/>
      <c r="T423" s="475"/>
      <c r="U423" s="475"/>
      <c r="V423" s="475"/>
    </row>
    <row r="424" spans="2:22" outlineLevel="3" x14ac:dyDescent="0.25">
      <c r="B424"/>
      <c r="D424"/>
      <c r="G424" s="416" t="str">
        <f>'Folha de cálculo'!E424</f>
        <v>5.2.1.6</v>
      </c>
      <c r="H424" s="416" t="str">
        <f>'Folha de cálculo'!F424</f>
        <v>Não foi possível determinar (justifique)</v>
      </c>
      <c r="I424" s="416"/>
      <c r="J424" s="451" t="str">
        <f>IF('Folha Oculta'!AQ84&gt;0,'Folha Oculta'!AQ84/'Folha Oculta'!AN80,"")</f>
        <v/>
      </c>
      <c r="K424" s="418" t="str">
        <f t="shared" si="181"/>
        <v/>
      </c>
      <c r="M424" s="418" t="str">
        <f t="shared" si="182"/>
        <v/>
      </c>
      <c r="N424"/>
      <c r="P424" s="418" t="str">
        <f t="shared" si="183"/>
        <v/>
      </c>
      <c r="Q424"/>
      <c r="S424" s="475"/>
      <c r="T424" s="475"/>
      <c r="U424" s="475"/>
      <c r="V424" s="475"/>
    </row>
    <row r="425" spans="2:22" outlineLevel="2" x14ac:dyDescent="0.25">
      <c r="B425"/>
      <c r="D425"/>
      <c r="F425" s="415" t="str">
        <f>'Folha de cálculo'!D425</f>
        <v>5.2.2</v>
      </c>
      <c r="G425" s="415" t="str">
        <f>'Folha de cálculo'!E425</f>
        <v xml:space="preserve">O volume da descarga completa do dispositivo é...  </v>
      </c>
      <c r="H425" s="415"/>
      <c r="I425" s="415"/>
      <c r="J425" s="425" t="s">
        <v>731</v>
      </c>
      <c r="K425" s="449" t="s">
        <v>731</v>
      </c>
      <c r="M425" s="450" t="s">
        <v>731</v>
      </c>
      <c r="N425"/>
      <c r="P425" s="450" t="s">
        <v>731</v>
      </c>
      <c r="Q425"/>
      <c r="S425" s="477"/>
      <c r="T425" s="477"/>
      <c r="U425" s="477"/>
      <c r="V425" s="477"/>
    </row>
    <row r="426" spans="2:22" outlineLevel="3" x14ac:dyDescent="0.25">
      <c r="B426"/>
      <c r="D426"/>
      <c r="G426" s="416" t="str">
        <f>'Folha de cálculo'!E426</f>
        <v>5.2.2.1</v>
      </c>
      <c r="H426" s="416" t="str">
        <f>'Folha de cálculo'!F426</f>
        <v>igual ou inferior a 2,0 litros</v>
      </c>
      <c r="I426" s="416"/>
      <c r="J426" s="451" t="str">
        <f>IF('Folha Oculta'!AS79&gt;0,'Folha Oculta'!AS79/'Folha Oculta'!AN80,"")</f>
        <v/>
      </c>
      <c r="K426" s="418" t="str">
        <f t="shared" ref="K426:K430" si="184">IF(ISBLANK(J426),"",J426)</f>
        <v/>
      </c>
      <c r="M426" s="418" t="str">
        <f>IF(ISBLANK(K426),"",K426)</f>
        <v/>
      </c>
      <c r="N426"/>
      <c r="P426" s="418" t="str">
        <f>IF(ISBLANK(M426),"",M426)</f>
        <v/>
      </c>
      <c r="Q426"/>
      <c r="S426" s="475"/>
      <c r="T426" s="475"/>
      <c r="U426" s="475"/>
      <c r="V426" s="475"/>
    </row>
    <row r="427" spans="2:22" ht="14.65" customHeight="1" outlineLevel="3" x14ac:dyDescent="0.25">
      <c r="B427"/>
      <c r="D427"/>
      <c r="G427" s="416" t="str">
        <f>'Folha de cálculo'!E427</f>
        <v>5.2.2.2</v>
      </c>
      <c r="H427" s="416" t="str">
        <f>'Folha de cálculo'!F427</f>
        <v>entre ]2,0 e 4,0] litros</v>
      </c>
      <c r="I427" s="416"/>
      <c r="J427" s="451" t="str">
        <f>IF('Folha Oculta'!AS80&gt;0,'Folha Oculta'!AS80/'Folha Oculta'!AN80,"")</f>
        <v/>
      </c>
      <c r="K427" s="418" t="str">
        <f t="shared" si="184"/>
        <v/>
      </c>
      <c r="M427" s="418" t="str">
        <f t="shared" ref="M427:M430" si="185">IF(ISBLANK(K427),"",K427)</f>
        <v/>
      </c>
      <c r="N427"/>
      <c r="P427" s="418" t="str">
        <f t="shared" ref="P427:P430" si="186">IF(ISBLANK(M427),"",M427)</f>
        <v/>
      </c>
      <c r="Q427"/>
      <c r="S427" s="475"/>
      <c r="T427" s="475"/>
      <c r="U427" s="475"/>
      <c r="V427" s="475"/>
    </row>
    <row r="428" spans="2:22" ht="14.65" customHeight="1" outlineLevel="3" x14ac:dyDescent="0.25">
      <c r="B428"/>
      <c r="D428"/>
      <c r="G428" s="416" t="str">
        <f>'Folha de cálculo'!E428</f>
        <v>5.2.2.3</v>
      </c>
      <c r="H428" s="416" t="str">
        <f>'Folha de cálculo'!F428</f>
        <v>entre ]4,0 e 8,0] litros</v>
      </c>
      <c r="I428" s="416"/>
      <c r="J428" s="451" t="str">
        <f>IF('Folha Oculta'!AS81&gt;0,'Folha Oculta'!AS81/'Folha Oculta'!AN80,"")</f>
        <v/>
      </c>
      <c r="K428" s="418" t="str">
        <f t="shared" si="184"/>
        <v/>
      </c>
      <c r="M428" s="418" t="str">
        <f t="shared" si="185"/>
        <v/>
      </c>
      <c r="N428"/>
      <c r="P428" s="418" t="str">
        <f t="shared" si="186"/>
        <v/>
      </c>
      <c r="Q428"/>
      <c r="S428" s="475"/>
      <c r="T428" s="475"/>
      <c r="U428" s="475"/>
      <c r="V428" s="475"/>
    </row>
    <row r="429" spans="2:22" outlineLevel="3" x14ac:dyDescent="0.25">
      <c r="B429"/>
      <c r="D429"/>
      <c r="G429" s="416" t="str">
        <f>'Folha de cálculo'!E429</f>
        <v>5.2.2.4</v>
      </c>
      <c r="H429" s="416" t="str">
        <f>'Folha de cálculo'!F429</f>
        <v>superior a 8,0 litros</v>
      </c>
      <c r="I429" s="416"/>
      <c r="J429" s="451" t="str">
        <f>IF('Folha Oculta'!AS82&gt;0,'Folha Oculta'!AS82/'Folha Oculta'!AN80,"")</f>
        <v/>
      </c>
      <c r="K429" s="418" t="str">
        <f t="shared" si="184"/>
        <v/>
      </c>
      <c r="M429" s="418" t="str">
        <f t="shared" si="185"/>
        <v/>
      </c>
      <c r="N429"/>
      <c r="P429" s="418" t="str">
        <f t="shared" si="186"/>
        <v/>
      </c>
      <c r="Q429"/>
      <c r="S429" s="475"/>
      <c r="T429" s="475"/>
      <c r="U429" s="475"/>
      <c r="V429" s="475"/>
    </row>
    <row r="430" spans="2:22" outlineLevel="3" x14ac:dyDescent="0.25">
      <c r="B430"/>
      <c r="D430"/>
      <c r="G430" s="416" t="str">
        <f>'Folha de cálculo'!E430</f>
        <v>5.2.2.5</v>
      </c>
      <c r="H430" s="416" t="str">
        <f>'Folha de cálculo'!F430</f>
        <v>Não foi possível determinar (justifique)</v>
      </c>
      <c r="I430" s="416"/>
      <c r="J430" s="451">
        <f>IF(SUM(J426:J429)&lt;1,1-SUM(J426:J429),"")</f>
        <v>1</v>
      </c>
      <c r="K430" s="418">
        <f t="shared" si="184"/>
        <v>1</v>
      </c>
      <c r="M430" s="418">
        <f t="shared" si="185"/>
        <v>1</v>
      </c>
      <c r="N430"/>
      <c r="P430" s="418">
        <f t="shared" si="186"/>
        <v>1</v>
      </c>
      <c r="Q430"/>
      <c r="S430" s="475"/>
      <c r="T430" s="475"/>
      <c r="U430" s="475"/>
      <c r="V430" s="475"/>
    </row>
    <row r="431" spans="2:22" outlineLevel="2" x14ac:dyDescent="0.25">
      <c r="B431"/>
      <c r="D431"/>
      <c r="F431" s="415" t="str">
        <f>'Folha de cálculo'!D431</f>
        <v>5.2.3</v>
      </c>
      <c r="G431" s="415" t="str">
        <f>'Folha de cálculo'!E431</f>
        <v>O dispositivo instalado…</v>
      </c>
      <c r="H431" s="415"/>
      <c r="I431" s="415"/>
      <c r="J431" s="425" t="s">
        <v>731</v>
      </c>
      <c r="K431" s="449" t="s">
        <v>731</v>
      </c>
      <c r="M431" s="450" t="s">
        <v>731</v>
      </c>
      <c r="N431"/>
      <c r="P431" s="450" t="s">
        <v>731</v>
      </c>
      <c r="Q431"/>
      <c r="S431" s="477"/>
      <c r="T431" s="477"/>
      <c r="U431" s="477"/>
      <c r="V431" s="477"/>
    </row>
    <row r="432" spans="2:22" outlineLevel="3" x14ac:dyDescent="0.25">
      <c r="B432"/>
      <c r="D432"/>
      <c r="G432" s="416" t="str">
        <f>'Folha de cálculo'!E432</f>
        <v>5.2.3.1</v>
      </c>
      <c r="H432" s="416" t="str">
        <f>'Folha de cálculo'!F432</f>
        <v>não apresenta indícios de fuga</v>
      </c>
      <c r="I432" s="416"/>
      <c r="J432" s="451" t="str">
        <f>IF('Folha Oculta'!AV79&gt;0,'Folha Oculta'!AV79/'Folha Oculta'!AN80,"")</f>
        <v/>
      </c>
      <c r="K432" s="418" t="str">
        <f t="shared" ref="K432:K435" si="187">IF(ISBLANK(J432),"",J432)</f>
        <v/>
      </c>
      <c r="M432" s="418" t="str">
        <f>IF(ISBLANK(K432),"",K432)</f>
        <v/>
      </c>
      <c r="N432"/>
      <c r="P432" s="418" t="str">
        <f>IF(ISBLANK(M432),"",M432)</f>
        <v/>
      </c>
      <c r="Q432"/>
      <c r="S432" s="475"/>
      <c r="T432" s="475"/>
      <c r="U432" s="475"/>
      <c r="V432" s="475"/>
    </row>
    <row r="433" spans="2:22" outlineLevel="3" x14ac:dyDescent="0.25">
      <c r="B433"/>
      <c r="D433"/>
      <c r="G433" s="416" t="str">
        <f>'Folha de cálculo'!E433</f>
        <v>5.2.3.2</v>
      </c>
      <c r="H433" s="416" t="str">
        <f>'Folha de cálculo'!F433</f>
        <v>apresenta indícios de fuga (justifique)</v>
      </c>
      <c r="I433" s="416"/>
      <c r="J433" s="451" t="str">
        <f>IF('Folha Oculta'!AV80&gt;0,'Folha Oculta'!AV80/'Folha Oculta'!AN80,"")</f>
        <v/>
      </c>
      <c r="K433" s="418" t="str">
        <f t="shared" si="187"/>
        <v/>
      </c>
      <c r="M433" s="418" t="str">
        <f t="shared" ref="M433:M435" si="188">IF(ISBLANK(K433),"",K433)</f>
        <v/>
      </c>
      <c r="N433"/>
      <c r="P433" s="418" t="str">
        <f t="shared" ref="P433:P435" si="189">IF(ISBLANK(M433),"",M433)</f>
        <v/>
      </c>
      <c r="Q433"/>
      <c r="S433" s="475"/>
      <c r="T433" s="475"/>
      <c r="U433" s="475"/>
      <c r="V433" s="475"/>
    </row>
    <row r="434" spans="2:22" ht="14.65" customHeight="1" outlineLevel="3" x14ac:dyDescent="0.25">
      <c r="B434"/>
      <c r="D434"/>
      <c r="G434" s="416" t="str">
        <f>'Folha de cálculo'!E434</f>
        <v>5.2.3.3</v>
      </c>
      <c r="H434" s="416" t="str">
        <f>'Folha de cálculo'!F434</f>
        <v>apresenta evidências de fuga</v>
      </c>
      <c r="I434" s="416"/>
      <c r="J434" s="451" t="str">
        <f>IF('Folha Oculta'!AV81&gt;0,'Folha Oculta'!AV81/'Folha Oculta'!AN80,"")</f>
        <v/>
      </c>
      <c r="K434" s="418" t="str">
        <f t="shared" si="187"/>
        <v/>
      </c>
      <c r="M434" s="418" t="str">
        <f t="shared" si="188"/>
        <v/>
      </c>
      <c r="N434"/>
      <c r="P434" s="418" t="str">
        <f t="shared" si="189"/>
        <v/>
      </c>
      <c r="Q434"/>
      <c r="S434" s="475"/>
      <c r="T434" s="475"/>
      <c r="U434" s="475"/>
      <c r="V434" s="475"/>
    </row>
    <row r="435" spans="2:22" outlineLevel="3" x14ac:dyDescent="0.25">
      <c r="B435"/>
      <c r="D435"/>
      <c r="G435" s="416" t="str">
        <f>'Folha de cálculo'!E435</f>
        <v>5.2.3.4</v>
      </c>
      <c r="H435" s="416" t="str">
        <f>'Folha de cálculo'!F435</f>
        <v>Não foi possível determinar (justifique)</v>
      </c>
      <c r="I435" s="416"/>
      <c r="J435" s="451">
        <f>IF(SUM(J432:J434)&lt;1,1-SUM(J432:J434),"")</f>
        <v>1</v>
      </c>
      <c r="K435" s="418">
        <f t="shared" si="187"/>
        <v>1</v>
      </c>
      <c r="M435" s="418">
        <f t="shared" si="188"/>
        <v>1</v>
      </c>
      <c r="N435"/>
      <c r="P435" s="418">
        <f t="shared" si="189"/>
        <v>1</v>
      </c>
      <c r="Q435"/>
      <c r="S435" s="475"/>
      <c r="T435" s="475"/>
      <c r="U435" s="475"/>
      <c r="V435" s="475"/>
    </row>
    <row r="436" spans="2:22" outlineLevel="2" x14ac:dyDescent="0.25">
      <c r="B436"/>
      <c r="D436"/>
      <c r="F436" s="415" t="str">
        <f>'Folha de cálculo'!D436</f>
        <v>5.2.4</v>
      </c>
      <c r="G436" s="415" t="str">
        <f>'Folha de cálculo'!E436</f>
        <v>O dispositivo foi instalado…</v>
      </c>
      <c r="H436" s="415"/>
      <c r="I436" s="415"/>
      <c r="J436" s="425" t="s">
        <v>731</v>
      </c>
      <c r="K436" s="449" t="s">
        <v>731</v>
      </c>
      <c r="M436" s="450" t="s">
        <v>731</v>
      </c>
      <c r="N436"/>
      <c r="P436" s="450" t="s">
        <v>731</v>
      </c>
      <c r="Q436"/>
      <c r="S436" s="477"/>
      <c r="T436" s="477"/>
      <c r="U436" s="477"/>
      <c r="V436" s="477"/>
    </row>
    <row r="437" spans="2:22" outlineLevel="3" x14ac:dyDescent="0.25">
      <c r="B437"/>
      <c r="D437"/>
      <c r="G437" s="416" t="str">
        <f>'Folha de cálculo'!E437</f>
        <v>5.2.4.1</v>
      </c>
      <c r="H437" s="416" t="str">
        <f>'Folha de cálculo'!F437</f>
        <v>há 5 ou menos anos</v>
      </c>
      <c r="I437" s="416"/>
      <c r="J437" s="451" t="str">
        <f>IF('Folha Oculta'!AX79&gt;0,'Folha Oculta'!AX79/'Folha Oculta'!AN80,"")</f>
        <v/>
      </c>
      <c r="K437" s="418" t="str">
        <f t="shared" ref="K437:K439" si="190">IF(ISBLANK(J437),"",J437)</f>
        <v/>
      </c>
      <c r="M437" s="418" t="str">
        <f t="shared" ref="M437:M439" si="191">IF(ISBLANK(K437),"",K437)</f>
        <v/>
      </c>
      <c r="N437"/>
      <c r="P437" s="418" t="str">
        <f>IF(ISBLANK(M437),"",M437)</f>
        <v/>
      </c>
      <c r="Q437"/>
      <c r="S437" s="475"/>
      <c r="T437" s="475"/>
      <c r="U437" s="475"/>
      <c r="V437" s="475"/>
    </row>
    <row r="438" spans="2:22" outlineLevel="3" x14ac:dyDescent="0.25">
      <c r="B438"/>
      <c r="G438" s="416" t="str">
        <f>'Folha de cálculo'!E438</f>
        <v>5.2.4.2</v>
      </c>
      <c r="H438" s="416" t="str">
        <f>'Folha de cálculo'!F438</f>
        <v>entre ]5 e 15] anos</v>
      </c>
      <c r="I438" s="416"/>
      <c r="J438" s="451" t="str">
        <f>IF('Folha Oculta'!AX80&gt;0,'Folha Oculta'!AX80/'Folha Oculta'!AN80,"")</f>
        <v/>
      </c>
      <c r="K438" s="418" t="str">
        <f t="shared" si="190"/>
        <v/>
      </c>
      <c r="M438" s="418" t="str">
        <f t="shared" si="191"/>
        <v/>
      </c>
      <c r="N438"/>
      <c r="P438" s="418" t="str">
        <f t="shared" ref="P438:P439" si="192">IF(ISBLANK(M438),"",M438)</f>
        <v/>
      </c>
      <c r="Q438"/>
      <c r="S438" s="475"/>
      <c r="T438" s="475"/>
      <c r="U438" s="475"/>
      <c r="V438" s="475"/>
    </row>
    <row r="439" spans="2:22" ht="14.65" customHeight="1" outlineLevel="3" x14ac:dyDescent="0.25">
      <c r="B439"/>
      <c r="G439" s="416" t="str">
        <f>'Folha de cálculo'!E439</f>
        <v>5.2.4.3</v>
      </c>
      <c r="H439" s="416" t="str">
        <f>'Folha de cálculo'!F439</f>
        <v>há mais de 15 anos</v>
      </c>
      <c r="I439" s="416"/>
      <c r="J439" s="451" t="str">
        <f>IF('Folha Oculta'!AX81&gt;0,'Folha Oculta'!AX81/'Folha Oculta'!AN80,"")</f>
        <v/>
      </c>
      <c r="K439" s="418" t="str">
        <f t="shared" si="190"/>
        <v/>
      </c>
      <c r="M439" s="418" t="str">
        <f t="shared" si="191"/>
        <v/>
      </c>
      <c r="N439"/>
      <c r="P439" s="418" t="str">
        <f t="shared" si="192"/>
        <v/>
      </c>
      <c r="Q439"/>
      <c r="S439" s="475"/>
      <c r="T439" s="475"/>
      <c r="U439" s="475"/>
      <c r="V439" s="475"/>
    </row>
    <row r="440" spans="2:22" ht="14.65" customHeight="1" outlineLevel="3" x14ac:dyDescent="0.25">
      <c r="B440"/>
      <c r="G440" s="416" t="str">
        <f>'Folha de cálculo'!E440</f>
        <v>5.2.4.4</v>
      </c>
      <c r="H440" s="416" t="str">
        <f>'Folha de cálculo'!F440</f>
        <v>Não foi possível determinar (justifique)</v>
      </c>
      <c r="I440" s="416"/>
      <c r="J440" s="451">
        <f>IF(SUM(J437:J439)&lt;1,1-SUM(J437:J439),"")</f>
        <v>1</v>
      </c>
      <c r="K440" s="418">
        <f t="shared" ref="K440" si="193">IF(ISBLANK(J440),"",J440)</f>
        <v>1</v>
      </c>
      <c r="M440" s="418">
        <f>IF(ISBLANK(K440),"",K440)</f>
        <v>1</v>
      </c>
      <c r="N440"/>
      <c r="P440" s="418">
        <f t="shared" ref="P440" si="194">IF(ISBLANK(M440),"",M440)</f>
        <v>1</v>
      </c>
      <c r="Q440"/>
      <c r="S440" s="475"/>
      <c r="T440" s="475"/>
      <c r="U440" s="475"/>
      <c r="V440" s="475"/>
    </row>
    <row r="441" spans="2:22" ht="15.75" outlineLevel="1" thickBot="1" x14ac:dyDescent="0.3">
      <c r="B441"/>
      <c r="J441" s="432"/>
      <c r="K441" s="432"/>
      <c r="M441" s="432"/>
      <c r="N441"/>
      <c r="P441" s="432"/>
      <c r="Q441"/>
      <c r="S441" s="476"/>
      <c r="T441" s="476"/>
      <c r="U441" s="476"/>
      <c r="V441" s="476"/>
    </row>
    <row r="442" spans="2:22" ht="15.75" outlineLevel="1" thickBot="1" x14ac:dyDescent="0.3">
      <c r="B442" s="405">
        <f>IF('Folha Oculta'!AN88=0,0,1)</f>
        <v>0</v>
      </c>
      <c r="E442" s="8" t="str">
        <f>'Folha de cálculo'!C442</f>
        <v>5.3</v>
      </c>
      <c r="F442" s="8" t="str">
        <f>'Folha de cálculo'!D442</f>
        <v>Lavatório de casa de banho</v>
      </c>
      <c r="G442" s="8"/>
      <c r="H442" s="8"/>
      <c r="I442" s="8"/>
      <c r="J442" s="403"/>
      <c r="K442" s="404"/>
      <c r="M442" s="403"/>
      <c r="N442"/>
      <c r="P442" s="403"/>
      <c r="Q442"/>
      <c r="S442" s="478"/>
      <c r="T442" s="479"/>
      <c r="U442" s="479"/>
      <c r="V442" s="480"/>
    </row>
    <row r="443" spans="2:22" ht="14.65" customHeight="1" outlineLevel="2" x14ac:dyDescent="0.25">
      <c r="D443"/>
      <c r="F443" s="415" t="str">
        <f>'Folha de cálculo'!D443</f>
        <v>5.3.1</v>
      </c>
      <c r="G443" s="415" t="str">
        <f>'Folha de cálculo'!E443</f>
        <v>O dispositivo instalado dispõe de…</v>
      </c>
      <c r="H443" s="415"/>
      <c r="I443" s="415"/>
      <c r="J443" s="425" t="s">
        <v>732</v>
      </c>
      <c r="K443" s="424" t="s">
        <v>732</v>
      </c>
      <c r="M443" s="425" t="s">
        <v>732</v>
      </c>
      <c r="N443"/>
      <c r="P443" s="425" t="s">
        <v>732</v>
      </c>
      <c r="Q443"/>
      <c r="S443" s="477"/>
      <c r="T443" s="477"/>
      <c r="U443" s="477"/>
      <c r="V443" s="477"/>
    </row>
    <row r="444" spans="2:22" outlineLevel="3" x14ac:dyDescent="0.25">
      <c r="D444"/>
      <c r="G444" s="416" t="str">
        <f>'Folha de cálculo'!E444</f>
        <v>5.3.1.1</v>
      </c>
      <c r="H444" s="416" t="str">
        <f>'Folha de cálculo'!F444</f>
        <v>certificado A ou superior emitido pela ANQIP ou Unified Water Label</v>
      </c>
      <c r="I444" s="416"/>
      <c r="J444" s="438" t="str">
        <f>IF('Folha Oculta'!AQ86&gt;0,'Folha Oculta'!AQ86/'Folha Oculta'!AN88,"")</f>
        <v/>
      </c>
      <c r="K444" s="418" t="str">
        <f t="shared" ref="K444:K450" si="195">IF(ISBLANK(J444),"",J444)</f>
        <v/>
      </c>
      <c r="M444" s="418" t="str">
        <f>IF(ISBLANK(K444),"",K444)</f>
        <v/>
      </c>
      <c r="N444"/>
      <c r="P444" s="418" t="str">
        <f>IF(ISBLANK(M444),"",M444)</f>
        <v/>
      </c>
      <c r="Q444"/>
      <c r="S444" s="475"/>
      <c r="T444" s="475"/>
      <c r="U444" s="475"/>
      <c r="V444" s="475"/>
    </row>
    <row r="445" spans="2:22" outlineLevel="3" x14ac:dyDescent="0.25">
      <c r="D445"/>
      <c r="G445" s="416" t="str">
        <f>'Folha de cálculo'!E445</f>
        <v>5.3.1.2</v>
      </c>
      <c r="H445" s="416" t="str">
        <f>'Folha de cálculo'!F445</f>
        <v>redutor/regulador de caudal (inclui arejador)</v>
      </c>
      <c r="I445" s="416"/>
      <c r="J445" s="438" t="str">
        <f>IF('Folha Oculta'!AQ87&gt;0,'Folha Oculta'!AQ87/'Folha Oculta'!AN88,"")</f>
        <v/>
      </c>
      <c r="K445" s="418" t="str">
        <f t="shared" si="195"/>
        <v/>
      </c>
      <c r="M445" s="418" t="str">
        <f t="shared" ref="M445:M450" si="196">IF(ISBLANK(K445),"",K445)</f>
        <v/>
      </c>
      <c r="N445"/>
      <c r="P445" s="418" t="str">
        <f t="shared" ref="P445:P450" si="197">IF(ISBLANK(M445),"",M445)</f>
        <v/>
      </c>
      <c r="Q445"/>
      <c r="S445" s="475"/>
      <c r="T445" s="475"/>
      <c r="U445" s="475"/>
      <c r="V445" s="475"/>
    </row>
    <row r="446" spans="2:22" outlineLevel="3" x14ac:dyDescent="0.25">
      <c r="D446"/>
      <c r="G446" s="416" t="str">
        <f>'Folha de cálculo'!E446</f>
        <v>5.3.1.3</v>
      </c>
      <c r="H446" s="416" t="str">
        <f>'Folha de cálculo'!F446</f>
        <v>torneira com posições fixas de caudal / eco-stop</v>
      </c>
      <c r="I446" s="416"/>
      <c r="J446" s="438" t="str">
        <f>IF('Folha Oculta'!AQ88&gt;0,'Folha Oculta'!AQ88/'Folha Oculta'!AN88,"")</f>
        <v/>
      </c>
      <c r="K446" s="418" t="str">
        <f t="shared" si="195"/>
        <v/>
      </c>
      <c r="M446" s="418" t="str">
        <f t="shared" si="196"/>
        <v/>
      </c>
      <c r="N446"/>
      <c r="P446" s="418" t="str">
        <f t="shared" si="197"/>
        <v/>
      </c>
      <c r="Q446"/>
      <c r="S446" s="475"/>
      <c r="T446" s="475"/>
      <c r="U446" s="475"/>
      <c r="V446" s="475"/>
    </row>
    <row r="447" spans="2:22" outlineLevel="3" x14ac:dyDescent="0.25">
      <c r="D447"/>
      <c r="G447" s="416" t="str">
        <f>'Folha de cálculo'!E447</f>
        <v>5.3.1.4</v>
      </c>
      <c r="H447" s="416" t="str">
        <f>'Folha de cálculo'!F447</f>
        <v>torneira misturadora termostática</v>
      </c>
      <c r="I447" s="416"/>
      <c r="J447" s="438" t="str">
        <f>IF('Folha Oculta'!AQ89&gt;0,'Folha Oculta'!AQ89/'Folha Oculta'!AN88,"")</f>
        <v/>
      </c>
      <c r="K447" s="418" t="str">
        <f t="shared" si="195"/>
        <v/>
      </c>
      <c r="M447" s="418" t="str">
        <f t="shared" si="196"/>
        <v/>
      </c>
      <c r="N447"/>
      <c r="P447" s="418" t="str">
        <f t="shared" si="197"/>
        <v/>
      </c>
      <c r="Q447"/>
      <c r="S447" s="475"/>
      <c r="T447" s="475"/>
      <c r="U447" s="475"/>
      <c r="V447" s="475"/>
    </row>
    <row r="448" spans="2:22" outlineLevel="3" x14ac:dyDescent="0.25">
      <c r="D448"/>
      <c r="G448" s="416" t="str">
        <f>'Folha de cálculo'!E448</f>
        <v>5.3.1.5</v>
      </c>
      <c r="H448" s="416" t="str">
        <f>'Folha de cálculo'!F448</f>
        <v>torneira temporizada/com sensor</v>
      </c>
      <c r="I448" s="416"/>
      <c r="J448" s="438" t="str">
        <f>IF('Folha Oculta'!AQ90&gt;0,'Folha Oculta'!AQ90/'Folha Oculta'!AN88,"")</f>
        <v/>
      </c>
      <c r="K448" s="418" t="str">
        <f t="shared" si="195"/>
        <v/>
      </c>
      <c r="M448" s="418" t="str">
        <f t="shared" si="196"/>
        <v/>
      </c>
      <c r="N448"/>
      <c r="P448" s="418" t="str">
        <f t="shared" si="197"/>
        <v/>
      </c>
      <c r="Q448"/>
      <c r="S448" s="475"/>
      <c r="T448" s="475"/>
      <c r="U448" s="475"/>
      <c r="V448" s="475"/>
    </row>
    <row r="449" spans="4:22" outlineLevel="3" x14ac:dyDescent="0.25">
      <c r="D449"/>
      <c r="G449" s="416" t="str">
        <f>'Folha de cálculo'!E449</f>
        <v>5.3.1.6</v>
      </c>
      <c r="H449" s="416" t="str">
        <f>'Folha de cálculo'!F449</f>
        <v>Nenhuma das opções anteriores</v>
      </c>
      <c r="I449" s="416"/>
      <c r="J449" s="438" t="str">
        <f>IF('Folha Oculta'!AQ91&gt;0,'Folha Oculta'!AQ91/'Folha Oculta'!AN88,"")</f>
        <v/>
      </c>
      <c r="K449" s="418" t="str">
        <f t="shared" si="195"/>
        <v/>
      </c>
      <c r="M449" s="418" t="str">
        <f t="shared" si="196"/>
        <v/>
      </c>
      <c r="N449"/>
      <c r="P449" s="418" t="str">
        <f t="shared" si="197"/>
        <v/>
      </c>
      <c r="Q449"/>
      <c r="S449" s="475"/>
      <c r="T449" s="475"/>
      <c r="U449" s="475"/>
      <c r="V449" s="475"/>
    </row>
    <row r="450" spans="4:22" outlineLevel="3" x14ac:dyDescent="0.25">
      <c r="D450"/>
      <c r="G450" s="416" t="str">
        <f>'Folha de cálculo'!E450</f>
        <v>5.3.1.7</v>
      </c>
      <c r="H450" s="416" t="str">
        <f>'Folha de cálculo'!F450</f>
        <v>Não foi possível determinar (justifique)</v>
      </c>
      <c r="I450" s="416"/>
      <c r="J450" s="438" t="str">
        <f>IF('Folha Oculta'!AQ92&gt;0,'Folha Oculta'!AQ92/'Folha Oculta'!AN88,"")</f>
        <v/>
      </c>
      <c r="K450" s="418" t="str">
        <f t="shared" si="195"/>
        <v/>
      </c>
      <c r="M450" s="418" t="str">
        <f t="shared" si="196"/>
        <v/>
      </c>
      <c r="N450"/>
      <c r="P450" s="418" t="str">
        <f t="shared" si="197"/>
        <v/>
      </c>
      <c r="Q450"/>
      <c r="S450" s="475"/>
      <c r="T450" s="475"/>
      <c r="U450" s="475"/>
      <c r="V450" s="475"/>
    </row>
    <row r="451" spans="4:22" ht="14.65" customHeight="1" outlineLevel="2" x14ac:dyDescent="0.25">
      <c r="D451"/>
      <c r="F451" s="415" t="str">
        <f>'Folha de cálculo'!D451</f>
        <v>5.3.2</v>
      </c>
      <c r="G451" s="415" t="str">
        <f>'Folha de cálculo'!E451</f>
        <v xml:space="preserve">O caudal do dispositivo em abertura máxima para água fria é...  </v>
      </c>
      <c r="H451" s="415"/>
      <c r="I451" s="415"/>
      <c r="J451" s="425" t="s">
        <v>731</v>
      </c>
      <c r="K451" s="424" t="s">
        <v>731</v>
      </c>
      <c r="M451" s="425" t="s">
        <v>731</v>
      </c>
      <c r="N451"/>
      <c r="P451" s="425" t="s">
        <v>731</v>
      </c>
      <c r="Q451"/>
      <c r="S451" s="477"/>
      <c r="T451" s="477"/>
      <c r="U451" s="477"/>
      <c r="V451" s="477"/>
    </row>
    <row r="452" spans="4:22" outlineLevel="3" x14ac:dyDescent="0.25">
      <c r="D452"/>
      <c r="G452" s="416" t="str">
        <f>'Folha de cálculo'!E452</f>
        <v>5.3.2.1</v>
      </c>
      <c r="H452" s="416" t="str">
        <f>'Folha de cálculo'!F452</f>
        <v>igual ou inferior a 4 litros/min</v>
      </c>
      <c r="I452" s="416"/>
      <c r="J452" s="438" t="str">
        <f>IF('Folha Oculta'!AS86&gt;0,'Folha Oculta'!AS86/'Folha Oculta'!AN88,"")</f>
        <v/>
      </c>
      <c r="K452" s="418" t="str">
        <f t="shared" ref="K452:K455" si="198">IF(ISBLANK(J452),"",J452)</f>
        <v/>
      </c>
      <c r="M452" s="418" t="str">
        <f>IF(ISBLANK(K452),"",K452)</f>
        <v/>
      </c>
      <c r="N452"/>
      <c r="P452" s="418" t="str">
        <f>IF(ISBLANK(M452),"",M452)</f>
        <v/>
      </c>
      <c r="Q452"/>
      <c r="S452" s="475"/>
      <c r="T452" s="475"/>
      <c r="U452" s="475"/>
      <c r="V452" s="475"/>
    </row>
    <row r="453" spans="4:22" outlineLevel="3" x14ac:dyDescent="0.25">
      <c r="D453"/>
      <c r="G453" s="416" t="str">
        <f>'Folha de cálculo'!E453</f>
        <v>5.3.2.2</v>
      </c>
      <c r="H453" s="416" t="str">
        <f>'Folha de cálculo'!F453</f>
        <v>entre ]4 e 6] litros/min</v>
      </c>
      <c r="I453" s="416"/>
      <c r="J453" s="438" t="str">
        <f>IF('Folha Oculta'!AS87&gt;0,'Folha Oculta'!AS87/'Folha Oculta'!AN88,"")</f>
        <v/>
      </c>
      <c r="K453" s="418" t="str">
        <f t="shared" si="198"/>
        <v/>
      </c>
      <c r="M453" s="418" t="str">
        <f t="shared" ref="M453:M455" si="199">IF(ISBLANK(K453),"",K453)</f>
        <v/>
      </c>
      <c r="N453"/>
      <c r="P453" s="418" t="str">
        <f t="shared" ref="P453:P455" si="200">IF(ISBLANK(M453),"",M453)</f>
        <v/>
      </c>
      <c r="Q453"/>
      <c r="S453" s="475"/>
      <c r="T453" s="475"/>
      <c r="U453" s="475"/>
      <c r="V453" s="475"/>
    </row>
    <row r="454" spans="4:22" outlineLevel="3" x14ac:dyDescent="0.25">
      <c r="D454"/>
      <c r="G454" s="416" t="str">
        <f>'Folha de cálculo'!E454</f>
        <v>5.3.2.3</v>
      </c>
      <c r="H454" s="416" t="str">
        <f>'Folha de cálculo'!F454</f>
        <v>superior a 6 litros/min</v>
      </c>
      <c r="I454" s="416"/>
      <c r="J454" s="438" t="str">
        <f>IF('Folha Oculta'!AS88&gt;0,'Folha Oculta'!AS88/'Folha Oculta'!AN88,"")</f>
        <v/>
      </c>
      <c r="K454" s="418" t="str">
        <f t="shared" si="198"/>
        <v/>
      </c>
      <c r="M454" s="418" t="str">
        <f t="shared" si="199"/>
        <v/>
      </c>
      <c r="N454"/>
      <c r="P454" s="418" t="str">
        <f t="shared" si="200"/>
        <v/>
      </c>
      <c r="Q454"/>
      <c r="S454" s="475"/>
      <c r="T454" s="475"/>
      <c r="U454" s="475"/>
      <c r="V454" s="475"/>
    </row>
    <row r="455" spans="4:22" outlineLevel="3" x14ac:dyDescent="0.25">
      <c r="D455"/>
      <c r="G455" s="416" t="str">
        <f>'Folha de cálculo'!E455</f>
        <v>5.3.2.4</v>
      </c>
      <c r="H455" s="416" t="str">
        <f>'Folha de cálculo'!F455</f>
        <v>Não foi possível determinar (justifique)</v>
      </c>
      <c r="I455" s="416"/>
      <c r="J455" s="438">
        <f>IF(SUM(J452:J454)&lt;1,1-SUM(J452:J454),"")</f>
        <v>1</v>
      </c>
      <c r="K455" s="418">
        <f t="shared" si="198"/>
        <v>1</v>
      </c>
      <c r="M455" s="418">
        <f t="shared" si="199"/>
        <v>1</v>
      </c>
      <c r="N455"/>
      <c r="P455" s="418">
        <f t="shared" si="200"/>
        <v>1</v>
      </c>
      <c r="Q455"/>
      <c r="S455" s="475"/>
      <c r="T455" s="475"/>
      <c r="U455" s="475"/>
      <c r="V455" s="475"/>
    </row>
    <row r="456" spans="4:22" outlineLevel="2" x14ac:dyDescent="0.25">
      <c r="D456"/>
      <c r="F456" s="415" t="str">
        <f>'Folha de cálculo'!D456</f>
        <v>5.3.3</v>
      </c>
      <c r="G456" s="415" t="str">
        <f>'Folha de cálculo'!E456</f>
        <v>O dispositivo instalado…</v>
      </c>
      <c r="H456" s="415"/>
      <c r="I456" s="415"/>
      <c r="J456" s="425" t="s">
        <v>731</v>
      </c>
      <c r="K456" s="424" t="s">
        <v>731</v>
      </c>
      <c r="M456" s="425" t="s">
        <v>731</v>
      </c>
      <c r="N456"/>
      <c r="P456" s="425" t="s">
        <v>731</v>
      </c>
      <c r="Q456"/>
      <c r="S456" s="477"/>
      <c r="T456" s="477"/>
      <c r="U456" s="477"/>
      <c r="V456" s="477"/>
    </row>
    <row r="457" spans="4:22" ht="14.65" customHeight="1" outlineLevel="3" x14ac:dyDescent="0.25">
      <c r="D457"/>
      <c r="G457" s="416" t="str">
        <f>'Folha de cálculo'!E457</f>
        <v>5.3.3.1</v>
      </c>
      <c r="H457" s="416" t="str">
        <f>'Folha de cálculo'!F457</f>
        <v>não apresenta indícios de fuga</v>
      </c>
      <c r="I457" s="416"/>
      <c r="J457" s="438" t="str">
        <f>IF('Folha Oculta'!AV86&gt;0,'Folha Oculta'!AV86/'Folha Oculta'!AN88,"")</f>
        <v/>
      </c>
      <c r="K457" s="418" t="str">
        <f t="shared" ref="K457:K460" si="201">IF(ISBLANK(J457),"",J457)</f>
        <v/>
      </c>
      <c r="M457" s="418" t="str">
        <f>IF(ISBLANK(K457),"",K457)</f>
        <v/>
      </c>
      <c r="N457"/>
      <c r="P457" s="418" t="str">
        <f>IF(ISBLANK(M457),"",M457)</f>
        <v/>
      </c>
      <c r="Q457"/>
      <c r="S457" s="475"/>
      <c r="T457" s="475"/>
      <c r="U457" s="475"/>
      <c r="V457" s="475"/>
    </row>
    <row r="458" spans="4:22" outlineLevel="3" x14ac:dyDescent="0.25">
      <c r="D458"/>
      <c r="G458" s="416" t="str">
        <f>'Folha de cálculo'!E458</f>
        <v>5.3.3.2</v>
      </c>
      <c r="H458" s="416" t="str">
        <f>'Folha de cálculo'!F458</f>
        <v>apresenta indícios de fuga (justifique)</v>
      </c>
      <c r="I458" s="416"/>
      <c r="J458" s="438" t="str">
        <f>IF('Folha Oculta'!AV87&gt;0,'Folha Oculta'!AV87/'Folha Oculta'!AN88,"")</f>
        <v/>
      </c>
      <c r="K458" s="418" t="str">
        <f t="shared" si="201"/>
        <v/>
      </c>
      <c r="M458" s="418" t="str">
        <f t="shared" ref="M458:M460" si="202">IF(ISBLANK(K458),"",K458)</f>
        <v/>
      </c>
      <c r="N458"/>
      <c r="P458" s="418" t="str">
        <f t="shared" ref="P458:P460" si="203">IF(ISBLANK(M458),"",M458)</f>
        <v/>
      </c>
      <c r="Q458"/>
      <c r="S458" s="475"/>
      <c r="T458" s="475"/>
      <c r="U458" s="475"/>
      <c r="V458" s="475"/>
    </row>
    <row r="459" spans="4:22" outlineLevel="3" x14ac:dyDescent="0.25">
      <c r="D459"/>
      <c r="G459" s="416" t="str">
        <f>'Folha de cálculo'!E459</f>
        <v>5.3.3.3</v>
      </c>
      <c r="H459" s="416" t="str">
        <f>'Folha de cálculo'!F459</f>
        <v>apresenta evidências de fuga</v>
      </c>
      <c r="I459" s="416"/>
      <c r="J459" s="438" t="str">
        <f>IF('Folha Oculta'!AV88&gt;0,'Folha Oculta'!AV88/'Folha Oculta'!AN88,"")</f>
        <v/>
      </c>
      <c r="K459" s="418" t="str">
        <f t="shared" si="201"/>
        <v/>
      </c>
      <c r="M459" s="418" t="str">
        <f t="shared" si="202"/>
        <v/>
      </c>
      <c r="N459"/>
      <c r="P459" s="418" t="str">
        <f t="shared" si="203"/>
        <v/>
      </c>
      <c r="Q459"/>
      <c r="S459" s="475"/>
      <c r="T459" s="475"/>
      <c r="U459" s="475"/>
      <c r="V459" s="475"/>
    </row>
    <row r="460" spans="4:22" outlineLevel="3" x14ac:dyDescent="0.25">
      <c r="D460"/>
      <c r="G460" s="416" t="str">
        <f>'Folha de cálculo'!E460</f>
        <v>5.3.3.4</v>
      </c>
      <c r="H460" s="416" t="str">
        <f>'Folha de cálculo'!F460</f>
        <v>Não foi possível determinar (justifique)</v>
      </c>
      <c r="I460" s="416"/>
      <c r="J460" s="438">
        <f>IF(SUM(J457:J459)&lt;1,1-SUM(J457:J459),"")</f>
        <v>1</v>
      </c>
      <c r="K460" s="418">
        <f t="shared" si="201"/>
        <v>1</v>
      </c>
      <c r="M460" s="418">
        <f t="shared" si="202"/>
        <v>1</v>
      </c>
      <c r="N460"/>
      <c r="P460" s="418">
        <f t="shared" si="203"/>
        <v>1</v>
      </c>
      <c r="Q460"/>
      <c r="S460" s="475"/>
      <c r="T460" s="475"/>
      <c r="U460" s="475"/>
      <c r="V460" s="475"/>
    </row>
    <row r="461" spans="4:22" outlineLevel="2" x14ac:dyDescent="0.25">
      <c r="D461"/>
      <c r="F461" s="415" t="str">
        <f>'Folha de cálculo'!D461</f>
        <v>5.3.4</v>
      </c>
      <c r="G461" s="415" t="str">
        <f>'Folha de cálculo'!E461</f>
        <v>O dispositivo foi instalado…</v>
      </c>
      <c r="H461" s="415"/>
      <c r="I461" s="415"/>
      <c r="J461" s="425" t="s">
        <v>731</v>
      </c>
      <c r="K461" s="424" t="s">
        <v>731</v>
      </c>
      <c r="M461" s="425" t="s">
        <v>731</v>
      </c>
      <c r="N461"/>
      <c r="P461" s="425" t="s">
        <v>731</v>
      </c>
      <c r="Q461"/>
      <c r="S461" s="477"/>
      <c r="T461" s="477"/>
      <c r="U461" s="477"/>
      <c r="V461" s="477"/>
    </row>
    <row r="462" spans="4:22" ht="14.65" customHeight="1" outlineLevel="3" x14ac:dyDescent="0.25">
      <c r="D462"/>
      <c r="G462" s="416" t="str">
        <f>'Folha de cálculo'!E462</f>
        <v>5.3.4.1</v>
      </c>
      <c r="H462" s="416" t="str">
        <f>'Folha de cálculo'!F462</f>
        <v>há 5 ou menos anos</v>
      </c>
      <c r="I462" s="416"/>
      <c r="J462" s="438" t="str">
        <f>IF('Folha Oculta'!AX86&gt;0,'Folha Oculta'!AX86/'Folha Oculta'!AN88,"")</f>
        <v/>
      </c>
      <c r="K462" s="418" t="str">
        <f t="shared" ref="K462:K465" si="204">IF(ISBLANK(J462),"",J462)</f>
        <v/>
      </c>
      <c r="M462" s="418" t="str">
        <f t="shared" ref="M462:M465" si="205">IF(ISBLANK(K462),"",K462)</f>
        <v/>
      </c>
      <c r="N462"/>
      <c r="P462" s="418" t="str">
        <f>IF(ISBLANK(M462),"",M462)</f>
        <v/>
      </c>
      <c r="Q462"/>
      <c r="S462" s="475"/>
      <c r="T462" s="475"/>
      <c r="U462" s="475"/>
      <c r="V462" s="475"/>
    </row>
    <row r="463" spans="4:22" outlineLevel="3" x14ac:dyDescent="0.25">
      <c r="D463"/>
      <c r="G463" s="416" t="str">
        <f>'Folha de cálculo'!E463</f>
        <v>5.3.4.2</v>
      </c>
      <c r="H463" s="416" t="str">
        <f>'Folha de cálculo'!F463</f>
        <v>entre ]5 e 15] anos</v>
      </c>
      <c r="I463" s="416"/>
      <c r="J463" s="438" t="str">
        <f>IF('Folha Oculta'!AX87&gt;0,'Folha Oculta'!AX87/'Folha Oculta'!AN88,"")</f>
        <v/>
      </c>
      <c r="K463" s="418" t="str">
        <f t="shared" si="204"/>
        <v/>
      </c>
      <c r="M463" s="418" t="str">
        <f t="shared" si="205"/>
        <v/>
      </c>
      <c r="N463"/>
      <c r="P463" s="418" t="str">
        <f t="shared" ref="P463:P465" si="206">IF(ISBLANK(M463),"",M463)</f>
        <v/>
      </c>
      <c r="Q463"/>
      <c r="S463" s="475"/>
      <c r="T463" s="475"/>
      <c r="U463" s="475"/>
      <c r="V463" s="475"/>
    </row>
    <row r="464" spans="4:22" outlineLevel="3" x14ac:dyDescent="0.25">
      <c r="D464"/>
      <c r="G464" s="416" t="str">
        <f>'Folha de cálculo'!E464</f>
        <v>5.3.4.3</v>
      </c>
      <c r="H464" s="416" t="str">
        <f>'Folha de cálculo'!F464</f>
        <v xml:space="preserve">há mais de 15 anos </v>
      </c>
      <c r="I464" s="416"/>
      <c r="J464" s="438" t="str">
        <f>IF('Folha Oculta'!AX88&gt;0,'Folha Oculta'!AX88/'Folha Oculta'!AN88,"")</f>
        <v/>
      </c>
      <c r="K464" s="418" t="str">
        <f t="shared" si="204"/>
        <v/>
      </c>
      <c r="M464" s="418" t="str">
        <f t="shared" si="205"/>
        <v/>
      </c>
      <c r="N464"/>
      <c r="P464" s="418" t="str">
        <f t="shared" si="206"/>
        <v/>
      </c>
      <c r="Q464"/>
      <c r="S464" s="475"/>
      <c r="T464" s="475"/>
      <c r="U464" s="475"/>
      <c r="V464" s="475"/>
    </row>
    <row r="465" spans="2:22" outlineLevel="3" x14ac:dyDescent="0.25">
      <c r="D465"/>
      <c r="G465" s="416" t="str">
        <f>'Folha de cálculo'!E465</f>
        <v>5.3.4.4</v>
      </c>
      <c r="H465" s="416" t="str">
        <f>'Folha de cálculo'!F465</f>
        <v>Não foi possível determinar (justifique)</v>
      </c>
      <c r="I465" s="416"/>
      <c r="J465" s="438">
        <f>IF(SUM(J462:J464)&lt;1,1-SUM(J462:J464),"")</f>
        <v>1</v>
      </c>
      <c r="K465" s="418">
        <f t="shared" si="204"/>
        <v>1</v>
      </c>
      <c r="M465" s="418">
        <f t="shared" si="205"/>
        <v>1</v>
      </c>
      <c r="N465"/>
      <c r="P465" s="418">
        <f t="shared" si="206"/>
        <v>1</v>
      </c>
      <c r="Q465"/>
      <c r="S465" s="475"/>
      <c r="T465" s="475"/>
      <c r="U465" s="475"/>
      <c r="V465" s="475"/>
    </row>
    <row r="466" spans="2:22" ht="15.75" outlineLevel="1" thickBot="1" x14ac:dyDescent="0.3">
      <c r="D466"/>
      <c r="J466" s="432"/>
      <c r="K466" s="432"/>
      <c r="M466" s="432"/>
      <c r="N466"/>
      <c r="P466" s="432"/>
      <c r="Q466"/>
      <c r="S466" s="476"/>
      <c r="T466" s="476"/>
      <c r="U466" s="476"/>
      <c r="V466" s="476"/>
    </row>
    <row r="467" spans="2:22" ht="15.75" outlineLevel="1" thickBot="1" x14ac:dyDescent="0.3">
      <c r="B467" s="405">
        <f>IF('Folha Oculta'!AN96=0,0,1)</f>
        <v>0</v>
      </c>
      <c r="D467"/>
      <c r="E467" s="8" t="str">
        <f>'Folha de cálculo'!C467</f>
        <v>5.4</v>
      </c>
      <c r="F467" s="8" t="str">
        <f>'Folha de cálculo'!D467</f>
        <v>Chuveiro</v>
      </c>
      <c r="G467" s="8"/>
      <c r="H467" s="8"/>
      <c r="I467" s="8"/>
      <c r="J467" s="403"/>
      <c r="K467" s="404"/>
      <c r="M467" s="403"/>
      <c r="N467"/>
      <c r="P467" s="403"/>
      <c r="Q467"/>
      <c r="S467" s="478"/>
      <c r="T467" s="479"/>
      <c r="U467" s="479"/>
      <c r="V467" s="480"/>
    </row>
    <row r="468" spans="2:22" outlineLevel="2" x14ac:dyDescent="0.25">
      <c r="B468"/>
      <c r="D468"/>
      <c r="F468" s="415" t="str">
        <f>'Folha de cálculo'!D468</f>
        <v>5.4.1</v>
      </c>
      <c r="G468" s="415" t="str">
        <f>'Folha de cálculo'!E468</f>
        <v>O dispositivo instalado integra um(a)…</v>
      </c>
      <c r="H468" s="415"/>
      <c r="I468" s="415"/>
      <c r="J468" s="425" t="s">
        <v>732</v>
      </c>
      <c r="K468" s="424" t="s">
        <v>732</v>
      </c>
      <c r="M468" s="425" t="s">
        <v>732</v>
      </c>
      <c r="N468"/>
      <c r="P468" s="425" t="s">
        <v>732</v>
      </c>
      <c r="Q468"/>
      <c r="S468" s="477"/>
      <c r="T468" s="477"/>
      <c r="U468" s="477"/>
      <c r="V468" s="477"/>
    </row>
    <row r="469" spans="2:22" outlineLevel="3" x14ac:dyDescent="0.25">
      <c r="B469"/>
      <c r="D469"/>
      <c r="G469" s="416" t="str">
        <f>'Folha de cálculo'!E469</f>
        <v>5.4.1.1</v>
      </c>
      <c r="H469" s="416" t="str">
        <f>'Folha de cálculo'!F469</f>
        <v>o dispositivo tem um certificado A ou superior emitido pela ANQIP ou Unified Water Label</v>
      </c>
      <c r="I469" s="416"/>
      <c r="J469" s="438" t="str">
        <f>IF('Folha Oculta'!AQ94&gt;0,'Folha Oculta'!AQ94/'Folha Oculta'!AN96,"")</f>
        <v/>
      </c>
      <c r="K469" s="418" t="str">
        <f>IF(ISBLANK(J469),"",J469)</f>
        <v/>
      </c>
      <c r="M469" s="418" t="str">
        <f>IF(ISBLANK(K469),"",K469)</f>
        <v/>
      </c>
      <c r="N469"/>
      <c r="P469" s="418" t="str">
        <f t="shared" ref="P469:P475" si="207">IF(ISBLANK(M469),"",M469)</f>
        <v/>
      </c>
      <c r="Q469"/>
      <c r="S469" s="475"/>
      <c r="T469" s="475"/>
      <c r="U469" s="475"/>
      <c r="V469" s="475"/>
    </row>
    <row r="470" spans="2:22" outlineLevel="3" x14ac:dyDescent="0.25">
      <c r="B470"/>
      <c r="D470"/>
      <c r="G470" s="416" t="str">
        <f>'Folha de cálculo'!E470</f>
        <v>5.4.1.2</v>
      </c>
      <c r="H470" s="416" t="str">
        <f>'Folha de cálculo'!F470</f>
        <v>redutor/regulador de caudal (inclui arejador)</v>
      </c>
      <c r="I470" s="416"/>
      <c r="J470" s="438" t="str">
        <f>IF('Folha Oculta'!AQ95&gt;0,'Folha Oculta'!AQ95/'Folha Oculta'!AN96,"")</f>
        <v/>
      </c>
      <c r="K470" s="418" t="str">
        <f t="shared" ref="K470:K475" si="208">IF(ISBLANK(J470),"",J470)</f>
        <v/>
      </c>
      <c r="M470" s="418" t="str">
        <f t="shared" ref="M470:M480" si="209">IF(ISBLANK(K470),"",K470)</f>
        <v/>
      </c>
      <c r="N470"/>
      <c r="P470" s="418" t="str">
        <f t="shared" si="207"/>
        <v/>
      </c>
      <c r="Q470"/>
      <c r="S470" s="475"/>
      <c r="T470" s="475"/>
      <c r="U470" s="475"/>
      <c r="V470" s="475"/>
    </row>
    <row r="471" spans="2:22" outlineLevel="3" x14ac:dyDescent="0.25">
      <c r="B471"/>
      <c r="D471"/>
      <c r="G471" s="416" t="str">
        <f>'Folha de cálculo'!E471</f>
        <v>5.4.1.3</v>
      </c>
      <c r="H471" s="416" t="str">
        <f>'Folha de cálculo'!F471</f>
        <v>torneira com posições fixas de caudal / eco-stop</v>
      </c>
      <c r="I471" s="416"/>
      <c r="J471" s="438" t="str">
        <f>IF('Folha Oculta'!AQ96&gt;0,'Folha Oculta'!AQ96/'Folha Oculta'!AN96,"")</f>
        <v/>
      </c>
      <c r="K471" s="418" t="str">
        <f t="shared" si="208"/>
        <v/>
      </c>
      <c r="M471" s="418" t="str">
        <f t="shared" si="209"/>
        <v/>
      </c>
      <c r="N471"/>
      <c r="P471" s="418" t="str">
        <f t="shared" si="207"/>
        <v/>
      </c>
      <c r="Q471"/>
      <c r="S471" s="475"/>
      <c r="T471" s="475"/>
      <c r="U471" s="475"/>
      <c r="V471" s="475"/>
    </row>
    <row r="472" spans="2:22" outlineLevel="3" x14ac:dyDescent="0.25">
      <c r="B472"/>
      <c r="D472"/>
      <c r="G472" s="416" t="str">
        <f>'Folha de cálculo'!E472</f>
        <v>5.4.1.4</v>
      </c>
      <c r="H472" s="416" t="str">
        <f>'Folha de cálculo'!F472</f>
        <v>torneira misturadora termostática</v>
      </c>
      <c r="I472" s="416"/>
      <c r="J472" s="438" t="str">
        <f>IF('Folha Oculta'!AQ97&gt;0,'Folha Oculta'!AQ97/'Folha Oculta'!AN96,"")</f>
        <v/>
      </c>
      <c r="K472" s="418" t="str">
        <f t="shared" si="208"/>
        <v/>
      </c>
      <c r="M472" s="418" t="str">
        <f t="shared" si="209"/>
        <v/>
      </c>
      <c r="N472"/>
      <c r="P472" s="418" t="str">
        <f t="shared" si="207"/>
        <v/>
      </c>
      <c r="Q472"/>
      <c r="S472" s="475"/>
      <c r="T472" s="475"/>
      <c r="U472" s="475"/>
      <c r="V472" s="475"/>
    </row>
    <row r="473" spans="2:22" outlineLevel="3" x14ac:dyDescent="0.25">
      <c r="B473"/>
      <c r="D473"/>
      <c r="G473" s="416" t="str">
        <f>'Folha de cálculo'!E473</f>
        <v>5.4.1.5</v>
      </c>
      <c r="H473" s="416" t="str">
        <f>'Folha de cálculo'!F473</f>
        <v>torneira temporizada/com sensor</v>
      </c>
      <c r="I473" s="416"/>
      <c r="J473" s="438" t="str">
        <f>IF('Folha Oculta'!AQ98&gt;0,'Folha Oculta'!AQ98/'Folha Oculta'!AN96,"")</f>
        <v/>
      </c>
      <c r="K473" s="418" t="str">
        <f t="shared" si="208"/>
        <v/>
      </c>
      <c r="M473" s="418" t="str">
        <f>IF(ISBLANK(K473),"",K473)</f>
        <v/>
      </c>
      <c r="N473"/>
      <c r="P473" s="418" t="str">
        <f t="shared" si="207"/>
        <v/>
      </c>
      <c r="Q473"/>
      <c r="S473" s="475"/>
      <c r="T473" s="475"/>
      <c r="U473" s="475"/>
      <c r="V473" s="475"/>
    </row>
    <row r="474" spans="2:22" outlineLevel="3" x14ac:dyDescent="0.25">
      <c r="B474"/>
      <c r="D474"/>
      <c r="G474" s="416" t="str">
        <f>'Folha de cálculo'!E474</f>
        <v>5.4.1.6</v>
      </c>
      <c r="H474" s="416" t="str">
        <f>'Folha de cálculo'!F474</f>
        <v>Nenhuma das opções anteriores</v>
      </c>
      <c r="I474" s="416"/>
      <c r="J474" s="438" t="str">
        <f>IF('Folha Oculta'!AQ99&gt;0,'Folha Oculta'!AQ99/'Folha Oculta'!AN96,"")</f>
        <v/>
      </c>
      <c r="K474" s="418" t="str">
        <f>IF(ISBLANK(J474),"",J474)</f>
        <v/>
      </c>
      <c r="M474" s="418" t="str">
        <f t="shared" si="209"/>
        <v/>
      </c>
      <c r="N474"/>
      <c r="P474" s="418" t="str">
        <f t="shared" si="207"/>
        <v/>
      </c>
      <c r="Q474"/>
      <c r="S474" s="475"/>
      <c r="T474" s="475"/>
      <c r="U474" s="475"/>
      <c r="V474" s="475"/>
    </row>
    <row r="475" spans="2:22" outlineLevel="3" x14ac:dyDescent="0.25">
      <c r="B475"/>
      <c r="D475"/>
      <c r="G475" s="416" t="str">
        <f>'Folha de cálculo'!E475</f>
        <v>5.4.1.7</v>
      </c>
      <c r="H475" s="416" t="str">
        <f>'Folha de cálculo'!F475</f>
        <v>Não foi possível determinar (justifique)</v>
      </c>
      <c r="I475" s="416"/>
      <c r="J475" s="438" t="str">
        <f>IF('Folha Oculta'!AQ100&gt;0,'Folha Oculta'!AQ100/'Folha Oculta'!AN96,"")</f>
        <v/>
      </c>
      <c r="K475" s="418" t="str">
        <f t="shared" si="208"/>
        <v/>
      </c>
      <c r="M475" s="418" t="str">
        <f>IF(ISBLANK(K475),"",K475)</f>
        <v/>
      </c>
      <c r="N475"/>
      <c r="P475" s="418" t="str">
        <f t="shared" si="207"/>
        <v/>
      </c>
      <c r="Q475"/>
      <c r="S475" s="475"/>
      <c r="T475" s="475"/>
      <c r="U475" s="475"/>
      <c r="V475" s="475"/>
    </row>
    <row r="476" spans="2:22" outlineLevel="2" x14ac:dyDescent="0.25">
      <c r="B476"/>
      <c r="D476"/>
      <c r="F476" s="415" t="str">
        <f>'Folha de cálculo'!D476</f>
        <v>5.4.2</v>
      </c>
      <c r="G476" s="415" t="str">
        <f>'Folha de cálculo'!E476</f>
        <v xml:space="preserve">O caudal do dispositivo em abertura máxima para água fria é...  </v>
      </c>
      <c r="H476" s="415"/>
      <c r="I476" s="415"/>
      <c r="J476" s="425" t="s">
        <v>731</v>
      </c>
      <c r="K476" s="424" t="s">
        <v>731</v>
      </c>
      <c r="M476" s="425" t="s">
        <v>731</v>
      </c>
      <c r="N476"/>
      <c r="P476" s="425" t="s">
        <v>731</v>
      </c>
      <c r="Q476"/>
      <c r="S476" s="477"/>
      <c r="T476" s="477"/>
      <c r="U476" s="477"/>
      <c r="V476" s="477"/>
    </row>
    <row r="477" spans="2:22" outlineLevel="3" x14ac:dyDescent="0.25">
      <c r="B477"/>
      <c r="D477"/>
      <c r="G477" s="416" t="str">
        <f>'Folha de cálculo'!E477</f>
        <v>5.4.2.1</v>
      </c>
      <c r="H477" s="416" t="str">
        <f>'Folha de cálculo'!F477</f>
        <v>igual ou inferior a 7 litros/min</v>
      </c>
      <c r="I477" s="416"/>
      <c r="J477" s="438" t="str">
        <f>IF('Folha Oculta'!AS94&gt;0,'Folha Oculta'!AS94/'Folha Oculta'!AN96,"")</f>
        <v/>
      </c>
      <c r="K477" s="418" t="str">
        <f>IF(ISBLANK(J477),"",J477)</f>
        <v/>
      </c>
      <c r="M477" s="418" t="str">
        <f>IF(ISBLANK(K477),"",K477)</f>
        <v/>
      </c>
      <c r="N477"/>
      <c r="P477" s="418" t="str">
        <f>IF(ISBLANK(M477),"",M477)</f>
        <v/>
      </c>
      <c r="Q477"/>
      <c r="S477" s="475"/>
      <c r="T477" s="475"/>
      <c r="U477" s="475"/>
      <c r="V477" s="475"/>
    </row>
    <row r="478" spans="2:22" outlineLevel="3" x14ac:dyDescent="0.25">
      <c r="B478"/>
      <c r="D478"/>
      <c r="G478" s="416" t="str">
        <f>'Folha de cálculo'!E478</f>
        <v>5.4.2.2</v>
      </c>
      <c r="H478" s="416" t="str">
        <f>'Folha de cálculo'!F478</f>
        <v>entre ]7 e 9] litros/min</v>
      </c>
      <c r="I478" s="416"/>
      <c r="J478" s="438" t="str">
        <f>IF('Folha Oculta'!AS95&gt;0,'Folha Oculta'!AS95/'Folha Oculta'!AN96,"")</f>
        <v/>
      </c>
      <c r="K478" s="418" t="str">
        <f t="shared" ref="K478:K479" si="210">IF(ISBLANK(J478),"",J478)</f>
        <v/>
      </c>
      <c r="M478" s="418" t="str">
        <f t="shared" si="209"/>
        <v/>
      </c>
      <c r="N478"/>
      <c r="P478" s="418" t="str">
        <f>IF(ISBLANK(M478),"",M478)</f>
        <v/>
      </c>
      <c r="Q478"/>
      <c r="S478" s="475"/>
      <c r="T478" s="475"/>
      <c r="U478" s="475"/>
      <c r="V478" s="475"/>
    </row>
    <row r="479" spans="2:22" outlineLevel="3" x14ac:dyDescent="0.25">
      <c r="B479"/>
      <c r="D479"/>
      <c r="G479" s="416" t="str">
        <f>'Folha de cálculo'!E479</f>
        <v>5.4.2.3</v>
      </c>
      <c r="H479" s="416" t="str">
        <f>'Folha de cálculo'!F479</f>
        <v>entre ]9 e 15] litros/min</v>
      </c>
      <c r="I479" s="416"/>
      <c r="J479" s="438" t="str">
        <f>IF('Folha Oculta'!AS96&gt;0,'Folha Oculta'!AS96/'Folha Oculta'!AN96,"")</f>
        <v/>
      </c>
      <c r="K479" s="418" t="str">
        <f t="shared" si="210"/>
        <v/>
      </c>
      <c r="M479" s="418" t="str">
        <f>IF(ISBLANK(K479),"",K479)</f>
        <v/>
      </c>
      <c r="N479"/>
      <c r="P479" s="418" t="str">
        <f t="shared" ref="P479" si="211">IF(ISBLANK(M479),"",M479)</f>
        <v/>
      </c>
      <c r="Q479"/>
      <c r="S479" s="475"/>
      <c r="T479" s="475"/>
      <c r="U479" s="475"/>
      <c r="V479" s="475"/>
    </row>
    <row r="480" spans="2:22" outlineLevel="3" x14ac:dyDescent="0.25">
      <c r="B480"/>
      <c r="D480"/>
      <c r="G480" s="416" t="str">
        <f>'Folha de cálculo'!E480</f>
        <v>5.4.2.4</v>
      </c>
      <c r="H480" s="416" t="str">
        <f>'Folha de cálculo'!F480</f>
        <v>superior a 15 litros/min</v>
      </c>
      <c r="I480" s="416"/>
      <c r="J480" s="438" t="str">
        <f>IF('Folha Oculta'!AS97&gt;0,'Folha Oculta'!AS97/'Folha Oculta'!AN96,"")</f>
        <v/>
      </c>
      <c r="K480" s="418" t="str">
        <f>IF(ISBLANK(J480),"",J480)</f>
        <v/>
      </c>
      <c r="M480" s="418" t="str">
        <f t="shared" si="209"/>
        <v/>
      </c>
      <c r="N480"/>
      <c r="P480" s="418" t="str">
        <f>IF(ISBLANK(M480),"",M480)</f>
        <v/>
      </c>
      <c r="Q480"/>
      <c r="S480" s="475"/>
      <c r="T480" s="475"/>
      <c r="U480" s="475"/>
      <c r="V480" s="475"/>
    </row>
    <row r="481" spans="2:22" outlineLevel="3" x14ac:dyDescent="0.25">
      <c r="B481"/>
      <c r="D481"/>
      <c r="G481" s="416" t="str">
        <f>'Folha de cálculo'!E481</f>
        <v>5.4.2.5</v>
      </c>
      <c r="H481" s="416" t="str">
        <f>'Folha de cálculo'!F481</f>
        <v>Não foi possível determinar (justifique)</v>
      </c>
      <c r="I481" s="416"/>
      <c r="J481" s="438">
        <f>IF(SUM(J477:J480)&lt;1,1-SUM(J477:J480),"")</f>
        <v>1</v>
      </c>
      <c r="K481" s="418">
        <f>IF(ISBLANK(J481),"",J481)</f>
        <v>1</v>
      </c>
      <c r="M481" s="418">
        <f>IF(ISBLANK(K481),"",K481)</f>
        <v>1</v>
      </c>
      <c r="N481"/>
      <c r="P481" s="418">
        <f>IF(ISBLANK(M481),"",M481)</f>
        <v>1</v>
      </c>
      <c r="Q481"/>
      <c r="S481" s="475"/>
      <c r="T481" s="475"/>
      <c r="U481" s="475"/>
      <c r="V481" s="475"/>
    </row>
    <row r="482" spans="2:22" outlineLevel="2" x14ac:dyDescent="0.25">
      <c r="B482"/>
      <c r="D482"/>
      <c r="F482" s="415" t="str">
        <f>'Folha de cálculo'!D482</f>
        <v>5.4.3</v>
      </c>
      <c r="G482" s="415" t="str">
        <f>'Folha de cálculo'!E482</f>
        <v>O dispositivo instalado…</v>
      </c>
      <c r="H482" s="415"/>
      <c r="I482" s="415"/>
      <c r="J482" s="425" t="s">
        <v>731</v>
      </c>
      <c r="K482" s="424" t="s">
        <v>731</v>
      </c>
      <c r="M482" s="425" t="s">
        <v>731</v>
      </c>
      <c r="N482"/>
      <c r="P482" s="425" t="s">
        <v>731</v>
      </c>
      <c r="Q482"/>
      <c r="S482" s="477"/>
      <c r="T482" s="477"/>
      <c r="U482" s="477"/>
      <c r="V482" s="477"/>
    </row>
    <row r="483" spans="2:22" outlineLevel="3" x14ac:dyDescent="0.25">
      <c r="B483"/>
      <c r="D483"/>
      <c r="G483" s="416" t="str">
        <f>'Folha de cálculo'!E483</f>
        <v>5.4.3.1</v>
      </c>
      <c r="H483" s="416" t="str">
        <f>'Folha de cálculo'!F483</f>
        <v>não apresenta indícios de fuga</v>
      </c>
      <c r="I483" s="416"/>
      <c r="J483" s="438" t="str">
        <f>IF('Folha Oculta'!AV94&gt;0,'Folha Oculta'!AV94/'Folha Oculta'!AN96,"")</f>
        <v/>
      </c>
      <c r="K483" s="418" t="str">
        <f>IF(ISBLANK(J483),"",J483)</f>
        <v/>
      </c>
      <c r="M483" s="418" t="str">
        <f>IF(ISBLANK(K483),"",K483)</f>
        <v/>
      </c>
      <c r="N483"/>
      <c r="P483" s="418" t="str">
        <f>IF(ISBLANK(M483),"",M483)</f>
        <v/>
      </c>
      <c r="Q483"/>
      <c r="S483" s="475"/>
      <c r="T483" s="475"/>
      <c r="U483" s="475"/>
      <c r="V483" s="475"/>
    </row>
    <row r="484" spans="2:22" outlineLevel="3" x14ac:dyDescent="0.25">
      <c r="B484"/>
      <c r="D484"/>
      <c r="G484" s="416" t="str">
        <f>'Folha de cálculo'!E484</f>
        <v>5.4.3.2</v>
      </c>
      <c r="H484" s="416" t="str">
        <f>'Folha de cálculo'!F484</f>
        <v>apresenta indícios de fuga (justifique)</v>
      </c>
      <c r="I484" s="416"/>
      <c r="J484" s="438" t="str">
        <f>IF('Folha Oculta'!AV95&gt;0,'Folha Oculta'!AV95/'Folha Oculta'!AN96,"")</f>
        <v/>
      </c>
      <c r="K484" s="418" t="str">
        <f t="shared" ref="K484:K486" si="212">IF(ISBLANK(J484),"",J484)</f>
        <v/>
      </c>
      <c r="M484" s="418" t="str">
        <f>IF(ISBLANK(K484),"",K484)</f>
        <v/>
      </c>
      <c r="N484"/>
      <c r="P484" s="418" t="str">
        <f t="shared" ref="P484" si="213">IF(ISBLANK(M484),"",M484)</f>
        <v/>
      </c>
      <c r="Q484"/>
      <c r="S484" s="475"/>
      <c r="T484" s="475"/>
      <c r="U484" s="475"/>
      <c r="V484" s="475"/>
    </row>
    <row r="485" spans="2:22" outlineLevel="3" x14ac:dyDescent="0.25">
      <c r="B485"/>
      <c r="D485"/>
      <c r="G485" s="416" t="str">
        <f>'Folha de cálculo'!E485</f>
        <v>5.4.3.3</v>
      </c>
      <c r="H485" s="416" t="str">
        <f>'Folha de cálculo'!F485</f>
        <v>apresenta evidências de fuga</v>
      </c>
      <c r="I485" s="416"/>
      <c r="J485" s="438" t="str">
        <f>IF('Folha Oculta'!AV96&gt;0,'Folha Oculta'!AV96/'Folha Oculta'!AN96,"")</f>
        <v/>
      </c>
      <c r="K485" s="418" t="str">
        <f t="shared" si="212"/>
        <v/>
      </c>
      <c r="M485" s="418" t="str">
        <f t="shared" ref="M485" si="214">IF(ISBLANK(K485),"",K485)</f>
        <v/>
      </c>
      <c r="N485"/>
      <c r="P485" s="418" t="str">
        <f>IF(ISBLANK(M485),"",M485)</f>
        <v/>
      </c>
      <c r="Q485"/>
      <c r="S485" s="475"/>
      <c r="T485" s="475"/>
      <c r="U485" s="475"/>
      <c r="V485" s="475"/>
    </row>
    <row r="486" spans="2:22" outlineLevel="3" x14ac:dyDescent="0.25">
      <c r="B486"/>
      <c r="D486"/>
      <c r="G486" s="416" t="str">
        <f>'Folha de cálculo'!E486</f>
        <v>5.4.3.4</v>
      </c>
      <c r="H486" s="416" t="str">
        <f>'Folha de cálculo'!F486</f>
        <v>Não foi possível determinar (justifique)</v>
      </c>
      <c r="I486" s="416"/>
      <c r="J486" s="438">
        <f>IF(SUM(J483:J485)&lt;1,1-SUM(J483:J485),"")</f>
        <v>1</v>
      </c>
      <c r="K486" s="418">
        <f t="shared" si="212"/>
        <v>1</v>
      </c>
      <c r="M486" s="418">
        <f>IF(ISBLANK(K486),"",K486)</f>
        <v>1</v>
      </c>
      <c r="N486"/>
      <c r="P486" s="418">
        <f>IF(ISBLANK(M486),"",M486)</f>
        <v>1</v>
      </c>
      <c r="Q486"/>
      <c r="S486" s="475"/>
      <c r="T486" s="475"/>
      <c r="U486" s="475"/>
      <c r="V486" s="475"/>
    </row>
    <row r="487" spans="2:22" outlineLevel="2" x14ac:dyDescent="0.25">
      <c r="B487"/>
      <c r="D487"/>
      <c r="F487" s="415" t="str">
        <f>'Folha de cálculo'!D487</f>
        <v>5.4.4</v>
      </c>
      <c r="G487" s="415" t="str">
        <f>'Folha de cálculo'!E487</f>
        <v>O dispositivo foi instalado…</v>
      </c>
      <c r="H487" s="415"/>
      <c r="I487" s="415"/>
      <c r="J487" s="425" t="s">
        <v>731</v>
      </c>
      <c r="K487" s="424" t="s">
        <v>731</v>
      </c>
      <c r="M487" s="425" t="s">
        <v>731</v>
      </c>
      <c r="N487"/>
      <c r="P487" s="425" t="s">
        <v>731</v>
      </c>
      <c r="Q487"/>
      <c r="S487" s="477"/>
      <c r="T487" s="477"/>
      <c r="U487" s="477"/>
      <c r="V487" s="477"/>
    </row>
    <row r="488" spans="2:22" outlineLevel="3" x14ac:dyDescent="0.25">
      <c r="B488"/>
      <c r="D488"/>
      <c r="G488" s="416" t="str">
        <f>'Folha de cálculo'!E488</f>
        <v>5.4.4.1</v>
      </c>
      <c r="H488" s="416" t="str">
        <f>'Folha de cálculo'!F488</f>
        <v>há 5 ou menos anos</v>
      </c>
      <c r="I488" s="416"/>
      <c r="J488" s="438" t="str">
        <f>IF('Folha Oculta'!AX94&gt;0,'Folha Oculta'!AX94/'Folha Oculta'!AN96,"")</f>
        <v/>
      </c>
      <c r="K488" s="418" t="str">
        <f>IF(ISBLANK(J488),"",J488)</f>
        <v/>
      </c>
      <c r="M488" s="418" t="str">
        <f>IF(ISBLANK(K488),"",K488)</f>
        <v/>
      </c>
      <c r="N488"/>
      <c r="P488" s="418" t="str">
        <f>IF(ISBLANK(M488),"",M488)</f>
        <v/>
      </c>
      <c r="Q488"/>
      <c r="S488" s="475"/>
      <c r="T488" s="475"/>
      <c r="U488" s="475"/>
      <c r="V488" s="475"/>
    </row>
    <row r="489" spans="2:22" outlineLevel="3" x14ac:dyDescent="0.25">
      <c r="D489"/>
      <c r="G489" s="416" t="str">
        <f>'Folha de cálculo'!E489</f>
        <v>5.4.4.2</v>
      </c>
      <c r="H489" s="416" t="str">
        <f>'Folha de cálculo'!F489</f>
        <v>entre ]5 e 15] anos</v>
      </c>
      <c r="I489" s="416"/>
      <c r="J489" s="438" t="str">
        <f>IF('Folha Oculta'!AX95&gt;0,'Folha Oculta'!AX95/'Folha Oculta'!AN96,"")</f>
        <v/>
      </c>
      <c r="K489" s="418" t="str">
        <f t="shared" ref="K489:K491" si="215">IF(ISBLANK(J489),"",J489)</f>
        <v/>
      </c>
      <c r="M489" s="418" t="str">
        <f>IF(ISBLANK(K489),"",K489)</f>
        <v/>
      </c>
      <c r="N489"/>
      <c r="P489" s="418" t="str">
        <f t="shared" ref="P489" si="216">IF(ISBLANK(M489),"",M489)</f>
        <v/>
      </c>
      <c r="Q489"/>
      <c r="S489" s="475"/>
      <c r="T489" s="475"/>
      <c r="U489" s="475"/>
      <c r="V489" s="475"/>
    </row>
    <row r="490" spans="2:22" outlineLevel="3" x14ac:dyDescent="0.25">
      <c r="D490"/>
      <c r="G490" s="416" t="str">
        <f>'Folha de cálculo'!E490</f>
        <v>5.4.4.3</v>
      </c>
      <c r="H490" s="416" t="str">
        <f>'Folha de cálculo'!F490</f>
        <v>há mais de 15 anos</v>
      </c>
      <c r="I490" s="416"/>
      <c r="J490" s="438" t="str">
        <f>IF('Folha Oculta'!AX96&gt;0,'Folha Oculta'!AX96/'Folha Oculta'!AN96,"")</f>
        <v/>
      </c>
      <c r="K490" s="418" t="str">
        <f t="shared" si="215"/>
        <v/>
      </c>
      <c r="M490" s="418" t="str">
        <f>IF(ISBLANK(K490),"",K490)</f>
        <v/>
      </c>
      <c r="N490"/>
      <c r="P490" s="418" t="str">
        <f>IF(ISBLANK(M490),"",M490)</f>
        <v/>
      </c>
      <c r="Q490"/>
      <c r="S490" s="475"/>
      <c r="T490" s="475"/>
      <c r="U490" s="475"/>
      <c r="V490" s="475"/>
    </row>
    <row r="491" spans="2:22" outlineLevel="3" x14ac:dyDescent="0.25">
      <c r="D491"/>
      <c r="G491" s="416" t="str">
        <f>'Folha de cálculo'!E491</f>
        <v>5.4.4.4</v>
      </c>
      <c r="H491" s="416" t="str">
        <f>'Folha de cálculo'!F491</f>
        <v>Não foi possível determinar (justifique)</v>
      </c>
      <c r="I491" s="416"/>
      <c r="J491" s="438">
        <f>IF(SUM(J488:J490)&lt;1,1-SUM(J488:J490),"")</f>
        <v>1</v>
      </c>
      <c r="K491" s="418">
        <f t="shared" si="215"/>
        <v>1</v>
      </c>
      <c r="M491" s="418">
        <f t="shared" ref="M491" si="217">IF(ISBLANK(K491),"",K491)</f>
        <v>1</v>
      </c>
      <c r="N491"/>
      <c r="P491" s="418">
        <f>IF(ISBLANK(M491),"",M491)</f>
        <v>1</v>
      </c>
      <c r="Q491"/>
      <c r="S491" s="475"/>
      <c r="T491" s="475"/>
      <c r="U491" s="475"/>
      <c r="V491" s="475"/>
    </row>
    <row r="492" spans="2:22" outlineLevel="1" x14ac:dyDescent="0.25">
      <c r="J492" s="432"/>
      <c r="K492" s="452"/>
      <c r="M492" s="432"/>
      <c r="N492"/>
      <c r="P492" s="432"/>
      <c r="Q492"/>
      <c r="S492" s="476"/>
      <c r="T492" s="476"/>
      <c r="U492" s="476"/>
      <c r="V492" s="476"/>
    </row>
    <row r="493" spans="2:22" x14ac:dyDescent="0.25">
      <c r="D493" s="7">
        <f>'Folha de cálculo'!B493</f>
        <v>6</v>
      </c>
      <c r="E493" s="398" t="str">
        <f>'Folha de cálculo'!C493</f>
        <v>Cozinha e restauração</v>
      </c>
      <c r="F493" s="398"/>
      <c r="G493" s="398"/>
      <c r="H493" s="398"/>
      <c r="I493" s="398"/>
      <c r="J493" s="399"/>
      <c r="K493" s="399"/>
      <c r="M493" s="399"/>
      <c r="N493"/>
      <c r="P493" s="399"/>
      <c r="Q493"/>
      <c r="S493" s="489"/>
      <c r="T493" s="489"/>
      <c r="U493" s="489"/>
      <c r="V493" s="489"/>
    </row>
    <row r="494" spans="2:22" ht="15.75" thickBot="1" x14ac:dyDescent="0.3">
      <c r="D494"/>
      <c r="J494" s="432"/>
      <c r="K494" s="432"/>
      <c r="M494" s="432"/>
      <c r="N494"/>
      <c r="P494" s="432"/>
      <c r="Q494"/>
      <c r="S494" s="476"/>
      <c r="T494" s="476"/>
      <c r="U494" s="476"/>
      <c r="V494" s="476"/>
    </row>
    <row r="495" spans="2:22" ht="15.75" outlineLevel="1" thickBot="1" x14ac:dyDescent="0.3">
      <c r="B495" s="405">
        <f>IF('Folha Oculta'!AO19=0,0,1)</f>
        <v>0</v>
      </c>
      <c r="E495" s="8" t="str">
        <f>'Folha de cálculo'!C495</f>
        <v>6.1</v>
      </c>
      <c r="F495" s="8" t="str">
        <f>'Folha de cálculo'!D495</f>
        <v>Torneira de lava-loiça</v>
      </c>
      <c r="G495" s="8"/>
      <c r="H495" s="8"/>
      <c r="I495" s="8"/>
      <c r="J495" s="403"/>
      <c r="K495" s="404"/>
      <c r="M495" s="403"/>
      <c r="N495"/>
      <c r="P495" s="403"/>
      <c r="Q495"/>
      <c r="S495" s="478"/>
      <c r="T495" s="479"/>
      <c r="U495" s="479"/>
      <c r="V495" s="480"/>
    </row>
    <row r="496" spans="2:22" outlineLevel="2" x14ac:dyDescent="0.25">
      <c r="B496"/>
      <c r="F496" s="415" t="str">
        <f>'Folha de cálculo'!D496</f>
        <v>6.1.1</v>
      </c>
      <c r="G496" s="415" t="str">
        <f>'Folha de cálculo'!E496</f>
        <v>O dispositivo instalado dispõe de…</v>
      </c>
      <c r="H496" s="415"/>
      <c r="I496" s="415"/>
      <c r="J496" s="425" t="s">
        <v>732</v>
      </c>
      <c r="K496" s="424" t="s">
        <v>732</v>
      </c>
      <c r="M496" s="425" t="s">
        <v>732</v>
      </c>
      <c r="N496"/>
      <c r="P496" s="425" t="s">
        <v>732</v>
      </c>
      <c r="Q496"/>
      <c r="S496" s="477"/>
      <c r="T496" s="477"/>
      <c r="U496" s="477"/>
      <c r="V496" s="477"/>
    </row>
    <row r="497" spans="2:22" outlineLevel="3" x14ac:dyDescent="0.25">
      <c r="B497"/>
      <c r="G497" s="416" t="str">
        <f>'Folha de cálculo'!E497</f>
        <v>6.1.1.1</v>
      </c>
      <c r="H497" s="416" t="str">
        <f>'Folha de cálculo'!F497</f>
        <v>redutor/regulador de caudal (inclui arejador)</v>
      </c>
      <c r="I497" s="416"/>
      <c r="J497" s="438" t="str">
        <f>IF('Folha Oculta'!AR18&gt;0,'Folha Oculta'!AR18/'Folha Oculta'!AO19,"")</f>
        <v/>
      </c>
      <c r="K497" s="418" t="str">
        <f t="shared" ref="K497:K502" si="218">IF(ISBLANK(J497),"",J497)</f>
        <v/>
      </c>
      <c r="M497" s="418" t="str">
        <f>IF(ISBLANK(K497),"",K497)</f>
        <v/>
      </c>
      <c r="N497"/>
      <c r="P497" s="418" t="str">
        <f>IF(ISBLANK(M497),"",M497)</f>
        <v/>
      </c>
      <c r="Q497"/>
      <c r="S497" s="475"/>
      <c r="T497" s="475"/>
      <c r="U497" s="475"/>
      <c r="V497" s="475"/>
    </row>
    <row r="498" spans="2:22" outlineLevel="3" x14ac:dyDescent="0.25">
      <c r="B498"/>
      <c r="G498" s="416" t="str">
        <f>'Folha de cálculo'!E498</f>
        <v>6.1.1.2</v>
      </c>
      <c r="H498" s="416" t="str">
        <f>'Folha de cálculo'!F498</f>
        <v>torneira com posições fixas de caudal / eco-stop</v>
      </c>
      <c r="I498" s="416"/>
      <c r="J498" s="438" t="str">
        <f>IF('Folha Oculta'!AR19&gt;0,'Folha Oculta'!AR19/'Folha Oculta'!AO19,"")</f>
        <v/>
      </c>
      <c r="K498" s="418" t="str">
        <f t="shared" si="218"/>
        <v/>
      </c>
      <c r="M498" s="418" t="str">
        <f t="shared" ref="M498:M502" si="219">IF(ISBLANK(K498),"",K498)</f>
        <v/>
      </c>
      <c r="N498"/>
      <c r="P498" s="418" t="str">
        <f t="shared" ref="P498:P502" si="220">IF(ISBLANK(M498),"",M498)</f>
        <v/>
      </c>
      <c r="Q498"/>
      <c r="S498" s="475"/>
      <c r="T498" s="475"/>
      <c r="U498" s="475"/>
      <c r="V498" s="475"/>
    </row>
    <row r="499" spans="2:22" outlineLevel="3" x14ac:dyDescent="0.25">
      <c r="B499"/>
      <c r="G499" s="416" t="str">
        <f>'Folha de cálculo'!E499</f>
        <v>6.1.1.3</v>
      </c>
      <c r="H499" s="416" t="str">
        <f>'Folha de cálculo'!F499</f>
        <v>torneira misturadora termostática</v>
      </c>
      <c r="I499" s="416"/>
      <c r="J499" s="438" t="str">
        <f>IF('Folha Oculta'!AR20&gt;0,'Folha Oculta'!AR20/'Folha Oculta'!AO19,"")</f>
        <v/>
      </c>
      <c r="K499" s="418" t="str">
        <f t="shared" si="218"/>
        <v/>
      </c>
      <c r="M499" s="418" t="str">
        <f t="shared" si="219"/>
        <v/>
      </c>
      <c r="N499"/>
      <c r="P499" s="418" t="str">
        <f t="shared" si="220"/>
        <v/>
      </c>
      <c r="Q499"/>
      <c r="S499" s="475"/>
      <c r="T499" s="475"/>
      <c r="U499" s="475"/>
      <c r="V499" s="475"/>
    </row>
    <row r="500" spans="2:22" outlineLevel="3" x14ac:dyDescent="0.25">
      <c r="B500"/>
      <c r="G500" s="416" t="str">
        <f>'Folha de cálculo'!E500</f>
        <v>6.1.1.4</v>
      </c>
      <c r="H500" s="416" t="str">
        <f>'Folha de cálculo'!F500</f>
        <v>torneira temporizada/com sensor</v>
      </c>
      <c r="I500" s="416"/>
      <c r="J500" s="438" t="str">
        <f>IF('Folha Oculta'!AR21&gt;0,'Folha Oculta'!AR21/'Folha Oculta'!AO19,"")</f>
        <v/>
      </c>
      <c r="K500" s="418" t="str">
        <f t="shared" si="218"/>
        <v/>
      </c>
      <c r="M500" s="418" t="str">
        <f t="shared" si="219"/>
        <v/>
      </c>
      <c r="N500"/>
      <c r="P500" s="418" t="str">
        <f t="shared" si="220"/>
        <v/>
      </c>
      <c r="Q500"/>
      <c r="S500" s="475"/>
      <c r="T500" s="475"/>
      <c r="U500" s="475"/>
      <c r="V500" s="475"/>
    </row>
    <row r="501" spans="2:22" outlineLevel="3" x14ac:dyDescent="0.25">
      <c r="B501"/>
      <c r="G501" s="416" t="str">
        <f>'Folha de cálculo'!E501</f>
        <v>6.1.1.5</v>
      </c>
      <c r="H501" s="416" t="str">
        <f>'Folha de cálculo'!F501</f>
        <v>Nenhuma das opções anteriores</v>
      </c>
      <c r="I501" s="416"/>
      <c r="J501" s="438" t="str">
        <f>IF('Folha Oculta'!AR22&gt;0,'Folha Oculta'!AR22/'Folha Oculta'!AO19,"")</f>
        <v/>
      </c>
      <c r="K501" s="418" t="str">
        <f t="shared" si="218"/>
        <v/>
      </c>
      <c r="M501" s="418" t="str">
        <f t="shared" si="219"/>
        <v/>
      </c>
      <c r="N501"/>
      <c r="P501" s="418" t="str">
        <f t="shared" si="220"/>
        <v/>
      </c>
      <c r="Q501"/>
      <c r="S501" s="475"/>
      <c r="T501" s="475"/>
      <c r="U501" s="475"/>
      <c r="V501" s="475"/>
    </row>
    <row r="502" spans="2:22" outlineLevel="3" x14ac:dyDescent="0.25">
      <c r="B502"/>
      <c r="G502" s="416" t="str">
        <f>'Folha de cálculo'!E502</f>
        <v>6.1.1.6</v>
      </c>
      <c r="H502" s="416" t="str">
        <f>'Folha de cálculo'!F502</f>
        <v>Não foi possível determinar (justifique)</v>
      </c>
      <c r="I502" s="416"/>
      <c r="J502" s="438" t="str">
        <f>IF('Folha Oculta'!AR23&gt;0,'Folha Oculta'!AR23/'Folha Oculta'!AO19,"")</f>
        <v/>
      </c>
      <c r="K502" s="418" t="str">
        <f t="shared" si="218"/>
        <v/>
      </c>
      <c r="M502" s="418" t="str">
        <f t="shared" si="219"/>
        <v/>
      </c>
      <c r="N502"/>
      <c r="P502" s="418" t="str">
        <f t="shared" si="220"/>
        <v/>
      </c>
      <c r="Q502"/>
      <c r="S502" s="475"/>
      <c r="T502" s="475"/>
      <c r="U502" s="475"/>
      <c r="V502" s="475"/>
    </row>
    <row r="503" spans="2:22" outlineLevel="2" x14ac:dyDescent="0.25">
      <c r="B503"/>
      <c r="F503" s="415" t="str">
        <f>'Folha de cálculo'!D503</f>
        <v>6.1.2</v>
      </c>
      <c r="G503" s="415" t="str">
        <f>'Folha de cálculo'!E503</f>
        <v xml:space="preserve">O caudal do dispositivo em abertura máxima para água fria é...  </v>
      </c>
      <c r="H503" s="415"/>
      <c r="I503" s="415"/>
      <c r="J503" s="425" t="s">
        <v>731</v>
      </c>
      <c r="K503" s="424" t="s">
        <v>731</v>
      </c>
      <c r="M503" s="425" t="s">
        <v>731</v>
      </c>
      <c r="N503"/>
      <c r="P503" s="425" t="s">
        <v>731</v>
      </c>
      <c r="Q503"/>
      <c r="S503" s="477"/>
      <c r="T503" s="477"/>
      <c r="U503" s="477"/>
      <c r="V503" s="477"/>
    </row>
    <row r="504" spans="2:22" outlineLevel="3" x14ac:dyDescent="0.25">
      <c r="B504"/>
      <c r="G504" s="416" t="str">
        <f>'Folha de cálculo'!E504</f>
        <v>6.1.2.1</v>
      </c>
      <c r="H504" s="416" t="str">
        <f>'Folha de cálculo'!F504</f>
        <v>igual ou inferior 8 litros/min</v>
      </c>
      <c r="I504" s="416"/>
      <c r="J504" s="438" t="str">
        <f>IF('Folha Oculta'!AU18&gt;0,'Folha Oculta'!AU18/'Folha Oculta'!AO19,"")</f>
        <v/>
      </c>
      <c r="K504" s="418" t="str">
        <f t="shared" ref="K504:K507" si="221">IF(ISBLANK(J504),"",J504)</f>
        <v/>
      </c>
      <c r="M504" s="418" t="str">
        <f>IF(ISBLANK(K504),"",K504)</f>
        <v/>
      </c>
      <c r="N504"/>
      <c r="P504" s="418" t="str">
        <f>IF(ISBLANK(M504),"",M504)</f>
        <v/>
      </c>
      <c r="Q504"/>
      <c r="S504" s="475"/>
      <c r="T504" s="475"/>
      <c r="U504" s="475"/>
      <c r="V504" s="475"/>
    </row>
    <row r="505" spans="2:22" outlineLevel="3" x14ac:dyDescent="0.25">
      <c r="B505"/>
      <c r="G505" s="416" t="str">
        <f>'Folha de cálculo'!E505</f>
        <v>6.1.2.2</v>
      </c>
      <c r="H505" s="416" t="str">
        <f>'Folha de cálculo'!F505</f>
        <v>entre ]8 e 12] litros/min</v>
      </c>
      <c r="I505" s="416"/>
      <c r="J505" s="438" t="str">
        <f>IF('Folha Oculta'!AU19&gt;0,'Folha Oculta'!AU19/'Folha Oculta'!AO19,"")</f>
        <v/>
      </c>
      <c r="K505" s="418" t="str">
        <f t="shared" si="221"/>
        <v/>
      </c>
      <c r="M505" s="418" t="str">
        <f t="shared" ref="M505:M507" si="222">IF(ISBLANK(K505),"",K505)</f>
        <v/>
      </c>
      <c r="N505"/>
      <c r="P505" s="418" t="str">
        <f t="shared" ref="P505:P507" si="223">IF(ISBLANK(M505),"",M505)</f>
        <v/>
      </c>
      <c r="Q505"/>
      <c r="S505" s="475"/>
      <c r="T505" s="475"/>
      <c r="U505" s="475"/>
      <c r="V505" s="475"/>
    </row>
    <row r="506" spans="2:22" outlineLevel="3" x14ac:dyDescent="0.25">
      <c r="B506"/>
      <c r="G506" s="416" t="str">
        <f>'Folha de cálculo'!E506</f>
        <v>6.1.2.3</v>
      </c>
      <c r="H506" s="416" t="str">
        <f>'Folha de cálculo'!F506</f>
        <v xml:space="preserve">superior a 12 litros/min </v>
      </c>
      <c r="I506" s="416"/>
      <c r="J506" s="438" t="str">
        <f>IF('Folha Oculta'!AU20&gt;0,'Folha Oculta'!AU20/'Folha Oculta'!AO19,"")</f>
        <v/>
      </c>
      <c r="K506" s="418" t="str">
        <f t="shared" si="221"/>
        <v/>
      </c>
      <c r="M506" s="418" t="str">
        <f t="shared" si="222"/>
        <v/>
      </c>
      <c r="N506"/>
      <c r="P506" s="418" t="str">
        <f t="shared" si="223"/>
        <v/>
      </c>
      <c r="Q506"/>
      <c r="S506" s="475"/>
      <c r="T506" s="475"/>
      <c r="U506" s="475"/>
      <c r="V506" s="475"/>
    </row>
    <row r="507" spans="2:22" outlineLevel="3" x14ac:dyDescent="0.25">
      <c r="B507"/>
      <c r="G507" s="416" t="str">
        <f>'Folha de cálculo'!E507</f>
        <v>6.1.2.4</v>
      </c>
      <c r="H507" s="416" t="str">
        <f>'Folha de cálculo'!F507</f>
        <v>Não foi possível determinar (justifique)</v>
      </c>
      <c r="I507" s="416"/>
      <c r="J507" s="438">
        <f>IF(SUM(J504:J506)&lt;1,1-SUM(J504:J506),"")</f>
        <v>1</v>
      </c>
      <c r="K507" s="418">
        <f t="shared" si="221"/>
        <v>1</v>
      </c>
      <c r="M507" s="418">
        <f t="shared" si="222"/>
        <v>1</v>
      </c>
      <c r="N507"/>
      <c r="P507" s="418">
        <f t="shared" si="223"/>
        <v>1</v>
      </c>
      <c r="Q507"/>
      <c r="S507" s="475"/>
      <c r="T507" s="475"/>
      <c r="U507" s="475"/>
      <c r="V507" s="475"/>
    </row>
    <row r="508" spans="2:22" outlineLevel="2" x14ac:dyDescent="0.25">
      <c r="B508"/>
      <c r="F508" s="415" t="str">
        <f>'Folha de cálculo'!D508</f>
        <v>6.1.3</v>
      </c>
      <c r="G508" s="415" t="str">
        <f>'Folha de cálculo'!E508</f>
        <v>O dispositivo instalado…</v>
      </c>
      <c r="H508" s="415"/>
      <c r="I508" s="415"/>
      <c r="J508" s="425" t="s">
        <v>731</v>
      </c>
      <c r="K508" s="453" t="s">
        <v>731</v>
      </c>
      <c r="M508" s="425" t="s">
        <v>731</v>
      </c>
      <c r="N508"/>
      <c r="P508" s="425" t="s">
        <v>731</v>
      </c>
      <c r="Q508"/>
      <c r="S508" s="477"/>
      <c r="T508" s="477"/>
      <c r="U508" s="477"/>
      <c r="V508" s="477"/>
    </row>
    <row r="509" spans="2:22" ht="14.65" customHeight="1" outlineLevel="3" x14ac:dyDescent="0.25">
      <c r="B509"/>
      <c r="G509" s="416" t="str">
        <f>'Folha de cálculo'!E509</f>
        <v>6.1.3.1</v>
      </c>
      <c r="H509" s="416" t="str">
        <f>'Folha de cálculo'!F509</f>
        <v>não apresenta indícios de fuga</v>
      </c>
      <c r="I509" s="416"/>
      <c r="J509" s="438" t="str">
        <f>IF('Folha Oculta'!AX18&gt;0,'Folha Oculta'!AX18/'Folha Oculta'!AO19,"")</f>
        <v/>
      </c>
      <c r="K509" s="418" t="str">
        <f t="shared" ref="K509:K512" si="224">IF(ISBLANK(J509),"",J509)</f>
        <v/>
      </c>
      <c r="M509" s="418" t="str">
        <f>IF(ISBLANK(K509),"",K509)</f>
        <v/>
      </c>
      <c r="N509"/>
      <c r="P509" s="418" t="str">
        <f>IF(ISBLANK(M509),"",M509)</f>
        <v/>
      </c>
      <c r="Q509"/>
      <c r="S509" s="475"/>
      <c r="T509" s="475"/>
      <c r="U509" s="475"/>
      <c r="V509" s="475"/>
    </row>
    <row r="510" spans="2:22" outlineLevel="3" x14ac:dyDescent="0.25">
      <c r="B510"/>
      <c r="G510" s="416" t="str">
        <f>'Folha de cálculo'!E510</f>
        <v>6.1.3.2</v>
      </c>
      <c r="H510" s="416" t="str">
        <f>'Folha de cálculo'!F510</f>
        <v>apresenta indícios de fuga (justifique)</v>
      </c>
      <c r="I510" s="416"/>
      <c r="J510" s="438" t="str">
        <f>IF('Folha Oculta'!AX19&gt;0,'Folha Oculta'!AX19/'Folha Oculta'!AO19,"")</f>
        <v/>
      </c>
      <c r="K510" s="418" t="str">
        <f t="shared" si="224"/>
        <v/>
      </c>
      <c r="M510" s="418" t="str">
        <f t="shared" ref="M510:M512" si="225">IF(ISBLANK(K510),"",K510)</f>
        <v/>
      </c>
      <c r="N510"/>
      <c r="P510" s="418" t="str">
        <f t="shared" ref="P510:P512" si="226">IF(ISBLANK(M510),"",M510)</f>
        <v/>
      </c>
      <c r="Q510"/>
      <c r="S510" s="475"/>
      <c r="T510" s="475"/>
      <c r="U510" s="475"/>
      <c r="V510" s="475"/>
    </row>
    <row r="511" spans="2:22" outlineLevel="3" x14ac:dyDescent="0.25">
      <c r="B511"/>
      <c r="G511" s="416" t="str">
        <f>'Folha de cálculo'!E511</f>
        <v>6.1.3.3</v>
      </c>
      <c r="H511" s="416" t="str">
        <f>'Folha de cálculo'!F511</f>
        <v>apresenta evidências de fuga</v>
      </c>
      <c r="I511" s="416"/>
      <c r="J511" s="438" t="str">
        <f>IF('Folha Oculta'!AX20&gt;0,'Folha Oculta'!AX20/'Folha Oculta'!AO19,"")</f>
        <v/>
      </c>
      <c r="K511" s="418" t="str">
        <f t="shared" si="224"/>
        <v/>
      </c>
      <c r="M511" s="418" t="str">
        <f t="shared" si="225"/>
        <v/>
      </c>
      <c r="N511"/>
      <c r="P511" s="418" t="str">
        <f t="shared" si="226"/>
        <v/>
      </c>
      <c r="Q511"/>
      <c r="S511" s="475"/>
      <c r="T511" s="475"/>
      <c r="U511" s="475"/>
      <c r="V511" s="475"/>
    </row>
    <row r="512" spans="2:22" outlineLevel="3" x14ac:dyDescent="0.25">
      <c r="B512"/>
      <c r="G512" s="416" t="str">
        <f>'Folha de cálculo'!E512</f>
        <v>6.1.3.4</v>
      </c>
      <c r="H512" s="416" t="str">
        <f>'Folha de cálculo'!F512</f>
        <v>Não foi possível determinar (justifique)</v>
      </c>
      <c r="I512" s="416"/>
      <c r="J512" s="438">
        <f>IF(SUM(J509:J511)&lt;1,1-SUM(J509:J511),"")</f>
        <v>1</v>
      </c>
      <c r="K512" s="418">
        <f t="shared" si="224"/>
        <v>1</v>
      </c>
      <c r="M512" s="418">
        <f t="shared" si="225"/>
        <v>1</v>
      </c>
      <c r="N512"/>
      <c r="P512" s="418">
        <f t="shared" si="226"/>
        <v>1</v>
      </c>
      <c r="Q512"/>
      <c r="S512" s="475"/>
      <c r="T512" s="475"/>
      <c r="U512" s="475"/>
      <c r="V512" s="475"/>
    </row>
    <row r="513" spans="2:22" outlineLevel="2" x14ac:dyDescent="0.25">
      <c r="B513"/>
      <c r="F513" s="415" t="str">
        <f>'Folha de cálculo'!D513</f>
        <v>6.1.4</v>
      </c>
      <c r="G513" s="415" t="str">
        <f>'Folha de cálculo'!E513</f>
        <v>O dispositivo foi instalado…</v>
      </c>
      <c r="H513" s="415"/>
      <c r="I513" s="415"/>
      <c r="J513" s="425" t="s">
        <v>731</v>
      </c>
      <c r="K513" s="424" t="s">
        <v>731</v>
      </c>
      <c r="M513" s="425" t="s">
        <v>731</v>
      </c>
      <c r="N513"/>
      <c r="P513" s="425" t="s">
        <v>731</v>
      </c>
      <c r="Q513"/>
      <c r="S513" s="477"/>
      <c r="T513" s="477"/>
      <c r="U513" s="477"/>
      <c r="V513" s="477"/>
    </row>
    <row r="514" spans="2:22" ht="14.65" customHeight="1" outlineLevel="3" x14ac:dyDescent="0.25">
      <c r="B514"/>
      <c r="G514" s="416" t="str">
        <f>'Folha de cálculo'!E514</f>
        <v>6.1.4.1</v>
      </c>
      <c r="H514" s="416" t="str">
        <f>'Folha de cálculo'!F514</f>
        <v>há 5 ou menos anos</v>
      </c>
      <c r="I514" s="416"/>
      <c r="J514" s="438" t="str">
        <f>IF('Folha Oculta'!BA18&gt;0,'Folha Oculta'!BA18/'Folha Oculta'!AO19,"")</f>
        <v/>
      </c>
      <c r="K514" s="418" t="str">
        <f t="shared" ref="K514:K516" si="227">IF(ISBLANK(J514),"",J514)</f>
        <v/>
      </c>
      <c r="M514" s="418" t="str">
        <f t="shared" ref="M514:M517" si="228">IF(ISBLANK(K514),"",K514)</f>
        <v/>
      </c>
      <c r="N514"/>
      <c r="P514" s="418" t="str">
        <f>IF(ISBLANK(M514),"",M514)</f>
        <v/>
      </c>
      <c r="Q514"/>
      <c r="S514" s="475"/>
      <c r="T514" s="475"/>
      <c r="U514" s="475"/>
      <c r="V514" s="475"/>
    </row>
    <row r="515" spans="2:22" outlineLevel="3" x14ac:dyDescent="0.25">
      <c r="B515"/>
      <c r="G515" s="416" t="str">
        <f>'Folha de cálculo'!E515</f>
        <v>6.1.4.2</v>
      </c>
      <c r="H515" s="416" t="str">
        <f>'Folha de cálculo'!F515</f>
        <v>entre ]5 e 15] anos</v>
      </c>
      <c r="I515" s="416"/>
      <c r="J515" s="438" t="str">
        <f>IF('Folha Oculta'!BA19&gt;0,'Folha Oculta'!BA19/'Folha Oculta'!AO19,"")</f>
        <v/>
      </c>
      <c r="K515" s="418" t="str">
        <f t="shared" si="227"/>
        <v/>
      </c>
      <c r="M515" s="418" t="str">
        <f t="shared" si="228"/>
        <v/>
      </c>
      <c r="N515"/>
      <c r="P515" s="418" t="str">
        <f t="shared" ref="P515:P517" si="229">IF(ISBLANK(M515),"",M515)</f>
        <v/>
      </c>
      <c r="Q515"/>
      <c r="S515" s="475"/>
      <c r="T515" s="475"/>
      <c r="U515" s="475"/>
      <c r="V515" s="475"/>
    </row>
    <row r="516" spans="2:22" outlineLevel="3" x14ac:dyDescent="0.25">
      <c r="B516"/>
      <c r="G516" s="416" t="str">
        <f>'Folha de cálculo'!E516</f>
        <v>6.1.4.3</v>
      </c>
      <c r="H516" s="416" t="str">
        <f>'Folha de cálculo'!F516</f>
        <v>há mais de 15 anos</v>
      </c>
      <c r="I516" s="416"/>
      <c r="J516" s="438" t="str">
        <f>IF('Folha Oculta'!BA20&gt;0,'Folha Oculta'!BA20/'Folha Oculta'!AO19,"")</f>
        <v/>
      </c>
      <c r="K516" s="418" t="str">
        <f t="shared" si="227"/>
        <v/>
      </c>
      <c r="M516" s="418" t="str">
        <f t="shared" si="228"/>
        <v/>
      </c>
      <c r="N516"/>
      <c r="P516" s="418" t="str">
        <f t="shared" si="229"/>
        <v/>
      </c>
      <c r="Q516"/>
      <c r="S516" s="475"/>
      <c r="T516" s="475"/>
      <c r="U516" s="475"/>
      <c r="V516" s="475"/>
    </row>
    <row r="517" spans="2:22" outlineLevel="3" x14ac:dyDescent="0.25">
      <c r="B517"/>
      <c r="G517" s="416" t="str">
        <f>'Folha de cálculo'!E517</f>
        <v>6.1.4.4</v>
      </c>
      <c r="H517" s="416" t="str">
        <f>'Folha de cálculo'!F517</f>
        <v>Não foi possível determinar (justifique)</v>
      </c>
      <c r="I517" s="416"/>
      <c r="J517" s="438">
        <f>IF(SUM(J514:J516)&lt;1,1-SUM(J514:J516),"")</f>
        <v>1</v>
      </c>
      <c r="K517" s="418">
        <f t="shared" ref="K517" si="230">IF(ISBLANK(J517),"",J517)</f>
        <v>1</v>
      </c>
      <c r="M517" s="418">
        <f t="shared" si="228"/>
        <v>1</v>
      </c>
      <c r="N517"/>
      <c r="P517" s="418">
        <f t="shared" si="229"/>
        <v>1</v>
      </c>
      <c r="Q517"/>
      <c r="S517" s="475"/>
      <c r="T517" s="475"/>
      <c r="U517" s="475"/>
      <c r="V517" s="475"/>
    </row>
    <row r="518" spans="2:22" ht="15.75" outlineLevel="1" thickBot="1" x14ac:dyDescent="0.3">
      <c r="J518" s="400"/>
      <c r="K518" s="400"/>
      <c r="M518" s="400"/>
      <c r="N518"/>
      <c r="P518" s="400"/>
      <c r="Q518"/>
      <c r="S518" s="476"/>
      <c r="T518" s="476"/>
      <c r="U518" s="476"/>
      <c r="V518" s="476"/>
    </row>
    <row r="519" spans="2:22" ht="15.75" outlineLevel="1" thickBot="1" x14ac:dyDescent="0.3">
      <c r="B519" s="405">
        <f>IF('Folha Oculta'!AZ15=0,0,1)</f>
        <v>0</v>
      </c>
      <c r="E519" s="8" t="str">
        <f>'Folha de cálculo'!C519</f>
        <v>6.2</v>
      </c>
      <c r="F519" s="8" t="str">
        <f>'Folha de cálculo'!D519</f>
        <v>Máquinas lavar loiça</v>
      </c>
      <c r="G519" s="8"/>
      <c r="H519" s="8"/>
      <c r="I519" s="8"/>
      <c r="J519" s="403"/>
      <c r="K519" s="404"/>
      <c r="M519" s="403"/>
      <c r="N519"/>
      <c r="P519" s="403"/>
      <c r="Q519"/>
      <c r="S519" s="478"/>
      <c r="T519" s="479"/>
      <c r="U519" s="479"/>
      <c r="V519" s="480"/>
    </row>
    <row r="520" spans="2:22" ht="14.65" customHeight="1" outlineLevel="2" x14ac:dyDescent="0.25">
      <c r="F520" s="415" t="str">
        <f>'Folha de cálculo'!D520</f>
        <v>6.2.1</v>
      </c>
      <c r="G520" s="415" t="str">
        <f>'Folha de cálculo'!E520</f>
        <v>Os tipos de equipamento existentes são…</v>
      </c>
      <c r="H520" s="415"/>
      <c r="I520" s="415"/>
      <c r="J520" s="425" t="s">
        <v>731</v>
      </c>
      <c r="K520" s="424" t="s">
        <v>731</v>
      </c>
      <c r="M520" s="425" t="s">
        <v>731</v>
      </c>
      <c r="N520"/>
      <c r="P520" s="425" t="s">
        <v>731</v>
      </c>
      <c r="Q520"/>
      <c r="S520" s="477"/>
      <c r="T520" s="477"/>
      <c r="U520" s="477"/>
      <c r="V520" s="477"/>
    </row>
    <row r="521" spans="2:22" outlineLevel="3" x14ac:dyDescent="0.25">
      <c r="G521" s="421" t="str">
        <f>'Folha de cálculo'!E521</f>
        <v>6.2.1.1</v>
      </c>
      <c r="H521" s="421" t="str">
        <f>'Folha de cálculo'!F521</f>
        <v>máquinas de lavar fechadas, especializadas para pratos, copos e outros utensílios</v>
      </c>
      <c r="I521" s="454"/>
      <c r="J521" s="438" t="str">
        <f>IF(SUM('Folha Oculta'!AZ12:AZ14)&gt;0,IF('Folha Oculta'!AZ12/SUM('Folha Oculta'!AZ12:AZ14)&gt;0,'Folha Oculta'!AZ12/SUM('Folha Oculta'!AZ12:AZ14),""),"")</f>
        <v/>
      </c>
      <c r="K521" s="418" t="str">
        <f t="shared" ref="K521:K524" si="231">IF(ISBLANK(J521),"",J521)</f>
        <v/>
      </c>
      <c r="M521" s="418" t="str">
        <f>IF(ISBLANK(K521),"",K521)</f>
        <v/>
      </c>
      <c r="N521"/>
      <c r="P521" s="418" t="str">
        <f>IF(ISBLANK(M521),"",M521)</f>
        <v/>
      </c>
      <c r="Q521"/>
      <c r="S521" s="475"/>
      <c r="T521" s="475"/>
      <c r="U521" s="475"/>
      <c r="V521" s="475"/>
    </row>
    <row r="522" spans="2:22" outlineLevel="3" x14ac:dyDescent="0.25">
      <c r="D522"/>
      <c r="E522" s="455"/>
      <c r="G522" s="421" t="str">
        <f>'Folha de cálculo'!E522</f>
        <v>6.2.1.2</v>
      </c>
      <c r="H522" s="421" t="str">
        <f>'Folha de cálculo'!F522</f>
        <v>máquinas de lavar fechadas para uso geral / de capota</v>
      </c>
      <c r="I522" s="454"/>
      <c r="J522" s="438" t="str">
        <f>IF(SUM('Folha Oculta'!AZ12:AZ14)&gt;0,IF('Folha Oculta'!AZ13/SUM('Folha Oculta'!AZ12:AZ14)&gt;0,'Folha Oculta'!AZ13/SUM('Folha Oculta'!AZ12:AZ14),""),"")</f>
        <v/>
      </c>
      <c r="K522" s="418" t="str">
        <f t="shared" si="231"/>
        <v/>
      </c>
      <c r="M522" s="418" t="str">
        <f t="shared" ref="M522:M524" si="232">IF(ISBLANK(K522),"",K522)</f>
        <v/>
      </c>
      <c r="N522"/>
      <c r="P522" s="418" t="str">
        <f t="shared" ref="P522:P524" si="233">IF(ISBLANK(M522),"",M522)</f>
        <v/>
      </c>
      <c r="Q522"/>
      <c r="S522" s="475"/>
      <c r="T522" s="475"/>
      <c r="U522" s="475"/>
      <c r="V522" s="475"/>
    </row>
    <row r="523" spans="2:22" outlineLevel="3" x14ac:dyDescent="0.25">
      <c r="G523" s="421" t="str">
        <f>'Folha de cálculo'!E523</f>
        <v>6.2.1.3</v>
      </c>
      <c r="H523" s="421" t="str">
        <f>'Folha de cálculo'!F523</f>
        <v>máquinas de lavar por tapete rolante / de túnel</v>
      </c>
      <c r="I523" s="454"/>
      <c r="J523" s="438" t="str">
        <f>IF(SUM('Folha Oculta'!AZ12:AZ14)&gt;0,IF('Folha Oculta'!AZ14/SUM('Folha Oculta'!AZ12:AZ14)&gt;0,'Folha Oculta'!AZ14/SUM('Folha Oculta'!AZ12:AZ14),""),"")</f>
        <v/>
      </c>
      <c r="K523" s="418" t="str">
        <f t="shared" si="231"/>
        <v/>
      </c>
      <c r="M523" s="418" t="str">
        <f t="shared" si="232"/>
        <v/>
      </c>
      <c r="N523"/>
      <c r="P523" s="418" t="str">
        <f t="shared" si="233"/>
        <v/>
      </c>
      <c r="Q523"/>
      <c r="S523" s="475"/>
      <c r="T523" s="475"/>
      <c r="U523" s="475"/>
      <c r="V523" s="475"/>
    </row>
    <row r="524" spans="2:22" outlineLevel="3" x14ac:dyDescent="0.25">
      <c r="G524" s="421" t="str">
        <f>'Folha de cálculo'!E524</f>
        <v>6.2.1.4</v>
      </c>
      <c r="H524" s="421" t="str">
        <f>'Folha de cálculo'!F524</f>
        <v>Não foi possível determinar (justifique)</v>
      </c>
      <c r="I524" s="454"/>
      <c r="J524" s="438">
        <f>IF(SUM(J521:J523)&lt;1,1-SUM(J521:J523),"")</f>
        <v>1</v>
      </c>
      <c r="K524" s="418">
        <f t="shared" si="231"/>
        <v>1</v>
      </c>
      <c r="M524" s="418">
        <f t="shared" si="232"/>
        <v>1</v>
      </c>
      <c r="N524"/>
      <c r="P524" s="418">
        <f t="shared" si="233"/>
        <v>1</v>
      </c>
      <c r="Q524"/>
      <c r="S524" s="475"/>
      <c r="T524" s="475"/>
      <c r="U524" s="475"/>
      <c r="V524" s="475"/>
    </row>
    <row r="525" spans="2:22" outlineLevel="2" x14ac:dyDescent="0.25">
      <c r="F525" s="415" t="str">
        <f>'Folha de cálculo'!D525</f>
        <v>6.2.2</v>
      </c>
      <c r="G525" s="415" t="str">
        <f>'Folha de cálculo'!E525</f>
        <v>Os equipamentos foram adquiridos novos e instalados…</v>
      </c>
      <c r="H525" s="415"/>
      <c r="I525" s="415"/>
      <c r="J525" s="425" t="s">
        <v>731</v>
      </c>
      <c r="K525" s="424" t="s">
        <v>731</v>
      </c>
      <c r="M525" s="425" t="s">
        <v>731</v>
      </c>
      <c r="N525"/>
      <c r="P525" s="425" t="s">
        <v>731</v>
      </c>
      <c r="Q525"/>
      <c r="S525" s="477"/>
      <c r="T525" s="477"/>
      <c r="U525" s="477"/>
      <c r="V525" s="477"/>
    </row>
    <row r="526" spans="2:22" ht="14.65" customHeight="1" outlineLevel="3" x14ac:dyDescent="0.25">
      <c r="G526" s="416" t="str">
        <f>'Folha de cálculo'!E526</f>
        <v>6.2.2.1</v>
      </c>
      <c r="H526" s="416" t="str">
        <f>'Folha de cálculo'!F526</f>
        <v>há 8 ou menos anos</v>
      </c>
      <c r="I526" s="416"/>
      <c r="J526" s="438" t="str">
        <f>IF('Folha Oculta'!BA12&gt;0,'Folha Oculta'!BA12/'Folha Oculta'!AZ15,"")</f>
        <v/>
      </c>
      <c r="K526" s="418" t="str">
        <f t="shared" ref="K526:K529" si="234">IF(ISBLANK(J526),"",J526)</f>
        <v/>
      </c>
      <c r="M526" s="418" t="str">
        <f t="shared" ref="M526:M529" si="235">IF(ISBLANK(K526),"",K526)</f>
        <v/>
      </c>
      <c r="N526"/>
      <c r="P526" s="418" t="str">
        <f>IF(ISBLANK(M526),"",M526)</f>
        <v/>
      </c>
      <c r="Q526"/>
      <c r="S526" s="475"/>
      <c r="T526" s="475"/>
      <c r="U526" s="475"/>
      <c r="V526" s="475"/>
    </row>
    <row r="527" spans="2:22" outlineLevel="3" x14ac:dyDescent="0.25">
      <c r="G527" s="416" t="str">
        <f>'Folha de cálculo'!E527</f>
        <v>6.2.2.2</v>
      </c>
      <c r="H527" s="416" t="str">
        <f>'Folha de cálculo'!F527</f>
        <v>entre ]8 e 12] anos</v>
      </c>
      <c r="I527" s="416"/>
      <c r="J527" s="438" t="str">
        <f>IF('Folha Oculta'!BB12&gt;0,'Folha Oculta'!BB12/'Folha Oculta'!AZ15,"")</f>
        <v/>
      </c>
      <c r="K527" s="418" t="str">
        <f t="shared" si="234"/>
        <v/>
      </c>
      <c r="M527" s="418" t="str">
        <f t="shared" si="235"/>
        <v/>
      </c>
      <c r="N527"/>
      <c r="P527" s="418" t="str">
        <f t="shared" ref="P527:P529" si="236">IF(ISBLANK(M527),"",M527)</f>
        <v/>
      </c>
      <c r="Q527"/>
      <c r="S527" s="475"/>
      <c r="T527" s="475"/>
      <c r="U527" s="475"/>
      <c r="V527" s="475"/>
    </row>
    <row r="528" spans="2:22" outlineLevel="3" x14ac:dyDescent="0.25">
      <c r="G528" s="416" t="str">
        <f>'Folha de cálculo'!E528</f>
        <v>6.2.2.3</v>
      </c>
      <c r="H528" s="416" t="str">
        <f>'Folha de cálculo'!F528</f>
        <v>há mais de 12 anos</v>
      </c>
      <c r="I528" s="416"/>
      <c r="J528" s="438" t="str">
        <f>IF('Folha Oculta'!BC12&gt;0,'Folha Oculta'!BC12/'Folha Oculta'!AZ15,"")</f>
        <v/>
      </c>
      <c r="K528" s="418" t="str">
        <f t="shared" si="234"/>
        <v/>
      </c>
      <c r="M528" s="418" t="str">
        <f t="shared" si="235"/>
        <v/>
      </c>
      <c r="N528"/>
      <c r="P528" s="418" t="str">
        <f t="shared" si="236"/>
        <v/>
      </c>
      <c r="Q528"/>
      <c r="S528" s="475"/>
      <c r="T528" s="475"/>
      <c r="U528" s="475"/>
      <c r="V528" s="475"/>
    </row>
    <row r="529" spans="2:22" outlineLevel="3" x14ac:dyDescent="0.25">
      <c r="G529" s="416" t="str">
        <f>'Folha de cálculo'!E529</f>
        <v>6.2.2.4</v>
      </c>
      <c r="H529" s="416" t="str">
        <f>'Folha de cálculo'!F529</f>
        <v>Não foi possível determinar (justifique)</v>
      </c>
      <c r="I529" s="416"/>
      <c r="J529" s="438">
        <f>IF(SUM(J526:J528)&lt;1,1-SUM(J526:J528),"")</f>
        <v>1</v>
      </c>
      <c r="K529" s="418">
        <f t="shared" si="234"/>
        <v>1</v>
      </c>
      <c r="M529" s="418">
        <f t="shared" si="235"/>
        <v>1</v>
      </c>
      <c r="N529"/>
      <c r="P529" s="418">
        <f t="shared" si="236"/>
        <v>1</v>
      </c>
      <c r="Q529"/>
      <c r="S529" s="475"/>
      <c r="T529" s="475"/>
      <c r="U529" s="475"/>
      <c r="V529" s="475"/>
    </row>
    <row r="530" spans="2:22" outlineLevel="1" x14ac:dyDescent="0.25">
      <c r="J530" s="400"/>
      <c r="K530" s="400"/>
      <c r="M530" s="400"/>
      <c r="N530"/>
      <c r="P530" s="400"/>
      <c r="Q530"/>
      <c r="S530" s="476"/>
      <c r="T530" s="476"/>
      <c r="U530" s="476"/>
      <c r="V530" s="476"/>
    </row>
    <row r="531" spans="2:22" x14ac:dyDescent="0.25">
      <c r="D531" s="7">
        <f>'Folha de cálculo'!B531</f>
        <v>7</v>
      </c>
      <c r="E531" s="398" t="str">
        <f>'Folha de cálculo'!C531</f>
        <v>Lavandaria e espaços comerciais</v>
      </c>
      <c r="F531" s="398"/>
      <c r="G531" s="398"/>
      <c r="H531" s="398"/>
      <c r="I531" s="398"/>
      <c r="J531" s="399"/>
      <c r="K531" s="399"/>
      <c r="M531" s="399"/>
      <c r="N531"/>
      <c r="P531" s="399"/>
      <c r="Q531"/>
      <c r="S531" s="489"/>
      <c r="T531" s="489"/>
      <c r="U531" s="489"/>
      <c r="V531" s="489"/>
    </row>
    <row r="532" spans="2:22" ht="15.75" thickBot="1" x14ac:dyDescent="0.3">
      <c r="J532" s="432"/>
      <c r="K532" s="432"/>
      <c r="M532" s="432"/>
      <c r="N532"/>
      <c r="P532" s="432"/>
      <c r="Q532"/>
      <c r="S532" s="476"/>
      <c r="T532" s="476"/>
      <c r="U532" s="476"/>
      <c r="V532" s="476"/>
    </row>
    <row r="533" spans="2:22" ht="15.75" outlineLevel="1" thickBot="1" x14ac:dyDescent="0.3">
      <c r="B533" s="405">
        <f>IF('Folha Oculta'!AT13=0,0,1)</f>
        <v>0</v>
      </c>
      <c r="E533" s="8" t="str">
        <f>'Folha de cálculo'!C533</f>
        <v>7.1</v>
      </c>
      <c r="F533" s="8" t="str">
        <f>'Folha de cálculo'!D533</f>
        <v>Máquina lavar roupa</v>
      </c>
      <c r="G533" s="8"/>
      <c r="H533" s="8"/>
      <c r="I533" s="8"/>
      <c r="J533" s="403"/>
      <c r="K533" s="404"/>
      <c r="M533" s="403"/>
      <c r="N533"/>
      <c r="P533" s="403"/>
      <c r="Q533"/>
      <c r="S533" s="478"/>
      <c r="T533" s="479"/>
      <c r="U533" s="479"/>
      <c r="V533" s="480"/>
    </row>
    <row r="534" spans="2:22" ht="14.65" customHeight="1" outlineLevel="2" x14ac:dyDescent="0.25">
      <c r="E534" s="5"/>
      <c r="F534" s="415" t="str">
        <f>'Folha de cálculo'!D534</f>
        <v>7.1.1</v>
      </c>
      <c r="G534" s="415" t="str">
        <f>'Folha de cálculo'!E534</f>
        <v>O(s) equipamento(s) dispõem das seguintes características…</v>
      </c>
      <c r="H534" s="415"/>
      <c r="I534" s="415"/>
      <c r="J534" s="425" t="s">
        <v>732</v>
      </c>
      <c r="K534" s="424" t="s">
        <v>732</v>
      </c>
      <c r="M534" s="425" t="s">
        <v>732</v>
      </c>
      <c r="N534"/>
      <c r="P534" s="425" t="s">
        <v>732</v>
      </c>
      <c r="Q534"/>
      <c r="S534" s="477"/>
      <c r="T534" s="477"/>
      <c r="U534" s="477"/>
      <c r="V534" s="477"/>
    </row>
    <row r="535" spans="2:22" outlineLevel="3" x14ac:dyDescent="0.25">
      <c r="E535" s="5"/>
      <c r="G535" s="416" t="str">
        <f>'Folha de cálculo'!E535</f>
        <v>7.1.1.1</v>
      </c>
      <c r="H535" s="416" t="str">
        <f>'Folha de cálculo'!F535</f>
        <v>admissão de água por duas vias (rede de água potável e não potável)</v>
      </c>
      <c r="I535" s="416"/>
      <c r="J535" s="417"/>
      <c r="K535" s="418" t="str">
        <f t="shared" ref="K535:K541" si="237">IF(ISBLANK(J535),"",J535)</f>
        <v/>
      </c>
      <c r="M535" s="418" t="str">
        <f>IF(ISBLANK(K535),"",K535)</f>
        <v/>
      </c>
      <c r="N535"/>
      <c r="P535" s="418" t="str">
        <f>IF(ISBLANK(M535),"",M535)</f>
        <v/>
      </c>
      <c r="Q535"/>
      <c r="S535" s="475"/>
      <c r="T535" s="475"/>
      <c r="U535" s="475"/>
      <c r="V535" s="475"/>
    </row>
    <row r="536" spans="2:22" outlineLevel="3" x14ac:dyDescent="0.25">
      <c r="E536" s="5"/>
      <c r="G536" s="416" t="str">
        <f>'Folha de cálculo'!E536</f>
        <v>7.1.1.2</v>
      </c>
      <c r="H536" s="416" t="str">
        <f>'Folha de cálculo'!F536</f>
        <v>admissão de água aquecida recorrendo a energia de origem renovável</v>
      </c>
      <c r="I536" s="416"/>
      <c r="J536" s="417"/>
      <c r="K536" s="418" t="str">
        <f t="shared" si="237"/>
        <v/>
      </c>
      <c r="M536" s="418" t="str">
        <f t="shared" ref="M536:M541" si="238">IF(ISBLANK(K536),"",K536)</f>
        <v/>
      </c>
      <c r="N536"/>
      <c r="P536" s="418" t="str">
        <f t="shared" ref="P536:P541" si="239">IF(ISBLANK(M536),"",M536)</f>
        <v/>
      </c>
      <c r="Q536"/>
      <c r="S536" s="475"/>
      <c r="T536" s="475"/>
      <c r="U536" s="475"/>
      <c r="V536" s="475"/>
    </row>
    <row r="537" spans="2:22" outlineLevel="3" x14ac:dyDescent="0.25">
      <c r="E537" s="5"/>
      <c r="G537" s="416" t="str">
        <f>'Folha de cálculo'!E537</f>
        <v>7.1.1.3</v>
      </c>
      <c r="H537" s="416" t="str">
        <f>'Folha de cálculo'!F537</f>
        <v>recirculação da água de enxaguar</v>
      </c>
      <c r="I537" s="416"/>
      <c r="J537" s="417"/>
      <c r="K537" s="418" t="str">
        <f t="shared" si="237"/>
        <v/>
      </c>
      <c r="M537" s="418" t="str">
        <f t="shared" si="238"/>
        <v/>
      </c>
      <c r="N537"/>
      <c r="P537" s="418" t="str">
        <f t="shared" si="239"/>
        <v/>
      </c>
      <c r="Q537"/>
      <c r="S537" s="475"/>
      <c r="T537" s="475"/>
      <c r="U537" s="475"/>
      <c r="V537" s="475"/>
    </row>
    <row r="538" spans="2:22" outlineLevel="3" x14ac:dyDescent="0.25">
      <c r="E538" s="5"/>
      <c r="G538" s="416" t="str">
        <f>'Folha de cálculo'!E538</f>
        <v>7.1.1.4</v>
      </c>
      <c r="H538" s="416" t="str">
        <f>'Folha de cálculo'!F538</f>
        <v>AquaStop ou sistema anti inundação</v>
      </c>
      <c r="I538" s="416"/>
      <c r="J538" s="417"/>
      <c r="K538" s="418" t="str">
        <f t="shared" si="237"/>
        <v/>
      </c>
      <c r="M538" s="418" t="str">
        <f t="shared" si="238"/>
        <v/>
      </c>
      <c r="N538"/>
      <c r="P538" s="418" t="str">
        <f t="shared" si="239"/>
        <v/>
      </c>
      <c r="Q538"/>
      <c r="S538" s="475"/>
      <c r="T538" s="475"/>
      <c r="U538" s="475"/>
      <c r="V538" s="475"/>
    </row>
    <row r="539" spans="2:22" outlineLevel="3" x14ac:dyDescent="0.25">
      <c r="E539" s="5"/>
      <c r="G539" s="416" t="str">
        <f>'Folha de cálculo'!E539</f>
        <v>7.1.1.5</v>
      </c>
      <c r="H539" s="416" t="str">
        <f>'Folha de cálculo'!F539</f>
        <v>carregamento de roupa frontal</v>
      </c>
      <c r="I539" s="416"/>
      <c r="J539" s="417"/>
      <c r="K539" s="418" t="str">
        <f t="shared" si="237"/>
        <v/>
      </c>
      <c r="M539" s="418" t="str">
        <f t="shared" si="238"/>
        <v/>
      </c>
      <c r="N539"/>
      <c r="P539" s="418" t="str">
        <f t="shared" si="239"/>
        <v/>
      </c>
      <c r="Q539"/>
      <c r="S539" s="475"/>
      <c r="T539" s="475"/>
      <c r="U539" s="475"/>
      <c r="V539" s="475"/>
    </row>
    <row r="540" spans="2:22" outlineLevel="3" x14ac:dyDescent="0.25">
      <c r="E540" s="5"/>
      <c r="G540" s="416" t="str">
        <f>'Folha de cálculo'!E540</f>
        <v>7.1.1.6</v>
      </c>
      <c r="H540" s="416" t="str">
        <f>'Folha de cálculo'!F540</f>
        <v>modo de lavagem "ECO"</v>
      </c>
      <c r="I540" s="416"/>
      <c r="J540" s="417"/>
      <c r="K540" s="418" t="str">
        <f t="shared" si="237"/>
        <v/>
      </c>
      <c r="M540" s="418" t="str">
        <f t="shared" si="238"/>
        <v/>
      </c>
      <c r="N540"/>
      <c r="P540" s="418" t="str">
        <f t="shared" si="239"/>
        <v/>
      </c>
      <c r="Q540"/>
      <c r="S540" s="475"/>
      <c r="T540" s="475"/>
      <c r="U540" s="475"/>
      <c r="V540" s="475"/>
    </row>
    <row r="541" spans="2:22" outlineLevel="3" x14ac:dyDescent="0.25">
      <c r="E541" s="5"/>
      <c r="G541" s="416" t="str">
        <f>'Folha de cálculo'!E541</f>
        <v>7.1.1.7</v>
      </c>
      <c r="H541" s="416" t="str">
        <f>'Folha de cálculo'!F541</f>
        <v>outros (especifique)</v>
      </c>
      <c r="I541" s="416"/>
      <c r="J541" s="417"/>
      <c r="K541" s="418" t="str">
        <f t="shared" si="237"/>
        <v/>
      </c>
      <c r="M541" s="418" t="str">
        <f t="shared" si="238"/>
        <v/>
      </c>
      <c r="N541"/>
      <c r="P541" s="418" t="str">
        <f t="shared" si="239"/>
        <v/>
      </c>
      <c r="Q541"/>
      <c r="S541" s="475"/>
      <c r="T541" s="475"/>
      <c r="U541" s="475"/>
      <c r="V541" s="475"/>
    </row>
    <row r="542" spans="2:22" outlineLevel="3" x14ac:dyDescent="0.25">
      <c r="E542" s="5"/>
      <c r="G542" s="416" t="str">
        <f>'Folha de cálculo'!E542</f>
        <v>7.1.1.8</v>
      </c>
      <c r="H542" s="416" t="str">
        <f>'Folha de cálculo'!F542</f>
        <v>Nenhuma das opções anteriores</v>
      </c>
      <c r="I542" s="416"/>
      <c r="J542" s="417"/>
      <c r="K542" s="418" t="str">
        <f t="shared" ref="K542:K543" si="240">IF(ISBLANK(J542),"",J542)</f>
        <v/>
      </c>
      <c r="M542" s="418" t="str">
        <f t="shared" ref="M542:M543" si="241">IF(ISBLANK(K542),"",K542)</f>
        <v/>
      </c>
      <c r="N542"/>
      <c r="P542" s="418" t="str">
        <f t="shared" ref="P542:P543" si="242">IF(ISBLANK(M542),"",M542)</f>
        <v/>
      </c>
      <c r="Q542"/>
      <c r="S542" s="475"/>
      <c r="T542" s="475"/>
      <c r="U542" s="475"/>
      <c r="V542" s="475"/>
    </row>
    <row r="543" spans="2:22" outlineLevel="3" x14ac:dyDescent="0.25">
      <c r="E543" s="5"/>
      <c r="G543" s="416" t="str">
        <f>'Folha de cálculo'!E543</f>
        <v>7.1.1.9</v>
      </c>
      <c r="H543" s="416" t="str">
        <f>'Folha de cálculo'!F543</f>
        <v>Não foi possível determinar (justifique)</v>
      </c>
      <c r="I543" s="416"/>
      <c r="J543" s="417"/>
      <c r="K543" s="418" t="str">
        <f t="shared" si="240"/>
        <v/>
      </c>
      <c r="M543" s="418" t="str">
        <f t="shared" si="241"/>
        <v/>
      </c>
      <c r="N543"/>
      <c r="P543" s="418" t="str">
        <f t="shared" si="242"/>
        <v/>
      </c>
      <c r="Q543"/>
      <c r="S543" s="475"/>
      <c r="T543" s="475"/>
      <c r="U543" s="475"/>
      <c r="V543" s="475"/>
    </row>
    <row r="544" spans="2:22" outlineLevel="2" x14ac:dyDescent="0.25">
      <c r="F544" s="415" t="str">
        <f>'Folha de cálculo'!D544</f>
        <v>7.1.2</v>
      </c>
      <c r="G544" s="415" t="str">
        <f>'Folha de cálculo'!E544</f>
        <v>O equipamento foi adquirido novo e instalado…</v>
      </c>
      <c r="H544" s="415"/>
      <c r="I544" s="415"/>
      <c r="J544" s="425" t="s">
        <v>731</v>
      </c>
      <c r="K544" s="424" t="s">
        <v>731</v>
      </c>
      <c r="M544" s="425" t="s">
        <v>731</v>
      </c>
      <c r="N544"/>
      <c r="P544" s="425" t="s">
        <v>731</v>
      </c>
      <c r="Q544"/>
      <c r="S544" s="477"/>
      <c r="T544" s="477"/>
      <c r="U544" s="477"/>
      <c r="V544" s="477"/>
    </row>
    <row r="545" spans="2:22" outlineLevel="3" x14ac:dyDescent="0.25">
      <c r="G545" s="416" t="str">
        <f>'Folha de cálculo'!E545</f>
        <v>7.1.2.1</v>
      </c>
      <c r="H545" s="416" t="str">
        <f>'Folha de cálculo'!F545</f>
        <v>há 8 ou menos anos</v>
      </c>
      <c r="I545" s="416"/>
      <c r="J545" s="438" t="str">
        <f>IF('Folha Oculta'!AU12&gt;0,'Folha Oculta'!AU12/'Folha Oculta'!AT13,"")</f>
        <v/>
      </c>
      <c r="K545" s="418" t="str">
        <f t="shared" ref="K545:K548" si="243">IF(ISBLANK(J545),"",J545)</f>
        <v/>
      </c>
      <c r="M545" s="418" t="str">
        <f t="shared" ref="M545:M548" si="244">IF(ISBLANK(K545),"",K545)</f>
        <v/>
      </c>
      <c r="N545"/>
      <c r="P545" s="418" t="str">
        <f>IF(ISBLANK(M545),"",M545)</f>
        <v/>
      </c>
      <c r="Q545"/>
      <c r="S545" s="475"/>
      <c r="T545" s="475"/>
      <c r="U545" s="475"/>
      <c r="V545" s="475"/>
    </row>
    <row r="546" spans="2:22" outlineLevel="3" x14ac:dyDescent="0.25">
      <c r="G546" s="416" t="str">
        <f>'Folha de cálculo'!E546</f>
        <v>7.1.2.2</v>
      </c>
      <c r="H546" s="416" t="str">
        <f>'Folha de cálculo'!F546</f>
        <v>entre ]8 e 12] anos</v>
      </c>
      <c r="I546" s="416"/>
      <c r="J546" s="438" t="str">
        <f>IF('Folha Oculta'!AV12&gt;0,'Folha Oculta'!AV12/'Folha Oculta'!AT13,"")</f>
        <v/>
      </c>
      <c r="K546" s="418" t="str">
        <f t="shared" si="243"/>
        <v/>
      </c>
      <c r="M546" s="418" t="str">
        <f t="shared" si="244"/>
        <v/>
      </c>
      <c r="N546"/>
      <c r="P546" s="418" t="str">
        <f t="shared" ref="P546:P548" si="245">IF(ISBLANK(M546),"",M546)</f>
        <v/>
      </c>
      <c r="Q546"/>
      <c r="S546" s="475"/>
      <c r="T546" s="475"/>
      <c r="U546" s="475"/>
      <c r="V546" s="475"/>
    </row>
    <row r="547" spans="2:22" outlineLevel="3" x14ac:dyDescent="0.25">
      <c r="G547" s="416" t="str">
        <f>'Folha de cálculo'!E547</f>
        <v>7.1.2.3</v>
      </c>
      <c r="H547" s="416" t="str">
        <f>'Folha de cálculo'!F547</f>
        <v>há mais de 12 anos</v>
      </c>
      <c r="I547" s="416"/>
      <c r="J547" s="438" t="str">
        <f>IF('Folha Oculta'!AW12&gt;0,'Folha Oculta'!AW12/'Folha Oculta'!AT13,"")</f>
        <v/>
      </c>
      <c r="K547" s="418" t="str">
        <f t="shared" si="243"/>
        <v/>
      </c>
      <c r="M547" s="418" t="str">
        <f t="shared" si="244"/>
        <v/>
      </c>
      <c r="N547"/>
      <c r="P547" s="418" t="str">
        <f t="shared" si="245"/>
        <v/>
      </c>
      <c r="Q547"/>
      <c r="S547" s="475"/>
      <c r="T547" s="475"/>
      <c r="U547" s="475"/>
      <c r="V547" s="475"/>
    </row>
    <row r="548" spans="2:22" outlineLevel="3" x14ac:dyDescent="0.25">
      <c r="G548" s="416" t="str">
        <f>'Folha de cálculo'!E548</f>
        <v>7.1.2.4</v>
      </c>
      <c r="H548" s="416" t="str">
        <f>'Folha de cálculo'!F548</f>
        <v>Não foi possível determinar (justifique)</v>
      </c>
      <c r="I548" s="416"/>
      <c r="J548" s="438">
        <f>IF(SUM(J545:J547)&lt;&gt;1,1-SUM(J545:J547),"")</f>
        <v>1</v>
      </c>
      <c r="K548" s="418">
        <f t="shared" si="243"/>
        <v>1</v>
      </c>
      <c r="M548" s="418">
        <f t="shared" si="244"/>
        <v>1</v>
      </c>
      <c r="N548"/>
      <c r="P548" s="418">
        <f t="shared" si="245"/>
        <v>1</v>
      </c>
      <c r="Q548"/>
      <c r="S548" s="475"/>
      <c r="T548" s="475"/>
      <c r="U548" s="475"/>
      <c r="V548" s="475"/>
    </row>
    <row r="549" spans="2:22" ht="15.75" outlineLevel="1" thickBot="1" x14ac:dyDescent="0.3">
      <c r="D549"/>
      <c r="J549" s="432"/>
      <c r="K549" s="432"/>
      <c r="M549" s="432"/>
      <c r="N549"/>
      <c r="P549" s="432"/>
      <c r="Q549"/>
      <c r="S549" s="476"/>
      <c r="T549" s="476"/>
      <c r="U549" s="476"/>
      <c r="V549" s="476"/>
    </row>
    <row r="550" spans="2:22" ht="15.75" outlineLevel="1" thickBot="1" x14ac:dyDescent="0.3">
      <c r="B550" s="456">
        <v>1</v>
      </c>
      <c r="E550" s="8" t="str">
        <f>'Folha de cálculo'!C550</f>
        <v>7.2</v>
      </c>
      <c r="F550" s="8" t="str">
        <f>'Folha de cálculo'!D550</f>
        <v>Lavagem de viaturas</v>
      </c>
      <c r="G550" s="8"/>
      <c r="H550" s="8"/>
      <c r="I550" s="8"/>
      <c r="J550" s="403"/>
      <c r="K550" s="404"/>
      <c r="M550" s="403"/>
      <c r="N550"/>
      <c r="P550" s="403"/>
      <c r="Q550"/>
      <c r="S550" s="478"/>
      <c r="T550" s="479"/>
      <c r="U550" s="479"/>
      <c r="V550" s="480"/>
    </row>
    <row r="551" spans="2:22" outlineLevel="2" x14ac:dyDescent="0.25">
      <c r="B551"/>
      <c r="F551" s="415" t="str">
        <f>'Folha de cálculo'!D551</f>
        <v>7.2.1</v>
      </c>
      <c r="G551" s="415" t="str">
        <f>'Folha de cálculo'!E551</f>
        <v>A técnica regularmente aplicada na lavagem de viaturas utiliza um sistema de lavagem…</v>
      </c>
      <c r="H551" s="415"/>
      <c r="I551" s="415"/>
      <c r="J551" s="408" t="s">
        <v>730</v>
      </c>
      <c r="K551" s="424" t="s">
        <v>730</v>
      </c>
      <c r="M551" s="425" t="s">
        <v>730</v>
      </c>
      <c r="N551"/>
      <c r="P551" s="425" t="s">
        <v>730</v>
      </c>
      <c r="Q551"/>
      <c r="S551" s="477"/>
      <c r="T551" s="477"/>
      <c r="U551" s="477"/>
      <c r="V551" s="477"/>
    </row>
    <row r="552" spans="2:22" outlineLevel="3" x14ac:dyDescent="0.25">
      <c r="G552" s="416" t="str">
        <f>'Folha de cálculo'!E552</f>
        <v>7.2.1.1</v>
      </c>
      <c r="H552" s="416" t="str">
        <f>'Folha de cálculo'!F552</f>
        <v>a seco</v>
      </c>
      <c r="I552" s="416"/>
      <c r="J552" s="422"/>
      <c r="K552" s="419" t="str">
        <f t="shared" ref="K552:K557" si="246">IF(ISBLANK(J552),"",J552)</f>
        <v/>
      </c>
      <c r="M552" s="412" t="str">
        <f>IF(ISBLANK(K552),"",K552)</f>
        <v/>
      </c>
      <c r="N552"/>
      <c r="P552" s="412" t="str">
        <f>IF(ISBLANK(M552),"",M552)</f>
        <v/>
      </c>
      <c r="Q552"/>
      <c r="S552" s="475"/>
      <c r="T552" s="475"/>
      <c r="U552" s="475"/>
      <c r="V552" s="475"/>
    </row>
    <row r="553" spans="2:22" outlineLevel="3" x14ac:dyDescent="0.25">
      <c r="G553" s="416" t="str">
        <f>'Folha de cálculo'!E553</f>
        <v>7.2.1.2</v>
      </c>
      <c r="H553" s="416" t="str">
        <f>'Folha de cálculo'!F553</f>
        <v>com escova de espuma</v>
      </c>
      <c r="I553" s="416"/>
      <c r="J553" s="422"/>
      <c r="K553" s="419" t="str">
        <f t="shared" si="246"/>
        <v/>
      </c>
      <c r="M553" s="412" t="str">
        <f>IF(ISBLANK(K553),"",K553)</f>
        <v/>
      </c>
      <c r="N553"/>
      <c r="P553" s="412" t="str">
        <f>IF(ISBLANK(M553),"",M553)</f>
        <v/>
      </c>
      <c r="Q553"/>
      <c r="S553" s="475"/>
      <c r="T553" s="475"/>
      <c r="U553" s="475"/>
      <c r="V553" s="475"/>
    </row>
    <row r="554" spans="2:22" outlineLevel="3" x14ac:dyDescent="0.25">
      <c r="G554" s="416" t="str">
        <f>'Folha de cálculo'!E554</f>
        <v>7.2.1.3</v>
      </c>
      <c r="H554" s="416" t="str">
        <f>'Folha de cálculo'!F554</f>
        <v>manual à pressão</v>
      </c>
      <c r="I554" s="416"/>
      <c r="J554" s="422"/>
      <c r="K554" s="419" t="str">
        <f t="shared" si="246"/>
        <v/>
      </c>
      <c r="M554" s="412" t="str">
        <f t="shared" ref="M554:M557" si="247">IF(ISBLANK(K554),"",K554)</f>
        <v/>
      </c>
      <c r="N554"/>
      <c r="P554" s="412" t="str">
        <f t="shared" ref="P554:P557" si="248">IF(ISBLANK(M554),"",M554)</f>
        <v/>
      </c>
      <c r="Q554"/>
      <c r="S554" s="475"/>
      <c r="T554" s="475"/>
      <c r="U554" s="475"/>
      <c r="V554" s="475"/>
    </row>
    <row r="555" spans="2:22" outlineLevel="3" x14ac:dyDescent="0.25">
      <c r="G555" s="416" t="str">
        <f>'Folha de cálculo'!E555</f>
        <v>7.2.1.4</v>
      </c>
      <c r="H555" s="416" t="str">
        <f>'Folha de cálculo'!F555</f>
        <v>automático</v>
      </c>
      <c r="I555" s="416"/>
      <c r="J555" s="422"/>
      <c r="K555" s="419" t="str">
        <f t="shared" si="246"/>
        <v/>
      </c>
      <c r="M555" s="412" t="str">
        <f t="shared" si="247"/>
        <v/>
      </c>
      <c r="N555"/>
      <c r="P555" s="412" t="str">
        <f t="shared" si="248"/>
        <v/>
      </c>
      <c r="Q555"/>
      <c r="S555" s="475"/>
      <c r="T555" s="475"/>
      <c r="U555" s="475"/>
      <c r="V555" s="475"/>
    </row>
    <row r="556" spans="2:22" outlineLevel="3" x14ac:dyDescent="0.25">
      <c r="G556" s="416" t="str">
        <f>'Folha de cálculo'!E556</f>
        <v>7.2.1.5</v>
      </c>
      <c r="H556" s="416" t="str">
        <f>'Folha de cálculo'!F556</f>
        <v>Nenhuma das opções anteriores</v>
      </c>
      <c r="I556" s="416"/>
      <c r="J556" s="422"/>
      <c r="K556" s="419" t="str">
        <f t="shared" si="246"/>
        <v/>
      </c>
      <c r="M556" s="412" t="str">
        <f t="shared" si="247"/>
        <v/>
      </c>
      <c r="N556"/>
      <c r="P556" s="412" t="str">
        <f t="shared" si="248"/>
        <v/>
      </c>
      <c r="Q556"/>
      <c r="S556" s="475"/>
      <c r="T556" s="475"/>
      <c r="U556" s="475"/>
      <c r="V556" s="475"/>
    </row>
    <row r="557" spans="2:22" outlineLevel="3" x14ac:dyDescent="0.25">
      <c r="G557" s="416" t="str">
        <f>'Folha de cálculo'!E557</f>
        <v>7.2.1.6</v>
      </c>
      <c r="H557" s="416" t="str">
        <f>'Folha de cálculo'!F557</f>
        <v>Não foi possível determinar (justifique)</v>
      </c>
      <c r="I557" s="416"/>
      <c r="J557" s="422"/>
      <c r="K557" s="419" t="str">
        <f t="shared" si="246"/>
        <v/>
      </c>
      <c r="M557" s="412" t="str">
        <f t="shared" si="247"/>
        <v/>
      </c>
      <c r="N557"/>
      <c r="P557" s="412" t="str">
        <f t="shared" si="248"/>
        <v/>
      </c>
      <c r="Q557"/>
      <c r="S557" s="475"/>
      <c r="T557" s="475"/>
      <c r="U557" s="475"/>
      <c r="V557" s="475"/>
    </row>
    <row r="558" spans="2:22" outlineLevel="1" x14ac:dyDescent="0.25">
      <c r="J558" s="400"/>
      <c r="K558" s="400"/>
      <c r="M558" s="400"/>
      <c r="N558"/>
      <c r="P558" s="400"/>
      <c r="Q558"/>
      <c r="S558" s="476"/>
      <c r="T558" s="476"/>
      <c r="U558" s="476"/>
      <c r="V558" s="476"/>
    </row>
    <row r="559" spans="2:22" x14ac:dyDescent="0.25">
      <c r="D559" s="7">
        <f>'Folha de cálculo'!B559</f>
        <v>8</v>
      </c>
      <c r="E559" s="398" t="str">
        <f>'Folha de cálculo'!C559</f>
        <v>Golfe</v>
      </c>
      <c r="F559" s="398"/>
      <c r="G559" s="398"/>
      <c r="H559" s="398"/>
      <c r="I559" s="398"/>
      <c r="J559" s="399"/>
      <c r="K559" s="399"/>
      <c r="M559" s="399"/>
      <c r="N559"/>
      <c r="P559" s="399"/>
      <c r="Q559"/>
      <c r="S559" s="489"/>
      <c r="T559" s="489"/>
      <c r="U559" s="489"/>
      <c r="V559" s="489"/>
    </row>
    <row r="560" spans="2:22" x14ac:dyDescent="0.25">
      <c r="D560"/>
      <c r="J560" s="432"/>
      <c r="K560" s="432"/>
      <c r="M560" s="432"/>
      <c r="N560"/>
      <c r="P560" s="432"/>
      <c r="Q560"/>
      <c r="S560" s="476"/>
      <c r="T560" s="476"/>
      <c r="U560" s="476"/>
      <c r="V560" s="476"/>
    </row>
    <row r="561" spans="2:22" ht="15.75" outlineLevel="1" thickBot="1" x14ac:dyDescent="0.3">
      <c r="E561" s="8" t="str">
        <f>'Folha de cálculo'!C561</f>
        <v>8.1</v>
      </c>
      <c r="F561" s="8" t="str">
        <f>'Folha de cálculo'!D561</f>
        <v>Métodos de irrigação</v>
      </c>
      <c r="G561" s="8"/>
      <c r="H561" s="8"/>
      <c r="I561" s="8"/>
      <c r="J561" s="403"/>
      <c r="K561" s="404"/>
      <c r="M561" s="403"/>
      <c r="N561"/>
      <c r="P561" s="403"/>
      <c r="Q561"/>
      <c r="S561" s="478"/>
      <c r="T561" s="479"/>
      <c r="U561" s="479"/>
      <c r="V561" s="480"/>
    </row>
    <row r="562" spans="2:22" ht="15.75" outlineLevel="2" thickBot="1" x14ac:dyDescent="0.3">
      <c r="B562" s="405">
        <f>IF('Registo de informação'!B1410=0,0,1)</f>
        <v>0</v>
      </c>
      <c r="F562" s="415" t="str">
        <f>'Folha de cálculo'!D562</f>
        <v>8.1.1</v>
      </c>
      <c r="G562" s="415" t="str">
        <f>'Folha de cálculo'!E562</f>
        <v>A monitorização do sistema de rega utilizado indica a inexistência de fugas em…</v>
      </c>
      <c r="H562" s="415"/>
      <c r="I562" s="415"/>
      <c r="J562" s="408" t="s">
        <v>730</v>
      </c>
      <c r="K562" s="424" t="s">
        <v>730</v>
      </c>
      <c r="M562" s="425" t="s">
        <v>730</v>
      </c>
      <c r="N562"/>
      <c r="P562" s="425" t="s">
        <v>730</v>
      </c>
      <c r="Q562"/>
      <c r="S562" s="477"/>
      <c r="T562" s="477"/>
      <c r="U562" s="477"/>
      <c r="V562" s="477"/>
    </row>
    <row r="563" spans="2:22" ht="14.65" customHeight="1" outlineLevel="3" x14ac:dyDescent="0.25">
      <c r="D563"/>
      <c r="G563" s="416" t="str">
        <f>'Folha de cálculo'!E563</f>
        <v>8.1.1.1</v>
      </c>
      <c r="H563" s="416" t="str">
        <f>'Folha de cálculo'!F563</f>
        <v>100% da área regada do campo</v>
      </c>
      <c r="I563" s="416"/>
      <c r="J563" s="457"/>
      <c r="K563" s="419" t="str">
        <f t="shared" ref="K563:K568" si="249">IF(ISBLANK(J563),"",J563)</f>
        <v/>
      </c>
      <c r="M563" s="419" t="str">
        <f>IF(ISBLANK(K563),"",K563)</f>
        <v/>
      </c>
      <c r="N563"/>
      <c r="P563" s="419" t="str">
        <f>IF(ISBLANK(M563),"",M563)</f>
        <v/>
      </c>
      <c r="Q563"/>
      <c r="S563" s="475"/>
      <c r="T563" s="475"/>
      <c r="U563" s="475"/>
      <c r="V563" s="475"/>
    </row>
    <row r="564" spans="2:22" outlineLevel="3" x14ac:dyDescent="0.25">
      <c r="D564" s="433"/>
      <c r="G564" s="416" t="str">
        <f>'Folha de cálculo'!E564</f>
        <v>8.1.1.2</v>
      </c>
      <c r="H564" s="458" t="str">
        <f>'Folha de cálculo'!F564</f>
        <v>entre [75% e 100%[ da área regada do campo</v>
      </c>
      <c r="I564" s="416"/>
      <c r="J564" s="457"/>
      <c r="K564" s="419" t="str">
        <f t="shared" si="249"/>
        <v/>
      </c>
      <c r="M564" s="419" t="str">
        <f t="shared" ref="M564:M568" si="250">IF(ISBLANK(K564),"",K564)</f>
        <v/>
      </c>
      <c r="N564"/>
      <c r="P564" s="419" t="str">
        <f t="shared" ref="P564:P568" si="251">IF(ISBLANK(M564),"",M564)</f>
        <v/>
      </c>
      <c r="Q564"/>
      <c r="S564" s="475"/>
      <c r="T564" s="475"/>
      <c r="U564" s="475"/>
      <c r="V564" s="475"/>
    </row>
    <row r="565" spans="2:22" outlineLevel="3" x14ac:dyDescent="0.25">
      <c r="D565" s="433"/>
      <c r="G565" s="416" t="str">
        <f>'Folha de cálculo'!E565</f>
        <v>8.1.1.3</v>
      </c>
      <c r="H565" s="458" t="str">
        <f>'Folha de cálculo'!F565</f>
        <v>entre [50% e 75%[ da área regada do campo</v>
      </c>
      <c r="I565" s="416"/>
      <c r="J565" s="457"/>
      <c r="K565" s="419" t="str">
        <f t="shared" si="249"/>
        <v/>
      </c>
      <c r="M565" s="419" t="str">
        <f t="shared" si="250"/>
        <v/>
      </c>
      <c r="N565"/>
      <c r="P565" s="419" t="str">
        <f t="shared" si="251"/>
        <v/>
      </c>
      <c r="Q565"/>
      <c r="S565" s="475"/>
      <c r="T565" s="475"/>
      <c r="U565" s="475"/>
      <c r="V565" s="475"/>
    </row>
    <row r="566" spans="2:22" outlineLevel="3" x14ac:dyDescent="0.25">
      <c r="D566" s="433"/>
      <c r="G566" s="416" t="str">
        <f>'Folha de cálculo'!E566</f>
        <v>8.1.1.4</v>
      </c>
      <c r="H566" s="458" t="str">
        <f>'Folha de cálculo'!F566</f>
        <v>entre [25% e 50%[ da área regada do campo</v>
      </c>
      <c r="I566" s="416"/>
      <c r="J566" s="457"/>
      <c r="K566" s="419" t="str">
        <f t="shared" si="249"/>
        <v/>
      </c>
      <c r="M566" s="419" t="str">
        <f t="shared" si="250"/>
        <v/>
      </c>
      <c r="N566"/>
      <c r="P566" s="419" t="str">
        <f t="shared" si="251"/>
        <v/>
      </c>
      <c r="Q566"/>
      <c r="S566" s="475"/>
      <c r="T566" s="475"/>
      <c r="U566" s="475"/>
      <c r="V566" s="475"/>
    </row>
    <row r="567" spans="2:22" outlineLevel="3" x14ac:dyDescent="0.25">
      <c r="G567" s="416" t="str">
        <f>'Folha de cálculo'!E567</f>
        <v>8.1.1.5</v>
      </c>
      <c r="H567" s="416" t="str">
        <f>'Folha de cálculo'!F567</f>
        <v>menos de 25% da área regada do campo</v>
      </c>
      <c r="I567" s="416"/>
      <c r="J567" s="457"/>
      <c r="K567" s="419" t="str">
        <f t="shared" si="249"/>
        <v/>
      </c>
      <c r="M567" s="419" t="str">
        <f t="shared" si="250"/>
        <v/>
      </c>
      <c r="N567"/>
      <c r="P567" s="419" t="str">
        <f t="shared" si="251"/>
        <v/>
      </c>
      <c r="Q567"/>
      <c r="S567" s="475"/>
      <c r="T567" s="475"/>
      <c r="U567" s="475"/>
      <c r="V567" s="475"/>
    </row>
    <row r="568" spans="2:22" ht="15.75" outlineLevel="3" thickBot="1" x14ac:dyDescent="0.3">
      <c r="G568" s="416" t="str">
        <f>'Folha de cálculo'!E568</f>
        <v>8.1.1.6</v>
      </c>
      <c r="H568" s="416" t="str">
        <f>'Folha de cálculo'!F568</f>
        <v>Não foi possível determinar (justifique)</v>
      </c>
      <c r="I568" s="416"/>
      <c r="J568" s="457"/>
      <c r="K568" s="419" t="str">
        <f t="shared" si="249"/>
        <v/>
      </c>
      <c r="M568" s="419" t="str">
        <f t="shared" si="250"/>
        <v/>
      </c>
      <c r="N568"/>
      <c r="P568" s="419" t="str">
        <f t="shared" si="251"/>
        <v/>
      </c>
      <c r="Q568"/>
      <c r="S568" s="475"/>
      <c r="T568" s="475"/>
      <c r="U568" s="475"/>
      <c r="V568" s="475"/>
    </row>
    <row r="569" spans="2:22" ht="15.75" outlineLevel="2" thickBot="1" x14ac:dyDescent="0.3">
      <c r="B569" s="405">
        <f>IF('Registo de informação'!B1410=0,0,1)</f>
        <v>0</v>
      </c>
      <c r="F569" s="415" t="str">
        <f>'Folha de cálculo'!D569</f>
        <v>8.1.2</v>
      </c>
      <c r="G569" s="415" t="str">
        <f>'Folha de cálculo'!E569</f>
        <v>O método utilizado para deteção de fugas na rede de rega baseia-se…</v>
      </c>
      <c r="H569" s="415"/>
      <c r="I569" s="415"/>
      <c r="J569" s="408" t="s">
        <v>731</v>
      </c>
      <c r="K569" s="424" t="s">
        <v>731</v>
      </c>
      <c r="M569" s="425" t="s">
        <v>731</v>
      </c>
      <c r="N569"/>
      <c r="P569" s="425" t="s">
        <v>731</v>
      </c>
      <c r="Q569"/>
      <c r="S569" s="477"/>
      <c r="T569" s="477"/>
      <c r="U569" s="477"/>
      <c r="V569" s="477"/>
    </row>
    <row r="570" spans="2:22" outlineLevel="3" x14ac:dyDescent="0.25">
      <c r="D570" s="433"/>
      <c r="G570" s="416" t="str">
        <f>'Folha de cálculo'!E570</f>
        <v>8.1.2.1</v>
      </c>
      <c r="H570" s="416" t="str">
        <f>'Folha de cálculo'!F570</f>
        <v>num sistema de deteção em tempo real</v>
      </c>
      <c r="I570" s="416"/>
      <c r="J570" s="417"/>
      <c r="K570" s="418" t="str">
        <f t="shared" ref="K570:K574" si="252">IF(ISBLANK(J570),"",J570)</f>
        <v/>
      </c>
      <c r="M570" s="418" t="str">
        <f>IF(ISBLANK(K570),"",K570)</f>
        <v/>
      </c>
      <c r="N570"/>
      <c r="P570" s="418" t="str">
        <f>IF(ISBLANK(M570),"",M570)</f>
        <v/>
      </c>
      <c r="Q570"/>
      <c r="S570" s="475"/>
      <c r="T570" s="475"/>
      <c r="U570" s="475"/>
      <c r="V570" s="475"/>
    </row>
    <row r="571" spans="2:22" outlineLevel="3" x14ac:dyDescent="0.25">
      <c r="G571" s="416" t="str">
        <f>'Folha de cálculo'!E571</f>
        <v>8.1.2.2</v>
      </c>
      <c r="H571" s="416" t="str">
        <f>'Folha de cálculo'!F571</f>
        <v>na utilização de data loggers para recolha de dados e posterior análise</v>
      </c>
      <c r="I571" s="416"/>
      <c r="J571" s="417"/>
      <c r="K571" s="418" t="str">
        <f t="shared" si="252"/>
        <v/>
      </c>
      <c r="M571" s="418" t="str">
        <f t="shared" ref="M571:M574" si="253">IF(ISBLANK(K571),"",K571)</f>
        <v/>
      </c>
      <c r="N571"/>
      <c r="P571" s="418" t="str">
        <f t="shared" ref="P571:P574" si="254">IF(ISBLANK(M571),"",M571)</f>
        <v/>
      </c>
      <c r="Q571"/>
      <c r="S571" s="475"/>
      <c r="T571" s="475"/>
      <c r="U571" s="475"/>
      <c r="V571" s="475"/>
    </row>
    <row r="572" spans="2:22" outlineLevel="3" x14ac:dyDescent="0.25">
      <c r="G572" s="416" t="str">
        <f>'Folha de cálculo'!E572</f>
        <v>8.1.2.3</v>
      </c>
      <c r="H572" s="416" t="str">
        <f>'Folha de cálculo'!F572</f>
        <v>na leitura manual dos dados dos contadores</v>
      </c>
      <c r="I572" s="416"/>
      <c r="J572" s="417"/>
      <c r="K572" s="418" t="str">
        <f t="shared" si="252"/>
        <v/>
      </c>
      <c r="M572" s="418" t="str">
        <f t="shared" si="253"/>
        <v/>
      </c>
      <c r="N572"/>
      <c r="P572" s="418" t="str">
        <f t="shared" si="254"/>
        <v/>
      </c>
      <c r="Q572"/>
      <c r="S572" s="475"/>
      <c r="T572" s="475"/>
      <c r="U572" s="475"/>
      <c r="V572" s="475"/>
    </row>
    <row r="573" spans="2:22" outlineLevel="3" x14ac:dyDescent="0.25">
      <c r="G573" s="416" t="str">
        <f>'Folha de cálculo'!E573</f>
        <v>8.1.2.4</v>
      </c>
      <c r="H573" s="416" t="str">
        <f>'Folha de cálculo'!F573</f>
        <v>na identificação visual de problemas no terreno</v>
      </c>
      <c r="I573" s="416"/>
      <c r="J573" s="417"/>
      <c r="K573" s="418" t="str">
        <f t="shared" si="252"/>
        <v/>
      </c>
      <c r="M573" s="418" t="str">
        <f t="shared" si="253"/>
        <v/>
      </c>
      <c r="N573"/>
      <c r="P573" s="418" t="str">
        <f t="shared" si="254"/>
        <v/>
      </c>
      <c r="Q573"/>
      <c r="S573" s="475"/>
      <c r="T573" s="475"/>
      <c r="U573" s="475"/>
      <c r="V573" s="475"/>
    </row>
    <row r="574" spans="2:22" ht="15.75" outlineLevel="3" thickBot="1" x14ac:dyDescent="0.3">
      <c r="G574" s="416" t="str">
        <f>'Folha de cálculo'!E574</f>
        <v>8.1.2.5</v>
      </c>
      <c r="H574" s="416" t="str">
        <f>'Folha de cálculo'!F574</f>
        <v>Não foi possível determinar (justifique)</v>
      </c>
      <c r="I574" s="416"/>
      <c r="J574" s="417"/>
      <c r="K574" s="418" t="str">
        <f t="shared" si="252"/>
        <v/>
      </c>
      <c r="M574" s="418" t="str">
        <f t="shared" si="253"/>
        <v/>
      </c>
      <c r="N574"/>
      <c r="P574" s="418" t="str">
        <f t="shared" si="254"/>
        <v/>
      </c>
      <c r="Q574"/>
      <c r="S574" s="475"/>
      <c r="T574" s="475"/>
      <c r="U574" s="475"/>
      <c r="V574" s="475"/>
    </row>
    <row r="575" spans="2:22" ht="14.65" customHeight="1" outlineLevel="2" thickBot="1" x14ac:dyDescent="0.3">
      <c r="B575" s="405">
        <f>IF('Registo de informação'!B1410=0,0,1)</f>
        <v>0</v>
      </c>
      <c r="E575" s="401"/>
      <c r="F575" s="415" t="str">
        <f>'Folha de cálculo'!D575</f>
        <v>8.1.3</v>
      </c>
      <c r="G575" s="415" t="str">
        <f>'Folha de cálculo'!E575</f>
        <v>O sistema de controlo de rega é…</v>
      </c>
      <c r="H575" s="415"/>
      <c r="I575" s="415"/>
      <c r="J575" s="408" t="s">
        <v>731</v>
      </c>
      <c r="K575" s="424" t="s">
        <v>731</v>
      </c>
      <c r="M575" s="425" t="s">
        <v>731</v>
      </c>
      <c r="N575"/>
      <c r="P575" s="425" t="s">
        <v>731</v>
      </c>
      <c r="Q575"/>
      <c r="S575" s="477"/>
      <c r="T575" s="477"/>
      <c r="U575" s="477"/>
      <c r="V575" s="477"/>
    </row>
    <row r="576" spans="2:22" outlineLevel="3" x14ac:dyDescent="0.25">
      <c r="G576" s="416" t="str">
        <f>'Folha de cálculo'!E576</f>
        <v>8.1.3.1</v>
      </c>
      <c r="H576" s="416" t="str">
        <f>'Folha de cálculo'!F576</f>
        <v>automático com base em sensores de humidade complementado com previsão metereológica</v>
      </c>
      <c r="I576" s="416"/>
      <c r="J576" s="417"/>
      <c r="K576" s="418" t="str">
        <f t="shared" ref="K576:K582" si="255">IF(ISBLANK(J576),"",J576)</f>
        <v/>
      </c>
      <c r="M576" s="418" t="str">
        <f>IF(ISBLANK(K576),"",K576)</f>
        <v/>
      </c>
      <c r="N576"/>
      <c r="P576" s="418" t="str">
        <f>IF(ISBLANK(M576),"",M576)</f>
        <v/>
      </c>
      <c r="Q576"/>
      <c r="S576" s="475"/>
      <c r="T576" s="475"/>
      <c r="U576" s="475"/>
      <c r="V576" s="475"/>
    </row>
    <row r="577" spans="2:22" outlineLevel="3" x14ac:dyDescent="0.25">
      <c r="G577" s="416" t="str">
        <f>'Folha de cálculo'!E577</f>
        <v>8.1.3.2</v>
      </c>
      <c r="H577" s="416" t="str">
        <f>'Folha de cálculo'!F577</f>
        <v>automático com base em sensores de humidade</v>
      </c>
      <c r="I577" s="416"/>
      <c r="J577" s="417"/>
      <c r="K577" s="418" t="str">
        <f t="shared" si="255"/>
        <v/>
      </c>
      <c r="M577" s="418" t="str">
        <f t="shared" ref="M577:M582" si="256">IF(ISBLANK(K577),"",K577)</f>
        <v/>
      </c>
      <c r="N577"/>
      <c r="P577" s="418" t="str">
        <f t="shared" ref="P577:P582" si="257">IF(ISBLANK(M577),"",M577)</f>
        <v/>
      </c>
      <c r="Q577"/>
      <c r="S577" s="475"/>
      <c r="T577" s="475"/>
      <c r="U577" s="475"/>
      <c r="V577" s="475"/>
    </row>
    <row r="578" spans="2:22" outlineLevel="3" x14ac:dyDescent="0.25">
      <c r="G578" s="416" t="str">
        <f>'Folha de cálculo'!E578</f>
        <v>8.1.3.3</v>
      </c>
      <c r="H578" s="416" t="str">
        <f>'Folha de cálculo'!F578</f>
        <v>automático com base em sensores de chuva</v>
      </c>
      <c r="I578" s="416"/>
      <c r="J578" s="417"/>
      <c r="K578" s="418" t="str">
        <f t="shared" si="255"/>
        <v/>
      </c>
      <c r="M578" s="418" t="str">
        <f t="shared" si="256"/>
        <v/>
      </c>
      <c r="N578"/>
      <c r="P578" s="418" t="str">
        <f t="shared" si="257"/>
        <v/>
      </c>
      <c r="Q578"/>
      <c r="S578" s="475"/>
      <c r="T578" s="475"/>
      <c r="U578" s="475"/>
      <c r="V578" s="475"/>
    </row>
    <row r="579" spans="2:22" outlineLevel="3" x14ac:dyDescent="0.25">
      <c r="G579" s="416" t="str">
        <f>'Folha de cálculo'!E579</f>
        <v>8.1.3.4</v>
      </c>
      <c r="H579" s="416" t="str">
        <f>'Folha de cálculo'!F579</f>
        <v>automático com base num temporizador (controlo horário)</v>
      </c>
      <c r="I579" s="416"/>
      <c r="J579" s="417"/>
      <c r="K579" s="418" t="str">
        <f t="shared" si="255"/>
        <v/>
      </c>
      <c r="M579" s="418" t="str">
        <f t="shared" si="256"/>
        <v/>
      </c>
      <c r="N579"/>
      <c r="P579" s="418" t="str">
        <f t="shared" si="257"/>
        <v/>
      </c>
      <c r="Q579"/>
      <c r="S579" s="475"/>
      <c r="T579" s="475"/>
      <c r="U579" s="475"/>
      <c r="V579" s="475"/>
    </row>
    <row r="580" spans="2:22" outlineLevel="3" x14ac:dyDescent="0.25">
      <c r="G580" s="416" t="str">
        <f>'Folha de cálculo'!E580</f>
        <v>8.1.3.5</v>
      </c>
      <c r="H580" s="416" t="str">
        <f>'Folha de cálculo'!F580</f>
        <v>manual ou inexistente</v>
      </c>
      <c r="I580" s="416"/>
      <c r="J580" s="417"/>
      <c r="K580" s="418" t="str">
        <f t="shared" si="255"/>
        <v/>
      </c>
      <c r="M580" s="418" t="str">
        <f t="shared" si="256"/>
        <v/>
      </c>
      <c r="N580"/>
      <c r="P580" s="418" t="str">
        <f t="shared" si="257"/>
        <v/>
      </c>
      <c r="Q580"/>
      <c r="S580" s="475"/>
      <c r="T580" s="475"/>
      <c r="U580" s="475"/>
      <c r="V580" s="475"/>
    </row>
    <row r="581" spans="2:22" outlineLevel="3" x14ac:dyDescent="0.25">
      <c r="G581" s="416" t="str">
        <f>'Folha de cálculo'!E581</f>
        <v>8.1.3.6</v>
      </c>
      <c r="H581" s="416" t="str">
        <f>'Folha de cálculo'!F581</f>
        <v>Nenhuma das opções anteriores</v>
      </c>
      <c r="I581" s="416"/>
      <c r="J581" s="417"/>
      <c r="K581" s="418" t="str">
        <f t="shared" si="255"/>
        <v/>
      </c>
      <c r="M581" s="418" t="str">
        <f t="shared" si="256"/>
        <v/>
      </c>
      <c r="N581"/>
      <c r="P581" s="418" t="str">
        <f t="shared" si="257"/>
        <v/>
      </c>
      <c r="Q581"/>
      <c r="S581" s="475"/>
      <c r="T581" s="475"/>
      <c r="U581" s="475"/>
      <c r="V581" s="475"/>
    </row>
    <row r="582" spans="2:22" ht="15.75" outlineLevel="3" thickBot="1" x14ac:dyDescent="0.3">
      <c r="G582" s="416" t="str">
        <f>'Folha de cálculo'!E582</f>
        <v>8.1.3.7</v>
      </c>
      <c r="H582" s="416" t="str">
        <f>'Folha de cálculo'!F582</f>
        <v>Não foi possível determinar (justifique)</v>
      </c>
      <c r="I582" s="416"/>
      <c r="J582" s="417"/>
      <c r="K582" s="418" t="str">
        <f t="shared" si="255"/>
        <v/>
      </c>
      <c r="M582" s="418" t="str">
        <f t="shared" si="256"/>
        <v/>
      </c>
      <c r="N582"/>
      <c r="P582" s="418" t="str">
        <f t="shared" si="257"/>
        <v/>
      </c>
      <c r="Q582"/>
      <c r="S582" s="475"/>
      <c r="T582" s="475"/>
      <c r="U582" s="475"/>
      <c r="V582" s="475"/>
    </row>
    <row r="583" spans="2:22" ht="15.75" outlineLevel="2" thickBot="1" x14ac:dyDescent="0.3">
      <c r="B583" s="405">
        <f>IF('Registo de informação'!B1410=0,0,1)</f>
        <v>0</v>
      </c>
      <c r="F583" s="415" t="str">
        <f>'Folha de cálculo'!D583</f>
        <v>8.1.4</v>
      </c>
      <c r="G583" s="415" t="str">
        <f>'Folha de cálculo'!E583</f>
        <v>O atual plano de manutenção é do tipo…</v>
      </c>
      <c r="H583" s="415"/>
      <c r="I583" s="415"/>
      <c r="J583" s="408" t="s">
        <v>730</v>
      </c>
      <c r="K583" s="424" t="s">
        <v>730</v>
      </c>
      <c r="M583" s="425" t="s">
        <v>730</v>
      </c>
      <c r="N583"/>
      <c r="P583" s="425" t="s">
        <v>730</v>
      </c>
      <c r="Q583"/>
      <c r="S583" s="477"/>
      <c r="T583" s="477"/>
      <c r="U583" s="477"/>
      <c r="V583" s="477"/>
    </row>
    <row r="584" spans="2:22" ht="14.65" customHeight="1" outlineLevel="3" x14ac:dyDescent="0.25">
      <c r="D584"/>
      <c r="G584" s="416" t="str">
        <f>'Folha de cálculo'!E584</f>
        <v>8.1.4.1</v>
      </c>
      <c r="H584" s="458" t="str">
        <f>'Folha de cálculo'!F584</f>
        <v>preditiva, através de um sistema inteligente de alarmisticas</v>
      </c>
      <c r="I584" s="416"/>
      <c r="J584" s="457"/>
      <c r="K584" s="419" t="str">
        <f t="shared" ref="K584:K587" si="258">IF(ISBLANK(J584),"",J584)</f>
        <v/>
      </c>
      <c r="M584" s="419" t="str">
        <f>IF(ISBLANK(K584),"",K584)</f>
        <v/>
      </c>
      <c r="N584"/>
      <c r="P584" s="419" t="str">
        <f>IF(ISBLANK(M584),"",M584)</f>
        <v/>
      </c>
      <c r="Q584"/>
      <c r="S584" s="475"/>
      <c r="T584" s="475"/>
      <c r="U584" s="475"/>
      <c r="V584" s="475"/>
    </row>
    <row r="585" spans="2:22" outlineLevel="3" x14ac:dyDescent="0.25">
      <c r="D585" s="433"/>
      <c r="G585" s="416" t="str">
        <f>'Folha de cálculo'!E585</f>
        <v>8.1.4.2</v>
      </c>
      <c r="H585" s="458" t="str">
        <f>'Folha de cálculo'!F585</f>
        <v>preventiva, através de verificações regulares</v>
      </c>
      <c r="I585" s="416"/>
      <c r="J585" s="457"/>
      <c r="K585" s="419" t="str">
        <f t="shared" si="258"/>
        <v/>
      </c>
      <c r="M585" s="419" t="str">
        <f t="shared" ref="M585:M587" si="259">IF(ISBLANK(K585),"",K585)</f>
        <v/>
      </c>
      <c r="N585"/>
      <c r="P585" s="419" t="str">
        <f t="shared" ref="P585:P587" si="260">IF(ISBLANK(M585),"",M585)</f>
        <v/>
      </c>
      <c r="Q585"/>
      <c r="S585" s="475"/>
      <c r="T585" s="475"/>
      <c r="U585" s="475"/>
      <c r="V585" s="475"/>
    </row>
    <row r="586" spans="2:22" outlineLevel="3" x14ac:dyDescent="0.25">
      <c r="G586" s="416" t="str">
        <f>'Folha de cálculo'!E586</f>
        <v>8.1.4.3</v>
      </c>
      <c r="H586" s="458" t="str">
        <f>'Folha de cálculo'!F586</f>
        <v>corretiva, quando é identificado um problema</v>
      </c>
      <c r="I586" s="416"/>
      <c r="J586" s="457"/>
      <c r="K586" s="419" t="str">
        <f t="shared" si="258"/>
        <v/>
      </c>
      <c r="M586" s="419" t="str">
        <f t="shared" si="259"/>
        <v/>
      </c>
      <c r="N586"/>
      <c r="P586" s="419" t="str">
        <f t="shared" si="260"/>
        <v/>
      </c>
      <c r="Q586"/>
      <c r="S586" s="475"/>
      <c r="T586" s="475"/>
      <c r="U586" s="475"/>
      <c r="V586" s="475"/>
    </row>
    <row r="587" spans="2:22" ht="15.75" outlineLevel="3" thickBot="1" x14ac:dyDescent="0.3">
      <c r="G587" s="416" t="str">
        <f>'Folha de cálculo'!E587</f>
        <v>8.1.4.4</v>
      </c>
      <c r="H587" s="416" t="str">
        <f>'Folha de cálculo'!F587</f>
        <v>Não foi possível determinar (justifique)</v>
      </c>
      <c r="I587" s="416"/>
      <c r="J587" s="457"/>
      <c r="K587" s="419" t="str">
        <f t="shared" si="258"/>
        <v/>
      </c>
      <c r="M587" s="419" t="str">
        <f t="shared" si="259"/>
        <v/>
      </c>
      <c r="N587"/>
      <c r="P587" s="419" t="str">
        <f t="shared" si="260"/>
        <v/>
      </c>
      <c r="Q587"/>
      <c r="S587" s="475"/>
      <c r="T587" s="475"/>
      <c r="U587" s="475"/>
      <c r="V587" s="475"/>
    </row>
    <row r="588" spans="2:22" ht="29.1" customHeight="1" outlineLevel="2" thickBot="1" x14ac:dyDescent="0.3">
      <c r="B588" s="405">
        <f>IF('Registo de informação'!B1410=0,0,IF('Registo de informação'!B9&lt;&gt;'Folha Oculta'!AL9,0,1))</f>
        <v>0</v>
      </c>
      <c r="C588" s="5"/>
      <c r="F588" s="459" t="str">
        <f>'Folha de cálculo'!D588</f>
        <v>8.1.5</v>
      </c>
      <c r="G588" s="487" t="str">
        <f>'Folha de cálculo'!E588</f>
        <v>A análise do consumo de rega durante os últimos 12 meses indica um consumo…</v>
      </c>
      <c r="H588" s="487"/>
      <c r="I588" s="487"/>
      <c r="J588" s="408" t="s">
        <v>730</v>
      </c>
      <c r="K588" s="424" t="s">
        <v>730</v>
      </c>
      <c r="M588" s="425" t="s">
        <v>730</v>
      </c>
      <c r="N588"/>
      <c r="P588" s="425" t="s">
        <v>730</v>
      </c>
      <c r="Q588"/>
      <c r="S588" s="477"/>
      <c r="T588" s="477"/>
      <c r="U588" s="477"/>
      <c r="V588" s="477"/>
    </row>
    <row r="589" spans="2:22" outlineLevel="3" x14ac:dyDescent="0.25">
      <c r="G589" s="421" t="str">
        <f>'Folha de cálculo'!E589</f>
        <v>8.1.5.1</v>
      </c>
      <c r="H589" s="421" t="str">
        <f>'Folha de cálculo'!F589</f>
        <v xml:space="preserve">inferior a 550 litros/m2/ano </v>
      </c>
      <c r="I589" s="421"/>
      <c r="J589" s="460" t="str">
        <f>IF(AND('Registo de informação'!B1412&lt;550,'Registo de informação'!B1412&lt;&gt;""),1,"")</f>
        <v/>
      </c>
      <c r="K589" s="419" t="str">
        <f t="shared" ref="K589:K595" si="261">IF(ISBLANK(J589),"",J589)</f>
        <v/>
      </c>
      <c r="L589" s="461"/>
      <c r="M589" s="462" t="str">
        <f>IF(ISBLANK(K589),"",K589)</f>
        <v/>
      </c>
      <c r="N589" s="463"/>
      <c r="O589" s="463"/>
      <c r="P589" s="462" t="str">
        <f>IF(ISBLANK(M589),"",M589)</f>
        <v/>
      </c>
      <c r="Q589"/>
      <c r="S589" s="475"/>
      <c r="T589" s="475"/>
      <c r="U589" s="475"/>
      <c r="V589" s="475"/>
    </row>
    <row r="590" spans="2:22" outlineLevel="3" x14ac:dyDescent="0.25">
      <c r="D590"/>
      <c r="G590" s="421" t="str">
        <f>'Folha de cálculo'!E590</f>
        <v>8.1.5.2</v>
      </c>
      <c r="H590" s="421" t="str">
        <f>'Folha de cálculo'!F590</f>
        <v xml:space="preserve">entre [550 a 700[ litros/m2/ano </v>
      </c>
      <c r="I590" s="421"/>
      <c r="J590" s="460" t="str">
        <f>IF(AND('Registo de informação'!B1412&gt;=550,'Registo de informação'!B1412&lt;700),1,"")</f>
        <v/>
      </c>
      <c r="K590" s="419" t="str">
        <f t="shared" si="261"/>
        <v/>
      </c>
      <c r="L590" s="461"/>
      <c r="M590" s="462" t="str">
        <f t="shared" ref="M590:M595" si="262">IF(ISBLANK(K590),"",K590)</f>
        <v/>
      </c>
      <c r="N590" s="463"/>
      <c r="O590" s="463"/>
      <c r="P590" s="462" t="str">
        <f t="shared" ref="P590:P595" si="263">IF(ISBLANK(M590),"",M590)</f>
        <v/>
      </c>
      <c r="Q590"/>
      <c r="S590" s="475"/>
      <c r="T590" s="475"/>
      <c r="U590" s="475"/>
      <c r="V590" s="475"/>
    </row>
    <row r="591" spans="2:22" outlineLevel="3" x14ac:dyDescent="0.25">
      <c r="G591" s="421" t="str">
        <f>'Folha de cálculo'!E591</f>
        <v>8.1.5.3</v>
      </c>
      <c r="H591" s="421" t="str">
        <f>'Folha de cálculo'!F591</f>
        <v xml:space="preserve">entre [700 a 850[ litros/m2/ano </v>
      </c>
      <c r="I591" s="421"/>
      <c r="J591" s="460" t="str">
        <f>IF(AND('Registo de informação'!B1412&gt;=700,'Registo de informação'!B1412&lt;850),1,"")</f>
        <v/>
      </c>
      <c r="K591" s="419" t="str">
        <f t="shared" si="261"/>
        <v/>
      </c>
      <c r="L591" s="461"/>
      <c r="M591" s="462" t="str">
        <f t="shared" si="262"/>
        <v/>
      </c>
      <c r="N591" s="463"/>
      <c r="O591" s="463"/>
      <c r="P591" s="462" t="str">
        <f t="shared" si="263"/>
        <v/>
      </c>
      <c r="Q591"/>
      <c r="S591" s="475"/>
      <c r="T591" s="475"/>
      <c r="U591" s="475"/>
      <c r="V591" s="475"/>
    </row>
    <row r="592" spans="2:22" outlineLevel="3" x14ac:dyDescent="0.25">
      <c r="G592" s="421" t="str">
        <f>'Folha de cálculo'!E592</f>
        <v>8.1.5.4</v>
      </c>
      <c r="H592" s="421" t="str">
        <f>'Folha de cálculo'!F592</f>
        <v xml:space="preserve">entre [850 a 1000[ litros/m2/ano </v>
      </c>
      <c r="I592" s="421"/>
      <c r="J592" s="460" t="str">
        <f>IF(AND('Registo de informação'!B1412&gt;=850,'Registo de informação'!B1412&lt;1000),1,"")</f>
        <v/>
      </c>
      <c r="K592" s="419" t="str">
        <f t="shared" si="261"/>
        <v/>
      </c>
      <c r="L592" s="461"/>
      <c r="M592" s="462" t="str">
        <f t="shared" si="262"/>
        <v/>
      </c>
      <c r="N592" s="463"/>
      <c r="O592" s="463"/>
      <c r="P592" s="462" t="str">
        <f t="shared" si="263"/>
        <v/>
      </c>
      <c r="Q592"/>
      <c r="S592" s="475"/>
      <c r="T592" s="475"/>
      <c r="U592" s="475"/>
      <c r="V592" s="475"/>
    </row>
    <row r="593" spans="2:22" outlineLevel="3" x14ac:dyDescent="0.25">
      <c r="G593" s="421" t="str">
        <f>'Folha de cálculo'!E593</f>
        <v>8.1.5.5</v>
      </c>
      <c r="H593" s="421" t="str">
        <f>'Folha de cálculo'!F593</f>
        <v xml:space="preserve">entre [1000 a 1150[ litros/m2/ano </v>
      </c>
      <c r="I593" s="421"/>
      <c r="J593" s="460" t="str">
        <f>IF(AND('Registo de informação'!B1412&gt;=1000,'Registo de informação'!B1412&lt;1150),1,"")</f>
        <v/>
      </c>
      <c r="K593" s="419" t="str">
        <f t="shared" si="261"/>
        <v/>
      </c>
      <c r="L593" s="461"/>
      <c r="M593" s="462" t="str">
        <f t="shared" si="262"/>
        <v/>
      </c>
      <c r="N593" s="463"/>
      <c r="O593" s="463"/>
      <c r="P593" s="462" t="str">
        <f t="shared" si="263"/>
        <v/>
      </c>
      <c r="Q593"/>
      <c r="S593" s="475"/>
      <c r="T593" s="475"/>
      <c r="U593" s="475"/>
      <c r="V593" s="475"/>
    </row>
    <row r="594" spans="2:22" outlineLevel="3" x14ac:dyDescent="0.25">
      <c r="G594" s="421" t="str">
        <f>'Folha de cálculo'!E594</f>
        <v>8.1.5.6</v>
      </c>
      <c r="H594" s="421" t="str">
        <f>'Folha de cálculo'!F594</f>
        <v xml:space="preserve">igual ou superior a 1150 litros/m2/ano </v>
      </c>
      <c r="I594" s="421"/>
      <c r="J594" s="460" t="str">
        <f>IF('Registo de informação'!B1412&gt;=1150,1,"")</f>
        <v/>
      </c>
      <c r="K594" s="419" t="str">
        <f t="shared" si="261"/>
        <v/>
      </c>
      <c r="L594" s="461"/>
      <c r="M594" s="462" t="str">
        <f t="shared" si="262"/>
        <v/>
      </c>
      <c r="N594" s="463"/>
      <c r="O594" s="463"/>
      <c r="P594" s="462" t="str">
        <f t="shared" si="263"/>
        <v/>
      </c>
      <c r="Q594"/>
      <c r="S594" s="475"/>
      <c r="T594" s="475"/>
      <c r="U594" s="475"/>
      <c r="V594" s="475"/>
    </row>
    <row r="595" spans="2:22" outlineLevel="3" x14ac:dyDescent="0.25">
      <c r="G595" s="421" t="str">
        <f>'Folha de cálculo'!E595</f>
        <v>8.1.5.7</v>
      </c>
      <c r="H595" s="421" t="str">
        <f>'Folha de cálculo'!F595</f>
        <v>Não foi possível determinar (justifique)</v>
      </c>
      <c r="I595" s="421"/>
      <c r="J595" s="460">
        <f>IF(SUM(J589:J594)=1,"",1)</f>
        <v>1</v>
      </c>
      <c r="K595" s="419">
        <f t="shared" si="261"/>
        <v>1</v>
      </c>
      <c r="L595" s="461"/>
      <c r="M595" s="462">
        <f t="shared" si="262"/>
        <v>1</v>
      </c>
      <c r="N595" s="463"/>
      <c r="O595" s="463"/>
      <c r="P595" s="462">
        <f t="shared" si="263"/>
        <v>1</v>
      </c>
      <c r="Q595"/>
      <c r="S595" s="475"/>
      <c r="T595" s="475"/>
      <c r="U595" s="475"/>
      <c r="V595" s="475"/>
    </row>
    <row r="596" spans="2:22" outlineLevel="1" x14ac:dyDescent="0.25">
      <c r="D596"/>
      <c r="J596" s="432"/>
      <c r="K596" s="432"/>
      <c r="M596" s="432"/>
      <c r="N596"/>
      <c r="P596" s="432"/>
      <c r="Q596"/>
      <c r="S596" s="476"/>
      <c r="T596" s="476"/>
      <c r="U596" s="476"/>
      <c r="V596" s="476"/>
    </row>
    <row r="597" spans="2:22" ht="15.75" outlineLevel="1" thickBot="1" x14ac:dyDescent="0.3">
      <c r="E597" s="8" t="str">
        <f>'Folha de cálculo'!C597</f>
        <v>8.2</v>
      </c>
      <c r="F597" s="8" t="str">
        <f>'Folha de cálculo'!D597</f>
        <v>Origens de água</v>
      </c>
      <c r="G597" s="8"/>
      <c r="H597" s="8"/>
      <c r="I597" s="8"/>
      <c r="J597" s="403"/>
      <c r="K597" s="404"/>
      <c r="M597" s="403"/>
      <c r="N597"/>
      <c r="P597" s="403"/>
      <c r="Q597"/>
      <c r="S597" s="478"/>
      <c r="T597" s="479"/>
      <c r="U597" s="479"/>
      <c r="V597" s="480"/>
    </row>
    <row r="598" spans="2:22" ht="29.1" customHeight="1" outlineLevel="2" thickBot="1" x14ac:dyDescent="0.3">
      <c r="B598" s="405">
        <f>IF('Registo de informação'!B1410=0,0,1)</f>
        <v>0</v>
      </c>
      <c r="F598" s="459" t="str">
        <f>'Folha de cálculo'!D598</f>
        <v>8.2.1</v>
      </c>
      <c r="G598" s="486" t="str">
        <f>'Folha de cálculo'!E598</f>
        <v>O campo dispõe de sistema(s), em uso e certificado(s), ou passível(eis) de utilização após licenciamento por entidade competente, para o aproveitamento de…</v>
      </c>
      <c r="H598" s="486"/>
      <c r="I598" s="486"/>
      <c r="J598" s="425" t="s">
        <v>729</v>
      </c>
      <c r="K598" s="424" t="s">
        <v>729</v>
      </c>
      <c r="M598" s="425" t="s">
        <v>729</v>
      </c>
      <c r="N598"/>
      <c r="P598" s="425" t="s">
        <v>729</v>
      </c>
      <c r="Q598"/>
      <c r="S598" s="477"/>
      <c r="T598" s="477"/>
      <c r="U598" s="477"/>
      <c r="V598" s="477"/>
    </row>
    <row r="599" spans="2:22" outlineLevel="3" x14ac:dyDescent="0.25">
      <c r="G599" s="416" t="str">
        <f>'Folha de cálculo'!E599</f>
        <v>8.2.1.1</v>
      </c>
      <c r="H599" s="416" t="str">
        <f>'Folha de cálculo'!F599</f>
        <v>águas pluviais (chuva)</v>
      </c>
      <c r="I599" s="416"/>
      <c r="J599" s="422"/>
      <c r="K599" s="419" t="str">
        <f t="shared" ref="K599:K618" si="264">IF(ISBLANK(J599),"",J599)</f>
        <v/>
      </c>
      <c r="M599" s="412" t="str">
        <f>IF(ISBLANK(K599),"",K599)</f>
        <v/>
      </c>
      <c r="N599"/>
      <c r="P599" s="412" t="str">
        <f>IF(ISBLANK(M599),"",M599)</f>
        <v/>
      </c>
      <c r="Q599"/>
      <c r="S599" s="475"/>
      <c r="T599" s="475"/>
      <c r="U599" s="475"/>
      <c r="V599" s="475"/>
    </row>
    <row r="600" spans="2:22" outlineLevel="3" x14ac:dyDescent="0.25">
      <c r="G600" s="416" t="str">
        <f>'Folha de cálculo'!E600</f>
        <v>8.2.1.2</v>
      </c>
      <c r="H600" s="416" t="str">
        <f>'Folha de cálculo'!F600</f>
        <v>águas cinzentas</v>
      </c>
      <c r="I600" s="416"/>
      <c r="J600" s="422"/>
      <c r="K600" s="419" t="str">
        <f t="shared" si="264"/>
        <v/>
      </c>
      <c r="M600" s="412" t="str">
        <f t="shared" ref="M600:M604" si="265">IF(ISBLANK(K600),"",K600)</f>
        <v/>
      </c>
      <c r="N600"/>
      <c r="P600" s="412" t="str">
        <f t="shared" ref="P600:P604" si="266">IF(ISBLANK(M600),"",M600)</f>
        <v/>
      </c>
      <c r="Q600"/>
      <c r="S600" s="475"/>
      <c r="T600" s="475"/>
      <c r="U600" s="475"/>
      <c r="V600" s="475"/>
    </row>
    <row r="601" spans="2:22" outlineLevel="3" x14ac:dyDescent="0.25">
      <c r="G601" s="416" t="str">
        <f>'Folha de cálculo'!E601</f>
        <v>8.2.1.3</v>
      </c>
      <c r="H601" s="410" t="str">
        <f>'Folha de cálculo'!F601</f>
        <v>água para reutilização proveniente de ETAR (urbana ou própria do empreendimento)</v>
      </c>
      <c r="I601" s="416"/>
      <c r="J601" s="422"/>
      <c r="K601" s="419" t="str">
        <f t="shared" si="264"/>
        <v/>
      </c>
      <c r="M601" s="412" t="str">
        <f t="shared" si="265"/>
        <v/>
      </c>
      <c r="N601"/>
      <c r="P601" s="412" t="str">
        <f t="shared" si="266"/>
        <v/>
      </c>
      <c r="Q601"/>
      <c r="S601" s="475"/>
      <c r="T601" s="475"/>
      <c r="U601" s="475"/>
      <c r="V601" s="475"/>
    </row>
    <row r="602" spans="2:22" outlineLevel="3" x14ac:dyDescent="0.25">
      <c r="G602" s="416" t="str">
        <f>'Folha de cálculo'!E602</f>
        <v>8.2.1.4</v>
      </c>
      <c r="H602" s="416" t="str">
        <f>'Folha de cálculo'!F602</f>
        <v>água proveniente de dessalinização</v>
      </c>
      <c r="I602" s="416"/>
      <c r="J602" s="422"/>
      <c r="K602" s="419" t="str">
        <f t="shared" si="264"/>
        <v/>
      </c>
      <c r="M602" s="412" t="str">
        <f t="shared" si="265"/>
        <v/>
      </c>
      <c r="N602"/>
      <c r="P602" s="412" t="str">
        <f t="shared" si="266"/>
        <v/>
      </c>
      <c r="Q602"/>
      <c r="S602" s="475"/>
      <c r="T602" s="475"/>
      <c r="U602" s="475"/>
      <c r="V602" s="475"/>
    </row>
    <row r="603" spans="2:22" outlineLevel="3" x14ac:dyDescent="0.25">
      <c r="G603" s="416" t="str">
        <f>'Folha de cálculo'!E603</f>
        <v>8.2.1.5</v>
      </c>
      <c r="H603" s="416" t="str">
        <f>'Folha de cálculo'!F603</f>
        <v>Nenhuma das opções anteriores</v>
      </c>
      <c r="I603" s="416"/>
      <c r="J603" s="422"/>
      <c r="K603" s="419" t="str">
        <f t="shared" si="264"/>
        <v/>
      </c>
      <c r="M603" s="412" t="str">
        <f t="shared" si="265"/>
        <v/>
      </c>
      <c r="N603"/>
      <c r="P603" s="412" t="str">
        <f t="shared" si="266"/>
        <v/>
      </c>
      <c r="Q603"/>
      <c r="S603" s="475"/>
      <c r="T603" s="475"/>
      <c r="U603" s="475"/>
      <c r="V603" s="475"/>
    </row>
    <row r="604" spans="2:22" ht="15.75" outlineLevel="3" thickBot="1" x14ac:dyDescent="0.3">
      <c r="G604" s="416" t="str">
        <f>'Folha de cálculo'!E604</f>
        <v>8.2.1.6</v>
      </c>
      <c r="H604" s="416" t="str">
        <f>'Folha de cálculo'!F604</f>
        <v>Não foi possível determinar (justifique)</v>
      </c>
      <c r="I604" s="416"/>
      <c r="J604" s="422"/>
      <c r="K604" s="419" t="str">
        <f t="shared" si="264"/>
        <v/>
      </c>
      <c r="M604" s="412" t="str">
        <f t="shared" si="265"/>
        <v/>
      </c>
      <c r="N604"/>
      <c r="P604" s="412" t="str">
        <f t="shared" si="266"/>
        <v/>
      </c>
      <c r="Q604"/>
      <c r="S604" s="475"/>
      <c r="T604" s="475"/>
      <c r="U604" s="475"/>
      <c r="V604" s="475"/>
    </row>
    <row r="605" spans="2:22" s="413" customFormat="1" ht="28.9" customHeight="1" outlineLevel="2" thickBot="1" x14ac:dyDescent="0.3">
      <c r="B605" s="405">
        <f>IF('Registo de informação'!B1410=0,0,1)</f>
        <v>0</v>
      </c>
      <c r="D605" s="392"/>
      <c r="F605" s="407" t="str">
        <f>'Folha de cálculo'!D605</f>
        <v>8.2.2</v>
      </c>
      <c r="G605" s="482" t="str">
        <f>'Folha de cálculo'!E605</f>
        <v>A energia necessária para o aproveitamento de água de origens alternativas para rega do campo de golfe é suprida por produção renovável produzida nas instalações em…</v>
      </c>
      <c r="H605" s="482"/>
      <c r="I605" s="488"/>
      <c r="J605" s="408" t="s">
        <v>730</v>
      </c>
      <c r="K605" s="409" t="s">
        <v>730</v>
      </c>
      <c r="L605" s="464"/>
      <c r="M605" s="408" t="s">
        <v>730</v>
      </c>
      <c r="P605" s="408" t="s">
        <v>730</v>
      </c>
      <c r="S605" s="490"/>
      <c r="T605" s="490"/>
      <c r="U605" s="490"/>
      <c r="V605" s="490"/>
    </row>
    <row r="606" spans="2:22" outlineLevel="3" x14ac:dyDescent="0.25">
      <c r="G606" s="416" t="str">
        <f>'Folha de cálculo'!E606</f>
        <v>8.2.2.1</v>
      </c>
      <c r="H606" s="416" t="str">
        <f>'Folha de cálculo'!F606</f>
        <v>100% da energia necessária</v>
      </c>
      <c r="I606" s="416"/>
      <c r="J606" s="465"/>
      <c r="K606" s="419" t="str">
        <f t="shared" si="264"/>
        <v/>
      </c>
      <c r="M606" s="419" t="str">
        <f>IF(ISBLANK(K606),"",K606)</f>
        <v/>
      </c>
      <c r="N606"/>
      <c r="P606" s="419" t="str">
        <f>IF(ISBLANK(M606),"",M606)</f>
        <v/>
      </c>
      <c r="Q606"/>
      <c r="S606" s="475"/>
      <c r="T606" s="475"/>
      <c r="U606" s="475"/>
      <c r="V606" s="475"/>
    </row>
    <row r="607" spans="2:22" outlineLevel="3" x14ac:dyDescent="0.25">
      <c r="G607" s="416" t="str">
        <f>'Folha de cálculo'!E607</f>
        <v>8.2.2.2</v>
      </c>
      <c r="H607" s="416" t="str">
        <f>'Folha de cálculo'!F607</f>
        <v>entre [75% e 100%[ da energia necessária</v>
      </c>
      <c r="I607" s="416"/>
      <c r="J607" s="465"/>
      <c r="K607" s="419" t="str">
        <f t="shared" si="264"/>
        <v/>
      </c>
      <c r="M607" s="419" t="str">
        <f t="shared" ref="M607:M611" si="267">IF(ISBLANK(K607),"",K607)</f>
        <v/>
      </c>
      <c r="N607"/>
      <c r="P607" s="419" t="str">
        <f t="shared" ref="P607:P611" si="268">IF(ISBLANK(M607),"",M607)</f>
        <v/>
      </c>
      <c r="Q607"/>
      <c r="S607" s="475"/>
      <c r="T607" s="475"/>
      <c r="U607" s="475"/>
      <c r="V607" s="475"/>
    </row>
    <row r="608" spans="2:22" outlineLevel="3" x14ac:dyDescent="0.25">
      <c r="G608" s="416" t="str">
        <f>'Folha de cálculo'!E608</f>
        <v>8.2.2.3</v>
      </c>
      <c r="H608" s="416" t="str">
        <f>'Folha de cálculo'!F608</f>
        <v>entre [50% e 75%[ da energia necessária</v>
      </c>
      <c r="I608" s="416"/>
      <c r="J608" s="465"/>
      <c r="K608" s="419" t="str">
        <f t="shared" si="264"/>
        <v/>
      </c>
      <c r="M608" s="419" t="str">
        <f t="shared" si="267"/>
        <v/>
      </c>
      <c r="N608"/>
      <c r="P608" s="419" t="str">
        <f t="shared" si="268"/>
        <v/>
      </c>
      <c r="Q608"/>
      <c r="S608" s="475"/>
      <c r="T608" s="475"/>
      <c r="U608" s="475"/>
      <c r="V608" s="475"/>
    </row>
    <row r="609" spans="2:22" outlineLevel="3" x14ac:dyDescent="0.25">
      <c r="G609" s="416" t="str">
        <f>'Folha de cálculo'!E609</f>
        <v>8.2.2.4</v>
      </c>
      <c r="H609" s="416" t="str">
        <f>'Folha de cálculo'!F609</f>
        <v>entre [25% e 50%[ da energia necessária</v>
      </c>
      <c r="I609" s="416"/>
      <c r="J609" s="465"/>
      <c r="K609" s="419" t="str">
        <f t="shared" si="264"/>
        <v/>
      </c>
      <c r="M609" s="419" t="str">
        <f t="shared" si="267"/>
        <v/>
      </c>
      <c r="N609"/>
      <c r="P609" s="419" t="str">
        <f t="shared" si="268"/>
        <v/>
      </c>
      <c r="Q609"/>
      <c r="S609" s="475"/>
      <c r="T609" s="475"/>
      <c r="U609" s="475"/>
      <c r="V609" s="475"/>
    </row>
    <row r="610" spans="2:22" outlineLevel="3" x14ac:dyDescent="0.25">
      <c r="G610" s="416" t="str">
        <f>'Folha de cálculo'!E610</f>
        <v>8.2.2.5</v>
      </c>
      <c r="H610" s="416" t="str">
        <f>'Folha de cálculo'!F610</f>
        <v>menos de 25% da energia necessária</v>
      </c>
      <c r="I610" s="416"/>
      <c r="J610" s="465"/>
      <c r="K610" s="419" t="str">
        <f t="shared" si="264"/>
        <v/>
      </c>
      <c r="M610" s="419" t="str">
        <f t="shared" si="267"/>
        <v/>
      </c>
      <c r="N610"/>
      <c r="P610" s="419" t="str">
        <f t="shared" si="268"/>
        <v/>
      </c>
      <c r="Q610"/>
      <c r="S610" s="475"/>
      <c r="T610" s="475"/>
      <c r="U610" s="475"/>
      <c r="V610" s="475"/>
    </row>
    <row r="611" spans="2:22" ht="15.75" outlineLevel="3" thickBot="1" x14ac:dyDescent="0.3">
      <c r="G611" s="416" t="str">
        <f>'Folha de cálculo'!E611</f>
        <v>8.2.2.6</v>
      </c>
      <c r="H611" s="416" t="str">
        <f>'Folha de cálculo'!F611</f>
        <v>Não foi possível determinar (justifique)</v>
      </c>
      <c r="I611" s="416"/>
      <c r="J611" s="465"/>
      <c r="K611" s="419" t="str">
        <f t="shared" si="264"/>
        <v/>
      </c>
      <c r="M611" s="419" t="str">
        <f t="shared" si="267"/>
        <v/>
      </c>
      <c r="N611"/>
      <c r="P611" s="419" t="str">
        <f t="shared" si="268"/>
        <v/>
      </c>
      <c r="Q611"/>
      <c r="S611" s="475"/>
      <c r="T611" s="475"/>
      <c r="U611" s="475"/>
      <c r="V611" s="475"/>
    </row>
    <row r="612" spans="2:22" ht="29.1" customHeight="1" outlineLevel="2" thickBot="1" x14ac:dyDescent="0.3">
      <c r="B612" s="405">
        <f>IF('Registo de informação'!B1410=0,0,IF('Registo de informação'!B9&lt;&gt;'Folha Oculta'!AL9,0,1))</f>
        <v>0</v>
      </c>
      <c r="C612" s="5"/>
      <c r="F612" s="459" t="str">
        <f>'Folha de cálculo'!D612</f>
        <v>8.2.3</v>
      </c>
      <c r="G612" s="486" t="str">
        <f>'Folha de cálculo'!E612</f>
        <v>Nos últimos 12 meses, a percentagem de água de origens alternativas no consumo de água para rega corresponde a…</v>
      </c>
      <c r="H612" s="486"/>
      <c r="I612" s="486"/>
      <c r="J612" s="408" t="s">
        <v>730</v>
      </c>
      <c r="K612" s="424" t="s">
        <v>730</v>
      </c>
      <c r="M612" s="425" t="s">
        <v>730</v>
      </c>
      <c r="N612"/>
      <c r="P612" s="425" t="s">
        <v>730</v>
      </c>
      <c r="Q612"/>
      <c r="S612" s="477"/>
      <c r="T612" s="477"/>
      <c r="U612" s="477"/>
      <c r="V612" s="477"/>
    </row>
    <row r="613" spans="2:22" outlineLevel="3" x14ac:dyDescent="0.25">
      <c r="G613" s="416" t="str">
        <f>'Folha de cálculo'!E613</f>
        <v>8.2.3.1</v>
      </c>
      <c r="H613" s="416" t="str">
        <f>'Folha de cálculo'!F613</f>
        <v>100% da água de rega</v>
      </c>
      <c r="I613" s="416"/>
      <c r="J613" s="422"/>
      <c r="K613" s="419" t="str">
        <f t="shared" si="264"/>
        <v/>
      </c>
      <c r="M613" s="462" t="str">
        <f>IF(ISBLANK(K613),"",K613)</f>
        <v/>
      </c>
      <c r="N613"/>
      <c r="P613" s="462" t="str">
        <f>IF(ISBLANK(M613),"",M613)</f>
        <v/>
      </c>
      <c r="Q613"/>
      <c r="S613" s="475"/>
      <c r="T613" s="475"/>
      <c r="U613" s="475"/>
      <c r="V613" s="475"/>
    </row>
    <row r="614" spans="2:22" outlineLevel="3" x14ac:dyDescent="0.25">
      <c r="G614" s="416" t="str">
        <f>'Folha de cálculo'!E614</f>
        <v>8.2.3.2</v>
      </c>
      <c r="H614" s="416" t="str">
        <f>'Folha de cálculo'!F614</f>
        <v>entre [75% a 100%[ da água de rega</v>
      </c>
      <c r="I614" s="416"/>
      <c r="J614" s="422"/>
      <c r="K614" s="419" t="str">
        <f t="shared" si="264"/>
        <v/>
      </c>
      <c r="M614" s="462" t="str">
        <f t="shared" ref="M614:M618" si="269">IF(ISBLANK(K614),"",K614)</f>
        <v/>
      </c>
      <c r="N614"/>
      <c r="P614" s="462" t="str">
        <f t="shared" ref="P614:P618" si="270">IF(ISBLANK(M614),"",M614)</f>
        <v/>
      </c>
      <c r="Q614"/>
      <c r="S614" s="475"/>
      <c r="T614" s="475"/>
      <c r="U614" s="475"/>
      <c r="V614" s="475"/>
    </row>
    <row r="615" spans="2:22" outlineLevel="3" x14ac:dyDescent="0.25">
      <c r="G615" s="416" t="str">
        <f>'Folha de cálculo'!E615</f>
        <v>8.2.3.3</v>
      </c>
      <c r="H615" s="416" t="str">
        <f>'Folha de cálculo'!F615</f>
        <v>entre [50% a 75%[ da água de rega</v>
      </c>
      <c r="I615" s="416"/>
      <c r="J615" s="422"/>
      <c r="K615" s="419" t="str">
        <f t="shared" si="264"/>
        <v/>
      </c>
      <c r="M615" s="462" t="str">
        <f t="shared" si="269"/>
        <v/>
      </c>
      <c r="N615"/>
      <c r="P615" s="462" t="str">
        <f t="shared" si="270"/>
        <v/>
      </c>
      <c r="Q615"/>
      <c r="S615" s="475"/>
      <c r="T615" s="475"/>
      <c r="U615" s="475"/>
      <c r="V615" s="475"/>
    </row>
    <row r="616" spans="2:22" outlineLevel="3" x14ac:dyDescent="0.25">
      <c r="G616" s="416" t="str">
        <f>'Folha de cálculo'!E616</f>
        <v>8.2.3.4</v>
      </c>
      <c r="H616" s="416" t="str">
        <f>'Folha de cálculo'!F616</f>
        <v>entre [25% a 50%[ da água de rega</v>
      </c>
      <c r="I616" s="416"/>
      <c r="J616" s="422"/>
      <c r="K616" s="419" t="str">
        <f t="shared" si="264"/>
        <v/>
      </c>
      <c r="M616" s="462" t="str">
        <f t="shared" si="269"/>
        <v/>
      </c>
      <c r="N616"/>
      <c r="P616" s="462" t="str">
        <f t="shared" si="270"/>
        <v/>
      </c>
      <c r="Q616"/>
      <c r="S616" s="475"/>
      <c r="T616" s="475"/>
      <c r="U616" s="475"/>
      <c r="V616" s="475"/>
    </row>
    <row r="617" spans="2:22" outlineLevel="3" x14ac:dyDescent="0.25">
      <c r="G617" s="416" t="str">
        <f>'Folha de cálculo'!E617</f>
        <v>8.2.3.5</v>
      </c>
      <c r="H617" s="416" t="str">
        <f>'Folha de cálculo'!F617</f>
        <v>menos de 25% da água de rega</v>
      </c>
      <c r="I617" s="416"/>
      <c r="J617" s="422"/>
      <c r="K617" s="419" t="str">
        <f t="shared" si="264"/>
        <v/>
      </c>
      <c r="M617" s="462" t="str">
        <f t="shared" si="269"/>
        <v/>
      </c>
      <c r="N617"/>
      <c r="P617" s="462" t="str">
        <f t="shared" si="270"/>
        <v/>
      </c>
      <c r="Q617"/>
      <c r="S617" s="475"/>
      <c r="T617" s="475"/>
      <c r="U617" s="475"/>
      <c r="V617" s="475"/>
    </row>
    <row r="618" spans="2:22" outlineLevel="3" x14ac:dyDescent="0.25">
      <c r="G618" s="416" t="str">
        <f>'Folha de cálculo'!E618</f>
        <v>8.2.3.6</v>
      </c>
      <c r="H618" s="416" t="str">
        <f>'Folha de cálculo'!F618</f>
        <v>Não foi possível determinar (justifique)</v>
      </c>
      <c r="I618" s="416"/>
      <c r="J618" s="422"/>
      <c r="K618" s="419" t="str">
        <f t="shared" si="264"/>
        <v/>
      </c>
      <c r="M618" s="462" t="str">
        <f t="shared" si="269"/>
        <v/>
      </c>
      <c r="N618"/>
      <c r="P618" s="462" t="str">
        <f t="shared" si="270"/>
        <v/>
      </c>
      <c r="Q618"/>
      <c r="S618" s="475"/>
      <c r="T618" s="475"/>
      <c r="U618" s="475"/>
      <c r="V618" s="475"/>
    </row>
    <row r="619" spans="2:22" ht="15.75" outlineLevel="1" thickBot="1" x14ac:dyDescent="0.3">
      <c r="D619"/>
      <c r="J619" s="432"/>
      <c r="K619" s="432"/>
      <c r="M619" s="432"/>
      <c r="N619"/>
      <c r="P619" s="432"/>
      <c r="Q619"/>
      <c r="S619" s="476"/>
      <c r="T619" s="476"/>
      <c r="U619" s="476"/>
      <c r="V619" s="476"/>
    </row>
    <row r="620" spans="2:22" ht="15.75" outlineLevel="1" thickBot="1" x14ac:dyDescent="0.3">
      <c r="B620" s="405">
        <f>IF('Registo de informação'!B1410=0,0,1)</f>
        <v>0</v>
      </c>
      <c r="C620" s="5"/>
      <c r="E620" s="8" t="str">
        <f>'Folha de cálculo'!C620</f>
        <v>8.3</v>
      </c>
      <c r="F620" s="8" t="str">
        <f>'Folha de cálculo'!D620</f>
        <v>Coberto vegetal</v>
      </c>
      <c r="G620" s="8"/>
      <c r="H620" s="8"/>
      <c r="I620" s="8"/>
      <c r="J620" s="403"/>
      <c r="K620" s="404"/>
      <c r="M620" s="403"/>
      <c r="N620"/>
      <c r="P620" s="403"/>
      <c r="Q620"/>
      <c r="S620" s="478"/>
      <c r="T620" s="479"/>
      <c r="U620" s="479"/>
      <c r="V620" s="480"/>
    </row>
    <row r="621" spans="2:22" outlineLevel="2" x14ac:dyDescent="0.25">
      <c r="B621"/>
      <c r="F621" s="415" t="str">
        <f>'Folha de cálculo'!D621</f>
        <v>8.3.1</v>
      </c>
      <c r="G621" s="415" t="str">
        <f>'Folha de cálculo'!E621</f>
        <v xml:space="preserve">Atualmente, são utilizadas espécies de relva que minimizam o consumo de água no(s)... </v>
      </c>
      <c r="H621" s="415"/>
      <c r="I621" s="415"/>
      <c r="J621" s="425" t="s">
        <v>729</v>
      </c>
      <c r="K621" s="424" t="s">
        <v>729</v>
      </c>
      <c r="M621" s="425" t="s">
        <v>729</v>
      </c>
      <c r="N621"/>
      <c r="P621" s="425" t="s">
        <v>729</v>
      </c>
      <c r="Q621"/>
      <c r="S621" s="477"/>
      <c r="T621" s="477"/>
      <c r="U621" s="477"/>
      <c r="V621" s="477"/>
    </row>
    <row r="622" spans="2:22" outlineLevel="3" x14ac:dyDescent="0.25">
      <c r="G622" s="416" t="str">
        <f>'Folha de cálculo'!E622</f>
        <v>8.3.1.1</v>
      </c>
      <c r="H622" s="416" t="str">
        <f>'Folha de cálculo'!F622</f>
        <v>Roughs</v>
      </c>
      <c r="I622" s="416"/>
      <c r="J622" s="422"/>
      <c r="K622" s="419" t="str">
        <f t="shared" ref="K622:K626" si="271">IF(ISBLANK(J622),"",J622)</f>
        <v/>
      </c>
      <c r="M622" s="412" t="str">
        <f>IF(ISBLANK(K622),"",K622)</f>
        <v/>
      </c>
      <c r="N622"/>
      <c r="P622" s="412" t="str">
        <f>IF(ISBLANK(M622),"",M622)</f>
        <v/>
      </c>
      <c r="Q622"/>
      <c r="S622" s="475"/>
      <c r="T622" s="475"/>
      <c r="U622" s="475"/>
      <c r="V622" s="475"/>
    </row>
    <row r="623" spans="2:22" outlineLevel="3" x14ac:dyDescent="0.25">
      <c r="G623" s="416" t="str">
        <f>'Folha de cálculo'!E623</f>
        <v>8.3.1.2</v>
      </c>
      <c r="H623" s="416" t="str">
        <f>'Folha de cálculo'!F623</f>
        <v>Fairways</v>
      </c>
      <c r="I623" s="416"/>
      <c r="J623" s="422"/>
      <c r="K623" s="419" t="str">
        <f t="shared" si="271"/>
        <v/>
      </c>
      <c r="M623" s="412" t="str">
        <f t="shared" ref="M623:M626" si="272">IF(ISBLANK(K623),"",K623)</f>
        <v/>
      </c>
      <c r="N623"/>
      <c r="P623" s="412" t="str">
        <f t="shared" ref="P623:P627" si="273">IF(ISBLANK(M623),"",M623)</f>
        <v/>
      </c>
      <c r="Q623"/>
      <c r="S623" s="475"/>
      <c r="T623" s="475"/>
      <c r="U623" s="475"/>
      <c r="V623" s="475"/>
    </row>
    <row r="624" spans="2:22" outlineLevel="3" x14ac:dyDescent="0.25">
      <c r="G624" s="416" t="str">
        <f>'Folha de cálculo'!E624</f>
        <v>8.3.1.3</v>
      </c>
      <c r="H624" s="416" t="str">
        <f>'Folha de cálculo'!F624</f>
        <v>Greens</v>
      </c>
      <c r="I624" s="416"/>
      <c r="J624" s="422"/>
      <c r="K624" s="419" t="str">
        <f t="shared" si="271"/>
        <v/>
      </c>
      <c r="M624" s="412" t="str">
        <f t="shared" si="272"/>
        <v/>
      </c>
      <c r="N624"/>
      <c r="P624" s="412" t="str">
        <f t="shared" si="273"/>
        <v/>
      </c>
      <c r="Q624"/>
      <c r="S624" s="475"/>
      <c r="T624" s="475"/>
      <c r="U624" s="475"/>
      <c r="V624" s="475"/>
    </row>
    <row r="625" spans="4:22" outlineLevel="3" x14ac:dyDescent="0.25">
      <c r="G625" s="416" t="str">
        <f>'Folha de cálculo'!E625</f>
        <v>8.3.1.4</v>
      </c>
      <c r="H625" s="416" t="str">
        <f>'Folha de cálculo'!F625</f>
        <v>Tees</v>
      </c>
      <c r="I625" s="416"/>
      <c r="J625" s="422"/>
      <c r="K625" s="419" t="str">
        <f t="shared" si="271"/>
        <v/>
      </c>
      <c r="M625" s="412" t="str">
        <f t="shared" si="272"/>
        <v/>
      </c>
      <c r="N625"/>
      <c r="P625" s="412" t="str">
        <f t="shared" si="273"/>
        <v/>
      </c>
      <c r="Q625"/>
      <c r="S625" s="475"/>
      <c r="T625" s="475"/>
      <c r="U625" s="475"/>
      <c r="V625" s="475"/>
    </row>
    <row r="626" spans="4:22" outlineLevel="3" x14ac:dyDescent="0.25">
      <c r="G626" s="416" t="str">
        <f>'Folha de cálculo'!E626</f>
        <v>8.3.1.5</v>
      </c>
      <c r="H626" s="416" t="str">
        <f>'Folha de cálculo'!F626</f>
        <v>Nenhuma das opções anteriores</v>
      </c>
      <c r="I626" s="416"/>
      <c r="J626" s="422"/>
      <c r="K626" s="419" t="str">
        <f t="shared" si="271"/>
        <v/>
      </c>
      <c r="M626" s="412" t="str">
        <f t="shared" si="272"/>
        <v/>
      </c>
      <c r="N626"/>
      <c r="P626" s="412" t="str">
        <f t="shared" si="273"/>
        <v/>
      </c>
      <c r="Q626"/>
      <c r="S626" s="475"/>
      <c r="T626" s="475"/>
      <c r="U626" s="475"/>
      <c r="V626" s="475"/>
    </row>
    <row r="627" spans="4:22" outlineLevel="3" x14ac:dyDescent="0.25">
      <c r="G627" s="416" t="str">
        <f>'Folha de cálculo'!E627</f>
        <v>8.3.1.6</v>
      </c>
      <c r="H627" s="416" t="str">
        <f>'Folha de cálculo'!F627</f>
        <v>Não foi possível determinar (justifique)</v>
      </c>
      <c r="I627" s="416"/>
      <c r="J627" s="422"/>
      <c r="K627" s="419" t="str">
        <f t="shared" ref="K627" si="274">IF(ISBLANK(J627),"",J627)</f>
        <v/>
      </c>
      <c r="M627" s="412" t="str">
        <f t="shared" ref="M627" si="275">IF(ISBLANK(K627),"",K627)</f>
        <v/>
      </c>
      <c r="N627"/>
      <c r="P627" s="412" t="str">
        <f t="shared" si="273"/>
        <v/>
      </c>
      <c r="Q627"/>
      <c r="S627" s="475"/>
      <c r="T627" s="475"/>
      <c r="U627" s="475"/>
      <c r="V627" s="475"/>
    </row>
    <row r="628" spans="4:22" outlineLevel="2" x14ac:dyDescent="0.25">
      <c r="F628" s="415" t="str">
        <f>'Folha de cálculo'!D628</f>
        <v>8.3.2</v>
      </c>
      <c r="G628" s="415" t="str">
        <f>'Folha de cálculo'!E628</f>
        <v>A área de relvado com espécies que minimizam o consumo de água corresponde a…</v>
      </c>
      <c r="H628" s="415"/>
      <c r="I628" s="415"/>
      <c r="J628" s="408" t="s">
        <v>730</v>
      </c>
      <c r="K628" s="424" t="s">
        <v>730</v>
      </c>
      <c r="M628" s="425" t="s">
        <v>730</v>
      </c>
      <c r="N628"/>
      <c r="P628" s="425" t="s">
        <v>730</v>
      </c>
      <c r="Q628"/>
      <c r="S628" s="477"/>
      <c r="T628" s="477"/>
      <c r="U628" s="477"/>
      <c r="V628" s="477"/>
    </row>
    <row r="629" spans="4:22" outlineLevel="3" x14ac:dyDescent="0.25">
      <c r="G629" s="416" t="str">
        <f>'Folha de cálculo'!E629</f>
        <v>8.3.2.1</v>
      </c>
      <c r="H629" s="416" t="str">
        <f>'Folha de cálculo'!F629</f>
        <v>90% ou mais da área total do campo</v>
      </c>
      <c r="I629" s="416"/>
      <c r="J629" s="430">
        <f>IF('Registo de informação'!C1411&gt;=90%,1,"")</f>
        <v>1</v>
      </c>
      <c r="K629" s="419">
        <f t="shared" ref="K629:K633" si="276">IF(ISBLANK(J629),"",J629)</f>
        <v>1</v>
      </c>
      <c r="M629" s="412">
        <f>IF(ISBLANK(K629),"",K629)</f>
        <v>1</v>
      </c>
      <c r="N629"/>
      <c r="P629" s="412">
        <f>IF(ISBLANK(M629),"",M629)</f>
        <v>1</v>
      </c>
      <c r="Q629"/>
      <c r="S629" s="475"/>
      <c r="T629" s="475"/>
      <c r="U629" s="475"/>
      <c r="V629" s="475"/>
    </row>
    <row r="630" spans="4:22" outlineLevel="3" x14ac:dyDescent="0.25">
      <c r="G630" s="416" t="str">
        <f>'Folha de cálculo'!E630</f>
        <v>8.3.2.2</v>
      </c>
      <c r="H630" s="416" t="str">
        <f>'Folha de cálculo'!F630</f>
        <v>entre [70% e 90%[ da área total do campo</v>
      </c>
      <c r="I630" s="416"/>
      <c r="J630" s="430" t="str">
        <f>IF(AND('Registo de informação'!C1411&gt;=70%,'Registo de informação'!C1411&lt;90%),1,"")</f>
        <v/>
      </c>
      <c r="K630" s="419" t="str">
        <f t="shared" si="276"/>
        <v/>
      </c>
      <c r="M630" s="412" t="str">
        <f t="shared" ref="M630:M633" si="277">IF(ISBLANK(K630),"",K630)</f>
        <v/>
      </c>
      <c r="N630"/>
      <c r="P630" s="412" t="str">
        <f t="shared" ref="P630:P633" si="278">IF(ISBLANK(M630),"",M630)</f>
        <v/>
      </c>
      <c r="Q630"/>
      <c r="S630" s="475"/>
      <c r="T630" s="475"/>
      <c r="U630" s="475"/>
      <c r="V630" s="475"/>
    </row>
    <row r="631" spans="4:22" outlineLevel="3" x14ac:dyDescent="0.25">
      <c r="G631" s="416" t="str">
        <f>'Folha de cálculo'!E631</f>
        <v>8.3.2.3</v>
      </c>
      <c r="H631" s="416" t="str">
        <f>'Folha de cálculo'!F631</f>
        <v>entre [50% e 70%[ da área total do campo</v>
      </c>
      <c r="I631" s="416"/>
      <c r="J631" s="430" t="str">
        <f>IF(AND('Registo de informação'!C1411&gt;=50%,'Registo de informação'!C1411&lt;70%),1,"")</f>
        <v/>
      </c>
      <c r="K631" s="419" t="str">
        <f t="shared" si="276"/>
        <v/>
      </c>
      <c r="M631" s="412" t="str">
        <f t="shared" si="277"/>
        <v/>
      </c>
      <c r="N631"/>
      <c r="P631" s="412" t="str">
        <f t="shared" si="278"/>
        <v/>
      </c>
      <c r="Q631"/>
      <c r="S631" s="475"/>
      <c r="T631" s="475"/>
      <c r="U631" s="475"/>
      <c r="V631" s="475"/>
    </row>
    <row r="632" spans="4:22" outlineLevel="3" x14ac:dyDescent="0.25">
      <c r="G632" s="416" t="str">
        <f>'Folha de cálculo'!E632</f>
        <v>8.3.2.4</v>
      </c>
      <c r="H632" s="416" t="str">
        <f>'Folha de cálculo'!F632</f>
        <v>menos de 50% da área total do campo</v>
      </c>
      <c r="I632" s="416"/>
      <c r="J632" s="430" t="str">
        <f>IF(AND('Registo de informação'!C1411&lt;&gt;"NA",'Registo de informação'!C1411&lt;50%),1,"")</f>
        <v/>
      </c>
      <c r="K632" s="419" t="str">
        <f t="shared" si="276"/>
        <v/>
      </c>
      <c r="M632" s="412" t="str">
        <f t="shared" si="277"/>
        <v/>
      </c>
      <c r="N632"/>
      <c r="P632" s="412" t="str">
        <f t="shared" si="278"/>
        <v/>
      </c>
      <c r="Q632"/>
      <c r="S632" s="475"/>
      <c r="T632" s="475"/>
      <c r="U632" s="475"/>
      <c r="V632" s="475"/>
    </row>
    <row r="633" spans="4:22" outlineLevel="3" x14ac:dyDescent="0.25">
      <c r="G633" s="416" t="str">
        <f>'Folha de cálculo'!E633</f>
        <v>8.3.2.5</v>
      </c>
      <c r="H633" s="416" t="str">
        <f>'Folha de cálculo'!F633</f>
        <v>Não foi possível determinar (justifique)</v>
      </c>
      <c r="I633" s="416"/>
      <c r="J633" s="430" t="str">
        <f>IF(SUM(J629:J632)=0,1,"")</f>
        <v/>
      </c>
      <c r="K633" s="419" t="str">
        <f t="shared" si="276"/>
        <v/>
      </c>
      <c r="M633" s="412" t="str">
        <f t="shared" si="277"/>
        <v/>
      </c>
      <c r="N633"/>
      <c r="P633" s="412" t="str">
        <f t="shared" si="278"/>
        <v/>
      </c>
      <c r="Q633"/>
      <c r="S633" s="475"/>
      <c r="T633" s="475"/>
      <c r="U633" s="475"/>
      <c r="V633" s="475"/>
    </row>
    <row r="634" spans="4:22" outlineLevel="1" x14ac:dyDescent="0.25">
      <c r="J634" s="400"/>
      <c r="K634" s="400"/>
      <c r="M634" s="400"/>
      <c r="N634"/>
      <c r="P634" s="400"/>
      <c r="Q634"/>
      <c r="S634" s="476"/>
      <c r="T634" s="476"/>
      <c r="U634" s="476"/>
      <c r="V634" s="476"/>
    </row>
    <row r="635" spans="4:22" x14ac:dyDescent="0.25">
      <c r="D635" s="7">
        <f>'Folha de cálculo'!B635</f>
        <v>9</v>
      </c>
      <c r="E635" s="398" t="str">
        <f>'Folha de cálculo'!C635</f>
        <v>Sistemas de produção de água quente</v>
      </c>
      <c r="F635" s="398"/>
      <c r="G635" s="398"/>
      <c r="H635" s="398"/>
      <c r="I635" s="398"/>
      <c r="J635" s="399"/>
      <c r="K635" s="399"/>
      <c r="M635" s="399"/>
      <c r="N635"/>
      <c r="P635" s="399"/>
      <c r="Q635"/>
      <c r="S635" s="489"/>
      <c r="T635" s="489"/>
      <c r="U635" s="489"/>
      <c r="V635" s="489"/>
    </row>
    <row r="636" spans="4:22" x14ac:dyDescent="0.25">
      <c r="D636"/>
      <c r="J636" s="400"/>
      <c r="K636" s="400"/>
      <c r="M636" s="400"/>
      <c r="N636"/>
      <c r="P636" s="400"/>
      <c r="Q636"/>
      <c r="S636" s="476"/>
      <c r="T636" s="476"/>
      <c r="U636" s="476"/>
      <c r="V636" s="476"/>
    </row>
    <row r="637" spans="4:22" outlineLevel="1" x14ac:dyDescent="0.25">
      <c r="E637" s="8" t="str">
        <f>'Folha de cálculo'!C637</f>
        <v>9.1</v>
      </c>
      <c r="F637" s="8" t="str">
        <f>'Folha de cálculo'!D637</f>
        <v>Sistemas de produção e acumulação de água quente</v>
      </c>
      <c r="G637" s="8"/>
      <c r="H637" s="8"/>
      <c r="I637" s="8"/>
      <c r="J637" s="403"/>
      <c r="K637" s="404"/>
      <c r="M637" s="403"/>
      <c r="N637"/>
      <c r="P637" s="403"/>
      <c r="Q637"/>
      <c r="S637" s="478"/>
      <c r="T637" s="479"/>
      <c r="U637" s="479"/>
      <c r="V637" s="480"/>
    </row>
    <row r="638" spans="4:22" outlineLevel="2" x14ac:dyDescent="0.25">
      <c r="F638" s="415" t="str">
        <f>'Folha de cálculo'!D638</f>
        <v>9.1.1</v>
      </c>
      <c r="G638" s="415" t="str">
        <f>'Folha de cálculo'!E638</f>
        <v>O(s) sistema(s) de produção e acumulação de água quente permite(m)…</v>
      </c>
      <c r="H638" s="415"/>
      <c r="I638" s="415"/>
      <c r="J638" s="425" t="s">
        <v>732</v>
      </c>
      <c r="K638" s="424" t="s">
        <v>732</v>
      </c>
      <c r="M638" s="425" t="s">
        <v>732</v>
      </c>
      <c r="N638"/>
      <c r="P638" s="425" t="s">
        <v>732</v>
      </c>
      <c r="Q638"/>
      <c r="S638" s="477"/>
      <c r="T638" s="477"/>
      <c r="U638" s="477"/>
      <c r="V638" s="477"/>
    </row>
    <row r="639" spans="4:22" outlineLevel="3" x14ac:dyDescent="0.25">
      <c r="G639" s="416" t="str">
        <f>'Folha de cálculo'!E639</f>
        <v>9.1.1.1</v>
      </c>
      <c r="H639" s="416" t="str">
        <f>'Folha de cálculo'!F639</f>
        <v>regulação da temperatura de água quente</v>
      </c>
      <c r="I639" s="416"/>
      <c r="J639" s="417"/>
      <c r="K639" s="418" t="str">
        <f t="shared" ref="K639:K664" si="279">IF(ISBLANK(J639),"",J639)</f>
        <v/>
      </c>
      <c r="M639" s="418" t="str">
        <f>IF(ISBLANK(K639),"",K639)</f>
        <v/>
      </c>
      <c r="N639"/>
      <c r="P639" s="418" t="str">
        <f>IF(ISBLANK(M639),"",M639)</f>
        <v/>
      </c>
      <c r="Q639"/>
      <c r="S639" s="475"/>
      <c r="T639" s="475"/>
      <c r="U639" s="475"/>
      <c r="V639" s="475"/>
    </row>
    <row r="640" spans="4:22" outlineLevel="3" x14ac:dyDescent="0.25">
      <c r="G640" s="416" t="str">
        <f>'Folha de cálculo'!E640</f>
        <v>9.1.1.2</v>
      </c>
      <c r="H640" s="416" t="str">
        <f>'Folha de cálculo'!F640</f>
        <v>modulação termostática da temperatura da água</v>
      </c>
      <c r="I640" s="416"/>
      <c r="J640" s="417"/>
      <c r="K640" s="418" t="str">
        <f t="shared" si="279"/>
        <v/>
      </c>
      <c r="M640" s="418" t="str">
        <f t="shared" ref="M640:M644" si="280">IF(ISBLANK(K640),"",K640)</f>
        <v/>
      </c>
      <c r="N640"/>
      <c r="P640" s="418" t="str">
        <f t="shared" ref="P640:P644" si="281">IF(ISBLANK(M640),"",M640)</f>
        <v/>
      </c>
      <c r="Q640"/>
      <c r="S640" s="475"/>
      <c r="T640" s="475"/>
      <c r="U640" s="475"/>
      <c r="V640" s="475"/>
    </row>
    <row r="641" spans="2:22" outlineLevel="3" x14ac:dyDescent="0.25">
      <c r="G641" s="416" t="str">
        <f>'Folha de cálculo'!E641</f>
        <v>9.1.1.3</v>
      </c>
      <c r="H641" s="416" t="str">
        <f>'Folha de cálculo'!F641</f>
        <v>integração de fonte de energia renovável (e.g. sistema solar térmico ou sistema geotérmico) produzida localmente e com acumulação</v>
      </c>
      <c r="I641" s="416"/>
      <c r="J641" s="417"/>
      <c r="K641" s="418" t="str">
        <f t="shared" si="279"/>
        <v/>
      </c>
      <c r="M641" s="418" t="str">
        <f t="shared" si="280"/>
        <v/>
      </c>
      <c r="N641"/>
      <c r="P641" s="418" t="str">
        <f t="shared" si="281"/>
        <v/>
      </c>
      <c r="Q641"/>
      <c r="S641" s="475"/>
      <c r="T641" s="475"/>
      <c r="U641" s="475"/>
      <c r="V641" s="475"/>
    </row>
    <row r="642" spans="2:22" outlineLevel="3" x14ac:dyDescent="0.25">
      <c r="D642"/>
      <c r="G642" s="416" t="str">
        <f>'Folha de cálculo'!E642</f>
        <v>9.1.1.4</v>
      </c>
      <c r="H642" s="416" t="str">
        <f>'Folha de cálculo'!F642</f>
        <v>integração num sistema de gestão técnica centralizada (SGTC)</v>
      </c>
      <c r="I642" s="416"/>
      <c r="J642" s="417"/>
      <c r="K642" s="418" t="str">
        <f t="shared" si="279"/>
        <v/>
      </c>
      <c r="M642" s="418" t="str">
        <f t="shared" si="280"/>
        <v/>
      </c>
      <c r="N642"/>
      <c r="P642" s="418" t="str">
        <f t="shared" si="281"/>
        <v/>
      </c>
      <c r="Q642"/>
      <c r="S642" s="475"/>
      <c r="T642" s="475"/>
      <c r="U642" s="475"/>
      <c r="V642" s="475"/>
    </row>
    <row r="643" spans="2:22" outlineLevel="3" x14ac:dyDescent="0.25">
      <c r="G643" s="416" t="str">
        <f>'Folha de cálculo'!E643</f>
        <v>9.1.1.5</v>
      </c>
      <c r="H643" s="416" t="str">
        <f>'Folha de cálculo'!F643</f>
        <v>Nenhuma das opções anteriores</v>
      </c>
      <c r="I643" s="416"/>
      <c r="J643" s="417"/>
      <c r="K643" s="418" t="str">
        <f t="shared" si="279"/>
        <v/>
      </c>
      <c r="M643" s="418" t="str">
        <f t="shared" si="280"/>
        <v/>
      </c>
      <c r="N643"/>
      <c r="P643" s="418" t="str">
        <f t="shared" si="281"/>
        <v/>
      </c>
      <c r="Q643"/>
      <c r="S643" s="475"/>
      <c r="T643" s="475"/>
      <c r="U643" s="475"/>
      <c r="V643" s="475"/>
    </row>
    <row r="644" spans="2:22" outlineLevel="3" x14ac:dyDescent="0.25">
      <c r="G644" s="416" t="str">
        <f>'Folha de cálculo'!E644</f>
        <v>9.1.1.6</v>
      </c>
      <c r="H644" s="416" t="str">
        <f>'Folha de cálculo'!F644</f>
        <v>Não foi possível determinar (justifique)</v>
      </c>
      <c r="I644" s="416"/>
      <c r="J644" s="417"/>
      <c r="K644" s="418" t="str">
        <f t="shared" si="279"/>
        <v/>
      </c>
      <c r="M644" s="418" t="str">
        <f t="shared" si="280"/>
        <v/>
      </c>
      <c r="N644"/>
      <c r="P644" s="418" t="str">
        <f t="shared" si="281"/>
        <v/>
      </c>
      <c r="Q644"/>
      <c r="S644" s="475"/>
      <c r="T644" s="475"/>
      <c r="U644" s="475"/>
      <c r="V644" s="475"/>
    </row>
    <row r="645" spans="2:22" outlineLevel="2" x14ac:dyDescent="0.25">
      <c r="F645" s="415" t="str">
        <f>'Folha de cálculo'!D645</f>
        <v>9.1.2</v>
      </c>
      <c r="G645" s="415" t="str">
        <f>'Folha de cálculo'!E645</f>
        <v>O(s) sistema(s) de produção e acumulação de água quente…</v>
      </c>
      <c r="H645" s="415"/>
      <c r="I645" s="415"/>
      <c r="J645" s="425" t="s">
        <v>731</v>
      </c>
      <c r="K645" s="424" t="s">
        <v>731</v>
      </c>
      <c r="M645" s="425" t="s">
        <v>731</v>
      </c>
      <c r="N645"/>
      <c r="P645" s="425" t="s">
        <v>731</v>
      </c>
      <c r="Q645"/>
      <c r="S645" s="477"/>
      <c r="T645" s="477"/>
      <c r="U645" s="477"/>
      <c r="V645" s="477"/>
    </row>
    <row r="646" spans="2:22" outlineLevel="3" x14ac:dyDescent="0.25">
      <c r="G646" s="416" t="str">
        <f>'Folha de cálculo'!E646</f>
        <v>9.1.2.1</v>
      </c>
      <c r="H646" s="416" t="str">
        <f>'Folha de cálculo'!F646</f>
        <v>não apresenta(m) indícios de fuga</v>
      </c>
      <c r="I646" s="416"/>
      <c r="J646" s="417"/>
      <c r="K646" s="418" t="str">
        <f t="shared" si="279"/>
        <v/>
      </c>
      <c r="M646" s="418" t="str">
        <f>IF(ISBLANK(K646),"",K646)</f>
        <v/>
      </c>
      <c r="N646"/>
      <c r="P646" s="418" t="str">
        <f>IF(ISBLANK(M646),"",M646)</f>
        <v/>
      </c>
      <c r="Q646"/>
      <c r="S646" s="475"/>
      <c r="T646" s="475"/>
      <c r="U646" s="475"/>
      <c r="V646" s="475"/>
    </row>
    <row r="647" spans="2:22" outlineLevel="3" x14ac:dyDescent="0.25">
      <c r="G647" s="416" t="str">
        <f>'Folha de cálculo'!E647</f>
        <v>9.1.2.2</v>
      </c>
      <c r="H647" s="416" t="str">
        <f>'Folha de cálculo'!F647</f>
        <v>apresenta(m) indícios de fuga</v>
      </c>
      <c r="I647" s="416"/>
      <c r="J647" s="417"/>
      <c r="K647" s="418" t="str">
        <f t="shared" si="279"/>
        <v/>
      </c>
      <c r="M647" s="418" t="str">
        <f t="shared" ref="M647:M649" si="282">IF(ISBLANK(K647),"",K647)</f>
        <v/>
      </c>
      <c r="N647"/>
      <c r="P647" s="418" t="str">
        <f t="shared" ref="P647:P649" si="283">IF(ISBLANK(M647),"",M647)</f>
        <v/>
      </c>
      <c r="Q647"/>
      <c r="S647" s="475"/>
      <c r="T647" s="475"/>
      <c r="U647" s="475"/>
      <c r="V647" s="475"/>
    </row>
    <row r="648" spans="2:22" outlineLevel="3" x14ac:dyDescent="0.25">
      <c r="G648" s="416" t="str">
        <f>'Folha de cálculo'!E648</f>
        <v>9.1.2.3</v>
      </c>
      <c r="H648" s="416" t="str">
        <f>'Folha de cálculo'!F648</f>
        <v>apresenta(m) evidências de fuga</v>
      </c>
      <c r="I648" s="416"/>
      <c r="J648" s="417"/>
      <c r="K648" s="418" t="str">
        <f t="shared" si="279"/>
        <v/>
      </c>
      <c r="M648" s="418" t="str">
        <f t="shared" si="282"/>
        <v/>
      </c>
      <c r="N648"/>
      <c r="P648" s="418" t="str">
        <f t="shared" si="283"/>
        <v/>
      </c>
      <c r="Q648"/>
      <c r="S648" s="475"/>
      <c r="T648" s="475"/>
      <c r="U648" s="475"/>
      <c r="V648" s="475"/>
    </row>
    <row r="649" spans="2:22" outlineLevel="3" x14ac:dyDescent="0.25">
      <c r="G649" s="416" t="str">
        <f>'Folha de cálculo'!E649</f>
        <v>9.1.2.4</v>
      </c>
      <c r="H649" s="416" t="str">
        <f>'Folha de cálculo'!F649</f>
        <v>Não foi possível determinar (justifique)</v>
      </c>
      <c r="I649" s="416"/>
      <c r="J649" s="417"/>
      <c r="K649" s="418" t="str">
        <f t="shared" si="279"/>
        <v/>
      </c>
      <c r="M649" s="418" t="str">
        <f t="shared" si="282"/>
        <v/>
      </c>
      <c r="N649"/>
      <c r="P649" s="418" t="str">
        <f t="shared" si="283"/>
        <v/>
      </c>
      <c r="Q649"/>
      <c r="S649" s="475"/>
      <c r="T649" s="475"/>
      <c r="U649" s="475"/>
      <c r="V649" s="475"/>
    </row>
    <row r="650" spans="2:22" outlineLevel="2" x14ac:dyDescent="0.25">
      <c r="F650" s="415" t="str">
        <f>'Folha de cálculo'!D650</f>
        <v>9.1.3</v>
      </c>
      <c r="G650" s="415" t="str">
        <f>'Folha de cálculo'!E650</f>
        <v>O(s) sistema(s) de produção e acumulação de água quente foi(foram) objeto de inspeção/revisão/manutenção preventiva…</v>
      </c>
      <c r="H650" s="415"/>
      <c r="I650" s="415"/>
      <c r="J650" s="425" t="s">
        <v>731</v>
      </c>
      <c r="K650" s="424" t="s">
        <v>731</v>
      </c>
      <c r="M650" s="425" t="s">
        <v>731</v>
      </c>
      <c r="N650"/>
      <c r="P650" s="425" t="s">
        <v>731</v>
      </c>
      <c r="Q650"/>
      <c r="S650" s="477"/>
      <c r="T650" s="477"/>
      <c r="U650" s="477"/>
      <c r="V650" s="477"/>
    </row>
    <row r="651" spans="2:22" outlineLevel="3" x14ac:dyDescent="0.25">
      <c r="G651" s="416" t="str">
        <f>'Folha de cálculo'!E651</f>
        <v>9.1.3.1</v>
      </c>
      <c r="H651" s="416" t="str">
        <f>'Folha de cálculo'!F651</f>
        <v>no último ano</v>
      </c>
      <c r="I651" s="416"/>
      <c r="J651" s="417"/>
      <c r="K651" s="418" t="str">
        <f t="shared" si="279"/>
        <v/>
      </c>
      <c r="M651" s="418" t="str">
        <f>IF(ISBLANK(K651),"",K651)</f>
        <v/>
      </c>
      <c r="N651"/>
      <c r="P651" s="418" t="str">
        <f>IF(ISBLANK(M651),"",M651)</f>
        <v/>
      </c>
      <c r="Q651"/>
      <c r="S651" s="475"/>
      <c r="T651" s="475"/>
      <c r="U651" s="475"/>
      <c r="V651" s="475"/>
    </row>
    <row r="652" spans="2:22" outlineLevel="3" x14ac:dyDescent="0.25">
      <c r="G652" s="416" t="str">
        <f>'Folha de cálculo'!E652</f>
        <v>9.1.3.2</v>
      </c>
      <c r="H652" s="416" t="str">
        <f>'Folha de cálculo'!F652</f>
        <v>nos últimos dois anos</v>
      </c>
      <c r="I652" s="416"/>
      <c r="J652" s="417"/>
      <c r="K652" s="418" t="str">
        <f t="shared" si="279"/>
        <v/>
      </c>
      <c r="M652" s="418" t="str">
        <f t="shared" ref="M652:M654" si="284">IF(ISBLANK(K652),"",K652)</f>
        <v/>
      </c>
      <c r="N652"/>
      <c r="P652" s="418" t="str">
        <f t="shared" ref="P652:P654" si="285">IF(ISBLANK(M652),"",M652)</f>
        <v/>
      </c>
      <c r="Q652"/>
      <c r="S652" s="475"/>
      <c r="T652" s="475"/>
      <c r="U652" s="475"/>
      <c r="V652" s="475"/>
    </row>
    <row r="653" spans="2:22" outlineLevel="3" x14ac:dyDescent="0.25">
      <c r="G653" s="416" t="str">
        <f>'Folha de cálculo'!E653</f>
        <v>9.1.3.3</v>
      </c>
      <c r="H653" s="416" t="str">
        <f>'Folha de cálculo'!F653</f>
        <v>há mais de dois anos</v>
      </c>
      <c r="I653" s="416"/>
      <c r="J653" s="417"/>
      <c r="K653" s="418" t="str">
        <f t="shared" si="279"/>
        <v/>
      </c>
      <c r="M653" s="418" t="str">
        <f t="shared" si="284"/>
        <v/>
      </c>
      <c r="N653"/>
      <c r="P653" s="418" t="str">
        <f t="shared" si="285"/>
        <v/>
      </c>
      <c r="Q653"/>
      <c r="S653" s="475"/>
      <c r="T653" s="475"/>
      <c r="U653" s="475"/>
      <c r="V653" s="475"/>
    </row>
    <row r="654" spans="2:22" outlineLevel="3" x14ac:dyDescent="0.25">
      <c r="G654" s="416" t="str">
        <f>'Folha de cálculo'!E654</f>
        <v>9.1.3.4</v>
      </c>
      <c r="H654" s="416" t="str">
        <f>'Folha de cálculo'!F654</f>
        <v>Não foi possível determinar (justifique)</v>
      </c>
      <c r="I654" s="416"/>
      <c r="J654" s="417"/>
      <c r="K654" s="418" t="str">
        <f t="shared" si="279"/>
        <v/>
      </c>
      <c r="M654" s="418" t="str">
        <f t="shared" si="284"/>
        <v/>
      </c>
      <c r="N654"/>
      <c r="P654" s="418" t="str">
        <f t="shared" si="285"/>
        <v/>
      </c>
      <c r="Q654"/>
      <c r="S654" s="475"/>
      <c r="T654" s="475"/>
      <c r="U654" s="475"/>
      <c r="V654" s="475"/>
    </row>
    <row r="655" spans="2:22" outlineLevel="2" x14ac:dyDescent="0.25">
      <c r="B655"/>
      <c r="D655"/>
      <c r="F655" s="415" t="str">
        <f>'Folha de cálculo'!D655</f>
        <v>9.1.4</v>
      </c>
      <c r="G655" s="415" t="str">
        <f>'Folha de cálculo'!E655</f>
        <v>O(s) sistema(s) de produção e acumulação de água quente foi(foram) adquirido(s) (novo(s)) e instalado(s)…</v>
      </c>
      <c r="H655" s="415"/>
      <c r="I655" s="415"/>
      <c r="J655" s="425" t="s">
        <v>731</v>
      </c>
      <c r="K655" s="424" t="s">
        <v>731</v>
      </c>
      <c r="M655" s="425" t="s">
        <v>731</v>
      </c>
      <c r="N655"/>
      <c r="P655" s="425" t="s">
        <v>731</v>
      </c>
      <c r="Q655"/>
      <c r="S655" s="477"/>
      <c r="T655" s="477"/>
      <c r="U655" s="477"/>
      <c r="V655" s="477"/>
    </row>
    <row r="656" spans="2:22" outlineLevel="3" x14ac:dyDescent="0.25">
      <c r="G656" s="416" t="str">
        <f>'Folha de cálculo'!E656</f>
        <v>9.1.4.1</v>
      </c>
      <c r="H656" s="416" t="str">
        <f>'Folha de cálculo'!F656</f>
        <v>há 5 ou menos anos</v>
      </c>
      <c r="I656" s="416"/>
      <c r="J656" s="438" t="str">
        <f>IF('Folha Oculta'!AO12&gt;0,'Folha Oculta'!AO12/'Folha Oculta'!AO15,"")</f>
        <v/>
      </c>
      <c r="K656" s="418" t="str">
        <f t="shared" si="279"/>
        <v/>
      </c>
      <c r="M656" s="418" t="str">
        <f t="shared" ref="M656:M659" si="286">IF(ISBLANK(K656),"",K656)</f>
        <v/>
      </c>
      <c r="N656"/>
      <c r="P656" s="418" t="str">
        <f>IF(ISBLANK(M656),"",M656)</f>
        <v/>
      </c>
      <c r="Q656"/>
      <c r="S656" s="475"/>
      <c r="T656" s="475"/>
      <c r="U656" s="475"/>
      <c r="V656" s="475"/>
    </row>
    <row r="657" spans="5:22" outlineLevel="3" x14ac:dyDescent="0.25">
      <c r="G657" s="416" t="str">
        <f>'Folha de cálculo'!E657</f>
        <v>9.1.4.2</v>
      </c>
      <c r="H657" s="416" t="str">
        <f>'Folha de cálculo'!F657</f>
        <v>entre ]5 e 15] anos</v>
      </c>
      <c r="I657" s="416"/>
      <c r="J657" s="438" t="str">
        <f>IF('Folha Oculta'!AO13&gt;0,'Folha Oculta'!AO13/'Folha Oculta'!AO15,"")</f>
        <v/>
      </c>
      <c r="K657" s="418" t="str">
        <f t="shared" si="279"/>
        <v/>
      </c>
      <c r="M657" s="418" t="str">
        <f t="shared" si="286"/>
        <v/>
      </c>
      <c r="N657"/>
      <c r="P657" s="418" t="str">
        <f t="shared" ref="P657:P659" si="287">IF(ISBLANK(M657),"",M657)</f>
        <v/>
      </c>
      <c r="Q657"/>
      <c r="S657" s="475"/>
      <c r="T657" s="475"/>
      <c r="U657" s="475"/>
      <c r="V657" s="475"/>
    </row>
    <row r="658" spans="5:22" outlineLevel="3" x14ac:dyDescent="0.25">
      <c r="G658" s="416" t="str">
        <f>'Folha de cálculo'!E658</f>
        <v>9.1.4.3</v>
      </c>
      <c r="H658" s="416" t="str">
        <f>'Folha de cálculo'!F658</f>
        <v>há mais de 15 anos</v>
      </c>
      <c r="I658" s="416"/>
      <c r="J658" s="438" t="str">
        <f>IF('Folha Oculta'!AO14&gt;0,'Folha Oculta'!AO14/'Folha Oculta'!AO15,"")</f>
        <v/>
      </c>
      <c r="K658" s="418" t="str">
        <f t="shared" si="279"/>
        <v/>
      </c>
      <c r="M658" s="418" t="str">
        <f t="shared" si="286"/>
        <v/>
      </c>
      <c r="N658"/>
      <c r="P658" s="418" t="str">
        <f t="shared" si="287"/>
        <v/>
      </c>
      <c r="Q658"/>
      <c r="S658" s="475"/>
      <c r="T658" s="475"/>
      <c r="U658" s="475"/>
      <c r="V658" s="475"/>
    </row>
    <row r="659" spans="5:22" outlineLevel="3" x14ac:dyDescent="0.25">
      <c r="G659" s="416" t="str">
        <f>'Folha de cálculo'!E659</f>
        <v>9.1.4.4</v>
      </c>
      <c r="H659" s="416" t="str">
        <f>'Folha de cálculo'!F659</f>
        <v>Não foi possível determinar (justifique)</v>
      </c>
      <c r="I659" s="416"/>
      <c r="J659" s="438">
        <f>IF(SUM(J656:J658)&lt;&gt;1,1-SUM(J656:J658),"")</f>
        <v>1</v>
      </c>
      <c r="K659" s="418">
        <f t="shared" si="279"/>
        <v>1</v>
      </c>
      <c r="M659" s="418">
        <f t="shared" si="286"/>
        <v>1</v>
      </c>
      <c r="N659"/>
      <c r="P659" s="418">
        <f t="shared" si="287"/>
        <v>1</v>
      </c>
      <c r="Q659"/>
      <c r="S659" s="475"/>
      <c r="T659" s="475"/>
      <c r="U659" s="475"/>
      <c r="V659" s="475"/>
    </row>
    <row r="660" spans="5:22" outlineLevel="2" x14ac:dyDescent="0.25">
      <c r="F660" s="415" t="str">
        <f>'Folha de cálculo'!D660</f>
        <v>9.1.5</v>
      </c>
      <c r="G660" s="415" t="str">
        <f>'Folha de cálculo'!E660</f>
        <v>A manutenção efetuada ao(s) sistema(s) de produção de água quente é realizada de forma…</v>
      </c>
      <c r="H660" s="415"/>
      <c r="I660" s="415"/>
      <c r="J660" s="425" t="s">
        <v>731</v>
      </c>
      <c r="K660" s="424" t="s">
        <v>731</v>
      </c>
      <c r="M660" s="425" t="s">
        <v>731</v>
      </c>
      <c r="N660"/>
      <c r="P660" s="425" t="s">
        <v>731</v>
      </c>
      <c r="Q660"/>
      <c r="S660" s="477"/>
      <c r="T660" s="477"/>
      <c r="U660" s="477"/>
      <c r="V660" s="477"/>
    </row>
    <row r="661" spans="5:22" outlineLevel="3" x14ac:dyDescent="0.25">
      <c r="G661" s="416" t="str">
        <f>'Folha de cálculo'!E661</f>
        <v>9.1.5.1</v>
      </c>
      <c r="H661" s="458" t="str">
        <f>'Folha de cálculo'!F661</f>
        <v>preditiva, através de um sistema inteligente de alarmisticas</v>
      </c>
      <c r="I661" s="416"/>
      <c r="J661" s="417"/>
      <c r="K661" s="418" t="str">
        <f t="shared" si="279"/>
        <v/>
      </c>
      <c r="M661" s="418" t="str">
        <f>IF(ISBLANK(K661),"",K661)</f>
        <v/>
      </c>
      <c r="N661"/>
      <c r="P661" s="418" t="str">
        <f>IF(ISBLANK(M661),"",M661)</f>
        <v/>
      </c>
      <c r="Q661"/>
      <c r="S661" s="475"/>
      <c r="T661" s="475"/>
      <c r="U661" s="475"/>
      <c r="V661" s="475"/>
    </row>
    <row r="662" spans="5:22" outlineLevel="3" x14ac:dyDescent="0.25">
      <c r="G662" s="416" t="str">
        <f>'Folha de cálculo'!E662</f>
        <v>9.1.5.2</v>
      </c>
      <c r="H662" s="458" t="str">
        <f>'Folha de cálculo'!F662</f>
        <v>preventiva, através de verificações regulares</v>
      </c>
      <c r="I662" s="416"/>
      <c r="J662" s="417"/>
      <c r="K662" s="418" t="str">
        <f t="shared" si="279"/>
        <v/>
      </c>
      <c r="M662" s="418" t="str">
        <f t="shared" ref="M662:M664" si="288">IF(ISBLANK(K662),"",K662)</f>
        <v/>
      </c>
      <c r="N662"/>
      <c r="P662" s="418" t="str">
        <f t="shared" ref="P662:P664" si="289">IF(ISBLANK(M662),"",M662)</f>
        <v/>
      </c>
      <c r="Q662"/>
      <c r="S662" s="475"/>
      <c r="T662" s="475"/>
      <c r="U662" s="475"/>
      <c r="V662" s="475"/>
    </row>
    <row r="663" spans="5:22" outlineLevel="3" x14ac:dyDescent="0.25">
      <c r="G663" s="416" t="str">
        <f>'Folha de cálculo'!E663</f>
        <v>9.1.5.3</v>
      </c>
      <c r="H663" s="458" t="str">
        <f>'Folha de cálculo'!F663</f>
        <v>corretiva, quando é identificado um problema</v>
      </c>
      <c r="I663" s="416"/>
      <c r="J663" s="417"/>
      <c r="K663" s="418" t="str">
        <f t="shared" si="279"/>
        <v/>
      </c>
      <c r="M663" s="418" t="str">
        <f t="shared" si="288"/>
        <v/>
      </c>
      <c r="N663"/>
      <c r="P663" s="418" t="str">
        <f t="shared" si="289"/>
        <v/>
      </c>
      <c r="Q663"/>
      <c r="S663" s="475"/>
      <c r="T663" s="475"/>
      <c r="U663" s="475"/>
      <c r="V663" s="475"/>
    </row>
    <row r="664" spans="5:22" outlineLevel="3" x14ac:dyDescent="0.25">
      <c r="G664" s="416" t="str">
        <f>'Folha de cálculo'!E664</f>
        <v>9.1.5.4</v>
      </c>
      <c r="H664" s="416" t="str">
        <f>'Folha de cálculo'!F664</f>
        <v>Não foi possível determinar (justifique)</v>
      </c>
      <c r="I664" s="416"/>
      <c r="J664" s="417"/>
      <c r="K664" s="418" t="str">
        <f t="shared" si="279"/>
        <v/>
      </c>
      <c r="M664" s="418" t="str">
        <f t="shared" si="288"/>
        <v/>
      </c>
      <c r="N664"/>
      <c r="P664" s="418" t="str">
        <f t="shared" si="289"/>
        <v/>
      </c>
      <c r="Q664"/>
      <c r="S664" s="475"/>
      <c r="T664" s="475"/>
      <c r="U664" s="475"/>
      <c r="V664" s="475"/>
    </row>
    <row r="665" spans="5:22" outlineLevel="1" x14ac:dyDescent="0.25">
      <c r="J665" s="400"/>
      <c r="K665" s="400"/>
      <c r="M665" s="400"/>
      <c r="N665"/>
      <c r="P665" s="400"/>
      <c r="Q665"/>
      <c r="S665" s="476"/>
      <c r="T665" s="476"/>
      <c r="U665" s="476"/>
      <c r="V665" s="476"/>
    </row>
    <row r="666" spans="5:22" outlineLevel="1" x14ac:dyDescent="0.25">
      <c r="E666" s="8" t="str">
        <f>'Folha de cálculo'!C666</f>
        <v>9.2</v>
      </c>
      <c r="F666" s="8" t="str">
        <f>'Folha de cálculo'!D666</f>
        <v>Rede de distribuição de água quente</v>
      </c>
      <c r="G666" s="8"/>
      <c r="H666" s="8"/>
      <c r="I666" s="8"/>
      <c r="J666" s="403"/>
      <c r="K666" s="404"/>
      <c r="M666" s="403"/>
      <c r="N666"/>
      <c r="P666" s="403"/>
      <c r="Q666"/>
      <c r="S666" s="478"/>
      <c r="T666" s="479"/>
      <c r="U666" s="479"/>
      <c r="V666" s="480"/>
    </row>
    <row r="667" spans="5:22" ht="29.1" customHeight="1" outlineLevel="2" x14ac:dyDescent="0.25">
      <c r="F667" s="407" t="str">
        <f>'Folha de cálculo'!D667</f>
        <v>9.2.1</v>
      </c>
      <c r="G667" s="482" t="str">
        <f>'Folha de cálculo'!E667</f>
        <v>A rede de distribuição de água quente (desde o sistema de produção e/ou acumulação até aos dispositivos), dispõe de isolamento térmico…</v>
      </c>
      <c r="H667" s="482"/>
      <c r="I667" s="482"/>
      <c r="J667" s="408" t="s">
        <v>731</v>
      </c>
      <c r="K667" s="409" t="s">
        <v>731</v>
      </c>
      <c r="M667" s="408" t="s">
        <v>731</v>
      </c>
      <c r="N667"/>
      <c r="P667" s="408" t="s">
        <v>731</v>
      </c>
      <c r="Q667"/>
      <c r="S667" s="477"/>
      <c r="T667" s="477"/>
      <c r="U667" s="477"/>
      <c r="V667" s="477"/>
    </row>
    <row r="668" spans="5:22" outlineLevel="3" x14ac:dyDescent="0.25">
      <c r="G668" s="416" t="str">
        <f>'Folha de cálculo'!E668</f>
        <v>9.2.1.1</v>
      </c>
      <c r="H668" s="416" t="str">
        <f>'Folha de cálculo'!F668</f>
        <v>em toda a sua extensão</v>
      </c>
      <c r="I668" s="416"/>
      <c r="J668" s="417"/>
      <c r="K668" s="418" t="str">
        <f t="shared" ref="K668:K670" si="290">IF(ISBLANK(J668),"",J668)</f>
        <v/>
      </c>
      <c r="M668" s="418" t="str">
        <f>IF(ISBLANK(K668),"",K668)</f>
        <v/>
      </c>
      <c r="N668"/>
      <c r="P668" s="418" t="str">
        <f>IF(ISBLANK(M668),"",M668)</f>
        <v/>
      </c>
      <c r="Q668"/>
      <c r="S668" s="475"/>
      <c r="T668" s="475"/>
      <c r="U668" s="475"/>
      <c r="V668" s="475"/>
    </row>
    <row r="669" spans="5:22" outlineLevel="3" x14ac:dyDescent="0.25">
      <c r="G669" s="416" t="str">
        <f>'Folha de cálculo'!E669</f>
        <v>9.2.1.2</v>
      </c>
      <c r="H669" s="416" t="str">
        <f>'Folha de cálculo'!F669</f>
        <v>nos troços visíveis da instalação</v>
      </c>
      <c r="I669" s="416"/>
      <c r="J669" s="417"/>
      <c r="K669" s="418" t="str">
        <f t="shared" si="290"/>
        <v/>
      </c>
      <c r="M669" s="418" t="str">
        <f t="shared" ref="M669:M670" si="291">IF(ISBLANK(K669),"",K669)</f>
        <v/>
      </c>
      <c r="N669"/>
      <c r="P669" s="418" t="str">
        <f t="shared" ref="P669:P670" si="292">IF(ISBLANK(M669),"",M669)</f>
        <v/>
      </c>
      <c r="Q669"/>
      <c r="S669" s="475"/>
      <c r="T669" s="475"/>
      <c r="U669" s="475"/>
      <c r="V669" s="475"/>
    </row>
    <row r="670" spans="5:22" outlineLevel="3" x14ac:dyDescent="0.25">
      <c r="G670" s="416" t="str">
        <f>'Folha de cálculo'!E670</f>
        <v>9.2.1.3</v>
      </c>
      <c r="H670" s="416" t="str">
        <f>'Folha de cálculo'!F670</f>
        <v>Não existe isolamento térmico ou não foi possível determinar (justifique)</v>
      </c>
      <c r="I670" s="416"/>
      <c r="J670" s="417"/>
      <c r="K670" s="418" t="str">
        <f t="shared" si="290"/>
        <v/>
      </c>
      <c r="M670" s="418" t="str">
        <f t="shared" si="291"/>
        <v/>
      </c>
      <c r="N670"/>
      <c r="P670" s="418" t="str">
        <f t="shared" si="292"/>
        <v/>
      </c>
      <c r="Q670"/>
      <c r="S670" s="475"/>
      <c r="T670" s="475"/>
      <c r="U670" s="475"/>
      <c r="V670" s="475"/>
    </row>
    <row r="671" spans="5:22" ht="29.1" customHeight="1" outlineLevel="2" x14ac:dyDescent="0.25">
      <c r="F671" s="407" t="str">
        <f>'Folha de cálculo'!D671</f>
        <v>9.2.2</v>
      </c>
      <c r="G671" s="482" t="str">
        <f>'Folha de cálculo'!E671</f>
        <v>A rede de distribuição (ou o equipamento de produção) de água quente dispõe de rede de circulação e retorno de água quente com…</v>
      </c>
      <c r="H671" s="482"/>
      <c r="I671" s="482"/>
      <c r="J671" s="408" t="s">
        <v>731</v>
      </c>
      <c r="K671" s="409" t="s">
        <v>731</v>
      </c>
      <c r="M671" s="408" t="s">
        <v>731</v>
      </c>
      <c r="N671"/>
      <c r="P671" s="408" t="s">
        <v>731</v>
      </c>
      <c r="Q671"/>
      <c r="S671" s="477"/>
      <c r="T671" s="477"/>
      <c r="U671" s="477"/>
      <c r="V671" s="477"/>
    </row>
    <row r="672" spans="5:22" outlineLevel="3" x14ac:dyDescent="0.25">
      <c r="G672" s="416" t="str">
        <f>'Folha de cálculo'!E672</f>
        <v>9.2.2.1</v>
      </c>
      <c r="H672" s="416" t="str">
        <f>'Folha de cálculo'!F672</f>
        <v>funcionamento continuo</v>
      </c>
      <c r="I672" s="416"/>
      <c r="J672" s="417"/>
      <c r="K672" s="418" t="str">
        <f t="shared" ref="K672:K675" si="293">IF(ISBLANK(J672),"",J672)</f>
        <v/>
      </c>
      <c r="M672" s="418" t="str">
        <f>IF(ISBLANK(K672),"",K672)</f>
        <v/>
      </c>
      <c r="N672"/>
      <c r="P672" s="418" t="str">
        <f>IF(ISBLANK(M672),"",M672)</f>
        <v/>
      </c>
      <c r="Q672"/>
      <c r="S672" s="475"/>
      <c r="T672" s="475"/>
      <c r="U672" s="475"/>
      <c r="V672" s="475"/>
    </row>
    <row r="673" spans="4:22" outlineLevel="3" x14ac:dyDescent="0.25">
      <c r="G673" s="416" t="str">
        <f>'Folha de cálculo'!E673</f>
        <v>9.2.2.2</v>
      </c>
      <c r="H673" s="416" t="str">
        <f>'Folha de cálculo'!F673</f>
        <v>acionamento programável</v>
      </c>
      <c r="I673" s="416"/>
      <c r="J673" s="417"/>
      <c r="K673" s="418" t="str">
        <f t="shared" si="293"/>
        <v/>
      </c>
      <c r="M673" s="418" t="str">
        <f t="shared" ref="M673:M675" si="294">IF(ISBLANK(K673),"",K673)</f>
        <v/>
      </c>
      <c r="N673"/>
      <c r="P673" s="418" t="str">
        <f t="shared" ref="P673:P675" si="295">IF(ISBLANK(M673),"",M673)</f>
        <v/>
      </c>
      <c r="Q673"/>
      <c r="S673" s="475"/>
      <c r="T673" s="475"/>
      <c r="U673" s="475"/>
      <c r="V673" s="475"/>
    </row>
    <row r="674" spans="4:22" outlineLevel="3" x14ac:dyDescent="0.25">
      <c r="G674" s="416" t="str">
        <f>'Folha de cálculo'!E674</f>
        <v>9.2.2.3</v>
      </c>
      <c r="H674" s="416" t="str">
        <f>'Folha de cálculo'!F674</f>
        <v>Nenhuma das opções anteriores</v>
      </c>
      <c r="I674" s="416"/>
      <c r="J674" s="417"/>
      <c r="K674" s="418" t="str">
        <f t="shared" si="293"/>
        <v/>
      </c>
      <c r="M674" s="418" t="str">
        <f t="shared" si="294"/>
        <v/>
      </c>
      <c r="N674"/>
      <c r="P674" s="418" t="str">
        <f t="shared" si="295"/>
        <v/>
      </c>
      <c r="Q674"/>
      <c r="S674" s="475"/>
      <c r="T674" s="475"/>
      <c r="U674" s="475"/>
      <c r="V674" s="475"/>
    </row>
    <row r="675" spans="4:22" outlineLevel="3" x14ac:dyDescent="0.25">
      <c r="G675" s="416" t="str">
        <f>'Folha de cálculo'!E675</f>
        <v>9.2.2.4</v>
      </c>
      <c r="H675" s="416" t="str">
        <f>'Folha de cálculo'!F675</f>
        <v>Não foi possível determinar (justifique)</v>
      </c>
      <c r="I675" s="416"/>
      <c r="J675" s="417"/>
      <c r="K675" s="418" t="str">
        <f t="shared" si="293"/>
        <v/>
      </c>
      <c r="M675" s="418" t="str">
        <f t="shared" si="294"/>
        <v/>
      </c>
      <c r="N675"/>
      <c r="P675" s="418" t="str">
        <f t="shared" si="295"/>
        <v/>
      </c>
      <c r="Q675"/>
      <c r="S675" s="475"/>
      <c r="T675" s="475"/>
      <c r="U675" s="475"/>
      <c r="V675" s="475"/>
    </row>
    <row r="676" spans="4:22" outlineLevel="1" x14ac:dyDescent="0.25">
      <c r="J676" s="400"/>
      <c r="K676" s="400"/>
      <c r="M676" s="400"/>
      <c r="N676"/>
      <c r="P676" s="400"/>
      <c r="Q676"/>
      <c r="S676" s="476"/>
      <c r="T676" s="476"/>
      <c r="U676" s="476"/>
      <c r="V676" s="476"/>
    </row>
    <row r="677" spans="4:22" x14ac:dyDescent="0.25">
      <c r="D677" s="7">
        <f>'Folha de cálculo'!B677</f>
        <v>10</v>
      </c>
      <c r="E677" s="398" t="str">
        <f>'Folha de cálculo'!C677</f>
        <v>Ações para a eficiência hídrica</v>
      </c>
      <c r="F677" s="398"/>
      <c r="G677" s="398"/>
      <c r="H677" s="398"/>
      <c r="I677" s="398"/>
      <c r="J677" s="399"/>
      <c r="K677" s="399"/>
      <c r="M677" s="399"/>
      <c r="N677"/>
      <c r="P677" s="399"/>
      <c r="Q677"/>
      <c r="S677" s="489"/>
      <c r="T677" s="489"/>
      <c r="U677" s="489"/>
      <c r="V677" s="489"/>
    </row>
    <row r="678" spans="4:22" x14ac:dyDescent="0.25">
      <c r="J678" s="400"/>
      <c r="K678" s="400"/>
      <c r="M678" s="400"/>
      <c r="N678"/>
      <c r="P678" s="400"/>
      <c r="Q678"/>
      <c r="S678" s="476"/>
      <c r="T678" s="476"/>
      <c r="U678" s="476"/>
      <c r="V678" s="476"/>
    </row>
    <row r="679" spans="4:22" outlineLevel="1" x14ac:dyDescent="0.25">
      <c r="E679" s="8" t="str">
        <f>'Folha de cálculo'!C679</f>
        <v>10.1</v>
      </c>
      <c r="F679" s="8" t="str">
        <f>'Folha de cálculo'!D679</f>
        <v>Campanhas de sensibilização</v>
      </c>
      <c r="G679" s="8"/>
      <c r="H679" s="8"/>
      <c r="I679" s="8"/>
      <c r="J679" s="403"/>
      <c r="K679" s="404"/>
      <c r="M679" s="403"/>
      <c r="N679"/>
      <c r="P679" s="403"/>
      <c r="Q679"/>
      <c r="S679" s="478"/>
      <c r="T679" s="479"/>
      <c r="U679" s="479"/>
      <c r="V679" s="480"/>
    </row>
    <row r="680" spans="4:22" ht="29.1" customHeight="1" outlineLevel="2" x14ac:dyDescent="0.25">
      <c r="F680" s="407" t="str">
        <f>'Folha de cálculo'!D680</f>
        <v>10.1.1</v>
      </c>
      <c r="G680" s="482" t="str">
        <f>'Folha de cálculo'!E680</f>
        <v>A unidade hoteleira implementa estratégias de sensibilização e divulga boas práticas para redução do consumo de água dirigidas a…</v>
      </c>
      <c r="H680" s="482"/>
      <c r="I680" s="482"/>
      <c r="J680" s="408" t="s">
        <v>729</v>
      </c>
      <c r="K680" s="409" t="s">
        <v>729</v>
      </c>
      <c r="M680" s="408" t="s">
        <v>729</v>
      </c>
      <c r="N680"/>
      <c r="P680" s="408" t="s">
        <v>729</v>
      </c>
      <c r="Q680"/>
      <c r="S680" s="477"/>
      <c r="T680" s="477"/>
      <c r="U680" s="477"/>
      <c r="V680" s="477"/>
    </row>
    <row r="681" spans="4:22" outlineLevel="3" x14ac:dyDescent="0.25">
      <c r="G681" s="416" t="str">
        <f>'Folha de cálculo'!E681</f>
        <v>10.1.1.1</v>
      </c>
      <c r="H681" s="416" t="str">
        <f>'Folha de cálculo'!F681</f>
        <v>clientes</v>
      </c>
      <c r="I681" s="416"/>
      <c r="J681" s="422"/>
      <c r="K681" s="419" t="str">
        <f t="shared" ref="K681:K700" si="296">IF(ISBLANK(J681),"",J681)</f>
        <v/>
      </c>
      <c r="M681" s="412" t="str">
        <f>IF(ISBLANK(K681),"",K681)</f>
        <v/>
      </c>
      <c r="N681"/>
      <c r="P681" s="412" t="str">
        <f>IF(ISBLANK(M681),"",M681)</f>
        <v/>
      </c>
      <c r="Q681"/>
      <c r="S681" s="475"/>
      <c r="T681" s="475"/>
      <c r="U681" s="475"/>
      <c r="V681" s="475"/>
    </row>
    <row r="682" spans="4:22" outlineLevel="3" x14ac:dyDescent="0.25">
      <c r="G682" s="416" t="str">
        <f>'Folha de cálculo'!E682</f>
        <v>10.1.1.2</v>
      </c>
      <c r="H682" s="416" t="str">
        <f>'Folha de cálculo'!F682</f>
        <v>funcionários</v>
      </c>
      <c r="I682" s="416"/>
      <c r="J682" s="422"/>
      <c r="K682" s="419" t="str">
        <f t="shared" si="296"/>
        <v/>
      </c>
      <c r="M682" s="412" t="str">
        <f t="shared" ref="M682:M686" si="297">IF(ISBLANK(K682),"",K682)</f>
        <v/>
      </c>
      <c r="N682"/>
      <c r="P682" s="412" t="str">
        <f t="shared" ref="P682:P686" si="298">IF(ISBLANK(M682),"",M682)</f>
        <v/>
      </c>
      <c r="Q682"/>
      <c r="S682" s="475"/>
      <c r="T682" s="475"/>
      <c r="U682" s="475"/>
      <c r="V682" s="475"/>
    </row>
    <row r="683" spans="4:22" outlineLevel="3" x14ac:dyDescent="0.25">
      <c r="G683" s="416" t="str">
        <f>'Folha de cálculo'!E683</f>
        <v>10.1.1.3</v>
      </c>
      <c r="H683" s="416" t="str">
        <f>'Folha de cálculo'!F683</f>
        <v>comunidade local</v>
      </c>
      <c r="I683" s="416"/>
      <c r="J683" s="422"/>
      <c r="K683" s="419" t="str">
        <f t="shared" si="296"/>
        <v/>
      </c>
      <c r="M683" s="412" t="str">
        <f t="shared" si="297"/>
        <v/>
      </c>
      <c r="N683"/>
      <c r="P683" s="412" t="str">
        <f t="shared" si="298"/>
        <v/>
      </c>
      <c r="Q683"/>
      <c r="S683" s="475"/>
      <c r="T683" s="475"/>
      <c r="U683" s="475"/>
      <c r="V683" s="475"/>
    </row>
    <row r="684" spans="4:22" outlineLevel="3" x14ac:dyDescent="0.25">
      <c r="G684" s="416" t="str">
        <f>'Folha de cálculo'!E684</f>
        <v>10.1.1.4</v>
      </c>
      <c r="H684" s="416" t="str">
        <f>'Folha de cálculo'!F684</f>
        <v>público geral</v>
      </c>
      <c r="I684" s="416"/>
      <c r="J684" s="422"/>
      <c r="K684" s="419" t="str">
        <f t="shared" si="296"/>
        <v/>
      </c>
      <c r="M684" s="412" t="str">
        <f t="shared" si="297"/>
        <v/>
      </c>
      <c r="N684"/>
      <c r="P684" s="412" t="str">
        <f t="shared" si="298"/>
        <v/>
      </c>
      <c r="Q684"/>
      <c r="S684" s="475"/>
      <c r="T684" s="475"/>
      <c r="U684" s="475"/>
      <c r="V684" s="475"/>
    </row>
    <row r="685" spans="4:22" outlineLevel="3" x14ac:dyDescent="0.25">
      <c r="G685" s="416" t="str">
        <f>'Folha de cálculo'!E685</f>
        <v>10.1.1.5</v>
      </c>
      <c r="H685" s="416" t="str">
        <f>'Folha de cálculo'!F685</f>
        <v>Nenhuma das opções anteriores</v>
      </c>
      <c r="I685" s="416"/>
      <c r="J685" s="422"/>
      <c r="K685" s="419" t="str">
        <f t="shared" si="296"/>
        <v/>
      </c>
      <c r="M685" s="412" t="str">
        <f t="shared" si="297"/>
        <v/>
      </c>
      <c r="N685"/>
      <c r="P685" s="412" t="str">
        <f t="shared" si="298"/>
        <v/>
      </c>
      <c r="Q685"/>
      <c r="S685" s="475"/>
      <c r="T685" s="475"/>
      <c r="U685" s="475"/>
      <c r="V685" s="475"/>
    </row>
    <row r="686" spans="4:22" outlineLevel="3" x14ac:dyDescent="0.25">
      <c r="G686" s="416" t="str">
        <f>'Folha de cálculo'!E686</f>
        <v>10.1.1.6</v>
      </c>
      <c r="H686" s="416" t="str">
        <f>'Folha de cálculo'!F686</f>
        <v>Não foi possível determinar (justifique)</v>
      </c>
      <c r="I686" s="416"/>
      <c r="J686" s="422"/>
      <c r="K686" s="419" t="str">
        <f t="shared" si="296"/>
        <v/>
      </c>
      <c r="M686" s="412" t="str">
        <f t="shared" si="297"/>
        <v/>
      </c>
      <c r="N686"/>
      <c r="P686" s="412" t="str">
        <f t="shared" si="298"/>
        <v/>
      </c>
      <c r="Q686"/>
      <c r="S686" s="475"/>
      <c r="T686" s="475"/>
      <c r="U686" s="475"/>
      <c r="V686" s="475"/>
    </row>
    <row r="687" spans="4:22" outlineLevel="2" x14ac:dyDescent="0.25">
      <c r="F687" s="415" t="str">
        <f>'Folha de cálculo'!D687</f>
        <v>10.1.2</v>
      </c>
      <c r="G687" s="415" t="str">
        <f>'Folha de cálculo'!E687</f>
        <v>As campanhas de eficiência hídrica dirigidas aos clientes envolvem a comunicação para...</v>
      </c>
      <c r="H687" s="415"/>
      <c r="I687" s="415"/>
      <c r="J687" s="408" t="s">
        <v>729</v>
      </c>
      <c r="K687" s="424" t="s">
        <v>729</v>
      </c>
      <c r="M687" s="425" t="s">
        <v>729</v>
      </c>
      <c r="N687"/>
      <c r="P687" s="425" t="s">
        <v>729</v>
      </c>
      <c r="Q687"/>
      <c r="S687" s="477"/>
      <c r="T687" s="477"/>
      <c r="U687" s="477"/>
      <c r="V687" s="477"/>
    </row>
    <row r="688" spans="4:22" outlineLevel="3" x14ac:dyDescent="0.25">
      <c r="G688" s="416" t="str">
        <f>'Folha de cálculo'!E688</f>
        <v>10.1.2.1</v>
      </c>
      <c r="H688" s="416" t="str">
        <f>'Folha de cálculo'!F688</f>
        <v>redução da frequência de troca de roupa de cama e atoalhados</v>
      </c>
      <c r="I688" s="416"/>
      <c r="J688" s="422"/>
      <c r="K688" s="419" t="str">
        <f t="shared" si="296"/>
        <v/>
      </c>
      <c r="M688" s="412" t="str">
        <f>IF(ISBLANK(K688),"",K688)</f>
        <v/>
      </c>
      <c r="N688"/>
      <c r="P688" s="412" t="str">
        <f>IF(ISBLANK(M688),"",M688)</f>
        <v/>
      </c>
      <c r="Q688"/>
      <c r="S688" s="475"/>
      <c r="T688" s="475"/>
      <c r="U688" s="475"/>
      <c r="V688" s="475"/>
    </row>
    <row r="689" spans="5:22" outlineLevel="3" x14ac:dyDescent="0.25">
      <c r="G689" s="416" t="str">
        <f>'Folha de cálculo'!E689</f>
        <v>10.1.2.2</v>
      </c>
      <c r="H689" s="416" t="str">
        <f>'Folha de cálculo'!F689</f>
        <v>redução da frequência de limpeza das unidades de alojamento</v>
      </c>
      <c r="I689" s="416"/>
      <c r="J689" s="422"/>
      <c r="K689" s="419" t="str">
        <f t="shared" si="296"/>
        <v/>
      </c>
      <c r="M689" s="412" t="str">
        <f t="shared" ref="M689:M694" si="299">IF(ISBLANK(K689),"",K689)</f>
        <v/>
      </c>
      <c r="N689"/>
      <c r="P689" s="412" t="str">
        <f t="shared" ref="P689:P694" si="300">IF(ISBLANK(M689),"",M689)</f>
        <v/>
      </c>
      <c r="Q689"/>
      <c r="S689" s="475"/>
      <c r="T689" s="475"/>
      <c r="U689" s="475"/>
      <c r="V689" s="475"/>
    </row>
    <row r="690" spans="5:22" outlineLevel="3" x14ac:dyDescent="0.25">
      <c r="G690" s="416" t="str">
        <f>'Folha de cálculo'!E690</f>
        <v>10.1.2.3</v>
      </c>
      <c r="H690" s="416" t="str">
        <f>'Folha de cálculo'!F690</f>
        <v>redução do uso de água em banhos</v>
      </c>
      <c r="I690" s="416"/>
      <c r="J690" s="422"/>
      <c r="K690" s="419" t="str">
        <f t="shared" si="296"/>
        <v/>
      </c>
      <c r="M690" s="412" t="str">
        <f t="shared" si="299"/>
        <v/>
      </c>
      <c r="N690"/>
      <c r="P690" s="412" t="str">
        <f t="shared" si="300"/>
        <v/>
      </c>
      <c r="Q690"/>
      <c r="S690" s="475"/>
      <c r="T690" s="475"/>
      <c r="U690" s="475"/>
      <c r="V690" s="475"/>
    </row>
    <row r="691" spans="5:22" outlineLevel="3" x14ac:dyDescent="0.25">
      <c r="G691" s="416" t="str">
        <f>'Folha de cálculo'!E691</f>
        <v>10.1.2.4</v>
      </c>
      <c r="H691" s="416" t="str">
        <f>'Folha de cálculo'!F691</f>
        <v>tomada de duche antes de usufruir da piscina</v>
      </c>
      <c r="I691" s="416"/>
      <c r="J691" s="422"/>
      <c r="K691" s="419" t="str">
        <f t="shared" si="296"/>
        <v/>
      </c>
      <c r="M691" s="412" t="str">
        <f t="shared" si="299"/>
        <v/>
      </c>
      <c r="N691"/>
      <c r="P691" s="412" t="str">
        <f t="shared" si="300"/>
        <v/>
      </c>
      <c r="Q691"/>
      <c r="S691" s="475"/>
      <c r="T691" s="475"/>
      <c r="U691" s="475"/>
      <c r="V691" s="475"/>
    </row>
    <row r="692" spans="5:22" outlineLevel="3" x14ac:dyDescent="0.25">
      <c r="G692" s="416" t="str">
        <f>'Folha de cálculo'!E692</f>
        <v>10.1.2.5</v>
      </c>
      <c r="H692" s="416" t="str">
        <f>'Folha de cálculo'!F692</f>
        <v>outras ações de comunicação relevantes (especifique)</v>
      </c>
      <c r="I692" s="416"/>
      <c r="J692" s="422"/>
      <c r="K692" s="419" t="str">
        <f t="shared" si="296"/>
        <v/>
      </c>
      <c r="M692" s="412" t="str">
        <f t="shared" si="299"/>
        <v/>
      </c>
      <c r="N692"/>
      <c r="P692" s="412" t="str">
        <f t="shared" si="300"/>
        <v/>
      </c>
      <c r="Q692"/>
      <c r="S692" s="475"/>
      <c r="T692" s="475"/>
      <c r="U692" s="475"/>
      <c r="V692" s="475"/>
    </row>
    <row r="693" spans="5:22" outlineLevel="3" x14ac:dyDescent="0.25">
      <c r="G693" s="416" t="str">
        <f>'Folha de cálculo'!E693</f>
        <v>10.1.2.6</v>
      </c>
      <c r="H693" s="416" t="str">
        <f>'Folha de cálculo'!F693</f>
        <v>Nenhuma das opções anteriores</v>
      </c>
      <c r="I693" s="416"/>
      <c r="J693" s="422"/>
      <c r="K693" s="419" t="str">
        <f t="shared" si="296"/>
        <v/>
      </c>
      <c r="M693" s="412" t="str">
        <f t="shared" si="299"/>
        <v/>
      </c>
      <c r="N693"/>
      <c r="P693" s="412" t="str">
        <f t="shared" si="300"/>
        <v/>
      </c>
      <c r="Q693"/>
      <c r="S693" s="475"/>
      <c r="T693" s="475"/>
      <c r="U693" s="475"/>
      <c r="V693" s="475"/>
    </row>
    <row r="694" spans="5:22" outlineLevel="3" x14ac:dyDescent="0.25">
      <c r="G694" s="416" t="str">
        <f>'Folha de cálculo'!E694</f>
        <v>10.1.2.7</v>
      </c>
      <c r="H694" s="416" t="str">
        <f>'Folha de cálculo'!F694</f>
        <v>Não foi possível determinar (justifique)</v>
      </c>
      <c r="I694" s="416"/>
      <c r="J694" s="422"/>
      <c r="K694" s="419" t="str">
        <f t="shared" si="296"/>
        <v/>
      </c>
      <c r="M694" s="412" t="str">
        <f t="shared" si="299"/>
        <v/>
      </c>
      <c r="N694"/>
      <c r="P694" s="412" t="str">
        <f t="shared" si="300"/>
        <v/>
      </c>
      <c r="Q694"/>
      <c r="S694" s="475"/>
      <c r="T694" s="475"/>
      <c r="U694" s="475"/>
      <c r="V694" s="475"/>
    </row>
    <row r="695" spans="5:22" outlineLevel="2" x14ac:dyDescent="0.25">
      <c r="F695" s="415" t="str">
        <f>'Folha de cálculo'!D695</f>
        <v>10.1.3</v>
      </c>
      <c r="G695" s="415" t="str">
        <f>'Folha de cálculo'!E695</f>
        <v>As campanhas de eficiência hídrica dirigidas aos funcionários envolvem a comunicação para…</v>
      </c>
      <c r="H695" s="415"/>
      <c r="I695" s="415"/>
      <c r="J695" s="408" t="s">
        <v>729</v>
      </c>
      <c r="K695" s="424" t="s">
        <v>729</v>
      </c>
      <c r="M695" s="425" t="s">
        <v>729</v>
      </c>
      <c r="N695"/>
      <c r="P695" s="425" t="s">
        <v>729</v>
      </c>
      <c r="Q695"/>
      <c r="S695" s="477"/>
      <c r="T695" s="477"/>
      <c r="U695" s="477"/>
      <c r="V695" s="477"/>
    </row>
    <row r="696" spans="5:22" outlineLevel="3" x14ac:dyDescent="0.25">
      <c r="G696" s="416" t="str">
        <f>'Folha de cálculo'!E696</f>
        <v>10.1.3.1</v>
      </c>
      <c r="H696" s="416" t="str">
        <f>'Folha de cálculo'!F696</f>
        <v>elaboração de manual de boas práticas</v>
      </c>
      <c r="I696" s="416"/>
      <c r="J696" s="422"/>
      <c r="K696" s="419" t="str">
        <f t="shared" si="296"/>
        <v/>
      </c>
      <c r="M696" s="412" t="str">
        <f>IF(ISBLANK(K696),"",K696)</f>
        <v/>
      </c>
      <c r="N696"/>
      <c r="P696" s="412" t="str">
        <f>IF(ISBLANK(M696),"",M696)</f>
        <v/>
      </c>
      <c r="Q696"/>
      <c r="S696" s="475"/>
      <c r="T696" s="475"/>
      <c r="U696" s="475"/>
      <c r="V696" s="475"/>
    </row>
    <row r="697" spans="5:22" outlineLevel="3" x14ac:dyDescent="0.25">
      <c r="G697" s="416" t="str">
        <f>'Folha de cálculo'!E697</f>
        <v>10.1.3.2</v>
      </c>
      <c r="H697" s="416" t="str">
        <f>'Folha de cálculo'!F697</f>
        <v>formação anual sobre temáticas de eficiência hídrica</v>
      </c>
      <c r="I697" s="416"/>
      <c r="J697" s="422"/>
      <c r="K697" s="419" t="str">
        <f t="shared" si="296"/>
        <v/>
      </c>
      <c r="M697" s="412" t="str">
        <f t="shared" ref="M697:M700" si="301">IF(ISBLANK(K697),"",K697)</f>
        <v/>
      </c>
      <c r="N697"/>
      <c r="P697" s="412" t="str">
        <f t="shared" ref="P697:P700" si="302">IF(ISBLANK(M697),"",M697)</f>
        <v/>
      </c>
      <c r="Q697"/>
      <c r="S697" s="475"/>
      <c r="T697" s="475"/>
      <c r="U697" s="475"/>
      <c r="V697" s="475"/>
    </row>
    <row r="698" spans="5:22" outlineLevel="3" x14ac:dyDescent="0.25">
      <c r="G698" s="416" t="str">
        <f>'Folha de cálculo'!E698</f>
        <v>10.1.3.3</v>
      </c>
      <c r="H698" s="416" t="str">
        <f>'Folha de cálculo'!F698</f>
        <v>outras ações de comunicação relevantes (especifique)</v>
      </c>
      <c r="I698" s="416"/>
      <c r="J698" s="422"/>
      <c r="K698" s="419" t="str">
        <f t="shared" si="296"/>
        <v/>
      </c>
      <c r="M698" s="412" t="str">
        <f t="shared" si="301"/>
        <v/>
      </c>
      <c r="N698"/>
      <c r="P698" s="412" t="str">
        <f t="shared" si="302"/>
        <v/>
      </c>
      <c r="Q698"/>
      <c r="S698" s="475"/>
      <c r="T698" s="475"/>
      <c r="U698" s="475"/>
      <c r="V698" s="475"/>
    </row>
    <row r="699" spans="5:22" outlineLevel="3" x14ac:dyDescent="0.25">
      <c r="G699" s="416" t="str">
        <f>'Folha de cálculo'!E699</f>
        <v>10.1.3.4</v>
      </c>
      <c r="H699" s="416" t="str">
        <f>'Folha de cálculo'!F699</f>
        <v>Nenhuma das opções anteriores</v>
      </c>
      <c r="I699" s="416"/>
      <c r="J699" s="422"/>
      <c r="K699" s="419" t="str">
        <f t="shared" si="296"/>
        <v/>
      </c>
      <c r="M699" s="412" t="str">
        <f t="shared" si="301"/>
        <v/>
      </c>
      <c r="N699"/>
      <c r="P699" s="412" t="str">
        <f t="shared" si="302"/>
        <v/>
      </c>
      <c r="Q699"/>
      <c r="S699" s="475"/>
      <c r="T699" s="475"/>
      <c r="U699" s="475"/>
      <c r="V699" s="475"/>
    </row>
    <row r="700" spans="5:22" outlineLevel="3" x14ac:dyDescent="0.25">
      <c r="G700" s="416" t="str">
        <f>'Folha de cálculo'!E700</f>
        <v>10.1.3.5</v>
      </c>
      <c r="H700" s="416" t="str">
        <f>'Folha de cálculo'!F700</f>
        <v>Não foi possível determinar (justifique)</v>
      </c>
      <c r="I700" s="416"/>
      <c r="J700" s="422"/>
      <c r="K700" s="419" t="str">
        <f t="shared" si="296"/>
        <v/>
      </c>
      <c r="M700" s="412" t="str">
        <f t="shared" si="301"/>
        <v/>
      </c>
      <c r="N700"/>
      <c r="P700" s="412" t="str">
        <f t="shared" si="302"/>
        <v/>
      </c>
      <c r="Q700"/>
      <c r="S700" s="475"/>
      <c r="T700" s="475"/>
      <c r="U700" s="475"/>
      <c r="V700" s="475"/>
    </row>
    <row r="701" spans="5:22" outlineLevel="1" x14ac:dyDescent="0.25">
      <c r="J701" s="400"/>
      <c r="K701" s="400"/>
      <c r="M701" s="400"/>
      <c r="N701"/>
      <c r="P701" s="400"/>
      <c r="Q701"/>
      <c r="S701" s="476"/>
      <c r="T701" s="476"/>
      <c r="U701" s="476"/>
      <c r="V701" s="476"/>
    </row>
    <row r="702" spans="5:22" outlineLevel="1" x14ac:dyDescent="0.25">
      <c r="E702" s="8" t="str">
        <f>'Folha de cálculo'!C702</f>
        <v>10.2</v>
      </c>
      <c r="F702" s="8" t="str">
        <f>'Folha de cálculo'!D702</f>
        <v>Participação em projetos e outras medidas de impacte no uso eficiente da água</v>
      </c>
      <c r="G702" s="8"/>
      <c r="H702" s="8"/>
      <c r="I702" s="8"/>
      <c r="J702" s="403"/>
      <c r="K702" s="404"/>
      <c r="M702" s="403"/>
      <c r="N702"/>
      <c r="P702" s="403"/>
      <c r="Q702"/>
      <c r="S702" s="478"/>
      <c r="T702" s="479"/>
      <c r="U702" s="479"/>
      <c r="V702" s="480"/>
    </row>
    <row r="703" spans="5:22" outlineLevel="2" x14ac:dyDescent="0.25">
      <c r="F703" s="415" t="str">
        <f>'Folha de cálculo'!D703</f>
        <v>10.2.1</v>
      </c>
      <c r="G703" s="415" t="str">
        <f>'Folha de cálculo'!E703</f>
        <v>Nos últimos 12 meses, a entidade participou ativamente…</v>
      </c>
      <c r="H703" s="415"/>
      <c r="I703" s="415"/>
      <c r="J703" s="408" t="s">
        <v>729</v>
      </c>
      <c r="K703" s="424" t="s">
        <v>729</v>
      </c>
      <c r="M703" s="425" t="s">
        <v>729</v>
      </c>
      <c r="N703"/>
      <c r="P703" s="425" t="s">
        <v>729</v>
      </c>
      <c r="Q703"/>
      <c r="S703" s="477"/>
      <c r="T703" s="477"/>
      <c r="U703" s="477"/>
      <c r="V703" s="477"/>
    </row>
    <row r="704" spans="5:22" outlineLevel="3" x14ac:dyDescent="0.25">
      <c r="G704" s="416" t="str">
        <f>'Folha de cálculo'!E704</f>
        <v>10.2.1.1</v>
      </c>
      <c r="H704" s="416" t="str">
        <f>'Folha de cálculo'!F704</f>
        <v>num, ou mais, projetos de inovação com relação à área de eficiência hídrica</v>
      </c>
      <c r="I704" s="416"/>
      <c r="J704" s="422"/>
      <c r="K704" s="419" t="str">
        <f t="shared" ref="K704:K708" si="303">IF(ISBLANK(J704),"",J704)</f>
        <v/>
      </c>
      <c r="M704" s="412" t="str">
        <f>IF(ISBLANK(K704),"",K704)</f>
        <v/>
      </c>
      <c r="N704"/>
      <c r="P704" s="412" t="str">
        <f>IF(ISBLANK(M704),"",M704)</f>
        <v/>
      </c>
      <c r="Q704"/>
      <c r="S704" s="475"/>
      <c r="T704" s="475"/>
      <c r="U704" s="475"/>
      <c r="V704" s="475"/>
    </row>
    <row r="705" spans="6:22" outlineLevel="3" x14ac:dyDescent="0.25">
      <c r="G705" s="416" t="str">
        <f>'Folha de cálculo'!E705</f>
        <v>10.2.1.2</v>
      </c>
      <c r="H705" s="416" t="str">
        <f>'Folha de cálculo'!F705</f>
        <v>num, ou mais, prémios ou certificações que reconhecem as boas práticas da unidade relacionada com a eficiência hídrica</v>
      </c>
      <c r="I705" s="416"/>
      <c r="J705" s="422"/>
      <c r="K705" s="419" t="str">
        <f t="shared" si="303"/>
        <v/>
      </c>
      <c r="M705" s="412" t="str">
        <f t="shared" ref="M705:M708" si="304">IF(ISBLANK(K705),"",K705)</f>
        <v/>
      </c>
      <c r="N705"/>
      <c r="P705" s="412" t="str">
        <f t="shared" ref="P705:P708" si="305">IF(ISBLANK(M705),"",M705)</f>
        <v/>
      </c>
      <c r="Q705"/>
      <c r="S705" s="475"/>
      <c r="T705" s="475"/>
      <c r="U705" s="475"/>
      <c r="V705" s="475"/>
    </row>
    <row r="706" spans="6:22" outlineLevel="3" x14ac:dyDescent="0.25">
      <c r="G706" s="416" t="str">
        <f>'Folha de cálculo'!E706</f>
        <v>10.2.1.3</v>
      </c>
      <c r="H706" s="416" t="str">
        <f>'Folha de cálculo'!F706</f>
        <v>num, ou mais, eventos com, pelo menos, um tópico relacionado com a eficiência hídrica no programa</v>
      </c>
      <c r="I706" s="416"/>
      <c r="J706" s="422"/>
      <c r="K706" s="419" t="str">
        <f t="shared" si="303"/>
        <v/>
      </c>
      <c r="M706" s="412" t="str">
        <f t="shared" si="304"/>
        <v/>
      </c>
      <c r="N706"/>
      <c r="P706" s="412" t="str">
        <f t="shared" si="305"/>
        <v/>
      </c>
      <c r="Q706"/>
      <c r="S706" s="475"/>
      <c r="T706" s="475"/>
      <c r="U706" s="475"/>
      <c r="V706" s="475"/>
    </row>
    <row r="707" spans="6:22" outlineLevel="3" x14ac:dyDescent="0.25">
      <c r="G707" s="416" t="str">
        <f>'Folha de cálculo'!E707</f>
        <v>10.2.1.4</v>
      </c>
      <c r="H707" s="416" t="str">
        <f>'Folha de cálculo'!F707</f>
        <v>Nenhuma das opções anteriores</v>
      </c>
      <c r="I707" s="416"/>
      <c r="J707" s="422"/>
      <c r="K707" s="419" t="str">
        <f t="shared" si="303"/>
        <v/>
      </c>
      <c r="M707" s="412" t="str">
        <f t="shared" si="304"/>
        <v/>
      </c>
      <c r="N707"/>
      <c r="P707" s="412" t="str">
        <f t="shared" si="305"/>
        <v/>
      </c>
      <c r="Q707"/>
      <c r="S707" s="475"/>
      <c r="T707" s="475"/>
      <c r="U707" s="475"/>
      <c r="V707" s="475"/>
    </row>
    <row r="708" spans="6:22" outlineLevel="3" x14ac:dyDescent="0.25">
      <c r="G708" s="416" t="str">
        <f>'Folha de cálculo'!E708</f>
        <v>10.2.1.5</v>
      </c>
      <c r="H708" s="416" t="str">
        <f>'Folha de cálculo'!F708</f>
        <v>Não foi possível determinar (justifique)</v>
      </c>
      <c r="I708" s="416"/>
      <c r="J708" s="422"/>
      <c r="K708" s="419" t="str">
        <f t="shared" si="303"/>
        <v/>
      </c>
      <c r="M708" s="412" t="str">
        <f t="shared" si="304"/>
        <v/>
      </c>
      <c r="N708"/>
      <c r="P708" s="412" t="str">
        <f t="shared" si="305"/>
        <v/>
      </c>
      <c r="Q708"/>
      <c r="S708" s="475"/>
      <c r="T708" s="475"/>
      <c r="U708" s="475"/>
      <c r="V708" s="475"/>
    </row>
    <row r="709" spans="6:22" outlineLevel="2" x14ac:dyDescent="0.25">
      <c r="F709" s="415" t="str">
        <f>'Folha de cálculo'!D709</f>
        <v>10.2.2</v>
      </c>
      <c r="G709" s="415" t="str">
        <f>'Folha de cálculo'!E709</f>
        <v>Nos últimos 12 meses, a entidade realizou…</v>
      </c>
      <c r="H709" s="415"/>
      <c r="I709" s="415"/>
      <c r="J709" s="408" t="s">
        <v>729</v>
      </c>
      <c r="K709" s="424" t="s">
        <v>729</v>
      </c>
      <c r="M709" s="425" t="s">
        <v>729</v>
      </c>
      <c r="N709"/>
      <c r="P709" s="425" t="s">
        <v>729</v>
      </c>
      <c r="Q709"/>
      <c r="S709" s="477"/>
      <c r="T709" s="477"/>
      <c r="U709" s="477"/>
      <c r="V709" s="477"/>
    </row>
    <row r="710" spans="6:22" outlineLevel="3" x14ac:dyDescent="0.25">
      <c r="G710" s="416" t="str">
        <f>'Folha de cálculo'!E710</f>
        <v>10.2.2.1</v>
      </c>
      <c r="H710" s="416" t="str">
        <f>'Folha de cálculo'!F710</f>
        <v>a elaboração/acompanhamento de um plano de gestão do uso de água</v>
      </c>
      <c r="I710" s="416"/>
      <c r="J710" s="422"/>
      <c r="K710" s="419" t="str">
        <f t="shared" ref="K710:K716" si="306">IF(ISBLANK(J710),"",J710)</f>
        <v/>
      </c>
      <c r="M710" s="412" t="str">
        <f>IF(ISBLANK(K710),"",K710)</f>
        <v/>
      </c>
      <c r="N710"/>
      <c r="P710" s="412" t="str">
        <f>IF(ISBLANK(M710),"",M710)</f>
        <v/>
      </c>
      <c r="Q710"/>
      <c r="S710" s="475"/>
      <c r="T710" s="475"/>
      <c r="U710" s="475"/>
      <c r="V710" s="475"/>
    </row>
    <row r="711" spans="6:22" outlineLevel="3" x14ac:dyDescent="0.25">
      <c r="G711" s="416" t="str">
        <f>'Folha de cálculo'!E711</f>
        <v>10.2.2.2</v>
      </c>
      <c r="H711" s="416" t="str">
        <f>'Folha de cálculo'!F711</f>
        <v>a elaboração/atualização de relatório de sustentabilidade com indicadores de eficiência hídrica</v>
      </c>
      <c r="I711" s="416"/>
      <c r="J711" s="422"/>
      <c r="K711" s="419" t="str">
        <f t="shared" si="306"/>
        <v/>
      </c>
      <c r="M711" s="412" t="str">
        <f t="shared" ref="M711:M716" si="307">IF(ISBLANK(K711),"",K711)</f>
        <v/>
      </c>
      <c r="N711"/>
      <c r="P711" s="412" t="str">
        <f t="shared" ref="P711:P716" si="308">IF(ISBLANK(M711),"",M711)</f>
        <v/>
      </c>
      <c r="Q711"/>
      <c r="S711" s="475"/>
      <c r="T711" s="475"/>
      <c r="U711" s="475"/>
      <c r="V711" s="475"/>
    </row>
    <row r="712" spans="6:22" outlineLevel="3" x14ac:dyDescent="0.25">
      <c r="G712" s="416" t="str">
        <f>'Folha de cálculo'!E712</f>
        <v>10.2.2.3</v>
      </c>
      <c r="H712" s="416" t="str">
        <f>'Folha de cálculo'!F712</f>
        <v>medição de resultados de impactos das campanhas de sensibilização</v>
      </c>
      <c r="I712" s="416"/>
      <c r="J712" s="422"/>
      <c r="K712" s="419" t="str">
        <f t="shared" si="306"/>
        <v/>
      </c>
      <c r="M712" s="412" t="str">
        <f t="shared" si="307"/>
        <v/>
      </c>
      <c r="N712"/>
      <c r="P712" s="412" t="str">
        <f t="shared" si="308"/>
        <v/>
      </c>
      <c r="Q712"/>
      <c r="S712" s="475"/>
      <c r="T712" s="475"/>
      <c r="U712" s="475"/>
      <c r="V712" s="475"/>
    </row>
    <row r="713" spans="6:22" outlineLevel="3" x14ac:dyDescent="0.25">
      <c r="G713" s="416" t="str">
        <f>'Folha de cálculo'!E713</f>
        <v>10.2.2.4</v>
      </c>
      <c r="H713" s="416" t="str">
        <f>'Folha de cálculo'!F713</f>
        <v>capacitação/formação de colaboradores no uso eficiente de água</v>
      </c>
      <c r="I713" s="416"/>
      <c r="J713" s="422"/>
      <c r="K713" s="419" t="str">
        <f t="shared" si="306"/>
        <v/>
      </c>
      <c r="M713" s="412" t="str">
        <f t="shared" si="307"/>
        <v/>
      </c>
      <c r="N713"/>
      <c r="P713" s="412" t="str">
        <f t="shared" si="308"/>
        <v/>
      </c>
      <c r="Q713"/>
      <c r="S713" s="475"/>
      <c r="T713" s="475"/>
      <c r="U713" s="475"/>
      <c r="V713" s="475"/>
    </row>
    <row r="714" spans="6:22" outlineLevel="3" x14ac:dyDescent="0.25">
      <c r="G714" s="416" t="str">
        <f>'Folha de cálculo'!E714</f>
        <v>10.2.2.5</v>
      </c>
      <c r="H714" s="416" t="str">
        <f>'Folha de cálculo'!F714</f>
        <v>outras que induzam a eficiência no consumo da água (especifique)</v>
      </c>
      <c r="I714" s="416"/>
      <c r="J714" s="422"/>
      <c r="K714" s="419" t="str">
        <f t="shared" si="306"/>
        <v/>
      </c>
      <c r="M714" s="412" t="str">
        <f t="shared" si="307"/>
        <v/>
      </c>
      <c r="N714"/>
      <c r="P714" s="412" t="str">
        <f t="shared" si="308"/>
        <v/>
      </c>
      <c r="Q714"/>
      <c r="S714" s="475"/>
      <c r="T714" s="475"/>
      <c r="U714" s="475"/>
      <c r="V714" s="475"/>
    </row>
    <row r="715" spans="6:22" outlineLevel="3" x14ac:dyDescent="0.25">
      <c r="G715" s="416" t="str">
        <f>'Folha de cálculo'!E715</f>
        <v>10.2.2.6</v>
      </c>
      <c r="H715" s="416" t="str">
        <f>'Folha de cálculo'!F715</f>
        <v>Nenhuma das opções anteriores</v>
      </c>
      <c r="I715" s="416"/>
      <c r="J715" s="422"/>
      <c r="K715" s="419" t="str">
        <f t="shared" si="306"/>
        <v/>
      </c>
      <c r="M715" s="412" t="str">
        <f t="shared" si="307"/>
        <v/>
      </c>
      <c r="N715"/>
      <c r="P715" s="412" t="str">
        <f t="shared" si="308"/>
        <v/>
      </c>
      <c r="Q715"/>
      <c r="S715" s="475"/>
      <c r="T715" s="475"/>
      <c r="U715" s="475"/>
      <c r="V715" s="475"/>
    </row>
    <row r="716" spans="6:22" outlineLevel="3" x14ac:dyDescent="0.25">
      <c r="G716" s="416" t="str">
        <f>'Folha de cálculo'!E716</f>
        <v>10.2.2.7</v>
      </c>
      <c r="H716" s="416" t="str">
        <f>'Folha de cálculo'!F716</f>
        <v>Não foi possível determinar (justifique)</v>
      </c>
      <c r="I716" s="416"/>
      <c r="J716" s="422"/>
      <c r="K716" s="419" t="str">
        <f t="shared" si="306"/>
        <v/>
      </c>
      <c r="M716" s="412" t="str">
        <f t="shared" si="307"/>
        <v/>
      </c>
      <c r="N716"/>
      <c r="P716" s="412" t="str">
        <f t="shared" si="308"/>
        <v/>
      </c>
      <c r="Q716"/>
      <c r="S716" s="475"/>
      <c r="T716" s="475"/>
      <c r="U716" s="475"/>
      <c r="V716" s="475"/>
    </row>
    <row r="717" spans="6:22" outlineLevel="1" x14ac:dyDescent="0.25">
      <c r="N717"/>
      <c r="Q717"/>
    </row>
    <row r="718" spans="6:22" x14ac:dyDescent="0.25">
      <c r="N718"/>
      <c r="Q718"/>
    </row>
    <row r="719" spans="6:22" x14ac:dyDescent="0.25">
      <c r="N719"/>
      <c r="Q719"/>
    </row>
    <row r="720" spans="6:22" x14ac:dyDescent="0.25">
      <c r="N720"/>
      <c r="Q720"/>
    </row>
    <row r="721" spans="14:17" x14ac:dyDescent="0.25">
      <c r="N721"/>
      <c r="Q721"/>
    </row>
    <row r="722" spans="14:17" x14ac:dyDescent="0.25">
      <c r="N722"/>
      <c r="Q722"/>
    </row>
  </sheetData>
  <mergeCells count="308">
    <mergeCell ref="S709:V709"/>
    <mergeCell ref="S703:V703"/>
    <mergeCell ref="S701:V701"/>
    <mergeCell ref="S702:V702"/>
    <mergeCell ref="S687:V687"/>
    <mergeCell ref="S695:V695"/>
    <mergeCell ref="S677:V677"/>
    <mergeCell ref="S660:V660"/>
    <mergeCell ref="S655:V655"/>
    <mergeCell ref="S667:V667"/>
    <mergeCell ref="S671:V671"/>
    <mergeCell ref="S665:V665"/>
    <mergeCell ref="S666:V666"/>
    <mergeCell ref="S678:V678"/>
    <mergeCell ref="S679:V679"/>
    <mergeCell ref="S680:V680"/>
    <mergeCell ref="S676:V676"/>
    <mergeCell ref="S583:V583"/>
    <mergeCell ref="S650:V650"/>
    <mergeCell ref="S645:V645"/>
    <mergeCell ref="S637:V637"/>
    <mergeCell ref="S638:V638"/>
    <mergeCell ref="S619:V619"/>
    <mergeCell ref="S628:V628"/>
    <mergeCell ref="S635:V635"/>
    <mergeCell ref="S636:V636"/>
    <mergeCell ref="S634:V634"/>
    <mergeCell ref="S620:V620"/>
    <mergeCell ref="S621:V621"/>
    <mergeCell ref="S629:V633"/>
    <mergeCell ref="S598:V598"/>
    <mergeCell ref="S605:V605"/>
    <mergeCell ref="S596:V596"/>
    <mergeCell ref="S597:V597"/>
    <mergeCell ref="S588:V588"/>
    <mergeCell ref="S612:V612"/>
    <mergeCell ref="S575:V575"/>
    <mergeCell ref="S558:V558"/>
    <mergeCell ref="S550:V550"/>
    <mergeCell ref="S551:V551"/>
    <mergeCell ref="S559:V559"/>
    <mergeCell ref="S560:V560"/>
    <mergeCell ref="S561:V561"/>
    <mergeCell ref="S562:V562"/>
    <mergeCell ref="S569:V569"/>
    <mergeCell ref="S518:V518"/>
    <mergeCell ref="S519:V519"/>
    <mergeCell ref="S520:V520"/>
    <mergeCell ref="S521:V524"/>
    <mergeCell ref="S526:V529"/>
    <mergeCell ref="S530:V530"/>
    <mergeCell ref="S525:V525"/>
    <mergeCell ref="S544:V544"/>
    <mergeCell ref="S531:V531"/>
    <mergeCell ref="S532:V532"/>
    <mergeCell ref="S533:V533"/>
    <mergeCell ref="S534:V534"/>
    <mergeCell ref="S535:V543"/>
    <mergeCell ref="S503:V503"/>
    <mergeCell ref="S495:V495"/>
    <mergeCell ref="S496:V496"/>
    <mergeCell ref="S497:V502"/>
    <mergeCell ref="S504:V507"/>
    <mergeCell ref="S513:V513"/>
    <mergeCell ref="S508:V508"/>
    <mergeCell ref="S509:V512"/>
    <mergeCell ref="S514:V517"/>
    <mergeCell ref="S457:V460"/>
    <mergeCell ref="S492:V492"/>
    <mergeCell ref="S493:V493"/>
    <mergeCell ref="S494:V494"/>
    <mergeCell ref="S461:V461"/>
    <mergeCell ref="S466:V466"/>
    <mergeCell ref="S468:V468"/>
    <mergeCell ref="S476:V476"/>
    <mergeCell ref="S482:V482"/>
    <mergeCell ref="S487:V487"/>
    <mergeCell ref="S467:V467"/>
    <mergeCell ref="S462:V465"/>
    <mergeCell ref="S469:V475"/>
    <mergeCell ref="S477:V481"/>
    <mergeCell ref="S483:V486"/>
    <mergeCell ref="S488:V491"/>
    <mergeCell ref="S436:V436"/>
    <mergeCell ref="S431:V431"/>
    <mergeCell ref="S432:V435"/>
    <mergeCell ref="S443:V443"/>
    <mergeCell ref="S441:V441"/>
    <mergeCell ref="S442:V442"/>
    <mergeCell ref="S437:V440"/>
    <mergeCell ref="S444:V450"/>
    <mergeCell ref="S456:V456"/>
    <mergeCell ref="S451:V451"/>
    <mergeCell ref="S452:V455"/>
    <mergeCell ref="S308:V311"/>
    <mergeCell ref="S388:V388"/>
    <mergeCell ref="S389:V389"/>
    <mergeCell ref="S390:V390"/>
    <mergeCell ref="S391:V391"/>
    <mergeCell ref="S392:V392"/>
    <mergeCell ref="S312:V312"/>
    <mergeCell ref="S318:V318"/>
    <mergeCell ref="S319:V319"/>
    <mergeCell ref="S327:V327"/>
    <mergeCell ref="S332:V332"/>
    <mergeCell ref="S337:V337"/>
    <mergeCell ref="S342:V342"/>
    <mergeCell ref="S348:V348"/>
    <mergeCell ref="S349:V349"/>
    <mergeCell ref="S356:V356"/>
    <mergeCell ref="S362:V362"/>
    <mergeCell ref="S369:V369"/>
    <mergeCell ref="S368:V368"/>
    <mergeCell ref="S377:V377"/>
    <mergeCell ref="S383:V383"/>
    <mergeCell ref="S313:V316"/>
    <mergeCell ref="S320:V326"/>
    <mergeCell ref="S328:V331"/>
    <mergeCell ref="S295:V295"/>
    <mergeCell ref="S296:V296"/>
    <mergeCell ref="S294:V294"/>
    <mergeCell ref="S289:V289"/>
    <mergeCell ref="S285:V288"/>
    <mergeCell ref="S290:V293"/>
    <mergeCell ref="S297:V301"/>
    <mergeCell ref="S307:V307"/>
    <mergeCell ref="S302:V302"/>
    <mergeCell ref="S303:V306"/>
    <mergeCell ref="S260:V263"/>
    <mergeCell ref="S274:V274"/>
    <mergeCell ref="S264:V264"/>
    <mergeCell ref="S265:V265"/>
    <mergeCell ref="S266:V266"/>
    <mergeCell ref="S267:V273"/>
    <mergeCell ref="S284:V284"/>
    <mergeCell ref="S279:V279"/>
    <mergeCell ref="S275:V278"/>
    <mergeCell ref="S280:V283"/>
    <mergeCell ref="S240:V240"/>
    <mergeCell ref="S233:V233"/>
    <mergeCell ref="S234:V237"/>
    <mergeCell ref="S248:V248"/>
    <mergeCell ref="S241:V247"/>
    <mergeCell ref="S249:V253"/>
    <mergeCell ref="S259:V259"/>
    <mergeCell ref="S254:V254"/>
    <mergeCell ref="S255:V258"/>
    <mergeCell ref="S217:V217"/>
    <mergeCell ref="S210:V216"/>
    <mergeCell ref="S218:V222"/>
    <mergeCell ref="S228:V228"/>
    <mergeCell ref="S223:V223"/>
    <mergeCell ref="S229:V232"/>
    <mergeCell ref="S224:V227"/>
    <mergeCell ref="S238:V238"/>
    <mergeCell ref="S239:V239"/>
    <mergeCell ref="S159:V159"/>
    <mergeCell ref="S160:V165"/>
    <mergeCell ref="S167:V172"/>
    <mergeCell ref="S206:V206"/>
    <mergeCell ref="S207:V207"/>
    <mergeCell ref="S208:V208"/>
    <mergeCell ref="S209:V209"/>
    <mergeCell ref="S141:V141"/>
    <mergeCell ref="S191:V191"/>
    <mergeCell ref="S192:V192"/>
    <mergeCell ref="S193:V193"/>
    <mergeCell ref="S199:V199"/>
    <mergeCell ref="S173:V173"/>
    <mergeCell ref="S185:V185"/>
    <mergeCell ref="S179:V179"/>
    <mergeCell ref="S174:V178"/>
    <mergeCell ref="S180:V184"/>
    <mergeCell ref="S186:V190"/>
    <mergeCell ref="S194:V198"/>
    <mergeCell ref="S200:V204"/>
    <mergeCell ref="S166:V166"/>
    <mergeCell ref="S149:V149"/>
    <mergeCell ref="S150:V150"/>
    <mergeCell ref="S147:V147"/>
    <mergeCell ref="S148:V148"/>
    <mergeCell ref="S133:V133"/>
    <mergeCell ref="S146:V146"/>
    <mergeCell ref="S134:V140"/>
    <mergeCell ref="S142:V145"/>
    <mergeCell ref="S151:V158"/>
    <mergeCell ref="S110:V113"/>
    <mergeCell ref="S116:V116"/>
    <mergeCell ref="S114:V114"/>
    <mergeCell ref="S115:V115"/>
    <mergeCell ref="S117:V121"/>
    <mergeCell ref="S127:V127"/>
    <mergeCell ref="S122:V122"/>
    <mergeCell ref="S128:V132"/>
    <mergeCell ref="S123:V126"/>
    <mergeCell ref="S85:V85"/>
    <mergeCell ref="S86:V86"/>
    <mergeCell ref="S87:V87"/>
    <mergeCell ref="S88:V88"/>
    <mergeCell ref="S95:V95"/>
    <mergeCell ref="S89:V94"/>
    <mergeCell ref="S96:V101"/>
    <mergeCell ref="S109:V109"/>
    <mergeCell ref="S102:V102"/>
    <mergeCell ref="S103:V108"/>
    <mergeCell ref="S60:V60"/>
    <mergeCell ref="S55:V55"/>
    <mergeCell ref="S61:V68"/>
    <mergeCell ref="S56:V59"/>
    <mergeCell ref="S76:V76"/>
    <mergeCell ref="S69:V69"/>
    <mergeCell ref="S77:V83"/>
    <mergeCell ref="S70:V75"/>
    <mergeCell ref="S84:V84"/>
    <mergeCell ref="S31:V34"/>
    <mergeCell ref="S35:V35"/>
    <mergeCell ref="S36:V36"/>
    <mergeCell ref="S37:V37"/>
    <mergeCell ref="S38:V44"/>
    <mergeCell ref="S50:V50"/>
    <mergeCell ref="S45:V45"/>
    <mergeCell ref="S46:V49"/>
    <mergeCell ref="S51:V54"/>
    <mergeCell ref="S6:V6"/>
    <mergeCell ref="S7:V7"/>
    <mergeCell ref="S8:V8"/>
    <mergeCell ref="S9:V9"/>
    <mergeCell ref="S10:V15"/>
    <mergeCell ref="S24:V24"/>
    <mergeCell ref="S16:V16"/>
    <mergeCell ref="S17:V23"/>
    <mergeCell ref="S25:V29"/>
    <mergeCell ref="G667:I667"/>
    <mergeCell ref="G671:I671"/>
    <mergeCell ref="G680:I680"/>
    <mergeCell ref="G612:I612"/>
    <mergeCell ref="G588:I588"/>
    <mergeCell ref="G45:I45"/>
    <mergeCell ref="G109:I109"/>
    <mergeCell ref="G185:I185"/>
    <mergeCell ref="G159:I159"/>
    <mergeCell ref="G598:I598"/>
    <mergeCell ref="G50:I50"/>
    <mergeCell ref="G55:I55"/>
    <mergeCell ref="G76:I76"/>
    <mergeCell ref="G116:I116"/>
    <mergeCell ref="G127:I127"/>
    <mergeCell ref="G122:I122"/>
    <mergeCell ref="G166:I166"/>
    <mergeCell ref="G179:I179"/>
    <mergeCell ref="G60:I60"/>
    <mergeCell ref="G69:I69"/>
    <mergeCell ref="G605:I605"/>
    <mergeCell ref="J1:K1"/>
    <mergeCell ref="M1:N1"/>
    <mergeCell ref="P1:Q1"/>
    <mergeCell ref="G37:I37"/>
    <mergeCell ref="G9:I9"/>
    <mergeCell ref="F2:H2"/>
    <mergeCell ref="G16:I16"/>
    <mergeCell ref="G24:I24"/>
    <mergeCell ref="G30:I30"/>
    <mergeCell ref="S333:V336"/>
    <mergeCell ref="S338:V341"/>
    <mergeCell ref="S343:V346"/>
    <mergeCell ref="S363:V366"/>
    <mergeCell ref="S350:V355"/>
    <mergeCell ref="S357:V361"/>
    <mergeCell ref="S378:V382"/>
    <mergeCell ref="S384:V387"/>
    <mergeCell ref="S370:V376"/>
    <mergeCell ref="S393:V399"/>
    <mergeCell ref="S401:V405"/>
    <mergeCell ref="S407:V410"/>
    <mergeCell ref="S412:V415"/>
    <mergeCell ref="S419:V424"/>
    <mergeCell ref="S426:V430"/>
    <mergeCell ref="S400:V400"/>
    <mergeCell ref="S411:V411"/>
    <mergeCell ref="S406:V406"/>
    <mergeCell ref="S425:V425"/>
    <mergeCell ref="S416:V416"/>
    <mergeCell ref="S417:V417"/>
    <mergeCell ref="S418:V418"/>
    <mergeCell ref="S545:V548"/>
    <mergeCell ref="S552:V557"/>
    <mergeCell ref="S710:V716"/>
    <mergeCell ref="S704:V708"/>
    <mergeCell ref="S696:V700"/>
    <mergeCell ref="S688:V694"/>
    <mergeCell ref="S681:V686"/>
    <mergeCell ref="S672:V675"/>
    <mergeCell ref="S668:V670"/>
    <mergeCell ref="S661:V664"/>
    <mergeCell ref="S656:V659"/>
    <mergeCell ref="S646:V649"/>
    <mergeCell ref="S651:V654"/>
    <mergeCell ref="S639:V644"/>
    <mergeCell ref="S563:V568"/>
    <mergeCell ref="S570:V574"/>
    <mergeCell ref="S576:V582"/>
    <mergeCell ref="S584:V587"/>
    <mergeCell ref="S589:V595"/>
    <mergeCell ref="S599:V604"/>
    <mergeCell ref="S606:V611"/>
    <mergeCell ref="S613:V618"/>
    <mergeCell ref="S622:V627"/>
    <mergeCell ref="S549:V549"/>
  </mergeCells>
  <phoneticPr fontId="6" type="noConversion"/>
  <conditionalFormatting sqref="K2">
    <cfRule type="cellIs" dxfId="92" priority="34" stopIfTrue="1" operator="lessThan">
      <formula>0.9</formula>
    </cfRule>
    <cfRule type="cellIs" dxfId="91" priority="33" stopIfTrue="1" operator="lessThan">
      <formula>0.75</formula>
    </cfRule>
    <cfRule type="cellIs" dxfId="90" priority="29" stopIfTrue="1" operator="lessThan">
      <formula>0.15</formula>
    </cfRule>
    <cfRule type="cellIs" dxfId="89" priority="32" stopIfTrue="1" operator="lessThan">
      <formula>0.6</formula>
    </cfRule>
    <cfRule type="cellIs" dxfId="88" priority="31" stopIfTrue="1" operator="lessThan">
      <formula>0.45</formula>
    </cfRule>
    <cfRule type="cellIs" dxfId="87" priority="30" stopIfTrue="1" operator="lessThan">
      <formula>0.3</formula>
    </cfRule>
    <cfRule type="cellIs" dxfId="86" priority="35" stopIfTrue="1" operator="lessThanOrEqual">
      <formula>1</formula>
    </cfRule>
  </conditionalFormatting>
  <conditionalFormatting sqref="K3">
    <cfRule type="containsText" dxfId="84" priority="42" stopIfTrue="1" operator="containsText" text="A+">
      <formula>NOT(ISERROR(SEARCH("A+",K3)))</formula>
    </cfRule>
    <cfRule type="endsWith" dxfId="83" priority="41" stopIfTrue="1" operator="endsWith" text="A">
      <formula>RIGHT(K3,LEN("A"))="A"</formula>
    </cfRule>
    <cfRule type="containsText" dxfId="82" priority="40" stopIfTrue="1" operator="containsText" text="B">
      <formula>NOT(ISERROR(SEARCH("B",K3)))</formula>
    </cfRule>
    <cfRule type="containsText" dxfId="81" priority="39" stopIfTrue="1" operator="containsText" text="C">
      <formula>NOT(ISERROR(SEARCH("C",K3)))</formula>
    </cfRule>
    <cfRule type="containsText" dxfId="80" priority="38" stopIfTrue="1" operator="containsText" text="D">
      <formula>NOT(ISERROR(SEARCH("D",K3)))</formula>
    </cfRule>
  </conditionalFormatting>
  <conditionalFormatting sqref="N2">
    <cfRule type="cellIs" dxfId="78" priority="27" stopIfTrue="1" operator="lessThan">
      <formula>0.9</formula>
    </cfRule>
    <cfRule type="cellIs" dxfId="77" priority="23" stopIfTrue="1" operator="lessThan">
      <formula>0.3</formula>
    </cfRule>
    <cfRule type="cellIs" dxfId="76" priority="24" stopIfTrue="1" operator="lessThan">
      <formula>0.45</formula>
    </cfRule>
    <cfRule type="cellIs" dxfId="75" priority="25" stopIfTrue="1" operator="lessThan">
      <formula>0.6</formula>
    </cfRule>
    <cfRule type="cellIs" dxfId="74" priority="26" stopIfTrue="1" operator="lessThan">
      <formula>0.75</formula>
    </cfRule>
    <cfRule type="cellIs" dxfId="73" priority="28" stopIfTrue="1" operator="lessThanOrEqual">
      <formula>1</formula>
    </cfRule>
    <cfRule type="cellIs" dxfId="72" priority="22" stopIfTrue="1" operator="lessThan">
      <formula>0.15</formula>
    </cfRule>
  </conditionalFormatting>
  <conditionalFormatting sqref="N3">
    <cfRule type="containsText" dxfId="71" priority="11" stopIfTrue="1" operator="containsText" text="C">
      <formula>NOT(ISERROR(SEARCH("C",N3)))</formula>
    </cfRule>
    <cfRule type="containsText" dxfId="70" priority="14" stopIfTrue="1" operator="containsText" text="A+">
      <formula>NOT(ISERROR(SEARCH("A+",N3)))</formula>
    </cfRule>
    <cfRule type="endsWith" dxfId="69" priority="13" stopIfTrue="1" operator="endsWith" text="A">
      <formula>RIGHT(N3,LEN("A"))="A"</formula>
    </cfRule>
    <cfRule type="containsText" dxfId="68" priority="12" stopIfTrue="1" operator="containsText" text="B">
      <formula>NOT(ISERROR(SEARCH("B",N3)))</formula>
    </cfRule>
    <cfRule type="containsText" dxfId="67" priority="10" stopIfTrue="1" operator="containsText" text="D">
      <formula>NOT(ISERROR(SEARCH("D",N3)))</formula>
    </cfRule>
  </conditionalFormatting>
  <conditionalFormatting sqref="Q2">
    <cfRule type="cellIs" dxfId="64" priority="17" stopIfTrue="1" operator="lessThan">
      <formula>0.45</formula>
    </cfRule>
    <cfRule type="cellIs" dxfId="63" priority="21" stopIfTrue="1" operator="lessThanOrEqual">
      <formula>1</formula>
    </cfRule>
    <cfRule type="cellIs" dxfId="62" priority="20" stopIfTrue="1" operator="lessThan">
      <formula>0.9</formula>
    </cfRule>
    <cfRule type="cellIs" dxfId="61" priority="19" stopIfTrue="1" operator="lessThan">
      <formula>0.75</formula>
    </cfRule>
    <cfRule type="cellIs" dxfId="60" priority="18" stopIfTrue="1" operator="lessThan">
      <formula>0.6</formula>
    </cfRule>
    <cfRule type="cellIs" dxfId="59" priority="16" stopIfTrue="1" operator="lessThan">
      <formula>0.3</formula>
    </cfRule>
    <cfRule type="cellIs" dxfId="58" priority="15" stopIfTrue="1" operator="lessThan">
      <formula>0.15</formula>
    </cfRule>
  </conditionalFormatting>
  <conditionalFormatting sqref="Q3">
    <cfRule type="containsText" dxfId="56" priority="3" stopIfTrue="1" operator="containsText" text="D">
      <formula>NOT(ISERROR(SEARCH("D",Q3)))</formula>
    </cfRule>
    <cfRule type="containsText" dxfId="55" priority="4" stopIfTrue="1" operator="containsText" text="C">
      <formula>NOT(ISERROR(SEARCH("C",Q3)))</formula>
    </cfRule>
    <cfRule type="containsText" dxfId="54" priority="5" stopIfTrue="1" operator="containsText" text="B">
      <formula>NOT(ISERROR(SEARCH("B",Q3)))</formula>
    </cfRule>
    <cfRule type="containsText" dxfId="53" priority="7" stopIfTrue="1" operator="containsText" text="A+">
      <formula>NOT(ISERROR(SEARCH("A+",Q3)))</formula>
    </cfRule>
    <cfRule type="endsWith" dxfId="51" priority="6" stopIfTrue="1" operator="endsWith" text="A">
      <formula>RIGHT(Q3,LEN("A"))="A"</formula>
    </cfRule>
  </conditionalFormatting>
  <printOptions horizontalCentered="1"/>
  <pageMargins left="0.39370078740157483" right="0.31496062992125984" top="0.55118110236220474" bottom="0.55118110236220474" header="0.31496062992125984" footer="0.31496062992125984"/>
  <pageSetup paperSize="9" scale="81" fitToHeight="0"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37" stopIfTrue="1" operator="containsText" id="{C8B399BE-81BD-4323-A6AB-0D7379AF91FC}">
            <xm:f>NOT(ISERROR(SEARCH(E,K3)))</xm:f>
            <xm:f>E</xm:f>
            <x14:dxf>
              <font>
                <b/>
                <i val="0"/>
                <color theme="0"/>
              </font>
              <fill>
                <patternFill>
                  <bgColor theme="8" tint="-0.499984740745262"/>
                </patternFill>
              </fill>
            </x14:dxf>
          </x14:cfRule>
          <x14:cfRule type="containsText" priority="36" stopIfTrue="1" operator="containsText" id="{02D150A5-4FED-4A1B-9544-CBF6FFAA8585}">
            <xm:f>NOT(ISERROR(SEARCH(F,K3)))</xm:f>
            <xm:f>F</xm:f>
            <x14:dxf>
              <font>
                <b/>
                <i val="0"/>
                <color theme="0"/>
              </font>
              <fill>
                <patternFill>
                  <bgColor rgb="FF002060"/>
                </patternFill>
              </fill>
            </x14:dxf>
          </x14:cfRule>
          <xm:sqref>K3</xm:sqref>
        </x14:conditionalFormatting>
        <x14:conditionalFormatting xmlns:xm="http://schemas.microsoft.com/office/excel/2006/main">
          <x14:cfRule type="containsText" priority="9" stopIfTrue="1" operator="containsText" id="{A94DCE55-F951-4FA1-A908-7948AF0787F6}">
            <xm:f>NOT(ISERROR(SEARCH(E,N3)))</xm:f>
            <xm:f>E</xm:f>
            <x14:dxf>
              <font>
                <b/>
                <i val="0"/>
                <color theme="0"/>
              </font>
              <fill>
                <patternFill>
                  <bgColor theme="8" tint="-0.499984740745262"/>
                </patternFill>
              </fill>
            </x14:dxf>
          </x14:cfRule>
          <x14:cfRule type="containsText" priority="8" stopIfTrue="1" operator="containsText" id="{B331E146-B584-4F2A-B93C-09BE3B243033}">
            <xm:f>NOT(ISERROR(SEARCH(F,N3)))</xm:f>
            <xm:f>F</xm:f>
            <x14:dxf>
              <font>
                <b/>
                <i val="0"/>
                <color theme="0"/>
              </font>
              <fill>
                <patternFill>
                  <bgColor rgb="FF002060"/>
                </patternFill>
              </fill>
            </x14:dxf>
          </x14:cfRule>
          <xm:sqref>N3</xm:sqref>
        </x14:conditionalFormatting>
        <x14:conditionalFormatting xmlns:xm="http://schemas.microsoft.com/office/excel/2006/main">
          <x14:cfRule type="containsText" priority="2" stopIfTrue="1" operator="containsText" id="{DBF1F6F2-1646-4052-A3DD-042B1D3193AF}">
            <xm:f>NOT(ISERROR(SEARCH(E,Q3)))</xm:f>
            <xm:f>E</xm:f>
            <x14:dxf>
              <font>
                <b/>
                <i val="0"/>
                <color theme="0"/>
              </font>
              <fill>
                <patternFill>
                  <bgColor theme="8" tint="-0.499984740745262"/>
                </patternFill>
              </fill>
            </x14:dxf>
          </x14:cfRule>
          <x14:cfRule type="containsText" priority="1" stopIfTrue="1" operator="containsText" id="{BFFA1439-030B-46B2-A288-746DA236D454}">
            <xm:f>NOT(ISERROR(SEARCH(F,Q3)))</xm:f>
            <xm:f>F</xm:f>
            <x14:dxf>
              <font>
                <b/>
                <i val="0"/>
                <color theme="0"/>
              </font>
              <fill>
                <patternFill>
                  <bgColor rgb="FF002060"/>
                </patternFill>
              </fill>
            </x14:dxf>
          </x14:cfRule>
          <xm:sqref>Q3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FD9F-89F0-4F45-A52B-4B8B86970FB3}">
  <dimension ref="A1:D130"/>
  <sheetViews>
    <sheetView zoomScale="93" workbookViewId="0">
      <selection activeCell="C56" sqref="C56"/>
    </sheetView>
  </sheetViews>
  <sheetFormatPr defaultColWidth="8.85546875" defaultRowHeight="15" x14ac:dyDescent="0.25"/>
  <cols>
    <col min="1" max="1" width="45.140625" style="22" bestFit="1" customWidth="1"/>
    <col min="2" max="2" width="34.140625" style="22" bestFit="1" customWidth="1"/>
    <col min="3" max="3" width="28.42578125" style="22" bestFit="1" customWidth="1"/>
    <col min="4" max="4" width="9.5703125" style="22" bestFit="1" customWidth="1"/>
    <col min="5" max="16384" width="8.85546875" style="22"/>
  </cols>
  <sheetData>
    <row r="1" spans="1:3" x14ac:dyDescent="0.25">
      <c r="A1" s="250" t="s">
        <v>1900</v>
      </c>
    </row>
    <row r="3" spans="1:3" x14ac:dyDescent="0.25">
      <c r="A3" s="250" t="s">
        <v>1899</v>
      </c>
    </row>
    <row r="4" spans="1:3" x14ac:dyDescent="0.25">
      <c r="A4" s="492" t="s">
        <v>1905</v>
      </c>
      <c r="B4" s="492"/>
      <c r="C4" s="251" t="s">
        <v>1901</v>
      </c>
    </row>
    <row r="5" spans="1:3" x14ac:dyDescent="0.25">
      <c r="A5" s="22" t="s">
        <v>1906</v>
      </c>
      <c r="B5" s="252"/>
      <c r="C5" s="22" t="s">
        <v>1902</v>
      </c>
    </row>
    <row r="6" spans="1:3" x14ac:dyDescent="0.25">
      <c r="A6" s="22" t="s">
        <v>1907</v>
      </c>
      <c r="B6" s="252" t="str">
        <f>IF('Registo de informação'!B8="Alojamento Local","Alojamento Local","Empreendimento turístico")</f>
        <v>Empreendimento turístico</v>
      </c>
      <c r="C6" s="22" t="s">
        <v>11</v>
      </c>
    </row>
    <row r="7" spans="1:3" x14ac:dyDescent="0.25">
      <c r="A7" s="22" t="s">
        <v>1908</v>
      </c>
      <c r="B7" s="252"/>
      <c r="C7" s="22" t="s">
        <v>1902</v>
      </c>
    </row>
    <row r="8" spans="1:3" x14ac:dyDescent="0.25">
      <c r="A8" s="22" t="s">
        <v>1903</v>
      </c>
      <c r="B8" s="252"/>
      <c r="C8" s="22" t="s">
        <v>1902</v>
      </c>
    </row>
    <row r="9" spans="1:3" x14ac:dyDescent="0.25">
      <c r="A9" s="22" t="s">
        <v>1904</v>
      </c>
      <c r="B9" s="263"/>
    </row>
    <row r="10" spans="1:3" x14ac:dyDescent="0.25">
      <c r="A10" s="22" t="s">
        <v>1927</v>
      </c>
      <c r="B10" s="263"/>
      <c r="C10" s="22" t="s">
        <v>1929</v>
      </c>
    </row>
    <row r="11" spans="1:3" x14ac:dyDescent="0.25">
      <c r="A11" s="492" t="s">
        <v>1909</v>
      </c>
      <c r="B11" s="492"/>
    </row>
    <row r="12" spans="1:3" x14ac:dyDescent="0.25">
      <c r="A12" s="250" t="s">
        <v>1910</v>
      </c>
      <c r="B12" s="263"/>
    </row>
    <row r="13" spans="1:3" x14ac:dyDescent="0.25">
      <c r="A13" s="250" t="s">
        <v>1911</v>
      </c>
      <c r="B13" s="263"/>
    </row>
    <row r="14" spans="1:3" x14ac:dyDescent="0.25">
      <c r="A14" s="250" t="s">
        <v>1912</v>
      </c>
      <c r="B14" s="252">
        <f>'Registo de informação'!B5</f>
        <v>0</v>
      </c>
      <c r="C14" s="22" t="s">
        <v>11</v>
      </c>
    </row>
    <row r="15" spans="1:3" x14ac:dyDescent="0.25">
      <c r="A15" s="250" t="s">
        <v>1914</v>
      </c>
      <c r="B15" s="263"/>
    </row>
    <row r="16" spans="1:3" x14ac:dyDescent="0.25">
      <c r="A16" s="250" t="s">
        <v>1913</v>
      </c>
      <c r="B16" s="263"/>
    </row>
    <row r="17" spans="1:4" x14ac:dyDescent="0.25">
      <c r="A17" s="250" t="s">
        <v>1978</v>
      </c>
      <c r="B17" s="263"/>
    </row>
    <row r="18" spans="1:4" x14ac:dyDescent="0.25">
      <c r="A18" s="250" t="s">
        <v>1919</v>
      </c>
      <c r="B18" s="252">
        <f>'Registo de informação'!B10</f>
        <v>0</v>
      </c>
      <c r="C18" s="22" t="s">
        <v>11</v>
      </c>
    </row>
    <row r="19" spans="1:4" x14ac:dyDescent="0.25">
      <c r="A19" s="492" t="s">
        <v>1918</v>
      </c>
      <c r="B19" s="492"/>
    </row>
    <row r="20" spans="1:4" x14ac:dyDescent="0.25">
      <c r="A20" s="250" t="s">
        <v>1915</v>
      </c>
      <c r="B20" s="252"/>
      <c r="C20" s="22" t="s">
        <v>1928</v>
      </c>
    </row>
    <row r="21" spans="1:4" x14ac:dyDescent="0.25">
      <c r="A21" s="250" t="s">
        <v>1920</v>
      </c>
      <c r="B21" s="264"/>
    </row>
    <row r="22" spans="1:4" x14ac:dyDescent="0.25">
      <c r="A22" s="250" t="s">
        <v>1916</v>
      </c>
      <c r="B22" s="264"/>
      <c r="C22" s="22" t="s">
        <v>1917</v>
      </c>
      <c r="D22" s="22">
        <f>LEN(B22)</f>
        <v>0</v>
      </c>
    </row>
    <row r="23" spans="1:4" x14ac:dyDescent="0.25">
      <c r="A23" s="491" t="s">
        <v>1921</v>
      </c>
      <c r="B23" s="491"/>
    </row>
    <row r="24" spans="1:4" x14ac:dyDescent="0.25">
      <c r="A24" s="250"/>
      <c r="B24" s="252" t="s">
        <v>1922</v>
      </c>
    </row>
    <row r="25" spans="1:4" x14ac:dyDescent="0.25">
      <c r="A25" s="250" t="s">
        <v>1958</v>
      </c>
      <c r="B25" s="252" t="str">
        <f>IF(C25&gt;=0.8,"5 gotas", IF(C25&gt;=0.6, "4 gotas", IF(C25&gt;=0.4, "3 gotas", IF(C25&gt;=0.2,"2 gotas","1 gota"))))</f>
        <v>1 gota</v>
      </c>
      <c r="C25" s="253">
        <f>'Folha de cálculo'!O6/'Folha de cálculo'!N6</f>
        <v>0</v>
      </c>
    </row>
    <row r="26" spans="1:4" x14ac:dyDescent="0.25">
      <c r="A26" s="250" t="s">
        <v>1923</v>
      </c>
      <c r="B26" s="252" t="str">
        <f>IF(ISNUMBER(C26),IF(C26&gt;=0.8,"5 gotas", IF(C26&gt;=0.6, "4 gotas", IF(C26&gt;=0.4, "3 gotas", IF(C26&gt;=0.2,"2 gotas","1 gota")))),"N/A")</f>
        <v>N/A</v>
      </c>
      <c r="C26" s="253" t="str">
        <f>IF('Folha de cálculo'!N85=0,"N/A",'Folha de cálculo'!O85/'Folha de cálculo'!N85)</f>
        <v>N/A</v>
      </c>
    </row>
    <row r="27" spans="1:4" x14ac:dyDescent="0.25">
      <c r="A27" s="250" t="s">
        <v>1959</v>
      </c>
      <c r="B27" s="252" t="str">
        <f>IF(ISNUMBER(C27),IF(C27&gt;=0.8,"5 gotas", IF(C27&gt;=0.6, "4 gotas", IF(C27&gt;=0.4, "3 gotas", IF(C27&gt;=0.2,"2 gotas","1 gota")))),"N/A")</f>
        <v>N/A</v>
      </c>
      <c r="C27" s="253" t="str">
        <f>IF('Folha de cálculo'!N147=0,"N/A",'Folha de cálculo'!O147/'Folha de cálculo'!N147)</f>
        <v>N/A</v>
      </c>
    </row>
    <row r="28" spans="1:4" x14ac:dyDescent="0.25">
      <c r="A28" s="250" t="s">
        <v>1919</v>
      </c>
      <c r="B28" s="252" t="str">
        <f>IF(C28&gt;=0.8,"5 gotas", IF(C28&gt;=0.6, "4 gotas", IF(C28&gt;=0.4, "3 gotas", IF(C28&gt;=0.2,"2 gotas","1 gota"))))</f>
        <v>1 gota</v>
      </c>
      <c r="C28" s="253">
        <f>'Folha de cálculo'!O206/'Folha de cálculo'!N206</f>
        <v>0</v>
      </c>
    </row>
    <row r="29" spans="1:4" x14ac:dyDescent="0.25">
      <c r="A29" s="254" t="s">
        <v>1960</v>
      </c>
      <c r="B29" s="252" t="str">
        <f>IF(ISNUMBER(C29),IF(C29&gt;=0.8,"5 gotas", IF(C29&gt;=0.6, "4 gotas", IF(C29&gt;=0.4, "3 gotas", IF(C29&gt;=0.2,"2 gotas","1 gota")))),"N/A")</f>
        <v>N/A</v>
      </c>
      <c r="C29" s="253" t="str">
        <f>IF('Folha de cálculo'!N389=0,"N/A",'Folha de cálculo'!O389/'Folha de cálculo'!N389)</f>
        <v>N/A</v>
      </c>
    </row>
    <row r="30" spans="1:4" x14ac:dyDescent="0.25">
      <c r="A30" s="250" t="s">
        <v>1961</v>
      </c>
      <c r="B30" s="252" t="str">
        <f>IF(ISNUMBER(C30),IF(C30&gt;=0.8,"5 gotas", IF(C30&gt;=0.6, "4 gotas", IF(C30&gt;=0.4, "3 gotas", IF(C30&gt;=0.2,"2 gotas","1 gota")))),"N/A")</f>
        <v>N/A</v>
      </c>
      <c r="C30" s="253" t="str">
        <f>IF('Folha de cálculo'!N493=0,"N/A",'Folha de cálculo'!O493/'Folha de cálculo'!N493)</f>
        <v>N/A</v>
      </c>
    </row>
    <row r="31" spans="1:4" x14ac:dyDescent="0.25">
      <c r="A31" s="250" t="s">
        <v>1962</v>
      </c>
      <c r="B31" s="252" t="str">
        <f>IF(ISNUMBER(C31),IF(C31&gt;=0.8,"5 gotas", IF(C31&gt;=0.6, "4 gotas", IF(C31&gt;=0.4, "3 gotas", IF(C31&gt;=0.2,"2 gotas","1 gota")))),"N/A")</f>
        <v>1 gota</v>
      </c>
      <c r="C31" s="253">
        <f>IF('Folha de cálculo'!N531=0,"",'Folha de cálculo'!O531/'Folha de cálculo'!N531)</f>
        <v>0</v>
      </c>
    </row>
    <row r="32" spans="1:4" x14ac:dyDescent="0.25">
      <c r="A32" s="250" t="s">
        <v>1963</v>
      </c>
      <c r="B32" s="252" t="str">
        <f>IF(ISNUMBER(C32),IF(C32&gt;=0.8,"5 gotas", IF(C32&gt;=0.6, "4 gotas", IF(C32&gt;=0.4, "3 gotas", IF(C32&gt;=0.2,"2 gotas","1 gota")))),"N/A")</f>
        <v>N/A</v>
      </c>
      <c r="C32" s="253" t="str">
        <f>IF('Folha de cálculo'!N559=0,"N/A",'Folha de cálculo'!O559/'Folha de cálculo'!N559)</f>
        <v>N/A</v>
      </c>
    </row>
    <row r="33" spans="1:3" x14ac:dyDescent="0.25">
      <c r="A33" s="254" t="s">
        <v>1924</v>
      </c>
      <c r="B33" s="252" t="str">
        <f>IF(C33&gt;=0.8,"5 gotas", IF(C33&gt;=0.6, "4 gotas", IF(C33&gt;=0.4, "3 gotas", IF(C33&gt;=0.2,"2 gotas","1 gota"))))</f>
        <v>1 gota</v>
      </c>
      <c r="C33" s="253">
        <f>'Folha de cálculo'!O635/'Folha de cálculo'!N635</f>
        <v>0</v>
      </c>
    </row>
    <row r="34" spans="1:3" x14ac:dyDescent="0.25">
      <c r="A34" s="254" t="s">
        <v>1964</v>
      </c>
      <c r="B34" s="252" t="str">
        <f>IF(C34&gt;=0.8,"5 gotas", IF(C34&gt;=0.6, "4 gotas", IF(C34&gt;=0.4, "3 gotas", IF(C34&gt;=0.2,"2 gotas","1 gota"))))</f>
        <v>1 gota</v>
      </c>
      <c r="C34" s="253">
        <f>'Folha de cálculo'!O677/'Folha de cálculo'!N677</f>
        <v>0</v>
      </c>
    </row>
    <row r="35" spans="1:3" x14ac:dyDescent="0.25">
      <c r="A35" s="491" t="s">
        <v>1925</v>
      </c>
      <c r="B35" s="491"/>
    </row>
    <row r="36" spans="1:3" x14ac:dyDescent="0.25">
      <c r="A36" s="250" t="s">
        <v>1926</v>
      </c>
      <c r="B36" s="255" t="str">
        <f>'Folha de cálculo'!I3</f>
        <v>F</v>
      </c>
    </row>
    <row r="38" spans="1:3" x14ac:dyDescent="0.25">
      <c r="A38" s="250" t="s">
        <v>1930</v>
      </c>
    </row>
    <row r="39" spans="1:3" x14ac:dyDescent="0.25">
      <c r="A39" s="491" t="s">
        <v>1931</v>
      </c>
      <c r="B39" s="491"/>
    </row>
    <row r="40" spans="1:3" x14ac:dyDescent="0.25">
      <c r="A40" s="250" t="s">
        <v>1958</v>
      </c>
      <c r="B40" s="256" t="str">
        <f>B25</f>
        <v>1 gota</v>
      </c>
    </row>
    <row r="41" spans="1:3" x14ac:dyDescent="0.25">
      <c r="A41" s="22" t="s">
        <v>1965</v>
      </c>
      <c r="B41" s="252" t="str">
        <f>IF(ISNUMBER(C41),IF(C41&gt;=0.8,"5 bolas", IF(C41&gt;=0.6, "4 bolas", IF(C41&gt;=0.4, "3 bolas", IF(C41&gt;=0.2,"2 bolas","1 bola")))),"N/A")</f>
        <v>1 bola</v>
      </c>
      <c r="C41" s="253">
        <f>IF('Folha de cálculo'!N8=0,"N/A",'Folha de cálculo'!O8/'Folha de cálculo'!N8)</f>
        <v>0</v>
      </c>
    </row>
    <row r="42" spans="1:3" x14ac:dyDescent="0.25">
      <c r="A42" s="22" t="s">
        <v>1932</v>
      </c>
      <c r="B42" s="252" t="str">
        <f>IF(C42&gt;=0.8,"5 bolas", IF(C42&gt;=0.6, "4 bolas", IF(C42&gt;=0.4, "3 bolas", IF(C42&gt;=0.2,"2 bolas","1 bola"))))</f>
        <v>1 bola</v>
      </c>
      <c r="C42" s="253">
        <f>'Folha de cálculo'!O36/'Folha de cálculo'!N36</f>
        <v>0</v>
      </c>
    </row>
    <row r="43" spans="1:3" x14ac:dyDescent="0.25">
      <c r="A43" s="250" t="s">
        <v>1923</v>
      </c>
      <c r="B43" s="256" t="str">
        <f>B26</f>
        <v>N/A</v>
      </c>
    </row>
    <row r="44" spans="1:3" x14ac:dyDescent="0.25">
      <c r="A44" s="22" t="s">
        <v>773</v>
      </c>
      <c r="B44" s="252" t="str">
        <f>IF(ISNUMBER(C44),IF(C44&gt;=0.8,"5 bolas", IF(C44&gt;=0.6, "4 bolas", IF(C44&gt;=0.4, "3 bolas", IF(C44&gt;=0.2,"2 bolas","1 bola")))),"N/A")</f>
        <v>N/A</v>
      </c>
      <c r="C44" s="253" t="str">
        <f>IF('Folha de cálculo'!N87=0,"N/A",'Folha de cálculo'!O87/'Folha de cálculo'!N87)</f>
        <v>N/A</v>
      </c>
    </row>
    <row r="45" spans="1:3" x14ac:dyDescent="0.25">
      <c r="A45" s="22" t="s">
        <v>1069</v>
      </c>
      <c r="B45" s="252" t="str">
        <f>IF(ISNUMBER(C45),IF(C45&gt;=0.8,"5 bolas", IF(C45&gt;=0.6, "4 bolas", IF(C45&gt;=0.4, "3 bolas", IF(C45&gt;=0.2,"2 bolas","1 bola")))),"N/A")</f>
        <v>N/A</v>
      </c>
      <c r="C45" s="253" t="str">
        <f>IF('Folha de cálculo'!N115=0,"N/A",'Folha de cálculo'!O115/'Folha de cálculo'!N115)</f>
        <v>N/A</v>
      </c>
    </row>
    <row r="46" spans="1:3" x14ac:dyDescent="0.25">
      <c r="A46" s="250" t="s">
        <v>1959</v>
      </c>
      <c r="B46" s="256" t="str">
        <f>B27</f>
        <v>N/A</v>
      </c>
    </row>
    <row r="47" spans="1:3" x14ac:dyDescent="0.25">
      <c r="A47" s="22" t="s">
        <v>1966</v>
      </c>
      <c r="B47" s="252" t="str">
        <f>IF(ISNUMBER(C47),IF(C47&gt;=0.8,"5 bolas", IF(C47&gt;=0.6, "4 bolas", IF(C47&gt;=0.4, "3 bolas", IF(C47&gt;=0.2,"2 bolas","1 bola")))),"N/A")</f>
        <v>N/A</v>
      </c>
      <c r="C47" s="253" t="str">
        <f>IF('Folha de cálculo'!N149=0,"N/A",'Folha de cálculo'!O149/'Folha de cálculo'!N149)</f>
        <v>N/A</v>
      </c>
    </row>
    <row r="48" spans="1:3" x14ac:dyDescent="0.25">
      <c r="A48" s="22" t="s">
        <v>1967</v>
      </c>
      <c r="B48" s="252" t="str">
        <f>IF(ISNUMBER(C48),IF(C48&gt;=0.8,"5 bolas", IF(C48&gt;=0.6, "4 bolas", IF(C48&gt;=0.4, "3 bolas", IF(C48&gt;=0.2,"2 bolas","1 bola")))),"N/A")</f>
        <v>N/A</v>
      </c>
      <c r="C48" s="253" t="str">
        <f>IF('Folha de cálculo'!N192=0,"N/A",'Folha de cálculo'!O192/'Folha de cálculo'!N192)</f>
        <v>N/A</v>
      </c>
    </row>
    <row r="49" spans="1:3" x14ac:dyDescent="0.25">
      <c r="A49" s="250" t="s">
        <v>1919</v>
      </c>
      <c r="B49" s="256" t="str">
        <f>B28</f>
        <v>1 gota</v>
      </c>
    </row>
    <row r="50" spans="1:3" x14ac:dyDescent="0.25">
      <c r="A50" s="22" t="s">
        <v>1969</v>
      </c>
      <c r="B50" s="252" t="str">
        <f>IF(C50&gt;=0.8,"5 bolas", IF(C50&gt;=0.6, "4 bolas", IF(C50&gt;=0.4, "3 bolas", IF(C50&gt;=0.2,"2 bolas","1 bola"))))</f>
        <v>1 bola</v>
      </c>
      <c r="C50" s="253">
        <f>'Folha de cálculo'!O208/'Folha de cálculo'!N208</f>
        <v>0</v>
      </c>
    </row>
    <row r="51" spans="1:3" x14ac:dyDescent="0.25">
      <c r="A51" s="22" t="s">
        <v>41</v>
      </c>
      <c r="B51" s="252" t="str">
        <f>IF(C51&gt;=0.8,"5 bolas", IF(C51&gt;=0.6, "4 bolas", IF(C51&gt;=0.4, "3 bolas", IF(C51&gt;=0.2,"2 bolas","1 bola"))))</f>
        <v>1 bola</v>
      </c>
      <c r="C51" s="253">
        <f>'Folha de cálculo'!O239/'Folha de cálculo'!N239</f>
        <v>0</v>
      </c>
    </row>
    <row r="52" spans="1:3" x14ac:dyDescent="0.25">
      <c r="A52" s="22" t="s">
        <v>287</v>
      </c>
      <c r="B52" s="252" t="str">
        <f>IF(C52&gt;=0.8,"5 bolas", IF(C52&gt;=0.6, "4 bolas", IF(C52&gt;=0.4, "3 bolas", IF(C52&gt;=0.2,"2 bolas","1 bola"))))</f>
        <v>1 bola</v>
      </c>
      <c r="C52" s="253">
        <f>'Folha de cálculo'!O265/'Folha de cálculo'!N265</f>
        <v>0</v>
      </c>
    </row>
    <row r="53" spans="1:3" x14ac:dyDescent="0.25">
      <c r="A53" s="22" t="s">
        <v>307</v>
      </c>
      <c r="B53" s="252" t="str">
        <f t="shared" ref="B53" si="0">IF(C53&gt;=0.8,"5 bolas", IF(C53&gt;=0.6, "4 bolas", IF(C53&gt;=0.4, "3 bolas", IF(C53&gt;=0.2,"2 bolas","1 bola"))))</f>
        <v>1 bola</v>
      </c>
      <c r="C53" s="253">
        <f>'Folha de cálculo'!O295/'Folha de cálculo'!N295</f>
        <v>0</v>
      </c>
    </row>
    <row r="54" spans="1:3" x14ac:dyDescent="0.25">
      <c r="A54" s="22" t="s">
        <v>1968</v>
      </c>
      <c r="B54" s="252" t="str">
        <f t="shared" ref="B54:B56" si="1">IF(ISNUMBER(C54),IF(C54&gt;=0.8,"5 bolas", IF(C54&gt;=0.6, "4 bolas", IF(C54&gt;=0.4, "3 bolas", IF(C54&gt;=0.2,"2 bolas","1 bola")))),"N/A")</f>
        <v>N/A</v>
      </c>
      <c r="C54" s="253" t="str">
        <f>IF('Folha de cálculo'!N318=0,"N/A",'Folha de cálculo'!O318/'Folha de cálculo'!N318)</f>
        <v>N/A</v>
      </c>
    </row>
    <row r="55" spans="1:3" x14ac:dyDescent="0.25">
      <c r="A55" s="22" t="s">
        <v>46</v>
      </c>
      <c r="B55" s="252" t="str">
        <f t="shared" si="1"/>
        <v>N/A</v>
      </c>
      <c r="C55" s="253" t="str">
        <f>IF('Folha de cálculo'!N348=0,"N/A",'Folha de cálculo'!O348/'Folha de cálculo'!N348)</f>
        <v>N/A</v>
      </c>
    </row>
    <row r="56" spans="1:3" x14ac:dyDescent="0.25">
      <c r="A56" s="22" t="s">
        <v>47</v>
      </c>
      <c r="B56" s="252" t="str">
        <f t="shared" si="1"/>
        <v>N/A</v>
      </c>
      <c r="C56" s="253" t="str">
        <f>IF('Folha de cálculo'!N368=0,"N/A",'Folha de cálculo'!O368/'Folha de cálculo'!N368)</f>
        <v>N/A</v>
      </c>
    </row>
    <row r="57" spans="1:3" x14ac:dyDescent="0.25">
      <c r="A57" s="254" t="s">
        <v>1960</v>
      </c>
      <c r="B57" s="256" t="str">
        <f>B29</f>
        <v>N/A</v>
      </c>
    </row>
    <row r="58" spans="1:3" x14ac:dyDescent="0.25">
      <c r="A58" s="22" t="s">
        <v>41</v>
      </c>
      <c r="B58" s="252" t="str">
        <f t="shared" ref="B58:B61" si="2">IF(ISNUMBER(C58),IF(C58&gt;=0.8,"5 bolas", IF(C58&gt;=0.6, "4 bolas", IF(C58&gt;=0.4, "3 bolas", IF(C58&gt;=0.2,"2 bolas","1 bola")))),"N/A")</f>
        <v>N/A</v>
      </c>
      <c r="C58" s="253" t="str">
        <f>IF('Folha de cálculo'!N391=0,"N/A",'Folha de cálculo'!O391/'Folha de cálculo'!N391)</f>
        <v>N/A</v>
      </c>
    </row>
    <row r="59" spans="1:3" x14ac:dyDescent="0.25">
      <c r="A59" s="22" t="s">
        <v>121</v>
      </c>
      <c r="B59" s="252" t="str">
        <f t="shared" si="2"/>
        <v>N/A</v>
      </c>
      <c r="C59" s="253" t="str">
        <f>IF('Folha de cálculo'!N417=0,"N/A",'Folha de cálculo'!O417/'Folha de cálculo'!N417)</f>
        <v>N/A</v>
      </c>
    </row>
    <row r="60" spans="1:3" x14ac:dyDescent="0.25">
      <c r="A60" s="22" t="s">
        <v>287</v>
      </c>
      <c r="B60" s="252" t="str">
        <f t="shared" si="2"/>
        <v>N/A</v>
      </c>
      <c r="C60" s="253" t="str">
        <f>IF('Folha de cálculo'!N442=0,"N/A",'Folha de cálculo'!O442/'Folha de cálculo'!N442)</f>
        <v>N/A</v>
      </c>
    </row>
    <row r="61" spans="1:3" x14ac:dyDescent="0.25">
      <c r="A61" s="22" t="s">
        <v>253</v>
      </c>
      <c r="B61" s="252" t="str">
        <f t="shared" si="2"/>
        <v>N/A</v>
      </c>
      <c r="C61" s="253" t="str">
        <f>IF('Folha de cálculo'!N467=0,"N/A",'Folha de cálculo'!O467/'Folha de cálculo'!N467)</f>
        <v>N/A</v>
      </c>
    </row>
    <row r="62" spans="1:3" x14ac:dyDescent="0.25">
      <c r="A62" s="250" t="s">
        <v>1961</v>
      </c>
      <c r="B62" s="256" t="str">
        <f>B30</f>
        <v>N/A</v>
      </c>
    </row>
    <row r="63" spans="1:3" x14ac:dyDescent="0.25">
      <c r="A63" s="22" t="s">
        <v>1968</v>
      </c>
      <c r="B63" s="252" t="str">
        <f>IF(ISNUMBER(C63),IF(C63&gt;=0.8,"5 bolas", IF(C63&gt;=0.6, "4 bolas", IF(C63&gt;=0.4, "3 bolas", IF(C63&gt;=0.2,"2 bolas","1 bola")))),"N/A")</f>
        <v>N/A</v>
      </c>
      <c r="C63" s="253" t="str">
        <f>IF('Folha de cálculo'!N495=0,"N/A",'Folha de cálculo'!O495/'Folha de cálculo'!N495)</f>
        <v>N/A</v>
      </c>
    </row>
    <row r="64" spans="1:3" x14ac:dyDescent="0.25">
      <c r="A64" s="22" t="s">
        <v>46</v>
      </c>
      <c r="B64" s="252" t="str">
        <f>IF(ISNUMBER(C64),IF(C64&gt;=0.8,"5 bolas", IF(C64&gt;=0.6, "4 bolas", IF(C64&gt;=0.4, "3 bolas", IF(C64&gt;=0.2,"2 bolas","1 bola")))),"N/A")</f>
        <v>N/A</v>
      </c>
      <c r="C64" s="253" t="str">
        <f>IF('Folha de cálculo'!N519=0,"N/A",'Folha de cálculo'!O519/'Folha de cálculo'!N519)</f>
        <v>N/A</v>
      </c>
    </row>
    <row r="65" spans="1:3" x14ac:dyDescent="0.25">
      <c r="A65" s="250" t="s">
        <v>1962</v>
      </c>
      <c r="B65" s="256" t="str">
        <f>B31</f>
        <v>1 gota</v>
      </c>
    </row>
    <row r="66" spans="1:3" x14ac:dyDescent="0.25">
      <c r="A66" s="22" t="s">
        <v>47</v>
      </c>
      <c r="B66" s="252" t="str">
        <f>IF(ISNUMBER(C66),IF(C66&gt;=0.8,"5 bolas", IF(C66&gt;=0.6, "4 bolas", IF(C66&gt;=0.4, "3 bolas", IF(C66&gt;=0.2,"2 bolas","1 bola")))),"N/A")</f>
        <v>N/A</v>
      </c>
      <c r="C66" s="253" t="str">
        <f>IF('Folha de cálculo'!N533=0,"N/A",'Folha de cálculo'!O533/'Folha de cálculo'!N533)</f>
        <v>N/A</v>
      </c>
    </row>
    <row r="67" spans="1:3" x14ac:dyDescent="0.25">
      <c r="A67" s="22" t="s">
        <v>875</v>
      </c>
      <c r="B67" s="252" t="str">
        <f>IF(ISNUMBER(C67),IF(C67&gt;=0.8,"5 bolas", IF(C67&gt;=0.6, "4 bolas", IF(C67&gt;=0.4, "3 bolas", IF(C67&gt;=0.2,"2 bolas","1 bola")))),"N/A")</f>
        <v>1 bola</v>
      </c>
      <c r="C67" s="253">
        <f>IF('Folha de cálculo'!N550=0,"N/A",'Folha de cálculo'!O550/'Folha de cálculo'!N550)</f>
        <v>0</v>
      </c>
    </row>
    <row r="68" spans="1:3" x14ac:dyDescent="0.25">
      <c r="A68" s="250" t="s">
        <v>1963</v>
      </c>
      <c r="B68" s="256" t="str">
        <f>B32</f>
        <v>N/A</v>
      </c>
    </row>
    <row r="69" spans="1:3" x14ac:dyDescent="0.25">
      <c r="A69" s="22" t="s">
        <v>879</v>
      </c>
      <c r="B69" s="252" t="str">
        <f>IF(ISNUMBER(C69),IF(C69&gt;=0.8,"5 bolas", IF(C69&gt;=0.6, "4 bolas", IF(C69&gt;=0.4, "3 bolas", IF(C69&gt;=0.2,"2 bolas","1 bola")))),"N/A")</f>
        <v>N/A</v>
      </c>
      <c r="C69" s="253" t="str">
        <f>IF('Folha de cálculo'!N561=0,"N/A",'Folha de cálculo'!O561/'Folha de cálculo'!N561)</f>
        <v>N/A</v>
      </c>
    </row>
    <row r="70" spans="1:3" x14ac:dyDescent="0.25">
      <c r="A70" s="22" t="s">
        <v>1850</v>
      </c>
      <c r="B70" s="252" t="str">
        <f>IF(ISNUMBER(C70),IF(C70&gt;=0.8,"5 bolas", IF(C70&gt;=0.6, "4 bolas", IF(C70&gt;=0.4, "3 bolas", IF(C70&gt;=0.2,"2 bolas","1 bola")))),"N/A")</f>
        <v>N/A</v>
      </c>
      <c r="C70" s="253" t="str">
        <f>IF('Folha de cálculo'!N597=0,"N/A",'Folha de cálculo'!O597/'Folha de cálculo'!N597)</f>
        <v>N/A</v>
      </c>
    </row>
    <row r="71" spans="1:3" x14ac:dyDescent="0.25">
      <c r="A71" s="22" t="s">
        <v>894</v>
      </c>
      <c r="B71" s="252" t="str">
        <f>IF(ISNUMBER(C71),IF(C71&gt;=0.8,"5 bolas", IF(C71&gt;=0.6, "4 bolas", IF(C71&gt;=0.4, "3 bolas", IF(C71&gt;=0.2,"2 bolas","1 bola")))),"N/A")</f>
        <v>N/A</v>
      </c>
      <c r="C71" s="253" t="str">
        <f>IF('Folha de cálculo'!N620=0,"N/A",'Folha de cálculo'!O620/'Folha de cálculo'!N620)</f>
        <v>N/A</v>
      </c>
    </row>
    <row r="73" spans="1:3" x14ac:dyDescent="0.25">
      <c r="A73" s="250" t="s">
        <v>1933</v>
      </c>
    </row>
    <row r="74" spans="1:3" x14ac:dyDescent="0.25">
      <c r="A74" s="491" t="s">
        <v>1931</v>
      </c>
      <c r="B74" s="491"/>
    </row>
    <row r="75" spans="1:3" x14ac:dyDescent="0.25">
      <c r="A75" s="254" t="s">
        <v>1924</v>
      </c>
      <c r="B75" s="256" t="str">
        <f>B33</f>
        <v>1 gota</v>
      </c>
    </row>
    <row r="76" spans="1:3" x14ac:dyDescent="0.25">
      <c r="A76" s="22" t="s">
        <v>900</v>
      </c>
      <c r="B76" s="252" t="str">
        <f>IF(C76&gt;=0.8,"5 bolas", IF(C76&gt;=0.6, "4 bolas", IF(C76&gt;=0.4, "3 bolas", IF(C76&gt;=0.2,"2 bolas","1 bola"))))</f>
        <v>1 bola</v>
      </c>
      <c r="C76" s="253">
        <f>'Folha de cálculo'!O637/'Folha de cálculo'!N637</f>
        <v>0</v>
      </c>
    </row>
    <row r="77" spans="1:3" x14ac:dyDescent="0.25">
      <c r="A77" s="22" t="s">
        <v>911</v>
      </c>
      <c r="B77" s="252" t="str">
        <f>IF(C77&gt;=0.8,"5 bolas", IF(C77&gt;=0.6, "4 bolas", IF(C77&gt;=0.4, "3 bolas", IF(C77&gt;=0.2,"2 bolas","1 bola"))))</f>
        <v>1 bola</v>
      </c>
      <c r="C77" s="253">
        <f>'Folha de cálculo'!O666/'Folha de cálculo'!N666</f>
        <v>0</v>
      </c>
    </row>
    <row r="78" spans="1:3" x14ac:dyDescent="0.25">
      <c r="A78" s="254" t="s">
        <v>1964</v>
      </c>
      <c r="B78" s="256" t="str">
        <f>B34</f>
        <v>1 gota</v>
      </c>
    </row>
    <row r="79" spans="1:3" x14ac:dyDescent="0.25">
      <c r="A79" s="22" t="s">
        <v>918</v>
      </c>
      <c r="B79" s="252" t="str">
        <f t="shared" ref="B79:B80" si="3">IF(C79&gt;=0.8,"5 bolas", IF(C79&gt;=0.6, "4 bolas", IF(C79&gt;=0.4, "3 bolas", IF(C79&gt;=0.2,"2 bolas","1 bola"))))</f>
        <v>1 bola</v>
      </c>
      <c r="C79" s="253">
        <f>'Folha de cálculo'!O679/'Folha de cálculo'!N679</f>
        <v>0</v>
      </c>
    </row>
    <row r="80" spans="1:3" x14ac:dyDescent="0.25">
      <c r="A80" s="22" t="s">
        <v>1970</v>
      </c>
      <c r="B80" s="252" t="str">
        <f t="shared" si="3"/>
        <v>1 bola</v>
      </c>
      <c r="C80" s="253">
        <f>'Folha de cálculo'!O702/'Folha de cálculo'!N702</f>
        <v>0</v>
      </c>
    </row>
    <row r="81" spans="1:4" x14ac:dyDescent="0.25">
      <c r="A81" s="491" t="s">
        <v>1934</v>
      </c>
      <c r="B81" s="491"/>
    </row>
    <row r="82" spans="1:4" x14ac:dyDescent="0.25">
      <c r="A82" s="257" t="s">
        <v>1937</v>
      </c>
      <c r="B82" s="263"/>
      <c r="C82" s="22">
        <f>LEN(B82)</f>
        <v>0</v>
      </c>
      <c r="D82" s="258" t="s">
        <v>1936</v>
      </c>
    </row>
    <row r="83" spans="1:4" x14ac:dyDescent="0.25">
      <c r="A83" s="22" t="s">
        <v>1935</v>
      </c>
      <c r="B83" s="263"/>
    </row>
    <row r="84" spans="1:4" x14ac:dyDescent="0.25">
      <c r="A84" s="22" t="s">
        <v>1938</v>
      </c>
      <c r="B84" s="252" t="s">
        <v>1939</v>
      </c>
      <c r="C84" s="32"/>
    </row>
    <row r="85" spans="1:4" x14ac:dyDescent="0.25">
      <c r="A85" s="22" t="s">
        <v>1940</v>
      </c>
      <c r="B85" s="263"/>
      <c r="C85" s="259"/>
    </row>
    <row r="86" spans="1:4" x14ac:dyDescent="0.25">
      <c r="A86" s="22" t="s">
        <v>1941</v>
      </c>
      <c r="B86" s="263"/>
      <c r="C86" s="32"/>
    </row>
    <row r="87" spans="1:4" x14ac:dyDescent="0.25">
      <c r="A87" s="257" t="s">
        <v>1942</v>
      </c>
      <c r="B87" s="263"/>
      <c r="C87" s="22">
        <f>LEN(B87)</f>
        <v>0</v>
      </c>
      <c r="D87" s="252" t="s">
        <v>1936</v>
      </c>
    </row>
    <row r="88" spans="1:4" x14ac:dyDescent="0.25">
      <c r="A88" s="22" t="s">
        <v>1935</v>
      </c>
      <c r="B88" s="263"/>
    </row>
    <row r="89" spans="1:4" x14ac:dyDescent="0.25">
      <c r="A89" s="22" t="s">
        <v>1938</v>
      </c>
      <c r="B89" s="252" t="s">
        <v>1939</v>
      </c>
    </row>
    <row r="90" spans="1:4" x14ac:dyDescent="0.25">
      <c r="A90" s="22" t="s">
        <v>1940</v>
      </c>
      <c r="B90" s="263"/>
    </row>
    <row r="91" spans="1:4" x14ac:dyDescent="0.25">
      <c r="A91" s="22" t="s">
        <v>1941</v>
      </c>
      <c r="B91" s="263"/>
    </row>
    <row r="92" spans="1:4" x14ac:dyDescent="0.25">
      <c r="A92" s="257" t="s">
        <v>1943</v>
      </c>
      <c r="B92" s="263"/>
      <c r="C92" s="22">
        <f>LEN(B92)</f>
        <v>0</v>
      </c>
      <c r="D92" s="252" t="s">
        <v>1936</v>
      </c>
    </row>
    <row r="93" spans="1:4" x14ac:dyDescent="0.25">
      <c r="A93" s="22" t="s">
        <v>1935</v>
      </c>
      <c r="B93" s="263"/>
    </row>
    <row r="94" spans="1:4" x14ac:dyDescent="0.25">
      <c r="A94" s="22" t="s">
        <v>1938</v>
      </c>
      <c r="B94" s="252" t="s">
        <v>1939</v>
      </c>
    </row>
    <row r="95" spans="1:4" x14ac:dyDescent="0.25">
      <c r="A95" s="22" t="s">
        <v>1940</v>
      </c>
      <c r="B95" s="263"/>
    </row>
    <row r="96" spans="1:4" x14ac:dyDescent="0.25">
      <c r="A96" s="22" t="s">
        <v>1941</v>
      </c>
      <c r="B96" s="263"/>
    </row>
    <row r="97" spans="1:4" x14ac:dyDescent="0.25">
      <c r="A97" s="257" t="s">
        <v>1944</v>
      </c>
      <c r="B97" s="263"/>
      <c r="C97" s="22">
        <f>LEN(B97)</f>
        <v>0</v>
      </c>
      <c r="D97" s="252" t="s">
        <v>1936</v>
      </c>
    </row>
    <row r="98" spans="1:4" x14ac:dyDescent="0.25">
      <c r="A98" s="22" t="s">
        <v>1935</v>
      </c>
      <c r="B98" s="263"/>
    </row>
    <row r="99" spans="1:4" x14ac:dyDescent="0.25">
      <c r="A99" s="22" t="s">
        <v>1938</v>
      </c>
      <c r="B99" s="252" t="s">
        <v>1939</v>
      </c>
    </row>
    <row r="100" spans="1:4" x14ac:dyDescent="0.25">
      <c r="A100" s="22" t="s">
        <v>1940</v>
      </c>
      <c r="B100" s="263"/>
    </row>
    <row r="101" spans="1:4" x14ac:dyDescent="0.25">
      <c r="A101" s="22" t="s">
        <v>1941</v>
      </c>
      <c r="B101" s="263"/>
    </row>
    <row r="102" spans="1:4" x14ac:dyDescent="0.25">
      <c r="A102" s="257" t="s">
        <v>1945</v>
      </c>
      <c r="B102" s="263"/>
      <c r="C102" s="22">
        <f>LEN(B102)</f>
        <v>0</v>
      </c>
      <c r="D102" s="252" t="s">
        <v>1936</v>
      </c>
    </row>
    <row r="103" spans="1:4" x14ac:dyDescent="0.25">
      <c r="A103" s="22" t="s">
        <v>1935</v>
      </c>
      <c r="B103" s="263"/>
    </row>
    <row r="104" spans="1:4" x14ac:dyDescent="0.25">
      <c r="A104" s="22" t="s">
        <v>1938</v>
      </c>
      <c r="B104" s="252" t="s">
        <v>1939</v>
      </c>
    </row>
    <row r="105" spans="1:4" x14ac:dyDescent="0.25">
      <c r="A105" s="22" t="s">
        <v>1940</v>
      </c>
      <c r="B105" s="263"/>
    </row>
    <row r="106" spans="1:4" x14ac:dyDescent="0.25">
      <c r="A106" s="22" t="s">
        <v>1941</v>
      </c>
      <c r="B106" s="263"/>
    </row>
    <row r="107" spans="1:4" x14ac:dyDescent="0.25">
      <c r="A107" s="257" t="s">
        <v>1946</v>
      </c>
      <c r="B107" s="263"/>
      <c r="C107" s="22">
        <f>LEN(B107)</f>
        <v>0</v>
      </c>
      <c r="D107" s="252" t="s">
        <v>1936</v>
      </c>
    </row>
    <row r="108" spans="1:4" x14ac:dyDescent="0.25">
      <c r="A108" s="22" t="s">
        <v>1935</v>
      </c>
      <c r="B108" s="263"/>
    </row>
    <row r="109" spans="1:4" x14ac:dyDescent="0.25">
      <c r="A109" s="22" t="s">
        <v>1938</v>
      </c>
      <c r="B109" s="252" t="s">
        <v>1939</v>
      </c>
    </row>
    <row r="110" spans="1:4" x14ac:dyDescent="0.25">
      <c r="A110" s="22" t="s">
        <v>1940</v>
      </c>
      <c r="B110" s="263"/>
    </row>
    <row r="111" spans="1:4" x14ac:dyDescent="0.25">
      <c r="A111" s="22" t="s">
        <v>1941</v>
      </c>
      <c r="B111" s="263"/>
    </row>
    <row r="112" spans="1:4" x14ac:dyDescent="0.25">
      <c r="A112" s="257" t="s">
        <v>1947</v>
      </c>
      <c r="B112" s="263"/>
      <c r="C112" s="22">
        <f>LEN(B112)</f>
        <v>0</v>
      </c>
      <c r="D112" s="252" t="s">
        <v>1936</v>
      </c>
    </row>
    <row r="113" spans="1:4" x14ac:dyDescent="0.25">
      <c r="A113" s="22" t="s">
        <v>1935</v>
      </c>
      <c r="B113" s="263"/>
    </row>
    <row r="114" spans="1:4" x14ac:dyDescent="0.25">
      <c r="A114" s="22" t="s">
        <v>1938</v>
      </c>
      <c r="B114" s="252" t="s">
        <v>1939</v>
      </c>
    </row>
    <row r="115" spans="1:4" x14ac:dyDescent="0.25">
      <c r="A115" s="22" t="s">
        <v>1940</v>
      </c>
      <c r="B115" s="263"/>
    </row>
    <row r="116" spans="1:4" x14ac:dyDescent="0.25">
      <c r="A116" s="22" t="s">
        <v>1941</v>
      </c>
      <c r="B116" s="263"/>
    </row>
    <row r="117" spans="1:4" x14ac:dyDescent="0.25">
      <c r="A117" s="257" t="s">
        <v>1948</v>
      </c>
      <c r="B117" s="263"/>
      <c r="C117" s="22">
        <f>LEN(B117)</f>
        <v>0</v>
      </c>
      <c r="D117" s="252" t="s">
        <v>1936</v>
      </c>
    </row>
    <row r="118" spans="1:4" x14ac:dyDescent="0.25">
      <c r="A118" s="22" t="s">
        <v>1935</v>
      </c>
      <c r="B118" s="263"/>
    </row>
    <row r="119" spans="1:4" x14ac:dyDescent="0.25">
      <c r="A119" s="22" t="s">
        <v>1938</v>
      </c>
      <c r="B119" s="252" t="s">
        <v>1939</v>
      </c>
    </row>
    <row r="120" spans="1:4" x14ac:dyDescent="0.25">
      <c r="A120" s="22" t="s">
        <v>1940</v>
      </c>
      <c r="B120" s="263"/>
    </row>
    <row r="121" spans="1:4" x14ac:dyDescent="0.25">
      <c r="A121" s="22" t="s">
        <v>1941</v>
      </c>
      <c r="B121" s="263"/>
    </row>
    <row r="122" spans="1:4" ht="45" x14ac:dyDescent="0.25">
      <c r="A122" s="254" t="s">
        <v>1949</v>
      </c>
    </row>
    <row r="123" spans="1:4" x14ac:dyDescent="0.25">
      <c r="A123" s="22" t="s">
        <v>1950</v>
      </c>
      <c r="B123" s="260" t="str">
        <f>'Folha de cálculo'!R3</f>
        <v>F</v>
      </c>
    </row>
    <row r="124" spans="1:4" x14ac:dyDescent="0.25">
      <c r="A124" s="22" t="s">
        <v>1951</v>
      </c>
      <c r="B124" s="260" t="str">
        <f>'Folha de cálculo'!W3</f>
        <v>F</v>
      </c>
    </row>
    <row r="125" spans="1:4" x14ac:dyDescent="0.25">
      <c r="A125" s="491" t="s">
        <v>1952</v>
      </c>
      <c r="B125" s="491"/>
    </row>
    <row r="126" spans="1:4" x14ac:dyDescent="0.25">
      <c r="A126" s="22" t="s">
        <v>1953</v>
      </c>
      <c r="B126" s="261" t="str">
        <f>'Registo de informação'!B15</f>
        <v/>
      </c>
      <c r="C126" s="22" t="s">
        <v>11</v>
      </c>
    </row>
    <row r="127" spans="1:4" x14ac:dyDescent="0.25">
      <c r="A127" s="22" t="s">
        <v>1954</v>
      </c>
      <c r="B127" s="262" t="str">
        <f>IF('Registo de informação'!B80="","",'Registo de informação'!B80)</f>
        <v/>
      </c>
      <c r="C127" s="22" t="s">
        <v>11</v>
      </c>
    </row>
    <row r="128" spans="1:4" x14ac:dyDescent="0.25">
      <c r="A128" s="22" t="s">
        <v>1955</v>
      </c>
      <c r="B128" s="262" t="str">
        <f>IF('Registo de informação'!B1412="","",'Registo de informação'!B1412/365)</f>
        <v/>
      </c>
      <c r="C128" s="22" t="s">
        <v>11</v>
      </c>
    </row>
    <row r="129" spans="1:3" x14ac:dyDescent="0.25">
      <c r="A129" s="22" t="s">
        <v>1956</v>
      </c>
      <c r="B129" s="262"/>
      <c r="C129" s="22" t="s">
        <v>1902</v>
      </c>
    </row>
    <row r="130" spans="1:3" x14ac:dyDescent="0.25">
      <c r="A130" s="22" t="s">
        <v>1957</v>
      </c>
      <c r="B130" s="262"/>
      <c r="C130" s="22" t="s">
        <v>1902</v>
      </c>
    </row>
  </sheetData>
  <sheetProtection algorithmName="SHA-512" hashValue="iSMUTkwARObtruk9n+5yDrdIyg7xUcZbrel37u1JLUqnnR1Rgzic0r4c/ohFWIDXSjEU0NqmkTwmmROM9dC1sQ==" saltValue="q3fnvdCLaNqMOa7UxnGXUA==" spinCount="100000" sheet="1" objects="1" scenarios="1"/>
  <mergeCells count="9">
    <mergeCell ref="A74:B74"/>
    <mergeCell ref="A81:B81"/>
    <mergeCell ref="A125:B125"/>
    <mergeCell ref="A4:B4"/>
    <mergeCell ref="A11:B11"/>
    <mergeCell ref="A19:B19"/>
    <mergeCell ref="A23:B23"/>
    <mergeCell ref="A35:B35"/>
    <mergeCell ref="A39:B39"/>
  </mergeCells>
  <conditionalFormatting sqref="C82">
    <cfRule type="cellIs" dxfId="50" priority="10" operator="greaterThan">
      <formula>200</formula>
    </cfRule>
  </conditionalFormatting>
  <conditionalFormatting sqref="C87:C88">
    <cfRule type="cellIs" dxfId="49" priority="9" operator="greaterThan">
      <formula>200</formula>
    </cfRule>
  </conditionalFormatting>
  <conditionalFormatting sqref="C92:C93">
    <cfRule type="cellIs" dxfId="48" priority="5" operator="greaterThan">
      <formula>200</formula>
    </cfRule>
  </conditionalFormatting>
  <conditionalFormatting sqref="C97:C98">
    <cfRule type="cellIs" dxfId="47" priority="4" operator="greaterThan">
      <formula>200</formula>
    </cfRule>
  </conditionalFormatting>
  <conditionalFormatting sqref="C102:C103">
    <cfRule type="cellIs" dxfId="46" priority="6" operator="greaterThan">
      <formula>200</formula>
    </cfRule>
  </conditionalFormatting>
  <conditionalFormatting sqref="C107:C108">
    <cfRule type="cellIs" dxfId="45" priority="3" operator="greaterThan">
      <formula>200</formula>
    </cfRule>
  </conditionalFormatting>
  <conditionalFormatting sqref="C112:C113">
    <cfRule type="cellIs" dxfId="44" priority="2" operator="greaterThan">
      <formula>200</formula>
    </cfRule>
  </conditionalFormatting>
  <conditionalFormatting sqref="C117:C118">
    <cfRule type="cellIs" dxfId="43" priority="1" operator="greaterThan">
      <formula>200</formula>
    </cfRule>
  </conditionalFormatting>
  <conditionalFormatting sqref="D22">
    <cfRule type="cellIs" dxfId="42" priority="11" operator="greaterThan">
      <formula>100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823-E10E-4AC7-889C-D996DD3B1344}">
  <sheetPr>
    <outlinePr summaryBelow="0" summaryRight="0"/>
    <pageSetUpPr fitToPage="1"/>
  </sheetPr>
  <dimension ref="A1:AB265"/>
  <sheetViews>
    <sheetView topLeftCell="D119" zoomScaleNormal="100" workbookViewId="0">
      <selection activeCell="E150" sqref="E150"/>
    </sheetView>
  </sheetViews>
  <sheetFormatPr defaultColWidth="8.7109375" defaultRowHeight="15" outlineLevelRow="2" x14ac:dyDescent="0.25"/>
  <cols>
    <col min="1" max="1" width="4.7109375" style="139" customWidth="1"/>
    <col min="2" max="2" width="5.28515625" style="140" bestFit="1" customWidth="1"/>
    <col min="3" max="3" width="5.5703125" style="142" customWidth="1"/>
    <col min="4" max="4" width="6.28515625" style="142" customWidth="1"/>
    <col min="5" max="5" width="62.7109375" style="142" customWidth="1"/>
    <col min="6" max="6" width="8.7109375" style="181"/>
    <col min="7" max="7" width="3.28515625" style="140" customWidth="1"/>
    <col min="8" max="8" width="11.7109375" style="164" customWidth="1"/>
    <col min="9" max="10" width="11.7109375" style="147" customWidth="1"/>
    <col min="11" max="11" width="11.7109375" style="147" hidden="1" customWidth="1"/>
    <col min="12" max="12" width="14.28515625" style="181" customWidth="1"/>
    <col min="13" max="13" width="3.28515625" style="147" customWidth="1"/>
    <col min="14" max="14" width="11.7109375" style="194" hidden="1" customWidth="1"/>
    <col min="15" max="15" width="3.28515625" style="147" hidden="1" customWidth="1"/>
    <col min="16" max="16" width="11.7109375" style="164" customWidth="1"/>
    <col min="17" max="17" width="11.7109375" style="140" customWidth="1"/>
    <col min="18" max="20" width="9.28515625" style="140" customWidth="1"/>
    <col min="21" max="21" width="8.28515625" style="140" hidden="1" customWidth="1"/>
    <col min="22" max="16384" width="8.7109375" style="140"/>
  </cols>
  <sheetData>
    <row r="1" spans="1:28" ht="28.9" customHeight="1" x14ac:dyDescent="0.25">
      <c r="A1" s="140"/>
      <c r="E1" s="146"/>
      <c r="F1" s="181" t="s">
        <v>733</v>
      </c>
      <c r="H1" s="225" t="s">
        <v>734</v>
      </c>
      <c r="I1" s="226" t="s">
        <v>735</v>
      </c>
      <c r="J1" s="226" t="s">
        <v>736</v>
      </c>
      <c r="K1" s="227" t="s">
        <v>737</v>
      </c>
      <c r="L1" s="228" t="s">
        <v>737</v>
      </c>
      <c r="M1" s="226"/>
      <c r="N1" s="229" t="s">
        <v>738</v>
      </c>
      <c r="O1" s="226"/>
      <c r="P1" s="225" t="s">
        <v>739</v>
      </c>
    </row>
    <row r="2" spans="1:28" x14ac:dyDescent="0.25">
      <c r="B2" s="165">
        <f>COUNTA(B3:B144)</f>
        <v>10</v>
      </c>
      <c r="C2" s="165">
        <f>COUNTA(C3:C144)-B2</f>
        <v>28</v>
      </c>
      <c r="D2" s="165">
        <f>COUNTA(D3:D144)-C2</f>
        <v>104</v>
      </c>
      <c r="E2" s="166"/>
      <c r="F2" s="182">
        <f>SUM(F137+F127+F107+F113+F98+F77+F40+F29+F17+F3)</f>
        <v>0.99999999999999978</v>
      </c>
      <c r="H2" s="174">
        <f>SUM(H137+H127+H107+H113+H98+H77+H40+H29+H17+H3)</f>
        <v>0.99999999999999989</v>
      </c>
      <c r="I2" s="168">
        <f>SUM(I137+I127+I107+I113+I98+I77+I40+I29+I17+I3)</f>
        <v>1</v>
      </c>
      <c r="J2" s="168">
        <f>SUM(J137+J127+J107+J113+J98+J77+J40+J29+J17+J3)</f>
        <v>1</v>
      </c>
      <c r="K2" s="177">
        <f>SUM(K137+K127+K107+K113+K98+K77+K40+K29+K17+K3)</f>
        <v>0.85103678326721965</v>
      </c>
      <c r="L2" s="182">
        <f>SUM(L137+L127+L107+L113+L98+L77+L40+L29+L17+L3)</f>
        <v>1</v>
      </c>
      <c r="M2" s="148"/>
      <c r="N2" s="193">
        <f>SUM(N137+N127+N107+N113+N98+N29+N40+N77+N17+N3)</f>
        <v>0.69343430700805386</v>
      </c>
      <c r="O2" s="148"/>
      <c r="P2" s="197">
        <f>SUM(P137+P127+P107+P113+P98+P29+P40+P77+P17+P3)</f>
        <v>1</v>
      </c>
      <c r="R2" s="493" t="s">
        <v>740</v>
      </c>
      <c r="S2" s="493"/>
      <c r="T2" s="139"/>
    </row>
    <row r="3" spans="1:28" x14ac:dyDescent="0.25">
      <c r="A3" s="159"/>
      <c r="B3" s="7">
        <v>1</v>
      </c>
      <c r="C3" s="180" t="s">
        <v>1844</v>
      </c>
      <c r="D3" s="7"/>
      <c r="E3" s="7"/>
      <c r="F3" s="176">
        <f>F4+F9</f>
        <v>0.09</v>
      </c>
      <c r="H3" s="176">
        <f>H4+H9</f>
        <v>0.09</v>
      </c>
      <c r="I3" s="176">
        <f>I4+I9</f>
        <v>0.10207356653443922</v>
      </c>
      <c r="J3" s="176">
        <f>J4+J9</f>
        <v>0.11954561846375765</v>
      </c>
      <c r="K3" s="176">
        <f>K4+K9</f>
        <v>0.11954561846375765</v>
      </c>
      <c r="L3" s="176">
        <f>L4+L9</f>
        <v>0.11954561846375765</v>
      </c>
      <c r="M3" s="148"/>
      <c r="N3" s="176">
        <f>N4+N9</f>
        <v>9.2979925471811511E-2</v>
      </c>
      <c r="O3" s="148"/>
      <c r="P3" s="176">
        <f>P4+P9</f>
        <v>0.13408613408960107</v>
      </c>
      <c r="Q3" s="141"/>
      <c r="R3" s="139" t="s">
        <v>741</v>
      </c>
      <c r="S3" s="139" t="s">
        <v>742</v>
      </c>
      <c r="T3" s="139" t="s">
        <v>723</v>
      </c>
    </row>
    <row r="4" spans="1:28" outlineLevel="1" x14ac:dyDescent="0.25">
      <c r="A4" s="160"/>
      <c r="C4" s="31" t="s">
        <v>743</v>
      </c>
      <c r="D4" s="31" t="s">
        <v>1845</v>
      </c>
      <c r="E4" s="31"/>
      <c r="F4" s="169">
        <f>SUM(F5:F8)</f>
        <v>0.03</v>
      </c>
      <c r="G4" s="170"/>
      <c r="H4" s="169">
        <f>SUM(H5:H8)</f>
        <v>0.03</v>
      </c>
      <c r="I4" s="169">
        <f>SUM(I5:I8)</f>
        <v>3.4024522178146409E-2</v>
      </c>
      <c r="J4" s="169">
        <f>SUM(J5:J8)</f>
        <v>3.9848539487919221E-2</v>
      </c>
      <c r="K4" s="169">
        <f>SUM(K5:K8)</f>
        <v>3.9848539487919221E-2</v>
      </c>
      <c r="L4" s="169">
        <f>SUM(L5:L8)</f>
        <v>3.9848539487919221E-2</v>
      </c>
      <c r="M4" s="148"/>
      <c r="N4" s="169">
        <f>SUM(N5:N8)</f>
        <v>3.9848539487919221E-2</v>
      </c>
      <c r="O4" s="148"/>
      <c r="P4" s="169">
        <f>SUM(P5:P8)</f>
        <v>5.746548603840046E-2</v>
      </c>
      <c r="Q4" s="141"/>
      <c r="R4" s="149">
        <v>0</v>
      </c>
      <c r="S4" s="149">
        <v>0.15</v>
      </c>
      <c r="T4" s="139" t="s">
        <v>744</v>
      </c>
      <c r="U4" s="155">
        <f>F4/F3</f>
        <v>0.33333333333333331</v>
      </c>
    </row>
    <row r="5" spans="1:28" outlineLevel="2" x14ac:dyDescent="0.25">
      <c r="A5" s="160"/>
      <c r="D5" s="142" t="s">
        <v>745</v>
      </c>
      <c r="E5" s="142" t="s">
        <v>1872</v>
      </c>
      <c r="F5" s="147">
        <v>0.01</v>
      </c>
      <c r="H5" s="147">
        <f>F5</f>
        <v>0.01</v>
      </c>
      <c r="I5" s="150">
        <f>IF(SUM(Checklist!B150,Checklist!B159,Checklist!B166,Checklist!B173,Checklist!B179,Checklist!B185)=0,H5*($H$30+$H$3+$H$18+$H$40)/($H$3+$H$18+$H$40),H5)</f>
        <v>1.134150739271547E-2</v>
      </c>
      <c r="J5" s="147">
        <f>IF(SUM(Checklist!B562,Checklist!B569,Checklist!B575,Checklist!B583,Checklist!B588)=0,I5*($I$3+$I$18+$I$30+$I$40+$I$113)/($I$3+$I$18+$I$30+$I$40),I5)</f>
        <v>1.3282846495973073E-2</v>
      </c>
      <c r="K5" s="147">
        <f>J5</f>
        <v>1.3282846495973073E-2</v>
      </c>
      <c r="L5" s="181">
        <f>K5</f>
        <v>1.3282846495973073E-2</v>
      </c>
      <c r="M5" s="148"/>
      <c r="N5" s="194">
        <f>L5*Checklist!B9</f>
        <v>1.3282846495973073E-2</v>
      </c>
      <c r="O5" s="148"/>
      <c r="P5" s="164">
        <f>N5/$N$2</f>
        <v>1.9155162012800153E-2</v>
      </c>
      <c r="Q5" s="141"/>
      <c r="R5" s="149">
        <v>0.15</v>
      </c>
      <c r="S5" s="149">
        <v>0.3</v>
      </c>
      <c r="T5" s="139" t="s">
        <v>746</v>
      </c>
      <c r="U5" s="156">
        <f>F5/$F$4</f>
        <v>0.33333333333333337</v>
      </c>
      <c r="Z5" s="149"/>
      <c r="AA5" s="149"/>
      <c r="AB5" s="139"/>
    </row>
    <row r="6" spans="1:28" ht="14.65" customHeight="1" outlineLevel="2" x14ac:dyDescent="0.25">
      <c r="A6" s="160"/>
      <c r="D6" s="142" t="s">
        <v>747</v>
      </c>
      <c r="E6" s="142" t="s">
        <v>748</v>
      </c>
      <c r="F6" s="147">
        <v>0.01</v>
      </c>
      <c r="H6" s="147">
        <f>F6</f>
        <v>0.01</v>
      </c>
      <c r="I6" s="150">
        <f>IF(SUM(Checklist!B150,Checklist!B159,Checklist!B166,Checklist!B173,Checklist!B179,Checklist!B185)=0,H6*($H$30+$H$3+$H$18+$H$40)/($H$3+$H$18+$H$40),H6)</f>
        <v>1.134150739271547E-2</v>
      </c>
      <c r="J6" s="147">
        <f>IF(SUM(Checklist!B562,Checklist!B569,Checklist!B575,Checklist!B583,Checklist!B588)=0,I6*($I$3+$I$18+$I$30+$I$40+$I$113)/($I$3+$I$18+$I$30+$I$40),I6)</f>
        <v>1.3282846495973073E-2</v>
      </c>
      <c r="K6" s="147">
        <f t="shared" ref="K6:L8" si="0">J6</f>
        <v>1.3282846495973073E-2</v>
      </c>
      <c r="L6" s="181">
        <f>K6</f>
        <v>1.3282846495973073E-2</v>
      </c>
      <c r="M6" s="148"/>
      <c r="N6" s="194">
        <f>L6*Checklist!B16</f>
        <v>1.3282846495973073E-2</v>
      </c>
      <c r="O6" s="148"/>
      <c r="P6" s="164">
        <f>N6/$N$2</f>
        <v>1.9155162012800153E-2</v>
      </c>
      <c r="Q6" s="141"/>
      <c r="R6" s="149">
        <v>0.3</v>
      </c>
      <c r="S6" s="149">
        <v>0.45</v>
      </c>
      <c r="T6" s="139" t="s">
        <v>749</v>
      </c>
      <c r="U6" s="156">
        <f>F6/$F$4</f>
        <v>0.33333333333333337</v>
      </c>
      <c r="Z6" s="149"/>
      <c r="AA6" s="149"/>
      <c r="AB6" s="139"/>
    </row>
    <row r="7" spans="1:28" outlineLevel="2" x14ac:dyDescent="0.25">
      <c r="A7" s="160"/>
      <c r="D7" s="142" t="s">
        <v>750</v>
      </c>
      <c r="E7" s="142" t="s">
        <v>1873</v>
      </c>
      <c r="F7" s="147">
        <v>7.4999999999999997E-3</v>
      </c>
      <c r="H7" s="147">
        <f>F7</f>
        <v>7.4999999999999997E-3</v>
      </c>
      <c r="I7" s="150">
        <f>IF(SUM(Checklist!B150,Checklist!B159,Checklist!B166,Checklist!B173,Checklist!B179,Checklist!B185)=0,H7*($H$30+$H$3+$H$18+$H$40)/($H$3+$H$18+$H$40),H7)</f>
        <v>8.5061305445366022E-3</v>
      </c>
      <c r="J7" s="147">
        <f>IF(SUM(Checklist!B562,Checklist!B569,Checklist!B575,Checklist!B583,Checklist!B588)=0,I7*($I$3+$I$18+$I$30+$I$40+$I$113)/($I$3+$I$18+$I$30+$I$40),I7)</f>
        <v>9.9621348719798036E-3</v>
      </c>
      <c r="K7" s="147">
        <f t="shared" si="0"/>
        <v>9.9621348719798036E-3</v>
      </c>
      <c r="L7" s="181">
        <f>K7</f>
        <v>9.9621348719798036E-3</v>
      </c>
      <c r="M7" s="148"/>
      <c r="N7" s="194">
        <f>L7*Checklist!B24</f>
        <v>9.9621348719798036E-3</v>
      </c>
      <c r="O7" s="148"/>
      <c r="P7" s="164">
        <f>N7/$N$2</f>
        <v>1.4366371509600113E-2</v>
      </c>
      <c r="Q7" s="141"/>
      <c r="R7" s="149">
        <v>0.45</v>
      </c>
      <c r="S7" s="149">
        <v>0.6</v>
      </c>
      <c r="T7" s="139" t="s">
        <v>751</v>
      </c>
      <c r="U7" s="156">
        <f>F7/$F$4</f>
        <v>0.25</v>
      </c>
      <c r="Z7" s="149"/>
      <c r="AA7" s="149"/>
      <c r="AB7" s="139"/>
    </row>
    <row r="8" spans="1:28" outlineLevel="2" x14ac:dyDescent="0.25">
      <c r="A8" s="160"/>
      <c r="D8" s="142" t="s">
        <v>752</v>
      </c>
      <c r="E8" s="142" t="s">
        <v>753</v>
      </c>
      <c r="F8" s="147">
        <v>2.5000000000000001E-3</v>
      </c>
      <c r="H8" s="147">
        <f>F8</f>
        <v>2.5000000000000001E-3</v>
      </c>
      <c r="I8" s="150">
        <f>IF(SUM(Checklist!B150,Checklist!B159,Checklist!B166,Checklist!B173,Checklist!B179,Checklist!B185)=0,H8*($H$30+$H$3+$H$18+$H$40)/($H$3+$H$18+$H$40),H8)</f>
        <v>2.8353768481788675E-3</v>
      </c>
      <c r="J8" s="147">
        <f>IF(SUM(Checklist!B562,Checklist!B569,Checklist!B575,Checklist!B583,Checklist!B588)=0,I8*($I$3+$I$18+$I$30+$I$40+$I$113)/($I$3+$I$18+$I$30+$I$40),I8)</f>
        <v>3.3207116239932681E-3</v>
      </c>
      <c r="K8" s="147">
        <f t="shared" si="0"/>
        <v>3.3207116239932681E-3</v>
      </c>
      <c r="L8" s="181">
        <f t="shared" si="0"/>
        <v>3.3207116239932681E-3</v>
      </c>
      <c r="M8" s="148"/>
      <c r="N8" s="194">
        <f>L8*Checklist!B30</f>
        <v>3.3207116239932681E-3</v>
      </c>
      <c r="O8" s="148"/>
      <c r="P8" s="164">
        <f>N8/$N$2</f>
        <v>4.7887905032000383E-3</v>
      </c>
      <c r="Q8" s="141"/>
      <c r="R8" s="149">
        <v>0.6</v>
      </c>
      <c r="S8" s="149">
        <v>0.75</v>
      </c>
      <c r="T8" s="139" t="s">
        <v>754</v>
      </c>
      <c r="U8" s="156">
        <f>F8/$F$4</f>
        <v>8.3333333333333343E-2</v>
      </c>
      <c r="Z8" s="149"/>
      <c r="AA8" s="149"/>
      <c r="AB8" s="139"/>
    </row>
    <row r="9" spans="1:28" outlineLevel="1" x14ac:dyDescent="0.25">
      <c r="A9" s="160"/>
      <c r="C9" s="31" t="s">
        <v>755</v>
      </c>
      <c r="D9" s="31" t="s">
        <v>756</v>
      </c>
      <c r="E9" s="31"/>
      <c r="F9" s="169">
        <f>SUM(F10:F16)</f>
        <v>6.0000000000000005E-2</v>
      </c>
      <c r="G9" s="188"/>
      <c r="H9" s="169">
        <f>SUM(H10:H16)</f>
        <v>6.0000000000000005E-2</v>
      </c>
      <c r="I9" s="169">
        <f>SUM(I10:I16)</f>
        <v>6.8049044356292818E-2</v>
      </c>
      <c r="J9" s="169">
        <f>SUM(J10:J16)</f>
        <v>7.9697078975838428E-2</v>
      </c>
      <c r="K9" s="169">
        <f>SUM(K10:K16)</f>
        <v>7.9697078975838428E-2</v>
      </c>
      <c r="L9" s="169">
        <f>SUM(L10:L16)</f>
        <v>7.9697078975838428E-2</v>
      </c>
      <c r="M9" s="148"/>
      <c r="N9" s="169">
        <f>SUM(N10:N16)</f>
        <v>5.313138598389229E-2</v>
      </c>
      <c r="O9" s="148"/>
      <c r="P9" s="169">
        <f>SUM(P10:P16)</f>
        <v>7.6620648051200613E-2</v>
      </c>
      <c r="Q9" s="171"/>
      <c r="R9" s="191">
        <v>0.75</v>
      </c>
      <c r="S9" s="191">
        <v>0.9</v>
      </c>
      <c r="T9" s="165" t="s">
        <v>757</v>
      </c>
      <c r="U9" s="155">
        <f>F9/F3</f>
        <v>0.66666666666666674</v>
      </c>
      <c r="Z9" s="149"/>
      <c r="AA9" s="149"/>
      <c r="AB9" s="139"/>
    </row>
    <row r="10" spans="1:28" outlineLevel="2" x14ac:dyDescent="0.25">
      <c r="A10" s="159"/>
      <c r="D10" s="142" t="s">
        <v>758</v>
      </c>
      <c r="E10" s="142" t="s">
        <v>759</v>
      </c>
      <c r="F10" s="147">
        <v>0.01</v>
      </c>
      <c r="H10" s="147">
        <f t="shared" ref="H10:H13" si="1">F10</f>
        <v>0.01</v>
      </c>
      <c r="I10" s="150">
        <f>IF(SUM(Checklist!B150,Checklist!B159,Checklist!B166,Checklist!B173,Checklist!B179,Checklist!B185)=0,H10*($H$30+$H$3+$H$18+$H$40)/($H$3+$H$18+$H$40),H10)</f>
        <v>1.134150739271547E-2</v>
      </c>
      <c r="J10" s="147">
        <f>IF(SUM(Checklist!B562,Checklist!B569,Checklist!B575,Checklist!B583,Checklist!B588)=0,I10*($I$3+$I$18+$I$30+$I$40+$I$113)/($I$3+$I$18+$I$30+$I$40),I10)</f>
        <v>1.3282846495973073E-2</v>
      </c>
      <c r="K10" s="147">
        <f>J10</f>
        <v>1.3282846495973073E-2</v>
      </c>
      <c r="L10" s="181">
        <f>K10</f>
        <v>1.3282846495973073E-2</v>
      </c>
      <c r="M10" s="148"/>
      <c r="N10" s="194">
        <f>L10</f>
        <v>1.3282846495973073E-2</v>
      </c>
      <c r="O10" s="148"/>
      <c r="P10" s="164">
        <f>N10/$N$2</f>
        <v>1.9155162012800153E-2</v>
      </c>
      <c r="R10" s="149">
        <v>0.9</v>
      </c>
      <c r="S10" s="149">
        <v>1</v>
      </c>
      <c r="T10" s="139" t="s">
        <v>760</v>
      </c>
      <c r="U10" s="190">
        <f t="shared" ref="U10:U16" si="2">F10/$F$9</f>
        <v>0.16666666666666666</v>
      </c>
      <c r="Z10" s="149"/>
      <c r="AA10" s="149"/>
      <c r="AB10" s="139"/>
    </row>
    <row r="11" spans="1:28" outlineLevel="2" x14ac:dyDescent="0.25">
      <c r="A11" s="159"/>
      <c r="D11" s="142" t="s">
        <v>761</v>
      </c>
      <c r="E11" s="142" t="s">
        <v>1874</v>
      </c>
      <c r="F11" s="147">
        <v>5.0000000000000001E-3</v>
      </c>
      <c r="H11" s="147">
        <f t="shared" si="1"/>
        <v>5.0000000000000001E-3</v>
      </c>
      <c r="I11" s="150">
        <f>IF(SUM(Checklist!B150,Checklist!B159,Checklist!B166,Checklist!B173,Checklist!B179,Checklist!B185)=0,H11*($H$30+$H$3+$H$18+$H$40)/($H$3+$H$18+$H$40),H11)</f>
        <v>5.6707536963577351E-3</v>
      </c>
      <c r="J11" s="147">
        <f>IF(SUM(Checklist!B562,Checklist!B569,Checklist!B575,Checklist!B583,Checklist!B588)=0,I11*($I$3+$I$18+$I$30+$I$40+$I$113)/($I$3+$I$18+$I$30+$I$40),I11)</f>
        <v>6.6414232479865363E-3</v>
      </c>
      <c r="K11" s="147">
        <f t="shared" ref="K11:L16" si="3">J11</f>
        <v>6.6414232479865363E-3</v>
      </c>
      <c r="L11" s="181">
        <f t="shared" si="3"/>
        <v>6.6414232479865363E-3</v>
      </c>
      <c r="M11" s="148"/>
      <c r="N11" s="194">
        <f>L11</f>
        <v>6.6414232479865363E-3</v>
      </c>
      <c r="O11" s="148"/>
      <c r="P11" s="164">
        <f t="shared" ref="P11:P14" si="4">N11/$N$2</f>
        <v>9.5775810064000766E-3</v>
      </c>
      <c r="U11" s="190">
        <f t="shared" si="2"/>
        <v>8.3333333333333329E-2</v>
      </c>
      <c r="Z11" s="149"/>
      <c r="AA11" s="149"/>
      <c r="AB11" s="139"/>
    </row>
    <row r="12" spans="1:28" outlineLevel="2" x14ac:dyDescent="0.25">
      <c r="A12" s="159"/>
      <c r="D12" s="142" t="s">
        <v>762</v>
      </c>
      <c r="E12" s="142" t="s">
        <v>763</v>
      </c>
      <c r="F12" s="147">
        <v>2.5000000000000001E-3</v>
      </c>
      <c r="H12" s="147">
        <f t="shared" si="1"/>
        <v>2.5000000000000001E-3</v>
      </c>
      <c r="I12" s="150">
        <f>IF(SUM(Checklist!B150,Checklist!B159,Checklist!B166,Checklist!B173,Checklist!B179,Checklist!B185)=0,H12*($H$30+$H$3+$H$18+$H$40)/($H$3+$H$18+$H$40),H12)</f>
        <v>2.8353768481788675E-3</v>
      </c>
      <c r="J12" s="147">
        <f>IF(SUM(Checklist!B562,Checklist!B569,Checklist!B575,Checklist!B583,Checklist!B588)=0,I12*($I$3+$I$18+$I$30+$I$40+$I$113)/($I$3+$I$18+$I$30+$I$40),I12)</f>
        <v>3.3207116239932681E-3</v>
      </c>
      <c r="K12" s="147">
        <f t="shared" si="3"/>
        <v>3.3207116239932681E-3</v>
      </c>
      <c r="L12" s="181">
        <f t="shared" si="3"/>
        <v>3.3207116239932681E-3</v>
      </c>
      <c r="M12" s="148"/>
      <c r="N12" s="194">
        <f>L12</f>
        <v>3.3207116239932681E-3</v>
      </c>
      <c r="O12" s="148"/>
      <c r="P12" s="164">
        <f t="shared" si="4"/>
        <v>4.7887905032000383E-3</v>
      </c>
      <c r="U12" s="190">
        <f t="shared" si="2"/>
        <v>4.1666666666666664E-2</v>
      </c>
    </row>
    <row r="13" spans="1:28" ht="14.65" customHeight="1" outlineLevel="2" x14ac:dyDescent="0.25">
      <c r="A13" s="159"/>
      <c r="D13" s="142" t="s">
        <v>764</v>
      </c>
      <c r="E13" s="142" t="s">
        <v>765</v>
      </c>
      <c r="F13" s="151">
        <v>2.5000000000000001E-3</v>
      </c>
      <c r="H13" s="147">
        <f t="shared" si="1"/>
        <v>2.5000000000000001E-3</v>
      </c>
      <c r="I13" s="150">
        <f>IF(SUM(Checklist!B150,Checklist!B159,Checklist!B166,Checklist!B173,Checklist!B179,Checklist!B185)=0,H13*($H$30+$H$3+$H$18+$H$40)/($H$3+$H$18+$H$40),H13)</f>
        <v>2.8353768481788675E-3</v>
      </c>
      <c r="J13" s="147">
        <f>IF(SUM(Checklist!B562,Checklist!B569,Checklist!B575,Checklist!B583,Checklist!B588)=0,I13*($I$3+$I$18+$I$30+$I$40+$I$113)/($I$3+$I$18+$I$30+$I$40),I13)</f>
        <v>3.3207116239932681E-3</v>
      </c>
      <c r="K13" s="147">
        <f t="shared" si="3"/>
        <v>3.3207116239932681E-3</v>
      </c>
      <c r="L13" s="181">
        <f t="shared" si="3"/>
        <v>3.3207116239932681E-3</v>
      </c>
      <c r="M13" s="148"/>
      <c r="N13" s="194">
        <f>L13</f>
        <v>3.3207116239932681E-3</v>
      </c>
      <c r="O13" s="148"/>
      <c r="P13" s="164">
        <f>N13/$N$2</f>
        <v>4.7887905032000383E-3</v>
      </c>
      <c r="U13" s="190">
        <f t="shared" si="2"/>
        <v>4.1666666666666664E-2</v>
      </c>
    </row>
    <row r="14" spans="1:28" outlineLevel="2" x14ac:dyDescent="0.25">
      <c r="A14" s="160"/>
      <c r="D14" s="142" t="s">
        <v>766</v>
      </c>
      <c r="E14" s="142" t="s">
        <v>767</v>
      </c>
      <c r="F14" s="147">
        <v>0.01</v>
      </c>
      <c r="H14" s="147">
        <f>F14</f>
        <v>0.01</v>
      </c>
      <c r="I14" s="150">
        <f>IF(SUM(Checklist!B150,Checklist!B159,Checklist!B166,Checklist!B173,Checklist!B179,Checklist!B185)=0,H14*($H$30+$H$3+$H$18+$H$40)/($H$3+$H$18+$H$40),H14)</f>
        <v>1.134150739271547E-2</v>
      </c>
      <c r="J14" s="147">
        <f>IF(SUM(Checklist!B562,Checklist!B569,Checklist!B575,Checklist!B583,Checklist!B588)=0,I14*($I$3+$I$18+$I$30+$I$40+$I$113)/($I$3+$I$18+$I$30+$I$40),I14)</f>
        <v>1.3282846495973073E-2</v>
      </c>
      <c r="K14" s="147">
        <f t="shared" si="3"/>
        <v>1.3282846495973073E-2</v>
      </c>
      <c r="L14" s="181">
        <f>K14</f>
        <v>1.3282846495973073E-2</v>
      </c>
      <c r="M14" s="148"/>
      <c r="N14" s="194">
        <f>L14</f>
        <v>1.3282846495973073E-2</v>
      </c>
      <c r="O14" s="148"/>
      <c r="P14" s="164">
        <f t="shared" si="4"/>
        <v>1.9155162012800153E-2</v>
      </c>
      <c r="R14" s="493"/>
      <c r="S14" s="493"/>
      <c r="U14" s="190">
        <f t="shared" si="2"/>
        <v>0.16666666666666666</v>
      </c>
    </row>
    <row r="15" spans="1:28" outlineLevel="2" x14ac:dyDescent="0.25">
      <c r="A15" s="160"/>
      <c r="D15" s="142" t="s">
        <v>768</v>
      </c>
      <c r="E15" s="142" t="s">
        <v>769</v>
      </c>
      <c r="F15" s="147">
        <v>0.02</v>
      </c>
      <c r="H15" s="147">
        <f>F15</f>
        <v>0.02</v>
      </c>
      <c r="I15" s="150">
        <f>IF(SUM(Checklist!B150,Checklist!B159,Checklist!B166,Checklist!B173,Checklist!B179,Checklist!B185)=0,H15*($H$30+$H$3+$H$18+$H$40)/($H$3+$H$18+$H$40),H15)</f>
        <v>2.268301478543094E-2</v>
      </c>
      <c r="J15" s="147">
        <f>IF(SUM(Checklist!B562,Checklist!B569,Checklist!B575,Checklist!B583,Checklist!B588)=0,I15*($I$3+$I$18+$I$30+$I$40+$I$113)/($I$3+$I$18+$I$30+$I$40),I15)</f>
        <v>2.6565692991946145E-2</v>
      </c>
      <c r="K15" s="147">
        <f t="shared" si="3"/>
        <v>2.6565692991946145E-2</v>
      </c>
      <c r="L15" s="181">
        <f t="shared" si="3"/>
        <v>2.6565692991946145E-2</v>
      </c>
      <c r="M15" s="148"/>
      <c r="N15" s="194">
        <f>L15*Checklist!B69</f>
        <v>0</v>
      </c>
      <c r="O15" s="148"/>
      <c r="P15" s="164">
        <f>N15/$N$2</f>
        <v>0</v>
      </c>
      <c r="R15" s="139"/>
      <c r="S15" s="139"/>
      <c r="U15" s="190">
        <f t="shared" si="2"/>
        <v>0.33333333333333331</v>
      </c>
    </row>
    <row r="16" spans="1:28" outlineLevel="2" x14ac:dyDescent="0.25">
      <c r="A16" s="160"/>
      <c r="D16" s="142" t="s">
        <v>770</v>
      </c>
      <c r="E16" s="142" t="s">
        <v>771</v>
      </c>
      <c r="F16" s="147">
        <v>0.01</v>
      </c>
      <c r="H16" s="147">
        <f>F16</f>
        <v>0.01</v>
      </c>
      <c r="I16" s="150">
        <f>IF(SUM(Checklist!B150,Checklist!B159,Checklist!B166,Checklist!B173,Checklist!B179,Checklist!B185)=0,H16*($H$30+$H$3+$H$18+$H$40)/($H$3+$H$18+$H$40),H16)</f>
        <v>1.134150739271547E-2</v>
      </c>
      <c r="J16" s="147">
        <f>IF(SUM(Checklist!B562,Checklist!B569,Checklist!B575,Checklist!B583,Checklist!B588)=0,I16*($I$3+$I$18+$I$30+$I$40+$I$113)/($I$3+$I$18+$I$30+$I$40),I16)</f>
        <v>1.3282846495973073E-2</v>
      </c>
      <c r="K16" s="147">
        <f t="shared" si="3"/>
        <v>1.3282846495973073E-2</v>
      </c>
      <c r="L16" s="181">
        <f t="shared" si="3"/>
        <v>1.3282846495973073E-2</v>
      </c>
      <c r="M16" s="148"/>
      <c r="N16" s="194">
        <f>L16</f>
        <v>1.3282846495973073E-2</v>
      </c>
      <c r="O16" s="148"/>
      <c r="P16" s="164">
        <f>N16/$N$2</f>
        <v>1.9155162012800153E-2</v>
      </c>
      <c r="U16" s="190">
        <f t="shared" si="2"/>
        <v>0.16666666666666666</v>
      </c>
    </row>
    <row r="17" spans="1:21" x14ac:dyDescent="0.25">
      <c r="A17" s="160"/>
      <c r="B17" s="7">
        <v>2</v>
      </c>
      <c r="C17" s="180" t="s">
        <v>22</v>
      </c>
      <c r="D17" s="180"/>
      <c r="E17" s="180"/>
      <c r="F17" s="176">
        <f>F18+F23</f>
        <v>7.9999999999999988E-2</v>
      </c>
      <c r="G17" s="167"/>
      <c r="H17" s="176">
        <f>H18+H23</f>
        <v>3.9999999999999994E-2</v>
      </c>
      <c r="I17" s="176">
        <f>I18+I23</f>
        <v>3.9999999999999994E-2</v>
      </c>
      <c r="J17" s="176">
        <f>J18+J23</f>
        <v>3.9999999999999994E-2</v>
      </c>
      <c r="K17" s="176">
        <f>K18+K23</f>
        <v>3.9999999999999994E-2</v>
      </c>
      <c r="L17" s="176">
        <f>L18+L23</f>
        <v>3.9999999999999994E-2</v>
      </c>
      <c r="M17" s="148"/>
      <c r="N17" s="176">
        <f>N18+N23</f>
        <v>0</v>
      </c>
      <c r="O17" s="148"/>
      <c r="P17" s="176">
        <f>P18+P23</f>
        <v>0</v>
      </c>
      <c r="Q17" s="172"/>
      <c r="R17" s="167"/>
      <c r="S17" s="167"/>
      <c r="T17" s="167"/>
    </row>
    <row r="18" spans="1:21" outlineLevel="1" x14ac:dyDescent="0.25">
      <c r="A18" s="160"/>
      <c r="C18" s="31" t="s">
        <v>772</v>
      </c>
      <c r="D18" s="31" t="s">
        <v>773</v>
      </c>
      <c r="E18" s="31"/>
      <c r="F18" s="169">
        <f>SUM(F19:F22)</f>
        <v>0.04</v>
      </c>
      <c r="G18" s="170"/>
      <c r="H18" s="169">
        <f>SUM(H19:H22)</f>
        <v>0</v>
      </c>
      <c r="I18" s="169">
        <f>SUM(I19:I22)</f>
        <v>0</v>
      </c>
      <c r="J18" s="169">
        <f>SUM(J19:J22)</f>
        <v>0</v>
      </c>
      <c r="K18" s="169">
        <f>SUM(K19:K22)</f>
        <v>0</v>
      </c>
      <c r="L18" s="169">
        <f>SUM(L19:L22)</f>
        <v>0</v>
      </c>
      <c r="M18" s="148"/>
      <c r="N18" s="169">
        <f>SUM(N19:N22)</f>
        <v>0</v>
      </c>
      <c r="O18" s="148"/>
      <c r="P18" s="169">
        <f>SUM(P19:P22)</f>
        <v>0</v>
      </c>
      <c r="Q18" s="141"/>
      <c r="U18" s="155">
        <f>F18/F17</f>
        <v>0.50000000000000011</v>
      </c>
    </row>
    <row r="19" spans="1:21" outlineLevel="2" x14ac:dyDescent="0.25">
      <c r="A19" s="160"/>
      <c r="C19" s="192"/>
      <c r="D19" s="142" t="s">
        <v>774</v>
      </c>
      <c r="E19" s="142" t="s">
        <v>775</v>
      </c>
      <c r="F19" s="147">
        <v>0.01</v>
      </c>
      <c r="H19" s="147">
        <f>Checklist!B88*$F19</f>
        <v>0</v>
      </c>
      <c r="I19" s="150">
        <f>IF(SUM(Checklist!B150,Checklist!B159,Checklist!B166,Checklist!B173,Checklist!B179,Checklist!B185)=0,H19*($H$30+$H$3+$H$18+$H$40)/($H$3+$H$18+$H$40),H19)</f>
        <v>0</v>
      </c>
      <c r="J19" s="147">
        <f>IF(SUM(Checklist!B562,Checklist!B569,Checklist!B575,Checklist!B583,Checklist!B588)=0,I19*($I$3+$I$18+$I$30+$I$40+$I$113)/($I$3+$I$18+$I$30+$I$40),I19)</f>
        <v>0</v>
      </c>
      <c r="K19" s="147">
        <f>J19</f>
        <v>0</v>
      </c>
      <c r="L19" s="181">
        <f>K19</f>
        <v>0</v>
      </c>
      <c r="M19" s="148"/>
      <c r="N19" s="194">
        <f>L19</f>
        <v>0</v>
      </c>
      <c r="O19" s="148"/>
      <c r="P19" s="164">
        <f>N19/$N$2</f>
        <v>0</v>
      </c>
      <c r="Q19" s="141"/>
      <c r="U19" s="156">
        <f>F19/$F$18</f>
        <v>0.25</v>
      </c>
    </row>
    <row r="20" spans="1:21" outlineLevel="2" x14ac:dyDescent="0.25">
      <c r="A20" s="160"/>
      <c r="C20" s="192"/>
      <c r="D20" s="142" t="s">
        <v>776</v>
      </c>
      <c r="E20" s="142" t="s">
        <v>777</v>
      </c>
      <c r="F20" s="147">
        <v>1.4999999999999999E-2</v>
      </c>
      <c r="H20" s="147">
        <f>Checklist!B95*$F20</f>
        <v>0</v>
      </c>
      <c r="I20" s="150">
        <f>IF(SUM(Checklist!B150,Checklist!B159,Checklist!B166,Checklist!B173,Checklist!B179,Checklist!B185)=0,H20*($H$30+$H$3+$H$18+$H$40)/($H$3+$H$18+$H$40),H20)</f>
        <v>0</v>
      </c>
      <c r="J20" s="147">
        <f>IF(SUM(Checklist!B562,Checklist!B569,Checklist!B575,Checklist!B583,Checklist!B588)=0,I20*($I$3+$I$18+$I$30+$I$40+$I$113)/($I$3+$I$18+$I$30+$I$40),I20)</f>
        <v>0</v>
      </c>
      <c r="K20" s="147">
        <f t="shared" ref="K20:L22" si="5">J20</f>
        <v>0</v>
      </c>
      <c r="L20" s="181">
        <f>K20</f>
        <v>0</v>
      </c>
      <c r="M20" s="148"/>
      <c r="N20" s="194">
        <f t="shared" ref="N20:N21" si="6">L20</f>
        <v>0</v>
      </c>
      <c r="O20" s="148"/>
      <c r="P20" s="164">
        <f t="shared" ref="P20:P22" si="7">N20/$N$2</f>
        <v>0</v>
      </c>
      <c r="Q20" s="141"/>
      <c r="U20" s="156">
        <f>F20/$F$18</f>
        <v>0.375</v>
      </c>
    </row>
    <row r="21" spans="1:21" ht="14.65" customHeight="1" outlineLevel="2" x14ac:dyDescent="0.25">
      <c r="A21" s="160"/>
      <c r="C21" s="192"/>
      <c r="D21" s="142" t="s">
        <v>778</v>
      </c>
      <c r="E21" s="142" t="s">
        <v>779</v>
      </c>
      <c r="F21" s="147">
        <v>5.0000000000000001E-3</v>
      </c>
      <c r="H21" s="147">
        <f>Checklist!B102*$F21</f>
        <v>0</v>
      </c>
      <c r="I21" s="150">
        <f>IF(SUM(Checklist!B150,Checklist!B159,Checklist!B166,Checklist!B173,Checklist!B179,Checklist!B185)=0,H21*($H$30+$H$3+$H$18+$H$40)/($H$3+$H$18+$H$40),H21)</f>
        <v>0</v>
      </c>
      <c r="J21" s="147">
        <f>IF(SUM(Checklist!B562,Checklist!B569,Checklist!B575,Checklist!B583,Checklist!B588)=0,I21*($I$3+$I$18+$I$30+$I$40+$I$113)/($I$3+$I$18+$I$30+$I$40),I21)</f>
        <v>0</v>
      </c>
      <c r="K21" s="147">
        <f t="shared" si="5"/>
        <v>0</v>
      </c>
      <c r="L21" s="181">
        <f t="shared" si="5"/>
        <v>0</v>
      </c>
      <c r="M21" s="148"/>
      <c r="N21" s="194">
        <f t="shared" si="6"/>
        <v>0</v>
      </c>
      <c r="O21" s="148"/>
      <c r="P21" s="164">
        <f t="shared" si="7"/>
        <v>0</v>
      </c>
      <c r="Q21" s="141"/>
      <c r="U21" s="156">
        <f>F21/$F$18</f>
        <v>0.125</v>
      </c>
    </row>
    <row r="22" spans="1:21" outlineLevel="2" x14ac:dyDescent="0.25">
      <c r="A22" s="160"/>
      <c r="C22" s="192"/>
      <c r="D22" s="142" t="s">
        <v>780</v>
      </c>
      <c r="E22" s="142" t="s">
        <v>769</v>
      </c>
      <c r="F22" s="147">
        <v>0.01</v>
      </c>
      <c r="H22" s="147">
        <f>Checklist!B102*$F22</f>
        <v>0</v>
      </c>
      <c r="I22" s="150">
        <f>IF(SUM(Checklist!B150,Checklist!B159,Checklist!B166,Checklist!B173,Checklist!B179,Checklist!B185)=0,H22*($H$30+$H$3+$H$18+$H$40)/($H$3+$H$18+$H$40),H22)</f>
        <v>0</v>
      </c>
      <c r="J22" s="147">
        <f>IF(SUM(Checklist!B562,Checklist!B569,Checklist!B575,Checklist!B583,Checklist!B588)=0,I22*($I$3+$I$18+$I$30+$I$40+$I$113)/($I$3+$I$18+$I$30+$I$40),I22)</f>
        <v>0</v>
      </c>
      <c r="K22" s="147">
        <f t="shared" si="5"/>
        <v>0</v>
      </c>
      <c r="L22" s="181">
        <f t="shared" si="5"/>
        <v>0</v>
      </c>
      <c r="M22" s="148"/>
      <c r="N22" s="194">
        <f>Checklist!B109*L22</f>
        <v>0</v>
      </c>
      <c r="O22" s="148"/>
      <c r="P22" s="164">
        <f t="shared" si="7"/>
        <v>0</v>
      </c>
      <c r="Q22" s="141"/>
      <c r="U22" s="156">
        <f>F22/$F$18</f>
        <v>0.25</v>
      </c>
    </row>
    <row r="23" spans="1:21" outlineLevel="1" x14ac:dyDescent="0.25">
      <c r="A23" s="160"/>
      <c r="C23" s="31" t="s">
        <v>781</v>
      </c>
      <c r="D23" s="31" t="str">
        <f>'Folha de cálculo'!D115</f>
        <v>Infraestruturas verdes e azuis</v>
      </c>
      <c r="E23" s="31"/>
      <c r="F23" s="169">
        <f>SUM(F24:F28)</f>
        <v>3.9999999999999994E-2</v>
      </c>
      <c r="G23" s="188"/>
      <c r="H23" s="169">
        <f>SUM(H24:H28)</f>
        <v>3.9999999999999994E-2</v>
      </c>
      <c r="I23" s="169">
        <f>SUM(I24:I28)</f>
        <v>3.9999999999999994E-2</v>
      </c>
      <c r="J23" s="169">
        <f>SUM(J24:J28)</f>
        <v>3.9999999999999994E-2</v>
      </c>
      <c r="K23" s="169">
        <f>SUM(K24:K28)</f>
        <v>3.9999999999999994E-2</v>
      </c>
      <c r="L23" s="169">
        <f>SUM(L24:L28)</f>
        <v>3.9999999999999994E-2</v>
      </c>
      <c r="M23" s="148"/>
      <c r="N23" s="169">
        <f>SUM(N24:N28)</f>
        <v>0</v>
      </c>
      <c r="O23" s="148"/>
      <c r="P23" s="169">
        <f>SUM(P24:P28)</f>
        <v>0</v>
      </c>
      <c r="Q23" s="171"/>
      <c r="R23" s="170"/>
      <c r="S23" s="170"/>
      <c r="U23" s="155">
        <f>F23/F17</f>
        <v>0.5</v>
      </c>
    </row>
    <row r="24" spans="1:21" outlineLevel="2" x14ac:dyDescent="0.25">
      <c r="A24" s="160"/>
      <c r="B24" s="159"/>
      <c r="D24" s="142" t="s">
        <v>782</v>
      </c>
      <c r="E24" s="142" t="s">
        <v>783</v>
      </c>
      <c r="F24" s="147">
        <v>0.01</v>
      </c>
      <c r="H24" s="147">
        <f>F24</f>
        <v>0.01</v>
      </c>
      <c r="I24" s="147">
        <f>H24</f>
        <v>0.01</v>
      </c>
      <c r="J24" s="147">
        <f>I24</f>
        <v>0.01</v>
      </c>
      <c r="K24" s="147">
        <f>J24</f>
        <v>0.01</v>
      </c>
      <c r="L24" s="181">
        <f>K24</f>
        <v>0.01</v>
      </c>
      <c r="M24" s="148"/>
      <c r="N24" s="194">
        <f>L24*Checklist!B116</f>
        <v>0</v>
      </c>
      <c r="O24" s="148"/>
      <c r="P24" s="164">
        <f>N24/$N$2</f>
        <v>0</v>
      </c>
      <c r="U24" s="156">
        <f>F24/$F$23</f>
        <v>0.25000000000000006</v>
      </c>
    </row>
    <row r="25" spans="1:21" outlineLevel="2" x14ac:dyDescent="0.25">
      <c r="A25" s="160"/>
      <c r="B25" s="159"/>
      <c r="D25" s="142" t="s">
        <v>784</v>
      </c>
      <c r="E25" s="142" t="s">
        <v>785</v>
      </c>
      <c r="F25" s="147">
        <v>0.01</v>
      </c>
      <c r="H25" s="147">
        <f>F25</f>
        <v>0.01</v>
      </c>
      <c r="I25" s="147">
        <f t="shared" ref="I25:L28" si="8">H25</f>
        <v>0.01</v>
      </c>
      <c r="J25" s="147">
        <f t="shared" si="8"/>
        <v>0.01</v>
      </c>
      <c r="K25" s="147">
        <f>J25</f>
        <v>0.01</v>
      </c>
      <c r="L25" s="181">
        <f>K25</f>
        <v>0.01</v>
      </c>
      <c r="M25" s="148"/>
      <c r="N25" s="194">
        <f>L25*Checklist!B122</f>
        <v>0</v>
      </c>
      <c r="O25" s="148"/>
      <c r="P25" s="164">
        <f t="shared" ref="P25:P28" si="9">N25/$N$2</f>
        <v>0</v>
      </c>
      <c r="U25" s="156">
        <f>F25/$F$23</f>
        <v>0.25000000000000006</v>
      </c>
    </row>
    <row r="26" spans="1:21" outlineLevel="2" x14ac:dyDescent="0.25">
      <c r="A26" s="160"/>
      <c r="B26" s="159"/>
      <c r="D26" s="142" t="s">
        <v>786</v>
      </c>
      <c r="E26" s="142" t="s">
        <v>787</v>
      </c>
      <c r="F26" s="147">
        <v>0.01</v>
      </c>
      <c r="H26" s="147">
        <f>F26</f>
        <v>0.01</v>
      </c>
      <c r="I26" s="147">
        <f t="shared" ref="I26:J26" si="10">H26</f>
        <v>0.01</v>
      </c>
      <c r="J26" s="147">
        <f t="shared" si="10"/>
        <v>0.01</v>
      </c>
      <c r="K26" s="147">
        <f t="shared" si="8"/>
        <v>0.01</v>
      </c>
      <c r="L26" s="181">
        <f>K26</f>
        <v>0.01</v>
      </c>
      <c r="M26" s="148"/>
      <c r="N26" s="194">
        <f>L26*Checklist!B127</f>
        <v>0</v>
      </c>
      <c r="O26" s="148"/>
      <c r="P26" s="164">
        <f t="shared" si="9"/>
        <v>0</v>
      </c>
      <c r="U26" s="156">
        <f>F26/$F$23</f>
        <v>0.25000000000000006</v>
      </c>
    </row>
    <row r="27" spans="1:21" outlineLevel="2" x14ac:dyDescent="0.25">
      <c r="A27" s="160"/>
      <c r="B27" s="159"/>
      <c r="D27" s="142" t="s">
        <v>788</v>
      </c>
      <c r="E27" s="142" t="s">
        <v>789</v>
      </c>
      <c r="F27" s="147">
        <v>5.0000000000000001E-3</v>
      </c>
      <c r="H27" s="147">
        <f>F27</f>
        <v>5.0000000000000001E-3</v>
      </c>
      <c r="I27" s="147">
        <f t="shared" ref="I27:J27" si="11">H27</f>
        <v>5.0000000000000001E-3</v>
      </c>
      <c r="J27" s="147">
        <f t="shared" si="11"/>
        <v>5.0000000000000001E-3</v>
      </c>
      <c r="K27" s="147">
        <f t="shared" si="8"/>
        <v>5.0000000000000001E-3</v>
      </c>
      <c r="L27" s="181">
        <f t="shared" si="8"/>
        <v>5.0000000000000001E-3</v>
      </c>
      <c r="M27" s="148"/>
      <c r="N27" s="194">
        <f>L27*Checklist!B133</f>
        <v>0</v>
      </c>
      <c r="O27" s="148"/>
      <c r="P27" s="164">
        <f t="shared" si="9"/>
        <v>0</v>
      </c>
      <c r="U27" s="156">
        <f>F27/$F$23</f>
        <v>0.12500000000000003</v>
      </c>
    </row>
    <row r="28" spans="1:21" outlineLevel="2" x14ac:dyDescent="0.25">
      <c r="A28" s="160"/>
      <c r="B28" s="159"/>
      <c r="D28" s="142" t="s">
        <v>790</v>
      </c>
      <c r="E28" s="142" t="s">
        <v>791</v>
      </c>
      <c r="F28" s="147">
        <v>5.0000000000000001E-3</v>
      </c>
      <c r="H28" s="147">
        <f>F28</f>
        <v>5.0000000000000001E-3</v>
      </c>
      <c r="I28" s="147">
        <f t="shared" ref="I28:J28" si="12">H28</f>
        <v>5.0000000000000001E-3</v>
      </c>
      <c r="J28" s="147">
        <f t="shared" si="12"/>
        <v>5.0000000000000001E-3</v>
      </c>
      <c r="K28" s="147">
        <f t="shared" si="8"/>
        <v>5.0000000000000001E-3</v>
      </c>
      <c r="L28" s="181">
        <f t="shared" si="8"/>
        <v>5.0000000000000001E-3</v>
      </c>
      <c r="M28" s="148"/>
      <c r="N28" s="194">
        <f>L28*Checklist!B141</f>
        <v>0</v>
      </c>
      <c r="O28" s="148"/>
      <c r="P28" s="164">
        <f t="shared" si="9"/>
        <v>0</v>
      </c>
      <c r="U28" s="156">
        <f>F28/$F$23</f>
        <v>0.12500000000000003</v>
      </c>
    </row>
    <row r="29" spans="1:21" x14ac:dyDescent="0.25">
      <c r="A29" s="159"/>
      <c r="B29" s="7">
        <v>3</v>
      </c>
      <c r="C29" s="180" t="s">
        <v>1730</v>
      </c>
      <c r="D29" s="180"/>
      <c r="E29" s="180"/>
      <c r="F29" s="176">
        <f>F30+F37</f>
        <v>8.4999999999999992E-2</v>
      </c>
      <c r="G29" s="167"/>
      <c r="H29" s="176">
        <f>H30+H37</f>
        <v>9.0647058823529414E-2</v>
      </c>
      <c r="I29" s="176">
        <f>I30+I37</f>
        <v>2.5000000000000001E-2</v>
      </c>
      <c r="J29" s="176">
        <f>J30+J37</f>
        <v>2.5000000000000001E-2</v>
      </c>
      <c r="K29" s="176">
        <f>K30+K37</f>
        <v>2.5000000000000001E-2</v>
      </c>
      <c r="L29" s="176">
        <f>L30+L37</f>
        <v>2.5000000000000001E-2</v>
      </c>
      <c r="M29" s="148"/>
      <c r="N29" s="176">
        <f>N30+N37</f>
        <v>0</v>
      </c>
      <c r="O29" s="148"/>
      <c r="P29" s="176">
        <f>P30+P37</f>
        <v>0</v>
      </c>
      <c r="Q29" s="172"/>
      <c r="R29" s="167"/>
      <c r="S29" s="167"/>
    </row>
    <row r="30" spans="1:21" outlineLevel="1" x14ac:dyDescent="0.25">
      <c r="A30" s="161"/>
      <c r="C30" s="31" t="s">
        <v>792</v>
      </c>
      <c r="D30" s="31" t="s">
        <v>793</v>
      </c>
      <c r="E30" s="31"/>
      <c r="F30" s="169">
        <f>SUM(F31:F36)</f>
        <v>0.06</v>
      </c>
      <c r="G30" s="170"/>
      <c r="H30" s="169">
        <f>SUM(H31:H36)</f>
        <v>6.5647058823529406E-2</v>
      </c>
      <c r="I30" s="169">
        <f>SUM(I31:I36)</f>
        <v>0</v>
      </c>
      <c r="J30" s="169">
        <f>SUM(J31:J36)</f>
        <v>0</v>
      </c>
      <c r="K30" s="169">
        <f>SUM(K31:K36)</f>
        <v>0</v>
      </c>
      <c r="L30" s="169">
        <f>SUM(L31:L36)</f>
        <v>0</v>
      </c>
      <c r="M30" s="148"/>
      <c r="N30" s="169">
        <f>SUM(N31:N36)</f>
        <v>0</v>
      </c>
      <c r="O30" s="148"/>
      <c r="P30" s="169">
        <f>SUM(P31:P36)</f>
        <v>0</v>
      </c>
      <c r="Q30" s="141"/>
      <c r="U30" s="155">
        <f>F30/F29</f>
        <v>0.70588235294117652</v>
      </c>
    </row>
    <row r="31" spans="1:21" outlineLevel="2" x14ac:dyDescent="0.25">
      <c r="A31" s="160"/>
      <c r="D31" s="142" t="s">
        <v>794</v>
      </c>
      <c r="E31" s="142" t="s">
        <v>789</v>
      </c>
      <c r="F31" s="147">
        <v>0.02</v>
      </c>
      <c r="H31" s="147">
        <f>IF(SUM(Checklist!B88,Checklist!B95,Checklist!B102,Checklist!B109)=0,(F31*($F$18+$F$30+$F$40))/($F$30+$F$40),F31)</f>
        <v>2.1882352941176471E-2</v>
      </c>
      <c r="I31" s="147">
        <f>H31*Checklist!B150</f>
        <v>0</v>
      </c>
      <c r="J31" s="147">
        <f>IF(SUM(Checklist!B562,Checklist!B569,Checklist!B575,Checklist!B583,Checklist!B588)=0,I31*($I$3+$I$18+$I$30+$I$40+$I$113)/($I$3+$I$18+$I$30+$I$40),I31)</f>
        <v>0</v>
      </c>
      <c r="K31" s="147">
        <f>J31</f>
        <v>0</v>
      </c>
      <c r="L31" s="181">
        <f>K31</f>
        <v>0</v>
      </c>
      <c r="M31" s="148"/>
      <c r="N31" s="194">
        <f>L31</f>
        <v>0</v>
      </c>
      <c r="O31" s="148"/>
      <c r="P31" s="164">
        <f>N31/$N$2</f>
        <v>0</v>
      </c>
      <c r="Q31" s="141"/>
      <c r="U31" s="156">
        <f t="shared" ref="U31:U36" si="13">F31/$F$30</f>
        <v>0.33333333333333337</v>
      </c>
    </row>
    <row r="32" spans="1:21" outlineLevel="2" x14ac:dyDescent="0.25">
      <c r="A32" s="160"/>
      <c r="D32" s="142" t="s">
        <v>795</v>
      </c>
      <c r="E32" s="142" t="s">
        <v>796</v>
      </c>
      <c r="F32" s="147">
        <v>1.4999999999999999E-2</v>
      </c>
      <c r="H32" s="147">
        <f>IF(SUM(Checklist!B88,Checklist!B95,Checklist!B102,Checklist!B109)=0,(F32*($F$18+$F$30+$F$40))/($F$30+$F$40),F32)</f>
        <v>1.6411764705882351E-2</v>
      </c>
      <c r="I32" s="147">
        <f>H32*Checklist!B159</f>
        <v>0</v>
      </c>
      <c r="J32" s="147">
        <f>IF(SUM(Checklist!B562,Checklist!B569,Checklist!B575,Checklist!B583,Checklist!B588)=0,I32*($I$3+$I$18+$I$30+$I$40+$I$113)/($I$3+$I$18+$I$30+$I$40),I32)</f>
        <v>0</v>
      </c>
      <c r="K32" s="147">
        <f t="shared" ref="K32:L36" si="14">J32</f>
        <v>0</v>
      </c>
      <c r="L32" s="181">
        <f>K32</f>
        <v>0</v>
      </c>
      <c r="M32" s="148"/>
      <c r="N32" s="194">
        <f t="shared" ref="N32:N36" si="15">L32</f>
        <v>0</v>
      </c>
      <c r="O32" s="148"/>
      <c r="P32" s="164">
        <f>N32/$N$2</f>
        <v>0</v>
      </c>
      <c r="Q32" s="141"/>
      <c r="U32" s="156">
        <f t="shared" si="13"/>
        <v>0.25</v>
      </c>
    </row>
    <row r="33" spans="1:21" outlineLevel="2" x14ac:dyDescent="0.25">
      <c r="A33" s="160"/>
      <c r="D33" s="142" t="s">
        <v>797</v>
      </c>
      <c r="E33" s="142" t="s">
        <v>798</v>
      </c>
      <c r="F33" s="147">
        <v>0.01</v>
      </c>
      <c r="H33" s="147">
        <f>IF(SUM(Checklist!B88,Checklist!B95,Checklist!B102,Checklist!B109)=0,(F33*($F$18+$F$30+$F$40))/($F$30+$F$40),F33)</f>
        <v>1.0941176470588235E-2</v>
      </c>
      <c r="I33" s="147">
        <f>H33*Checklist!B159</f>
        <v>0</v>
      </c>
      <c r="J33" s="147">
        <f>IF(SUM(Checklist!B562,Checklist!B569,Checklist!B575,Checklist!B583,Checklist!B588)=0,I33*($I$3+$I$18+$I$30+$I$40+$I$113)/($I$3+$I$18+$I$30+$I$40),I33)</f>
        <v>0</v>
      </c>
      <c r="K33" s="147">
        <f t="shared" si="14"/>
        <v>0</v>
      </c>
      <c r="L33" s="181">
        <f t="shared" si="14"/>
        <v>0</v>
      </c>
      <c r="M33" s="148"/>
      <c r="N33" s="194">
        <f>L33*Checklist!B166</f>
        <v>0</v>
      </c>
      <c r="O33" s="148"/>
      <c r="P33" s="164">
        <f>N33/$N$2</f>
        <v>0</v>
      </c>
      <c r="Q33" s="141"/>
      <c r="U33" s="156">
        <f t="shared" si="13"/>
        <v>0.16666666666666669</v>
      </c>
    </row>
    <row r="34" spans="1:21" ht="14.65" customHeight="1" outlineLevel="2" x14ac:dyDescent="0.25">
      <c r="A34" s="160"/>
      <c r="D34" s="142" t="s">
        <v>799</v>
      </c>
      <c r="E34" s="142" t="s">
        <v>800</v>
      </c>
      <c r="F34" s="147">
        <v>5.0000000000000001E-3</v>
      </c>
      <c r="H34" s="147">
        <f>IF(SUM(Checklist!B88,Checklist!B95,Checklist!B102,Checklist!B109)=0,(F34*($F$18+$F$30+$F$40))/($F$30+$F$40),F34)</f>
        <v>5.4705882352941177E-3</v>
      </c>
      <c r="I34" s="147">
        <f>H34*Checklist!B173</f>
        <v>0</v>
      </c>
      <c r="J34" s="147">
        <f>IF(SUM(Checklist!B562,Checklist!B569,Checklist!B575,Checklist!B583,Checklist!B588)=0,I34*($I$3+$I$18+$I$30+$I$40+$I$113)/($I$3+$I$18+$I$30+$I$40),I34)</f>
        <v>0</v>
      </c>
      <c r="K34" s="147">
        <f t="shared" si="14"/>
        <v>0</v>
      </c>
      <c r="L34" s="181">
        <f t="shared" si="14"/>
        <v>0</v>
      </c>
      <c r="M34" s="148"/>
      <c r="N34" s="194">
        <f t="shared" si="15"/>
        <v>0</v>
      </c>
      <c r="O34" s="148"/>
      <c r="P34" s="164">
        <f t="shared" ref="P34:P39" si="16">N34/$N$2</f>
        <v>0</v>
      </c>
      <c r="Q34" s="141"/>
      <c r="U34" s="156">
        <f t="shared" si="13"/>
        <v>8.3333333333333343E-2</v>
      </c>
    </row>
    <row r="35" spans="1:21" ht="14.65" customHeight="1" outlineLevel="2" x14ac:dyDescent="0.25">
      <c r="A35" s="160"/>
      <c r="D35" s="142" t="s">
        <v>801</v>
      </c>
      <c r="E35" s="142" t="s">
        <v>802</v>
      </c>
      <c r="F35" s="147">
        <v>5.0000000000000001E-3</v>
      </c>
      <c r="H35" s="147">
        <f>IF(SUM(Checklist!B88,Checklist!B95,Checklist!B102,Checklist!B109)=0,(F35*($F$18+$F$30+$F$40))/($F$30+$F$40),F35)</f>
        <v>5.4705882352941177E-3</v>
      </c>
      <c r="I35" s="147">
        <f>H35*Checklist!B179</f>
        <v>0</v>
      </c>
      <c r="J35" s="147">
        <f>IF(SUM(Checklist!B562,Checklist!B569,Checklist!B575,Checklist!B583,Checklist!B588)=0,I35*($I$3+$I$18+$I$30+$I$40+$I$113)/($I$3+$I$18+$I$30+$I$40),I35)</f>
        <v>0</v>
      </c>
      <c r="K35" s="147">
        <f t="shared" si="14"/>
        <v>0</v>
      </c>
      <c r="L35" s="181">
        <f t="shared" si="14"/>
        <v>0</v>
      </c>
      <c r="M35" s="148"/>
      <c r="N35" s="194">
        <f t="shared" si="15"/>
        <v>0</v>
      </c>
      <c r="O35" s="148"/>
      <c r="P35" s="164">
        <f>N35/$N$2</f>
        <v>0</v>
      </c>
      <c r="Q35" s="141"/>
      <c r="U35" s="156">
        <f t="shared" si="13"/>
        <v>8.3333333333333343E-2</v>
      </c>
    </row>
    <row r="36" spans="1:21" outlineLevel="2" x14ac:dyDescent="0.25">
      <c r="A36" s="159"/>
      <c r="D36" s="142" t="s">
        <v>803</v>
      </c>
      <c r="E36" s="142" t="s">
        <v>804</v>
      </c>
      <c r="F36" s="147">
        <v>5.0000000000000001E-3</v>
      </c>
      <c r="H36" s="147">
        <f>IF(SUM(Checklist!B88,Checklist!B95,Checklist!B102,Checklist!B109)=0,(F36*($F$18+$F$30+$F$40))/($F$30+$F$40),F36)</f>
        <v>5.4705882352941177E-3</v>
      </c>
      <c r="I36" s="147">
        <f>H36*Checklist!B185</f>
        <v>0</v>
      </c>
      <c r="J36" s="147">
        <f>IF(SUM(Checklist!B562,Checklist!B569,Checklist!B575,Checklist!B583,Checklist!B588)=0,I36*($I$3+$I$18+$I$30+$I$40+$I$113)/($I$3+$I$18+$I$30+$I$40),I36)</f>
        <v>0</v>
      </c>
      <c r="K36" s="147">
        <f t="shared" si="14"/>
        <v>0</v>
      </c>
      <c r="L36" s="181">
        <f t="shared" si="14"/>
        <v>0</v>
      </c>
      <c r="M36" s="148"/>
      <c r="N36" s="194">
        <f t="shared" si="15"/>
        <v>0</v>
      </c>
      <c r="O36" s="148"/>
      <c r="P36" s="164">
        <f>N36/$N$2</f>
        <v>0</v>
      </c>
      <c r="Q36" s="141"/>
      <c r="U36" s="156">
        <f t="shared" si="13"/>
        <v>8.3333333333333343E-2</v>
      </c>
    </row>
    <row r="37" spans="1:21" outlineLevel="1" x14ac:dyDescent="0.25">
      <c r="A37" s="159"/>
      <c r="C37" s="31" t="s">
        <v>805</v>
      </c>
      <c r="D37" s="31" t="str">
        <f>'Folha de cálculo'!D192</f>
        <v>Jacuzzi's e banheiras de hidromassagem</v>
      </c>
      <c r="E37" s="31"/>
      <c r="F37" s="169">
        <f>SUM(F38:F39)</f>
        <v>2.5000000000000001E-2</v>
      </c>
      <c r="G37" s="188"/>
      <c r="H37" s="169">
        <f>SUM(H38:H39)</f>
        <v>2.5000000000000001E-2</v>
      </c>
      <c r="I37" s="169">
        <f>SUM(I38:I39)</f>
        <v>2.5000000000000001E-2</v>
      </c>
      <c r="J37" s="169">
        <f>SUM(J38:J39)</f>
        <v>2.5000000000000001E-2</v>
      </c>
      <c r="K37" s="169">
        <f>SUM(K38:K39)</f>
        <v>2.5000000000000001E-2</v>
      </c>
      <c r="L37" s="169">
        <f>SUM(L38:L39)</f>
        <v>2.5000000000000001E-2</v>
      </c>
      <c r="M37" s="178"/>
      <c r="N37" s="169">
        <f>SUM(N38:N39)</f>
        <v>0</v>
      </c>
      <c r="O37" s="178"/>
      <c r="P37" s="169">
        <f>SUM(P38:P39)</f>
        <v>0</v>
      </c>
      <c r="Q37" s="141"/>
      <c r="U37" s="155">
        <f>F37/F29</f>
        <v>0.29411764705882359</v>
      </c>
    </row>
    <row r="38" spans="1:21" outlineLevel="2" x14ac:dyDescent="0.25">
      <c r="A38" s="160"/>
      <c r="D38" s="142" t="s">
        <v>806</v>
      </c>
      <c r="E38" s="142" t="s">
        <v>807</v>
      </c>
      <c r="F38" s="147">
        <v>1.4999999999999999E-2</v>
      </c>
      <c r="H38" s="147">
        <f>F38</f>
        <v>1.4999999999999999E-2</v>
      </c>
      <c r="I38" s="147">
        <f t="shared" ref="I38:L39" si="17">H38</f>
        <v>1.4999999999999999E-2</v>
      </c>
      <c r="J38" s="147">
        <f t="shared" si="17"/>
        <v>1.4999999999999999E-2</v>
      </c>
      <c r="K38" s="147">
        <f t="shared" si="17"/>
        <v>1.4999999999999999E-2</v>
      </c>
      <c r="L38" s="147">
        <f t="shared" si="17"/>
        <v>1.4999999999999999E-2</v>
      </c>
      <c r="M38" s="148"/>
      <c r="N38" s="147">
        <f>L38*Checklist!B192</f>
        <v>0</v>
      </c>
      <c r="O38" s="148"/>
      <c r="P38" s="147">
        <f>N38/$N$2</f>
        <v>0</v>
      </c>
      <c r="Q38" s="141"/>
      <c r="U38" s="156">
        <f>F38/$F$37</f>
        <v>0.6</v>
      </c>
    </row>
    <row r="39" spans="1:21" outlineLevel="2" x14ac:dyDescent="0.25">
      <c r="A39" s="160"/>
      <c r="D39" s="142" t="s">
        <v>808</v>
      </c>
      <c r="E39" s="142" t="s">
        <v>809</v>
      </c>
      <c r="F39" s="147">
        <v>0.01</v>
      </c>
      <c r="H39" s="147">
        <f>F39</f>
        <v>0.01</v>
      </c>
      <c r="I39" s="147">
        <f t="shared" si="17"/>
        <v>0.01</v>
      </c>
      <c r="J39" s="147">
        <f t="shared" si="17"/>
        <v>0.01</v>
      </c>
      <c r="K39" s="147">
        <f t="shared" si="17"/>
        <v>0.01</v>
      </c>
      <c r="L39" s="147">
        <f t="shared" si="17"/>
        <v>0.01</v>
      </c>
      <c r="M39" s="148"/>
      <c r="N39" s="147">
        <f>L39*Checklist!B192</f>
        <v>0</v>
      </c>
      <c r="O39" s="148"/>
      <c r="P39" s="147">
        <f t="shared" si="16"/>
        <v>0</v>
      </c>
      <c r="Q39" s="141"/>
      <c r="U39" s="156">
        <f>F39/$F$37</f>
        <v>0.39999999999999997</v>
      </c>
    </row>
    <row r="40" spans="1:21" x14ac:dyDescent="0.25">
      <c r="A40" s="162"/>
      <c r="B40" s="7">
        <v>4</v>
      </c>
      <c r="C40" s="180" t="str">
        <f>'Folha de cálculo'!C206</f>
        <v>Unidades de alojamento</v>
      </c>
      <c r="D40" s="180"/>
      <c r="E40" s="173"/>
      <c r="F40" s="176">
        <f>F41+F47+F52+F58+F63+F69+F73</f>
        <v>0.36499999999999999</v>
      </c>
      <c r="G40" s="167"/>
      <c r="H40" s="176">
        <f>H41+H47+H52+H58+H63+H69+H73</f>
        <v>0.39935294117647052</v>
      </c>
      <c r="I40" s="176">
        <f>I41+I47+I52+I58+I63+I69+I73</f>
        <v>0.45292643346556083</v>
      </c>
      <c r="J40" s="176">
        <f>J41+J47+J52+J58+J63+J69+J73</f>
        <v>0.53045438153624236</v>
      </c>
      <c r="K40" s="176">
        <f>K41+K47+K52+K58+K63+K69+K73</f>
        <v>0.38149116480346196</v>
      </c>
      <c r="L40" s="176">
        <f>L41+L47+L52+L58+L63+L69+L73</f>
        <v>0.53045438153624236</v>
      </c>
      <c r="M40" s="179"/>
      <c r="N40" s="176">
        <f>N41+N47+N52+N58+N63+N69+N73</f>
        <v>0.53045438153624236</v>
      </c>
      <c r="O40" s="179"/>
      <c r="P40" s="176">
        <f>P41+P47+P52+P58+P63+P69+P73</f>
        <v>0.76496702885235446</v>
      </c>
      <c r="Q40" s="141"/>
    </row>
    <row r="41" spans="1:21" s="170" customFormat="1" ht="14.65" customHeight="1" outlineLevel="1" x14ac:dyDescent="0.25">
      <c r="A41" s="198"/>
      <c r="B41" s="165"/>
      <c r="C41" s="31" t="s">
        <v>811</v>
      </c>
      <c r="D41" s="31" t="s">
        <v>93</v>
      </c>
      <c r="E41" s="31"/>
      <c r="F41" s="169">
        <f>SUM(F42:F46)</f>
        <v>0.09</v>
      </c>
      <c r="H41" s="169">
        <f>SUM(H42:H46)</f>
        <v>9.8470588235294101E-2</v>
      </c>
      <c r="I41" s="169">
        <f>SUM(I42:I46)</f>
        <v>0.11168049044356293</v>
      </c>
      <c r="J41" s="169">
        <f>SUM(J42:J46)</f>
        <v>0.13079697078975838</v>
      </c>
      <c r="K41" s="169">
        <f>SUM(K42:K46)</f>
        <v>0.13079697078975838</v>
      </c>
      <c r="L41" s="169">
        <f>SUM(L42:L46)</f>
        <v>0.18187007366956881</v>
      </c>
      <c r="M41" s="178"/>
      <c r="N41" s="169">
        <f>SUM(N42:N46)</f>
        <v>0.18187007366956881</v>
      </c>
      <c r="O41" s="178"/>
      <c r="P41" s="169">
        <f>SUM(P42:P46)</f>
        <v>0.26227440989223583</v>
      </c>
      <c r="Q41" s="171"/>
      <c r="U41" s="199">
        <f>F41/F40</f>
        <v>0.24657534246575341</v>
      </c>
    </row>
    <row r="42" spans="1:21" outlineLevel="2" x14ac:dyDescent="0.25">
      <c r="D42" s="142" t="s">
        <v>1208</v>
      </c>
      <c r="E42" s="142" t="s">
        <v>810</v>
      </c>
      <c r="F42" s="147">
        <v>0.03</v>
      </c>
      <c r="H42" s="147">
        <f>IF(SUM(Checklist!B88,Checklist!B95,Checklist!B102,Checklist!B109)=0,(F42*($F$18+$F$30+$F$40))/($F$30+$F$40),F42)</f>
        <v>3.2823529411764703E-2</v>
      </c>
      <c r="I42" s="150">
        <f>IF(SUM(Checklist!B150,Checklist!B159,Checklist!B166,Checklist!B173,Checklist!B179,Checklist!B185)=0,H42*($H$30+$H$3+$H$18+$H$40)/($H$3+$H$18+$H$40),H42)</f>
        <v>3.7226830147854308E-2</v>
      </c>
      <c r="J42" s="147">
        <f>IF(SUM(Checklist!B562,Checklist!B569,Checklist!B575,Checklist!B583,Checklist!B588)=0,I42*($I$3+$I$18+$I$30+$I$40+$I$113)/($I$3+$I$18+$I$30+$I$40),I42)</f>
        <v>4.3598990263252792E-2</v>
      </c>
      <c r="K42" s="147">
        <f>J42</f>
        <v>4.3598990263252792E-2</v>
      </c>
      <c r="L42" s="147">
        <f>K42*$J$40/$K$40</f>
        <v>6.0623357889856268E-2</v>
      </c>
      <c r="M42" s="148"/>
      <c r="N42" s="147">
        <f>L42</f>
        <v>6.0623357889856268E-2</v>
      </c>
      <c r="O42" s="148"/>
      <c r="P42" s="147">
        <f>N42/$N$2</f>
        <v>8.7424803297411938E-2</v>
      </c>
      <c r="U42" s="156">
        <f>F42/$F$41</f>
        <v>0.33333333333333331</v>
      </c>
    </row>
    <row r="43" spans="1:21" outlineLevel="2" x14ac:dyDescent="0.25">
      <c r="D43" s="142" t="s">
        <v>1218</v>
      </c>
      <c r="E43" s="142" t="s">
        <v>1852</v>
      </c>
      <c r="F43" s="147">
        <v>0.03</v>
      </c>
      <c r="H43" s="147">
        <f>IF(SUM(Checklist!B88,Checklist!B95,Checklist!B102,Checklist!B109)=0,(F43*($F$18+$F$30+$F$40))/($F$30+$F$40),F43)</f>
        <v>3.2823529411764703E-2</v>
      </c>
      <c r="I43" s="150">
        <f>IF(SUM(Checklist!B150,Checklist!B159,Checklist!B166,Checklist!B173,Checklist!B179,Checklist!B185)=0,H43*($H$30+$H$3+$H$18+$H$40)/($H$3+$H$18+$H$40),H43)</f>
        <v>3.7226830147854308E-2</v>
      </c>
      <c r="J43" s="147">
        <f>IF(SUM(Checklist!B562,Checklist!B569,Checklist!B575,Checklist!B583,Checklist!B588)=0,I43*($I$3+$I$18+$I$30+$I$40+$I$113)/($I$3+$I$18+$I$30+$I$40),I43)</f>
        <v>4.3598990263252792E-2</v>
      </c>
      <c r="K43" s="147">
        <f t="shared" ref="K43:K46" si="18">J43</f>
        <v>4.3598990263252792E-2</v>
      </c>
      <c r="L43" s="147">
        <f>K43*$J$40/$K$40</f>
        <v>6.0623357889856268E-2</v>
      </c>
      <c r="M43" s="148"/>
      <c r="N43" s="147">
        <f t="shared" ref="N43:N46" si="19">L43</f>
        <v>6.0623357889856268E-2</v>
      </c>
      <c r="O43" s="148"/>
      <c r="P43" s="147">
        <f t="shared" ref="P43:P46" si="20">N43/$N$2</f>
        <v>8.7424803297411938E-2</v>
      </c>
      <c r="U43" s="156">
        <f>F43/$F$41</f>
        <v>0.33333333333333331</v>
      </c>
    </row>
    <row r="44" spans="1:21" outlineLevel="2" x14ac:dyDescent="0.25">
      <c r="D44" s="142" t="s">
        <v>1225</v>
      </c>
      <c r="E44" s="142" t="s">
        <v>812</v>
      </c>
      <c r="F44" s="147">
        <v>1.4999999999999999E-2</v>
      </c>
      <c r="H44" s="147">
        <f>IF(SUM(Checklist!B88,Checklist!B95,Checklist!B102,Checklist!B109)=0,(F44*($F$18+$F$30+$F$40))/($F$30+$F$40),F44)</f>
        <v>1.6411764705882351E-2</v>
      </c>
      <c r="I44" s="150">
        <f>IF(SUM(Checklist!B150,Checklist!B159,Checklist!B166,Checklist!B173,Checklist!B179,Checklist!B185)=0,H44*($H$30+$H$3+$H$18+$H$40)/($H$3+$H$18+$H$40),H44)</f>
        <v>1.8613415073927154E-2</v>
      </c>
      <c r="J44" s="147">
        <f>IF(SUM(Checklist!B562,Checklist!B569,Checklist!B575,Checklist!B583,Checklist!B588)=0,I44*($I$3+$I$18+$I$30+$I$40+$I$113)/($I$3+$I$18+$I$30+$I$40),I44)</f>
        <v>2.1799495131626396E-2</v>
      </c>
      <c r="K44" s="147">
        <f t="shared" si="18"/>
        <v>2.1799495131626396E-2</v>
      </c>
      <c r="L44" s="147">
        <f>K44*$J$40/$K$40</f>
        <v>3.0311678944928134E-2</v>
      </c>
      <c r="M44" s="148"/>
      <c r="N44" s="147">
        <f t="shared" si="19"/>
        <v>3.0311678944928134E-2</v>
      </c>
      <c r="O44" s="148"/>
      <c r="P44" s="147">
        <f t="shared" si="20"/>
        <v>4.3712401648705969E-2</v>
      </c>
      <c r="U44" s="156">
        <f>F44/$F$41</f>
        <v>0.16666666666666666</v>
      </c>
    </row>
    <row r="45" spans="1:21" outlineLevel="2" x14ac:dyDescent="0.25">
      <c r="D45" s="142" t="s">
        <v>1230</v>
      </c>
      <c r="E45" s="142" t="s">
        <v>55</v>
      </c>
      <c r="F45" s="147">
        <v>5.0000000000000001E-3</v>
      </c>
      <c r="H45" s="147">
        <f>IF(SUM(Checklist!B88,Checklist!B95,Checklist!B102,Checklist!B109)=0,(F45*($F$18+$F$30+$F$40))/($F$30+$F$40),F45)</f>
        <v>5.4705882352941177E-3</v>
      </c>
      <c r="I45" s="150">
        <f>IF(SUM(Checklist!B150,Checklist!B159,Checklist!B166,Checklist!B173,Checklist!B179,Checklist!B185)=0,H45*($H$30+$H$3+$H$18+$H$40)/($H$3+$H$18+$H$40),H45)</f>
        <v>6.2044716913090513E-3</v>
      </c>
      <c r="J45" s="147">
        <f>IF(SUM(Checklist!B562,Checklist!B569,Checklist!B575,Checklist!B583,Checklist!B588)=0,I45*($I$3+$I$18+$I$30+$I$40+$I$113)/($I$3+$I$18+$I$30+$I$40),I45)</f>
        <v>7.2664983772087978E-3</v>
      </c>
      <c r="K45" s="147">
        <f t="shared" si="18"/>
        <v>7.2664983772087978E-3</v>
      </c>
      <c r="L45" s="147">
        <f>K45*$J$40/$K$40</f>
        <v>1.010389298164271E-2</v>
      </c>
      <c r="M45" s="148"/>
      <c r="N45" s="147">
        <f t="shared" si="19"/>
        <v>1.010389298164271E-2</v>
      </c>
      <c r="O45" s="148"/>
      <c r="P45" s="147">
        <f t="shared" si="20"/>
        <v>1.4570800549568653E-2</v>
      </c>
      <c r="U45" s="156">
        <f>F45/$F$41</f>
        <v>5.5555555555555559E-2</v>
      </c>
    </row>
    <row r="46" spans="1:21" ht="14.65" customHeight="1" outlineLevel="2" x14ac:dyDescent="0.25">
      <c r="B46" s="170"/>
      <c r="D46" s="142" t="s">
        <v>1236</v>
      </c>
      <c r="E46" s="142" t="s">
        <v>813</v>
      </c>
      <c r="F46" s="147">
        <v>0.01</v>
      </c>
      <c r="H46" s="147">
        <f>IF(SUM(Checklist!B88,Checklist!B95,Checklist!B102,Checklist!B109)=0,(F46*($F$18+$F$30+$F$40))/($F$30+$F$40),F46)</f>
        <v>1.0941176470588235E-2</v>
      </c>
      <c r="I46" s="150">
        <f>IF(SUM(Checklist!B150,Checklist!B159,Checklist!B166,Checklist!B173,Checklist!B179,Checklist!B185)=0,H46*($H$30+$H$3+$H$18+$H$40)/($H$3+$H$18+$H$40),H46)</f>
        <v>1.2408943382618103E-2</v>
      </c>
      <c r="J46" s="147">
        <f>IF(SUM(Checklist!B562,Checklist!B569,Checklist!B575,Checklist!B583,Checklist!B588)=0,I46*($I$3+$I$18+$I$30+$I$40+$I$113)/($I$3+$I$18+$I$30+$I$40),I46)</f>
        <v>1.4532996754417596E-2</v>
      </c>
      <c r="K46" s="147">
        <f t="shared" si="18"/>
        <v>1.4532996754417596E-2</v>
      </c>
      <c r="L46" s="147">
        <f>K46*$J$40/$K$40</f>
        <v>2.0207785963285419E-2</v>
      </c>
      <c r="M46" s="148"/>
      <c r="N46" s="147">
        <f t="shared" si="19"/>
        <v>2.0207785963285419E-2</v>
      </c>
      <c r="O46" s="148"/>
      <c r="P46" s="147">
        <f t="shared" si="20"/>
        <v>2.9141601099137306E-2</v>
      </c>
      <c r="U46" s="156">
        <f>F46/$F$41</f>
        <v>0.11111111111111112</v>
      </c>
    </row>
    <row r="47" spans="1:21" s="188" customFormat="1" outlineLevel="1" x14ac:dyDescent="0.25">
      <c r="A47" s="139"/>
      <c r="B47" s="139"/>
      <c r="C47" s="31" t="s">
        <v>814</v>
      </c>
      <c r="D47" s="31" t="s">
        <v>41</v>
      </c>
      <c r="E47" s="31"/>
      <c r="F47" s="169">
        <f>SUM(F48:F51)</f>
        <v>0.08</v>
      </c>
      <c r="G47" s="140"/>
      <c r="H47" s="169">
        <f>SUM(H48:H51)</f>
        <v>8.7529411764705869E-2</v>
      </c>
      <c r="I47" s="169">
        <f>SUM(I48:I51)</f>
        <v>9.927154706094482E-2</v>
      </c>
      <c r="J47" s="169">
        <f>SUM(J48:J51)</f>
        <v>0.11626397403534078</v>
      </c>
      <c r="K47" s="169">
        <f>SUM(K48:K51)</f>
        <v>0.11626397403534078</v>
      </c>
      <c r="L47" s="169">
        <f>SUM(L48:L51)</f>
        <v>0.16166228770628338</v>
      </c>
      <c r="M47" s="148"/>
      <c r="N47" s="169">
        <f>SUM(N48:N51)</f>
        <v>0.16166228770628338</v>
      </c>
      <c r="O47" s="148"/>
      <c r="P47" s="169">
        <f>SUM(P48:P51)</f>
        <v>0.2331328087930985</v>
      </c>
      <c r="Q47" s="189"/>
      <c r="U47" s="202">
        <f>F47/$F$40</f>
        <v>0.21917808219178084</v>
      </c>
    </row>
    <row r="48" spans="1:21" outlineLevel="2" x14ac:dyDescent="0.25">
      <c r="C48" s="192"/>
      <c r="D48" s="142" t="s">
        <v>1244</v>
      </c>
      <c r="E48" s="142" t="s">
        <v>810</v>
      </c>
      <c r="F48" s="147">
        <v>0.03</v>
      </c>
      <c r="H48" s="147">
        <f>IF(SUM(Checklist!B88,Checklist!B95,Checklist!B102,Checklist!B109)=0,(F48*($F$18+$F$30+$F$40))/($F$30+$F$40),F48)</f>
        <v>3.2823529411764703E-2</v>
      </c>
      <c r="I48" s="150">
        <f>IF(SUM(Checklist!B150,Checklist!B159,Checklist!B166,Checklist!B173,Checklist!B179,Checklist!B185)=0,H48*($H$30+$H$3+$H$18+$H$40)/($H$3+$H$18+$H$40),H48)</f>
        <v>3.7226830147854308E-2</v>
      </c>
      <c r="J48" s="147">
        <f>IF(SUM(Checklist!B562,Checklist!B569,Checklist!B575,Checklist!B583,Checklist!B588)=0,I48*($I$3+$I$18+$I$30+$I$40+$I$113)/($I$3+$I$18+$I$30+$I$40),I48)</f>
        <v>4.3598990263252792E-2</v>
      </c>
      <c r="K48" s="147">
        <f>J48</f>
        <v>4.3598990263252792E-2</v>
      </c>
      <c r="L48" s="147">
        <f>K48*$J$40/$K$40</f>
        <v>6.0623357889856268E-2</v>
      </c>
      <c r="M48" s="148"/>
      <c r="N48" s="147">
        <f>L48</f>
        <v>6.0623357889856268E-2</v>
      </c>
      <c r="O48" s="148"/>
      <c r="P48" s="147">
        <f>N48/$N$2</f>
        <v>8.7424803297411938E-2</v>
      </c>
      <c r="U48" s="157">
        <f>F48/$F$47</f>
        <v>0.375</v>
      </c>
    </row>
    <row r="49" spans="1:22" outlineLevel="2" x14ac:dyDescent="0.25">
      <c r="C49" s="192"/>
      <c r="D49" s="142" t="s">
        <v>1253</v>
      </c>
      <c r="E49" s="142" t="s">
        <v>815</v>
      </c>
      <c r="F49" s="147">
        <v>0.03</v>
      </c>
      <c r="H49" s="147">
        <f>IF(SUM(Checklist!B88,Checklist!B95,Checklist!B102,Checklist!B109)=0,(F49*($F$18+$F$30+$F$40))/($F$30+$F$40),F49)</f>
        <v>3.2823529411764703E-2</v>
      </c>
      <c r="I49" s="150">
        <f>IF(SUM(Checklist!B150,Checklist!B159,Checklist!B166,Checklist!B173,Checklist!B179,Checklist!B185)=0,H49*($H$30+$H$3+$H$18+$H$40)/($H$3+$H$18+$H$40),H49)</f>
        <v>3.7226830147854308E-2</v>
      </c>
      <c r="J49" s="147">
        <f>IF(SUM(Checklist!B562,Checklist!B569,Checklist!B575,Checklist!B583,Checklist!B588)=0,I49*($I$3+$I$18+$I$30+$I$40+$I$113)/($I$3+$I$18+$I$30+$I$40),I49)</f>
        <v>4.3598990263252792E-2</v>
      </c>
      <c r="K49" s="147">
        <f t="shared" ref="K49:K51" si="21">J49</f>
        <v>4.3598990263252792E-2</v>
      </c>
      <c r="L49" s="147">
        <f>K49*$J$40/$K$40</f>
        <v>6.0623357889856268E-2</v>
      </c>
      <c r="M49" s="148"/>
      <c r="N49" s="147">
        <f t="shared" ref="N49:N51" si="22">L49</f>
        <v>6.0623357889856268E-2</v>
      </c>
      <c r="O49" s="148"/>
      <c r="P49" s="147">
        <f t="shared" ref="P49:P55" si="23">N49/$N$2</f>
        <v>8.7424803297411938E-2</v>
      </c>
      <c r="U49" s="157">
        <f>F49/$F$47</f>
        <v>0.375</v>
      </c>
    </row>
    <row r="50" spans="1:22" outlineLevel="2" x14ac:dyDescent="0.25">
      <c r="C50" s="192"/>
      <c r="D50" s="142" t="s">
        <v>1264</v>
      </c>
      <c r="E50" s="142" t="s">
        <v>812</v>
      </c>
      <c r="F50" s="147">
        <v>1.4999999999999999E-2</v>
      </c>
      <c r="H50" s="147">
        <f>IF(SUM(Checklist!B88,Checklist!B95,Checklist!B102,Checklist!B109)=0,(F50*($F$18+$F$30+$F$40))/($F$30+$F$40),F50)</f>
        <v>1.6411764705882351E-2</v>
      </c>
      <c r="I50" s="150">
        <f>IF(SUM(Checklist!B150,Checklist!B159,Checklist!B166,Checklist!B173,Checklist!B179,Checklist!B185)=0,H50*($H$30+$H$3+$H$18+$H$40)/($H$3+$H$18+$H$40),H50)</f>
        <v>1.8613415073927154E-2</v>
      </c>
      <c r="J50" s="147">
        <f>IF(SUM(Checklist!B562,Checklist!B569,Checklist!B575,Checklist!B583,Checklist!B588)=0,I50*($I$3+$I$18+$I$30+$I$40+$I$113)/($I$3+$I$18+$I$30+$I$40),I50)</f>
        <v>2.1799495131626396E-2</v>
      </c>
      <c r="K50" s="147">
        <f t="shared" si="21"/>
        <v>2.1799495131626396E-2</v>
      </c>
      <c r="L50" s="147">
        <f>K50*$J$40/$K$40</f>
        <v>3.0311678944928134E-2</v>
      </c>
      <c r="M50" s="148"/>
      <c r="N50" s="147">
        <f t="shared" si="22"/>
        <v>3.0311678944928134E-2</v>
      </c>
      <c r="O50" s="148"/>
      <c r="P50" s="147">
        <f t="shared" si="23"/>
        <v>4.3712401648705969E-2</v>
      </c>
      <c r="U50" s="157">
        <f>F50/$F$47</f>
        <v>0.1875</v>
      </c>
    </row>
    <row r="51" spans="1:22" ht="14.65" customHeight="1" outlineLevel="2" x14ac:dyDescent="0.25">
      <c r="C51" s="192"/>
      <c r="D51" s="142" t="s">
        <v>1269</v>
      </c>
      <c r="E51" s="142" t="s">
        <v>55</v>
      </c>
      <c r="F51" s="147">
        <v>5.0000000000000001E-3</v>
      </c>
      <c r="H51" s="147">
        <f>IF(SUM(Checklist!B88,Checklist!B95,Checklist!B102,Checklist!B109)=0,(F51*($F$18+$F$30+$F$40))/($F$30+$F$40),F51)</f>
        <v>5.4705882352941177E-3</v>
      </c>
      <c r="I51" s="150">
        <f>IF(SUM(Checklist!B150,Checklist!B159,Checklist!B166,Checklist!B173,Checklist!B179,Checklist!B185)=0,H51*($H$30+$H$3+$H$18+$H$40)/($H$3+$H$18+$H$40),H51)</f>
        <v>6.2044716913090513E-3</v>
      </c>
      <c r="J51" s="147">
        <f>IF(SUM(Checklist!B562,Checklist!B569,Checklist!B575,Checklist!B583,Checklist!B588)=0,I51*($I$3+$I$18+$I$30+$I$40+$I$113)/($I$3+$I$18+$I$30+$I$40),I51)</f>
        <v>7.2664983772087978E-3</v>
      </c>
      <c r="K51" s="147">
        <f t="shared" si="21"/>
        <v>7.2664983772087978E-3</v>
      </c>
      <c r="L51" s="147">
        <f>K51*$J$40/$K$40</f>
        <v>1.010389298164271E-2</v>
      </c>
      <c r="M51" s="148"/>
      <c r="N51" s="147">
        <f t="shared" si="22"/>
        <v>1.010389298164271E-2</v>
      </c>
      <c r="O51" s="148"/>
      <c r="P51" s="147">
        <f t="shared" si="23"/>
        <v>1.4570800549568653E-2</v>
      </c>
      <c r="U51" s="157">
        <f>F51/$F$47</f>
        <v>6.25E-2</v>
      </c>
    </row>
    <row r="52" spans="1:22" s="188" customFormat="1" outlineLevel="1" x14ac:dyDescent="0.25">
      <c r="A52" s="139"/>
      <c r="B52" s="140"/>
      <c r="C52" s="31" t="s">
        <v>816</v>
      </c>
      <c r="D52" s="31" t="s">
        <v>817</v>
      </c>
      <c r="E52" s="31"/>
      <c r="F52" s="169">
        <f>SUM(F53:F57)</f>
        <v>5.7500000000000002E-2</v>
      </c>
      <c r="G52" s="140"/>
      <c r="H52" s="169">
        <f>SUM(H53:H57)</f>
        <v>6.2911764705882348E-2</v>
      </c>
      <c r="I52" s="169">
        <f>SUM(I53:I57)</f>
        <v>7.1351424450054102E-2</v>
      </c>
      <c r="J52" s="169">
        <f>SUM(J53:J57)</f>
        <v>8.3564731337901196E-2</v>
      </c>
      <c r="K52" s="169">
        <f>SUM(K53:K57)</f>
        <v>8.3564731337901196E-2</v>
      </c>
      <c r="L52" s="169">
        <f>SUM(L53:L57)</f>
        <v>0.11619476928889118</v>
      </c>
      <c r="M52" s="148"/>
      <c r="N52" s="169">
        <f>SUM(N53:N57)</f>
        <v>0.11619476928889118</v>
      </c>
      <c r="O52" s="148"/>
      <c r="P52" s="169">
        <f>SUM(P53:P57)</f>
        <v>0.16756420632003954</v>
      </c>
      <c r="Q52" s="189"/>
      <c r="U52" s="202">
        <f>F52/$F$40</f>
        <v>0.15753424657534248</v>
      </c>
      <c r="V52" s="203"/>
    </row>
    <row r="53" spans="1:22" outlineLevel="2" x14ac:dyDescent="0.25">
      <c r="C53" s="192"/>
      <c r="D53" s="142" t="s">
        <v>1274</v>
      </c>
      <c r="E53" s="142" t="s">
        <v>810</v>
      </c>
      <c r="F53" s="150">
        <v>1.7500000000000002E-2</v>
      </c>
      <c r="H53" s="147">
        <f>IF(SUM(Checklist!B88,Checklist!B95,Checklist!B102,Checklist!B109)=0,(F53*($F$18+$F$30+$F$40))/($F$30+$F$40),F53)</f>
        <v>1.9147058823529413E-2</v>
      </c>
      <c r="I53" s="150">
        <f>IF(SUM(Checklist!B150,Checklist!B159,Checklist!B166,Checklist!B173,Checklist!B179,Checklist!B185)=0,H53*($H$30+$H$3+$H$18+$H$40)/($H$3+$H$18+$H$40),H53)</f>
        <v>2.1715650919581681E-2</v>
      </c>
      <c r="J53" s="147">
        <f>IF(SUM(Checklist!B562,Checklist!B569,Checklist!B575,Checklist!B583,Checklist!B588)=0,I53*($I$3+$I$18+$I$30+$I$40+$I$113)/($I$3+$I$18+$I$30+$I$40),I53)</f>
        <v>2.5432744320230797E-2</v>
      </c>
      <c r="K53" s="147">
        <f>J53</f>
        <v>2.5432744320230797E-2</v>
      </c>
      <c r="L53" s="147">
        <f>K53*$J$40/$K$40</f>
        <v>3.5363625435749488E-2</v>
      </c>
      <c r="M53" s="148"/>
      <c r="N53" s="147">
        <f>L53</f>
        <v>3.5363625435749488E-2</v>
      </c>
      <c r="O53" s="148"/>
      <c r="P53" s="147">
        <f t="shared" si="23"/>
        <v>5.0997801923490294E-2</v>
      </c>
      <c r="U53" s="156">
        <f>F53/$F$52</f>
        <v>0.30434782608695654</v>
      </c>
    </row>
    <row r="54" spans="1:22" outlineLevel="2" x14ac:dyDescent="0.25">
      <c r="C54" s="192"/>
      <c r="D54" s="142" t="s">
        <v>1282</v>
      </c>
      <c r="E54" s="142" t="s">
        <v>1852</v>
      </c>
      <c r="F54" s="150">
        <v>1.7500000000000002E-2</v>
      </c>
      <c r="H54" s="147">
        <f>IF(SUM(Checklist!B88,Checklist!B95,Checklist!B102,Checklist!B109)=0,(F54*($F$18+$F$30+$F$40))/($F$30+$F$40),F54)</f>
        <v>1.9147058823529413E-2</v>
      </c>
      <c r="I54" s="150">
        <f>IF(SUM(Checklist!B150,Checklist!B159,Checklist!B166,Checklist!B173,Checklist!B179,Checklist!B185)=0,H54*($H$30+$H$3+$H$18+$H$40)/($H$3+$H$18+$H$40),H54)</f>
        <v>2.1715650919581681E-2</v>
      </c>
      <c r="J54" s="147">
        <f>IF(SUM(Checklist!B562,Checklist!B569,Checklist!B575,Checklist!B583,Checklist!B588)=0,I54*($I$3+$I$18+$I$30+$I$40+$I$113)/($I$3+$I$18+$I$30+$I$40),I54)</f>
        <v>2.5432744320230797E-2</v>
      </c>
      <c r="K54" s="147">
        <f t="shared" ref="K54:K57" si="24">J54</f>
        <v>2.5432744320230797E-2</v>
      </c>
      <c r="L54" s="147">
        <f>K54*$J$40/$K$40</f>
        <v>3.5363625435749488E-2</v>
      </c>
      <c r="M54" s="148"/>
      <c r="N54" s="147">
        <f t="shared" ref="N54:N57" si="25">L54</f>
        <v>3.5363625435749488E-2</v>
      </c>
      <c r="O54" s="148"/>
      <c r="P54" s="147">
        <f t="shared" si="23"/>
        <v>5.0997801923490294E-2</v>
      </c>
      <c r="U54" s="156">
        <f>F54/$F$52</f>
        <v>0.30434782608695654</v>
      </c>
    </row>
    <row r="55" spans="1:22" outlineLevel="2" x14ac:dyDescent="0.25">
      <c r="C55" s="192"/>
      <c r="D55" s="142" t="s">
        <v>1289</v>
      </c>
      <c r="E55" s="142" t="s">
        <v>812</v>
      </c>
      <c r="F55" s="147">
        <v>0.01</v>
      </c>
      <c r="H55" s="147">
        <f>IF(SUM(Checklist!B88,Checklist!B95,Checklist!B102,Checklist!B109)=0,(F55*($F$18+$F$30+$F$40))/($F$30+$F$40),F55)</f>
        <v>1.0941176470588235E-2</v>
      </c>
      <c r="I55" s="150">
        <f>IF(SUM(Checklist!B150,Checklist!B159,Checklist!B166,Checklist!B173,Checklist!B179,Checklist!B185)=0,H55*($H$30+$H$3+$H$18+$H$40)/($H$3+$H$18+$H$40),H55)</f>
        <v>1.2408943382618103E-2</v>
      </c>
      <c r="J55" s="147">
        <f>IF(SUM(Checklist!B562,Checklist!B569,Checklist!B575,Checklist!B583,Checklist!B588)=0,I55*($I$3+$I$18+$I$30+$I$40+$I$113)/($I$3+$I$18+$I$30+$I$40),I55)</f>
        <v>1.4532996754417596E-2</v>
      </c>
      <c r="K55" s="147">
        <f t="shared" si="24"/>
        <v>1.4532996754417596E-2</v>
      </c>
      <c r="L55" s="147">
        <f>K55*$J$40/$K$40</f>
        <v>2.0207785963285419E-2</v>
      </c>
      <c r="M55" s="148"/>
      <c r="N55" s="147">
        <f t="shared" si="25"/>
        <v>2.0207785963285419E-2</v>
      </c>
      <c r="O55" s="148"/>
      <c r="P55" s="147">
        <f t="shared" si="23"/>
        <v>2.9141601099137306E-2</v>
      </c>
      <c r="U55" s="156">
        <f>F55/$F$52</f>
        <v>0.17391304347826086</v>
      </c>
    </row>
    <row r="56" spans="1:22" ht="14.65" customHeight="1" outlineLevel="2" x14ac:dyDescent="0.25">
      <c r="D56" s="142" t="s">
        <v>1294</v>
      </c>
      <c r="E56" s="142" t="s">
        <v>55</v>
      </c>
      <c r="F56" s="147">
        <v>5.0000000000000001E-3</v>
      </c>
      <c r="H56" s="147">
        <f>IF(SUM(Checklist!B88,Checklist!B95,Checklist!B102,Checklist!B109)=0,(F56*($F$18+$F$30+$F$40))/($F$30+$F$40),F56)</f>
        <v>5.4705882352941177E-3</v>
      </c>
      <c r="I56" s="150">
        <f>IF(SUM(Checklist!B150,Checklist!B159,Checklist!B166,Checklist!B173,Checklist!B179,Checklist!B185)=0,H56*($H$30+$H$3+$H$18+$H$40)/($H$3+$H$18+$H$40),H56)</f>
        <v>6.2044716913090513E-3</v>
      </c>
      <c r="J56" s="147">
        <f>IF(SUM(Checklist!B562,Checklist!B569,Checklist!B575,Checklist!B583,Checklist!B588)=0,I56*($I$3+$I$18+$I$30+$I$40+$I$113)/($I$3+$I$18+$I$30+$I$40),I56)</f>
        <v>7.2664983772087978E-3</v>
      </c>
      <c r="K56" s="147">
        <f t="shared" si="24"/>
        <v>7.2664983772087978E-3</v>
      </c>
      <c r="L56" s="147">
        <f>K56*$J$40/$K$40</f>
        <v>1.010389298164271E-2</v>
      </c>
      <c r="M56" s="148"/>
      <c r="N56" s="147">
        <f t="shared" si="25"/>
        <v>1.010389298164271E-2</v>
      </c>
      <c r="O56" s="148"/>
      <c r="P56" s="147">
        <f>N56/$N$2</f>
        <v>1.4570800549568653E-2</v>
      </c>
      <c r="U56" s="156">
        <f>F56/$F$52</f>
        <v>8.6956521739130432E-2</v>
      </c>
    </row>
    <row r="57" spans="1:22" ht="14.65" customHeight="1" outlineLevel="2" x14ac:dyDescent="0.25">
      <c r="D57" s="142" t="s">
        <v>1299</v>
      </c>
      <c r="E57" s="142" t="s">
        <v>818</v>
      </c>
      <c r="F57" s="147">
        <v>7.4999999999999997E-3</v>
      </c>
      <c r="H57" s="147">
        <f>IF(SUM(Checklist!B88,Checklist!B95,Checklist!B102,Checklist!B109)=0,(F57*($F$18+$F$30+$F$40))/($F$30+$F$40),F57)</f>
        <v>8.2058823529411757E-3</v>
      </c>
      <c r="I57" s="150">
        <f>IF(SUM(Checklist!B150,Checklist!B159,Checklist!B166,Checklist!B173,Checklist!B179,Checklist!B185)=0,H57*($H$30+$H$3+$H$18+$H$40)/($H$3+$H$18+$H$40),H57)</f>
        <v>9.3067075369635769E-3</v>
      </c>
      <c r="J57" s="147">
        <f>IF(SUM(Checklist!B562,Checklist!B569,Checklist!B575,Checklist!B583,Checklist!B588)=0,I57*($I$3+$I$18+$I$30+$I$40+$I$113)/($I$3+$I$18+$I$30+$I$40),I57)</f>
        <v>1.0899747565813198E-2</v>
      </c>
      <c r="K57" s="147">
        <f t="shared" si="24"/>
        <v>1.0899747565813198E-2</v>
      </c>
      <c r="L57" s="147">
        <f>K57*$J$40/$K$40</f>
        <v>1.5155839472464067E-2</v>
      </c>
      <c r="M57" s="148"/>
      <c r="N57" s="147">
        <f t="shared" si="25"/>
        <v>1.5155839472464067E-2</v>
      </c>
      <c r="O57" s="148"/>
      <c r="P57" s="147">
        <f>N57/$N$2</f>
        <v>2.1856200824352984E-2</v>
      </c>
      <c r="U57" s="156">
        <f>F57/$F$52</f>
        <v>0.13043478260869565</v>
      </c>
    </row>
    <row r="58" spans="1:22" s="188" customFormat="1" outlineLevel="1" x14ac:dyDescent="0.25">
      <c r="A58" s="139"/>
      <c r="B58" s="139"/>
      <c r="C58" s="31" t="s">
        <v>819</v>
      </c>
      <c r="D58" s="31" t="s">
        <v>108</v>
      </c>
      <c r="E58" s="31"/>
      <c r="F58" s="169">
        <f>SUM(F59:F62)</f>
        <v>3.4999999999999996E-2</v>
      </c>
      <c r="G58" s="140"/>
      <c r="H58" s="169">
        <f>SUM(H59:H62)</f>
        <v>3.8294117647058826E-2</v>
      </c>
      <c r="I58" s="169">
        <f>SUM(I59:I62)</f>
        <v>4.3431301839163355E-2</v>
      </c>
      <c r="J58" s="169">
        <f>SUM(J59:J62)</f>
        <v>5.086548864046158E-2</v>
      </c>
      <c r="K58" s="169">
        <f>SUM(K59:K62)</f>
        <v>5.086548864046158E-2</v>
      </c>
      <c r="L58" s="169">
        <f>SUM(L59:L62)</f>
        <v>7.0727250871498976E-2</v>
      </c>
      <c r="M58" s="148"/>
      <c r="N58" s="169">
        <f>SUM(N59:N62)</f>
        <v>7.0727250871498976E-2</v>
      </c>
      <c r="O58" s="148"/>
      <c r="P58" s="169">
        <f>SUM(P59:P62)</f>
        <v>0.10199560384698057</v>
      </c>
      <c r="Q58" s="189"/>
      <c r="U58" s="202">
        <f>F58/$F$40</f>
        <v>9.5890410958904104E-2</v>
      </c>
    </row>
    <row r="59" spans="1:22" outlineLevel="2" x14ac:dyDescent="0.25">
      <c r="C59" s="192"/>
      <c r="D59" s="142" t="s">
        <v>1308</v>
      </c>
      <c r="E59" s="142" t="s">
        <v>810</v>
      </c>
      <c r="F59" s="150">
        <v>0.01</v>
      </c>
      <c r="H59" s="147">
        <f>IF(SUM(Checklist!B88,Checklist!B95,Checklist!B102,Checklist!B109)=0,(F59*($F$18+$F$30+$F$40))/($F$30+$F$40),F59)</f>
        <v>1.0941176470588235E-2</v>
      </c>
      <c r="I59" s="150">
        <f>IF(SUM(Checklist!B150,Checklist!B159,Checklist!B166,Checklist!B173,Checklist!B179,Checklist!B185)=0,H59*($H$30+$H$3+$H$18+$H$40)/($H$3+$H$18+$H$40),H59)</f>
        <v>1.2408943382618103E-2</v>
      </c>
      <c r="J59" s="147">
        <f>IF(SUM(Checklist!B562,Checklist!B569,Checklist!B575,Checklist!B583,Checklist!B588)=0,I59*($I$3+$I$18+$I$30+$I$40+$I$113)/($I$3+$I$18+$I$30+$I$40),I59)</f>
        <v>1.4532996754417596E-2</v>
      </c>
      <c r="K59" s="147">
        <f>J59</f>
        <v>1.4532996754417596E-2</v>
      </c>
      <c r="L59" s="147">
        <f>K59*$J$40/$K$40</f>
        <v>2.0207785963285419E-2</v>
      </c>
      <c r="M59" s="148"/>
      <c r="N59" s="147">
        <f>L59</f>
        <v>2.0207785963285419E-2</v>
      </c>
      <c r="O59" s="148"/>
      <c r="P59" s="147">
        <f>N59/$N$2</f>
        <v>2.9141601099137306E-2</v>
      </c>
      <c r="U59" s="156">
        <f>F59/$F$58</f>
        <v>0.28571428571428575</v>
      </c>
    </row>
    <row r="60" spans="1:22" outlineLevel="2" x14ac:dyDescent="0.25">
      <c r="A60" s="143"/>
      <c r="C60" s="192"/>
      <c r="D60" s="142" t="s">
        <v>1314</v>
      </c>
      <c r="E60" s="142" t="s">
        <v>1852</v>
      </c>
      <c r="F60" s="150">
        <v>0.01</v>
      </c>
      <c r="H60" s="147">
        <f>IF(SUM(Checklist!B88,Checklist!B95,Checklist!B102,Checklist!B109)=0,(F60*($F$18+$F$30+$F$40))/($F$30+$F$40),F60)</f>
        <v>1.0941176470588235E-2</v>
      </c>
      <c r="I60" s="150">
        <f>IF(SUM(Checklist!B150,Checklist!B159,Checklist!B166,Checklist!B173,Checklist!B179,Checklist!B185)=0,H60*($H$30+$H$3+$H$18+$H$40)/($H$3+$H$18+$H$40),H60)</f>
        <v>1.2408943382618103E-2</v>
      </c>
      <c r="J60" s="147">
        <f>IF(SUM(Checklist!B562,Checklist!B569,Checklist!B575,Checklist!B583,Checklist!B588)=0,I60*($I$3+$I$18+$I$30+$I$40+$I$113)/($I$3+$I$18+$I$30+$I$40),I60)</f>
        <v>1.4532996754417596E-2</v>
      </c>
      <c r="K60" s="147">
        <f t="shared" ref="K60:K62" si="26">J60</f>
        <v>1.4532996754417596E-2</v>
      </c>
      <c r="L60" s="147">
        <f>K60*$J$40/$K$40</f>
        <v>2.0207785963285419E-2</v>
      </c>
      <c r="M60" s="148"/>
      <c r="N60" s="147">
        <f t="shared" ref="N60:N62" si="27">L60</f>
        <v>2.0207785963285419E-2</v>
      </c>
      <c r="O60" s="148"/>
      <c r="P60" s="147">
        <f t="shared" ref="P60:P61" si="28">N60/$N$2</f>
        <v>2.9141601099137306E-2</v>
      </c>
      <c r="U60" s="156">
        <f>F60/$F$58</f>
        <v>0.28571428571428575</v>
      </c>
    </row>
    <row r="61" spans="1:22" outlineLevel="2" x14ac:dyDescent="0.25">
      <c r="A61" s="143"/>
      <c r="C61" s="192"/>
      <c r="D61" s="142" t="s">
        <v>1319</v>
      </c>
      <c r="E61" s="142" t="s">
        <v>812</v>
      </c>
      <c r="F61" s="147">
        <v>0.01</v>
      </c>
      <c r="H61" s="147">
        <f>IF(SUM(Checklist!B88,Checklist!B95,Checklist!B102,Checklist!B109)=0,(F61*($F$18+$F$30+$F$40))/($F$30+$F$40),F61)</f>
        <v>1.0941176470588235E-2</v>
      </c>
      <c r="I61" s="150">
        <f>IF(SUM(Checklist!B150,Checklist!B159,Checklist!B166,Checklist!B173,Checklist!B179,Checklist!B185)=0,H61*($H$30+$H$3+$H$18+$H$40)/($H$3+$H$18+$H$40),H61)</f>
        <v>1.2408943382618103E-2</v>
      </c>
      <c r="J61" s="147">
        <f>IF(SUM(Checklist!B562,Checklist!B569,Checklist!B575,Checklist!B583,Checklist!B588)=0,I61*($I$3+$I$18+$I$30+$I$40+$I$113)/($I$3+$I$18+$I$30+$I$40),I61)</f>
        <v>1.4532996754417596E-2</v>
      </c>
      <c r="K61" s="147">
        <f t="shared" si="26"/>
        <v>1.4532996754417596E-2</v>
      </c>
      <c r="L61" s="147">
        <f>K61*$J$40/$K$40</f>
        <v>2.0207785963285419E-2</v>
      </c>
      <c r="M61" s="148"/>
      <c r="N61" s="147">
        <f t="shared" si="27"/>
        <v>2.0207785963285419E-2</v>
      </c>
      <c r="O61" s="148"/>
      <c r="P61" s="147">
        <f t="shared" si="28"/>
        <v>2.9141601099137306E-2</v>
      </c>
      <c r="U61" s="156">
        <f>F61/$F$58</f>
        <v>0.28571428571428575</v>
      </c>
    </row>
    <row r="62" spans="1:22" outlineLevel="2" x14ac:dyDescent="0.25">
      <c r="A62" s="143"/>
      <c r="C62" s="192"/>
      <c r="D62" s="142" t="s">
        <v>1324</v>
      </c>
      <c r="E62" s="142" t="s">
        <v>55</v>
      </c>
      <c r="F62" s="147">
        <v>5.0000000000000001E-3</v>
      </c>
      <c r="H62" s="147">
        <f>IF(SUM(Checklist!B88,Checklist!B95,Checklist!B102,Checklist!B109)=0,(F62*($F$18+$F$30+$F$40))/($F$30+$F$40),F62)</f>
        <v>5.4705882352941177E-3</v>
      </c>
      <c r="I62" s="150">
        <f>IF(SUM(Checklist!B150,Checklist!B159,Checklist!B166,Checklist!B173,Checklist!B179,Checklist!B185)=0,H62*($H$30+$H$3+$H$18+$H$40)/($H$3+$H$18+$H$40),H62)</f>
        <v>6.2044716913090513E-3</v>
      </c>
      <c r="J62" s="147">
        <f>IF(SUM(Checklist!B562,Checklist!B569,Checklist!B575,Checklist!B583,Checklist!B588)=0,I62*($I$3+$I$18+$I$30+$I$40+$I$113)/($I$3+$I$18+$I$30+$I$40),I62)</f>
        <v>7.2664983772087978E-3</v>
      </c>
      <c r="K62" s="147">
        <f t="shared" si="26"/>
        <v>7.2664983772087978E-3</v>
      </c>
      <c r="L62" s="147">
        <f>K62*$J$40/$K$40</f>
        <v>1.010389298164271E-2</v>
      </c>
      <c r="M62" s="148"/>
      <c r="N62" s="147">
        <f t="shared" si="27"/>
        <v>1.010389298164271E-2</v>
      </c>
      <c r="O62" s="148"/>
      <c r="P62" s="147">
        <f>N62/$N$2</f>
        <v>1.4570800549568653E-2</v>
      </c>
      <c r="U62" s="156">
        <f>F62/$F$58</f>
        <v>0.14285714285714288</v>
      </c>
    </row>
    <row r="63" spans="1:22" s="188" customFormat="1" outlineLevel="1" x14ac:dyDescent="0.25">
      <c r="A63" s="208"/>
      <c r="B63" s="140"/>
      <c r="C63" s="31" t="s">
        <v>820</v>
      </c>
      <c r="D63" s="31" t="s">
        <v>45</v>
      </c>
      <c r="E63" s="31"/>
      <c r="F63" s="169">
        <f>SUM(F64:F68)</f>
        <v>5.2499999999999998E-2</v>
      </c>
      <c r="G63" s="140"/>
      <c r="H63" s="169">
        <f>SUM(H64:H68)</f>
        <v>5.7441176470588232E-2</v>
      </c>
      <c r="I63" s="169">
        <f>SUM(I64:I68)</f>
        <v>6.5146952758745047E-2</v>
      </c>
      <c r="J63" s="169">
        <f>SUM(J64:J68)</f>
        <v>7.6298232960692394E-2</v>
      </c>
      <c r="K63" s="169">
        <f>SUM(K64:K68)</f>
        <v>0</v>
      </c>
      <c r="L63" s="169">
        <f>SUM(L64:L68)</f>
        <v>0</v>
      </c>
      <c r="M63" s="148"/>
      <c r="N63" s="169">
        <f>SUM(N64:N68)</f>
        <v>0</v>
      </c>
      <c r="O63" s="148"/>
      <c r="P63" s="169">
        <f>SUM(P64:P68)</f>
        <v>0</v>
      </c>
      <c r="Q63" s="189"/>
      <c r="U63" s="202">
        <f>F63/$F$40</f>
        <v>0.14383561643835616</v>
      </c>
    </row>
    <row r="64" spans="1:22" outlineLevel="2" x14ac:dyDescent="0.25">
      <c r="C64" s="192"/>
      <c r="D64" s="142" t="s">
        <v>821</v>
      </c>
      <c r="E64" s="142" t="s">
        <v>810</v>
      </c>
      <c r="F64" s="147">
        <v>1.4999999999999999E-2</v>
      </c>
      <c r="H64" s="147">
        <f>IF(SUM(Checklist!B88,Checklist!B95,Checklist!B102,Checklist!B109)=0,(F64*($F$18+$F$30+$F$40))/($F$30+$F$40),F64)</f>
        <v>1.6411764705882351E-2</v>
      </c>
      <c r="I64" s="150">
        <f>IF(SUM(Checklist!B150,Checklist!B159,Checklist!B166,Checklist!B173,Checklist!B179,Checklist!B185)=0,H64*($H$30+$H$3+$H$18+$H$40)/($H$3+$H$18+$H$40),H64)</f>
        <v>1.8613415073927154E-2</v>
      </c>
      <c r="J64" s="147">
        <f>IF(SUM(Checklist!B562,Checklist!B569,Checklist!B575,Checklist!B583,Checklist!B588)=0,I64*($I$3+$I$18+$I$30+$I$40+$I$113)/($I$3+$I$18+$I$30+$I$40),I64)</f>
        <v>2.1799495131626396E-2</v>
      </c>
      <c r="K64" s="147">
        <f>J64*Checklist!B318</f>
        <v>0</v>
      </c>
      <c r="L64" s="147">
        <f>K64*$J$40/$K$40</f>
        <v>0</v>
      </c>
      <c r="M64" s="148"/>
      <c r="N64" s="147">
        <f>L64</f>
        <v>0</v>
      </c>
      <c r="O64" s="148"/>
      <c r="P64" s="147">
        <f>N64/$N$2</f>
        <v>0</v>
      </c>
      <c r="U64" s="158">
        <f>F64/$F$63</f>
        <v>0.2857142857142857</v>
      </c>
    </row>
    <row r="65" spans="1:21" outlineLevel="2" x14ac:dyDescent="0.25">
      <c r="C65" s="192"/>
      <c r="D65" s="142" t="s">
        <v>822</v>
      </c>
      <c r="E65" s="142" t="s">
        <v>1852</v>
      </c>
      <c r="F65" s="147">
        <v>1.4999999999999999E-2</v>
      </c>
      <c r="H65" s="147">
        <f>IF(SUM(Checklist!B88,Checklist!B95,Checklist!B102,Checklist!B109)=0,(F65*($F$18+$F$30+$F$40))/($F$30+$F$40),F65)</f>
        <v>1.6411764705882351E-2</v>
      </c>
      <c r="I65" s="150">
        <f>IF(SUM(Checklist!B150,Checklist!B159,Checklist!B166,Checklist!B173,Checklist!B179,Checklist!B185)=0,H65*($H$30+$H$3+$H$18+$H$40)/($H$3+$H$18+$H$40),H65)</f>
        <v>1.8613415073927154E-2</v>
      </c>
      <c r="J65" s="147">
        <f>IF(SUM(Checklist!B562,Checklist!B569,Checklist!B575,Checklist!B583,Checklist!B588)=0,I65*($I$3+$I$18+$I$30+$I$40+$I$113)/($I$3+$I$18+$I$30+$I$40),I65)</f>
        <v>2.1799495131626396E-2</v>
      </c>
      <c r="K65" s="147">
        <f>J65*Checklist!B318</f>
        <v>0</v>
      </c>
      <c r="L65" s="147">
        <f>K65*$J$40/$K$40</f>
        <v>0</v>
      </c>
      <c r="M65" s="148"/>
      <c r="N65" s="147">
        <f t="shared" ref="N65:N68" si="29">L65</f>
        <v>0</v>
      </c>
      <c r="O65" s="148"/>
      <c r="P65" s="147">
        <f t="shared" ref="P65:P68" si="30">N65/$N$2</f>
        <v>0</v>
      </c>
      <c r="U65" s="158">
        <f>F65/$F$63</f>
        <v>0.2857142857142857</v>
      </c>
    </row>
    <row r="66" spans="1:21" outlineLevel="2" x14ac:dyDescent="0.25">
      <c r="B66" s="152"/>
      <c r="C66" s="192"/>
      <c r="D66" s="142" t="s">
        <v>823</v>
      </c>
      <c r="E66" s="142" t="s">
        <v>812</v>
      </c>
      <c r="F66" s="147">
        <v>0.01</v>
      </c>
      <c r="H66" s="147">
        <f>IF(SUM(Checklist!B88,Checklist!B95,Checklist!B102,Checklist!B109)=0,(F66*($F$18+$F$30+$F$40))/($F$30+$F$40),F66)</f>
        <v>1.0941176470588235E-2</v>
      </c>
      <c r="I66" s="150">
        <f>IF(SUM(Checklist!B150,Checklist!B159,Checklist!B166,Checklist!B173,Checklist!B179,Checklist!B185)=0,H66*($H$30+$H$3+$H$18+$H$40)/($H$3+$H$18+$H$40),H66)</f>
        <v>1.2408943382618103E-2</v>
      </c>
      <c r="J66" s="147">
        <f>IF(SUM(Checklist!B562,Checklist!B569,Checklist!B575,Checklist!B583,Checklist!B588)=0,I66*($I$3+$I$18+$I$30+$I$40+$I$113)/($I$3+$I$18+$I$30+$I$40),I66)</f>
        <v>1.4532996754417596E-2</v>
      </c>
      <c r="K66" s="147">
        <f>J66*Checklist!B318</f>
        <v>0</v>
      </c>
      <c r="L66" s="147">
        <f>K66*$J$40/$K$40</f>
        <v>0</v>
      </c>
      <c r="M66" s="148"/>
      <c r="N66" s="147">
        <f t="shared" si="29"/>
        <v>0</v>
      </c>
      <c r="O66" s="148"/>
      <c r="P66" s="147">
        <f t="shared" si="30"/>
        <v>0</v>
      </c>
      <c r="U66" s="158">
        <f>F66/$F$63</f>
        <v>0.19047619047619049</v>
      </c>
    </row>
    <row r="67" spans="1:21" outlineLevel="2" x14ac:dyDescent="0.25">
      <c r="B67" s="152"/>
      <c r="D67" s="142" t="s">
        <v>824</v>
      </c>
      <c r="E67" s="142" t="s">
        <v>55</v>
      </c>
      <c r="F67" s="147">
        <v>5.0000000000000001E-3</v>
      </c>
      <c r="H67" s="147">
        <f>IF(SUM(Checklist!B88,Checklist!B95,Checklist!B102,Checklist!B109)=0,(F67*($F$18+$F$30+$F$40))/($F$30+$F$40),F67)</f>
        <v>5.4705882352941177E-3</v>
      </c>
      <c r="I67" s="150">
        <f>IF(SUM(Checklist!B150,Checklist!B159,Checklist!B166,Checklist!B173,Checklist!B179,Checklist!B185)=0,H67*($H$30+$H$3+$H$18+$H$40)/($H$3+$H$18+$H$40),H67)</f>
        <v>6.2044716913090513E-3</v>
      </c>
      <c r="J67" s="147">
        <f>IF(SUM(Checklist!B562,Checklist!B569,Checklist!B575,Checklist!B583,Checklist!B588)=0,I67*($I$3+$I$18+$I$30+$I$40+$I$113)/($I$3+$I$18+$I$30+$I$40),I67)</f>
        <v>7.2664983772087978E-3</v>
      </c>
      <c r="K67" s="147">
        <f>J67*Checklist!B318</f>
        <v>0</v>
      </c>
      <c r="L67" s="147">
        <f>K67*$J$40/$K$40</f>
        <v>0</v>
      </c>
      <c r="M67" s="148"/>
      <c r="N67" s="147">
        <f t="shared" si="29"/>
        <v>0</v>
      </c>
      <c r="O67" s="148"/>
      <c r="P67" s="147">
        <f t="shared" si="30"/>
        <v>0</v>
      </c>
      <c r="U67" s="158">
        <f>F67/$F$63</f>
        <v>9.5238095238095247E-2</v>
      </c>
    </row>
    <row r="68" spans="1:21" outlineLevel="2" x14ac:dyDescent="0.25">
      <c r="B68" s="152"/>
      <c r="D68" s="142" t="s">
        <v>825</v>
      </c>
      <c r="E68" s="142" t="s">
        <v>818</v>
      </c>
      <c r="F68" s="147">
        <v>7.4999999999999997E-3</v>
      </c>
      <c r="H68" s="147">
        <f>IF(SUM(Checklist!B88,Checklist!B95,Checklist!B102,Checklist!B109)=0,(F68*($F$18+$F$30+$F$40))/($F$30+$F$40),F68)</f>
        <v>8.2058823529411757E-3</v>
      </c>
      <c r="I68" s="150">
        <f>IF(SUM(Checklist!B150,Checklist!B159,Checklist!B166,Checklist!B173,Checklist!B179,Checklist!B185)=0,H68*($H$30+$H$3+$H$18+$H$40)/($H$3+$H$18+$H$40),H68)</f>
        <v>9.3067075369635769E-3</v>
      </c>
      <c r="J68" s="147">
        <f>IF(SUM(Checklist!B562,Checklist!B569,Checklist!B575,Checklist!B583,Checklist!B588)=0,I68*($I$3+$I$18+$I$30+$I$40+$I$113)/($I$3+$I$18+$I$30+$I$40),I68)</f>
        <v>1.0899747565813198E-2</v>
      </c>
      <c r="K68" s="147">
        <f>J68*Checklist!B318</f>
        <v>0</v>
      </c>
      <c r="L68" s="147">
        <f>K68*$J$40/$K$40</f>
        <v>0</v>
      </c>
      <c r="M68" s="148"/>
      <c r="N68" s="147">
        <f t="shared" si="29"/>
        <v>0</v>
      </c>
      <c r="O68" s="148"/>
      <c r="P68" s="147">
        <f t="shared" si="30"/>
        <v>0</v>
      </c>
      <c r="U68" s="158">
        <f>F68/$F$63</f>
        <v>0.14285714285714285</v>
      </c>
    </row>
    <row r="69" spans="1:21" s="188" customFormat="1" outlineLevel="1" x14ac:dyDescent="0.25">
      <c r="A69" s="139"/>
      <c r="B69" s="152"/>
      <c r="C69" s="31" t="s">
        <v>826</v>
      </c>
      <c r="D69" s="8" t="s">
        <v>46</v>
      </c>
      <c r="E69" s="31"/>
      <c r="F69" s="169">
        <f>SUM(F70:F72)</f>
        <v>2.5000000000000001E-2</v>
      </c>
      <c r="G69" s="140"/>
      <c r="H69" s="169">
        <f>SUM(H70:H72)</f>
        <v>2.7352941176470587E-2</v>
      </c>
      <c r="I69" s="169">
        <f>SUM(I70:I72)</f>
        <v>3.1022358456545256E-2</v>
      </c>
      <c r="J69" s="169">
        <f>SUM(J70:J72)</f>
        <v>3.633249188604399E-2</v>
      </c>
      <c r="K69" s="169">
        <f>SUM(K70:K72)</f>
        <v>0</v>
      </c>
      <c r="L69" s="169">
        <f>SUM(L70:L72)</f>
        <v>0</v>
      </c>
      <c r="M69" s="148"/>
      <c r="N69" s="169">
        <f>SUM(N70:N72)</f>
        <v>0</v>
      </c>
      <c r="O69" s="148"/>
      <c r="P69" s="169">
        <f>SUM(P70:P72)</f>
        <v>0</v>
      </c>
      <c r="Q69" s="189"/>
      <c r="U69" s="202">
        <f>F69/$F$40</f>
        <v>6.8493150684931517E-2</v>
      </c>
    </row>
    <row r="70" spans="1:21" outlineLevel="2" x14ac:dyDescent="0.25">
      <c r="B70" s="167"/>
      <c r="D70" s="142" t="s">
        <v>828</v>
      </c>
      <c r="E70" s="142" t="s">
        <v>829</v>
      </c>
      <c r="F70" s="147">
        <v>0.01</v>
      </c>
      <c r="H70" s="147">
        <f>IF(SUM(Checklist!B88,Checklist!B95,Checklist!B102,Checklist!B109)=0,(F70*($F$18+$F$30+$F$40))/($F$30+$F$40),F70)</f>
        <v>1.0941176470588235E-2</v>
      </c>
      <c r="I70" s="150">
        <f>IF(SUM(Checklist!B150,Checklist!B159,Checklist!B166,Checklist!B173,Checklist!B179,Checklist!B185)=0,H70*($H$30+$H$3+$H$18+$H$40)/($H$3+$H$18+$H$40),H70)</f>
        <v>1.2408943382618103E-2</v>
      </c>
      <c r="J70" s="147">
        <f>IF(SUM(Checklist!B562,Checklist!B569,Checklist!B575,Checklist!B583,Checklist!B588)=0,I70*($I$3+$I$18+$I$30+$I$40+$I$113)/($I$3+$I$18+$I$30+$I$40),I70)</f>
        <v>1.4532996754417596E-2</v>
      </c>
      <c r="K70" s="147">
        <f>J70*Checklist!B348</f>
        <v>0</v>
      </c>
      <c r="L70" s="147">
        <f>K70*$J$40/$K$40</f>
        <v>0</v>
      </c>
      <c r="M70" s="148"/>
      <c r="N70" s="147">
        <f>L70</f>
        <v>0</v>
      </c>
      <c r="O70" s="148"/>
      <c r="P70" s="147">
        <f t="shared" ref="P70:P72" si="31">N70/$N$2</f>
        <v>0</v>
      </c>
      <c r="U70" s="158">
        <f>F70/$F$69</f>
        <v>0.39999999999999997</v>
      </c>
    </row>
    <row r="71" spans="1:21" outlineLevel="2" x14ac:dyDescent="0.25">
      <c r="A71" s="144"/>
      <c r="D71" s="142" t="s">
        <v>830</v>
      </c>
      <c r="E71" s="153" t="s">
        <v>831</v>
      </c>
      <c r="F71" s="147">
        <v>0.01</v>
      </c>
      <c r="H71" s="147">
        <f>IF(SUM(Checklist!B88,Checklist!B95,Checklist!B102,Checklist!B109)=0,(F71*($F$18+$F$30+$F$40))/($F$30+$F$40),F71)</f>
        <v>1.0941176470588235E-2</v>
      </c>
      <c r="I71" s="150">
        <f>IF(SUM(Checklist!B150,Checklist!B159,Checklist!B166,Checklist!B173,Checklist!B179,Checklist!B185)=0,H71*($H$30+$H$3+$H$18+$H$40)/($H$3+$H$18+$H$40),H71)</f>
        <v>1.2408943382618103E-2</v>
      </c>
      <c r="J71" s="147">
        <f>IF(SUM(Checklist!B562,Checklist!B569,Checklist!B575,Checklist!B583,Checklist!B588)=0,I71*($I$3+$I$18+$I$30+$I$40+$I$113)/($I$3+$I$18+$I$30+$I$40),I71)</f>
        <v>1.4532996754417596E-2</v>
      </c>
      <c r="K71" s="147">
        <f>J71*Checklist!B348</f>
        <v>0</v>
      </c>
      <c r="L71" s="147">
        <f>K71*$J$40/$K$40</f>
        <v>0</v>
      </c>
      <c r="M71" s="148"/>
      <c r="N71" s="147">
        <f t="shared" ref="N71:N72" si="32">L71</f>
        <v>0</v>
      </c>
      <c r="O71" s="148"/>
      <c r="P71" s="147">
        <f t="shared" si="31"/>
        <v>0</v>
      </c>
      <c r="U71" s="158">
        <f>F71/$F$69</f>
        <v>0.39999999999999997</v>
      </c>
    </row>
    <row r="72" spans="1:21" outlineLevel="2" x14ac:dyDescent="0.25">
      <c r="A72" s="144"/>
      <c r="D72" s="142" t="s">
        <v>832</v>
      </c>
      <c r="E72" s="142" t="s">
        <v>70</v>
      </c>
      <c r="F72" s="147">
        <v>5.0000000000000001E-3</v>
      </c>
      <c r="H72" s="147">
        <f>IF(SUM(Checklist!B88,Checklist!B95,Checklist!B102,Checklist!B109)=0,(F72*($F$18+$F$30+$F$40))/($F$30+$F$40),F72)</f>
        <v>5.4705882352941177E-3</v>
      </c>
      <c r="I72" s="150">
        <f>IF(SUM(Checklist!B150,Checklist!B159,Checklist!B166,Checklist!B173,Checklist!B179,Checklist!B185)=0,H72*($H$30+$H$3+$H$18+$H$40)/($H$3+$H$18+$H$40),H72)</f>
        <v>6.2044716913090513E-3</v>
      </c>
      <c r="J72" s="147">
        <f>IF(SUM(Checklist!B562,Checklist!B569,Checklist!B575,Checklist!B583,Checklist!B588)=0,I72*($I$3+$I$18+$I$30+$I$40+$I$113)/($I$3+$I$18+$I$30+$I$40),I72)</f>
        <v>7.2664983772087978E-3</v>
      </c>
      <c r="K72" s="147">
        <f>J72*Checklist!B348</f>
        <v>0</v>
      </c>
      <c r="L72" s="147">
        <f>K72*$J$40/$K$40</f>
        <v>0</v>
      </c>
      <c r="M72" s="148"/>
      <c r="N72" s="147">
        <f t="shared" si="32"/>
        <v>0</v>
      </c>
      <c r="O72" s="148"/>
      <c r="P72" s="147">
        <f t="shared" si="31"/>
        <v>0</v>
      </c>
      <c r="U72" s="158">
        <f>F72/$F$69</f>
        <v>0.19999999999999998</v>
      </c>
    </row>
    <row r="73" spans="1:21" s="188" customFormat="1" outlineLevel="1" x14ac:dyDescent="0.25">
      <c r="A73" s="204"/>
      <c r="C73" s="31" t="s">
        <v>833</v>
      </c>
      <c r="D73" s="8" t="s">
        <v>47</v>
      </c>
      <c r="E73" s="31"/>
      <c r="F73" s="169">
        <f>SUM(F74:F76)</f>
        <v>2.5000000000000001E-2</v>
      </c>
      <c r="G73" s="140"/>
      <c r="H73" s="169">
        <f>SUM(H74:H76)</f>
        <v>2.7352941176470587E-2</v>
      </c>
      <c r="I73" s="169">
        <f>SUM(I74:I76)</f>
        <v>3.1022358456545256E-2</v>
      </c>
      <c r="J73" s="169">
        <f>SUM(J74:J76)</f>
        <v>3.633249188604399E-2</v>
      </c>
      <c r="K73" s="169">
        <f>SUM(K74:K76)</f>
        <v>0</v>
      </c>
      <c r="L73" s="169">
        <f>SUM(L74:L76)</f>
        <v>0</v>
      </c>
      <c r="M73" s="148"/>
      <c r="N73" s="169">
        <f>SUM(N74:N76)</f>
        <v>0</v>
      </c>
      <c r="O73" s="148"/>
      <c r="P73" s="169">
        <f>SUM(P74:P76)</f>
        <v>0</v>
      </c>
      <c r="Q73" s="189"/>
      <c r="U73" s="202">
        <f>F73/$F$40</f>
        <v>6.8493150684931517E-2</v>
      </c>
    </row>
    <row r="74" spans="1:21" outlineLevel="2" x14ac:dyDescent="0.25">
      <c r="D74" s="142" t="s">
        <v>835</v>
      </c>
      <c r="E74" s="142" t="s">
        <v>829</v>
      </c>
      <c r="F74" s="147">
        <v>0.01</v>
      </c>
      <c r="H74" s="147">
        <f>IF(SUM(Checklist!B88,Checklist!B95,Checklist!B102,Checklist!B109)=0,(F74*($F$18+$F$30+$F$40))/($F$30+$F$40),F74)</f>
        <v>1.0941176470588235E-2</v>
      </c>
      <c r="I74" s="150">
        <f>IF(SUM(Checklist!B150,Checklist!B159,Checklist!B166,Checklist!B173,Checklist!B179,Checklist!B185)=0,H74*($H$30+$H$3+$H$18+$H$40)/($H$3+$H$18+$H$40),H74)</f>
        <v>1.2408943382618103E-2</v>
      </c>
      <c r="J74" s="147">
        <f>IF(SUM(Checklist!B562,Checklist!B569,Checklist!B575,Checklist!B583,Checklist!B588)=0,I74*($I$3+$I$18+$I$30+$I$40+$I$113)/($I$3+$I$18+$I$30+$I$40),I74)</f>
        <v>1.4532996754417596E-2</v>
      </c>
      <c r="K74" s="147">
        <f>J74*Checklist!B368</f>
        <v>0</v>
      </c>
      <c r="L74" s="147">
        <f>K74*$J$40/$K$40</f>
        <v>0</v>
      </c>
      <c r="M74" s="148"/>
      <c r="N74" s="147">
        <f>L74</f>
        <v>0</v>
      </c>
      <c r="O74" s="148"/>
      <c r="P74" s="147">
        <f t="shared" ref="P74:P76" si="33">N74/$N$2</f>
        <v>0</v>
      </c>
      <c r="U74" s="158">
        <f>F74/$F$73</f>
        <v>0.39999999999999997</v>
      </c>
    </row>
    <row r="75" spans="1:21" outlineLevel="2" x14ac:dyDescent="0.25">
      <c r="D75" s="142" t="s">
        <v>836</v>
      </c>
      <c r="E75" s="153" t="s">
        <v>831</v>
      </c>
      <c r="F75" s="147">
        <v>0.01</v>
      </c>
      <c r="H75" s="147">
        <f>IF(SUM(Checklist!B88,Checklist!B95,Checklist!B102,Checklist!B109)=0,(F75*($F$18+$F$30+$F$40))/($F$30+$F$40),F75)</f>
        <v>1.0941176470588235E-2</v>
      </c>
      <c r="I75" s="150">
        <f>IF(SUM(Checklist!B150,Checklist!B159,Checklist!B166,Checklist!B173,Checklist!B179,Checklist!B185)=0,H75*($H$30+$H$3+$H$18+$H$40)/($H$3+$H$18+$H$40),H75)</f>
        <v>1.2408943382618103E-2</v>
      </c>
      <c r="J75" s="147">
        <f>IF(SUM(Checklist!B562,Checklist!B569,Checklist!B575,Checklist!B583,Checklist!B588)=0,I75*($I$3+$I$18+$I$30+$I$40+$I$113)/($I$3+$I$18+$I$30+$I$40),I75)</f>
        <v>1.4532996754417596E-2</v>
      </c>
      <c r="K75" s="147">
        <f>J75*Checklist!B368</f>
        <v>0</v>
      </c>
      <c r="L75" s="147">
        <f>K75*$J$40/$K$40</f>
        <v>0</v>
      </c>
      <c r="M75" s="148"/>
      <c r="N75" s="147">
        <f>L75</f>
        <v>0</v>
      </c>
      <c r="O75" s="148"/>
      <c r="P75" s="147">
        <f t="shared" si="33"/>
        <v>0</v>
      </c>
      <c r="U75" s="158">
        <f>F75/$F$73</f>
        <v>0.39999999999999997</v>
      </c>
    </row>
    <row r="76" spans="1:21" outlineLevel="2" x14ac:dyDescent="0.25">
      <c r="D76" s="142" t="s">
        <v>837</v>
      </c>
      <c r="E76" s="142" t="s">
        <v>70</v>
      </c>
      <c r="F76" s="147">
        <v>5.0000000000000001E-3</v>
      </c>
      <c r="H76" s="147">
        <f>IF(SUM(Checklist!B88,Checklist!B95,Checklist!B102,Checklist!B109)=0,(F76*($F$18+$F$30+$F$40))/($F$30+$F$40),F76)</f>
        <v>5.4705882352941177E-3</v>
      </c>
      <c r="I76" s="150">
        <f>IF(SUM(Checklist!B150,Checklist!B159,Checklist!B166,Checklist!B173,Checklist!B179,Checklist!B185)=0,H76*($H$30+$H$3+$H$18+$H$40)/($H$3+$H$18+$H$40),H76)</f>
        <v>6.2044716913090513E-3</v>
      </c>
      <c r="J76" s="147">
        <f>IF(SUM(Checklist!B562,Checklist!B569,Checklist!B575,Checklist!B583,Checklist!B588)=0,I76*($I$3+$I$18+$I$30+$I$40+$I$113)/($I$3+$I$18+$I$30+$I$40),I76)</f>
        <v>7.2664983772087978E-3</v>
      </c>
      <c r="K76" s="147">
        <f>J76*Checklist!B368</f>
        <v>0</v>
      </c>
      <c r="L76" s="147">
        <f>K76*$J$40/$K$40</f>
        <v>0</v>
      </c>
      <c r="M76" s="148"/>
      <c r="N76" s="147">
        <f>L76</f>
        <v>0</v>
      </c>
      <c r="O76" s="148"/>
      <c r="P76" s="147">
        <f t="shared" si="33"/>
        <v>0</v>
      </c>
      <c r="U76" s="158">
        <f>F76/$F$73</f>
        <v>0.19999999999999998</v>
      </c>
    </row>
    <row r="77" spans="1:21" ht="14.65" customHeight="1" x14ac:dyDescent="0.25">
      <c r="A77" s="160"/>
      <c r="B77" s="7">
        <v>5</v>
      </c>
      <c r="C77" s="180" t="s">
        <v>1729</v>
      </c>
      <c r="D77" s="180"/>
      <c r="E77" s="173"/>
      <c r="F77" s="176">
        <f>F78+F88+F83+F93</f>
        <v>9.4999999999999987E-2</v>
      </c>
      <c r="H77" s="176">
        <f>H78+H88+H83+H93</f>
        <v>9.4999999999999987E-2</v>
      </c>
      <c r="I77" s="176">
        <f>I78+I88+I83+I93</f>
        <v>9.4999999999999987E-2</v>
      </c>
      <c r="J77" s="176">
        <f>J78+J88+J83+J93</f>
        <v>9.4999999999999987E-2</v>
      </c>
      <c r="K77" s="176">
        <f>K78+K88+K83+K93</f>
        <v>9.4999999999999987E-2</v>
      </c>
      <c r="L77" s="176">
        <f>L78+L88+L83+L93</f>
        <v>9.4999999999999987E-2</v>
      </c>
      <c r="M77" s="148"/>
      <c r="N77" s="176">
        <f>N78+N88+N83+N93</f>
        <v>0</v>
      </c>
      <c r="O77" s="148"/>
      <c r="P77" s="176">
        <f>P78+P88+P83+P93</f>
        <v>0</v>
      </c>
      <c r="Q77" s="141"/>
    </row>
    <row r="78" spans="1:21" s="170" customFormat="1" outlineLevel="1" x14ac:dyDescent="0.25">
      <c r="A78" s="139"/>
      <c r="B78" s="140"/>
      <c r="C78" s="31" t="s">
        <v>838</v>
      </c>
      <c r="D78" s="31" t="s">
        <v>41</v>
      </c>
      <c r="E78" s="31"/>
      <c r="F78" s="169">
        <f>SUM(F79:F82)</f>
        <v>0.03</v>
      </c>
      <c r="H78" s="169">
        <f>SUM(H79:H82)</f>
        <v>0.03</v>
      </c>
      <c r="I78" s="169">
        <f>SUM(I79:I82)</f>
        <v>0.03</v>
      </c>
      <c r="J78" s="169">
        <f>SUM(J79:J82)</f>
        <v>0.03</v>
      </c>
      <c r="K78" s="169">
        <f>SUM(K79:K82)</f>
        <v>0.03</v>
      </c>
      <c r="L78" s="169">
        <f>SUM(L79:L82)</f>
        <v>0.03</v>
      </c>
      <c r="M78" s="148"/>
      <c r="N78" s="169">
        <f>SUM(N79:N82)</f>
        <v>0</v>
      </c>
      <c r="O78" s="148"/>
      <c r="P78" s="169">
        <f>SUM(P79:P82)</f>
        <v>0</v>
      </c>
      <c r="Q78" s="171"/>
      <c r="S78" s="185"/>
      <c r="U78" s="199">
        <f>F78/F77</f>
        <v>0.31578947368421056</v>
      </c>
    </row>
    <row r="79" spans="1:21" outlineLevel="2" x14ac:dyDescent="0.25">
      <c r="D79" s="142" t="s">
        <v>839</v>
      </c>
      <c r="E79" s="142" t="s">
        <v>810</v>
      </c>
      <c r="F79" s="147">
        <v>0.01</v>
      </c>
      <c r="H79" s="147">
        <f>F79</f>
        <v>0.01</v>
      </c>
      <c r="I79" s="147">
        <f>H79</f>
        <v>0.01</v>
      </c>
      <c r="J79" s="147">
        <f>I79</f>
        <v>0.01</v>
      </c>
      <c r="K79" s="147">
        <f>J79</f>
        <v>0.01</v>
      </c>
      <c r="L79" s="147">
        <f>K79</f>
        <v>0.01</v>
      </c>
      <c r="M79" s="148"/>
      <c r="N79" s="147">
        <f>L79*Checklist!B391</f>
        <v>0</v>
      </c>
      <c r="O79" s="148"/>
      <c r="P79" s="147">
        <f>N79/$N$2</f>
        <v>0</v>
      </c>
      <c r="U79" s="157">
        <f>F79/$F$78</f>
        <v>0.33333333333333337</v>
      </c>
    </row>
    <row r="80" spans="1:21" outlineLevel="2" x14ac:dyDescent="0.25">
      <c r="D80" s="142" t="s">
        <v>840</v>
      </c>
      <c r="E80" s="142" t="s">
        <v>815</v>
      </c>
      <c r="F80" s="147">
        <v>0.01</v>
      </c>
      <c r="H80" s="147">
        <f>F80</f>
        <v>0.01</v>
      </c>
      <c r="I80" s="147">
        <f t="shared" ref="I80:L82" si="34">H80</f>
        <v>0.01</v>
      </c>
      <c r="J80" s="147">
        <f t="shared" si="34"/>
        <v>0.01</v>
      </c>
      <c r="K80" s="147">
        <f t="shared" si="34"/>
        <v>0.01</v>
      </c>
      <c r="L80" s="147">
        <f>K80</f>
        <v>0.01</v>
      </c>
      <c r="M80" s="148"/>
      <c r="N80" s="147">
        <f>L80*Checklist!B391</f>
        <v>0</v>
      </c>
      <c r="O80" s="148"/>
      <c r="P80" s="147">
        <f t="shared" ref="P80" si="35">N80/$N$2</f>
        <v>0</v>
      </c>
      <c r="U80" s="157">
        <f>F80/$F$78</f>
        <v>0.33333333333333337</v>
      </c>
    </row>
    <row r="81" spans="1:21" outlineLevel="2" x14ac:dyDescent="0.25">
      <c r="D81" s="142" t="s">
        <v>841</v>
      </c>
      <c r="E81" s="142" t="s">
        <v>812</v>
      </c>
      <c r="F81" s="147">
        <v>7.4999999999999997E-3</v>
      </c>
      <c r="H81" s="147">
        <f>F81</f>
        <v>7.4999999999999997E-3</v>
      </c>
      <c r="I81" s="147">
        <f t="shared" ref="I81:J81" si="36">H81</f>
        <v>7.4999999999999997E-3</v>
      </c>
      <c r="J81" s="147">
        <f t="shared" si="36"/>
        <v>7.4999999999999997E-3</v>
      </c>
      <c r="K81" s="147">
        <f t="shared" si="34"/>
        <v>7.4999999999999997E-3</v>
      </c>
      <c r="L81" s="147">
        <f t="shared" si="34"/>
        <v>7.4999999999999997E-3</v>
      </c>
      <c r="M81" s="148"/>
      <c r="N81" s="147">
        <f>L81*Checklist!B391</f>
        <v>0</v>
      </c>
      <c r="O81" s="148"/>
      <c r="P81" s="147">
        <f>N81/$N$2</f>
        <v>0</v>
      </c>
      <c r="U81" s="157">
        <f>F81/$F$78</f>
        <v>0.25</v>
      </c>
    </row>
    <row r="82" spans="1:21" outlineLevel="2" x14ac:dyDescent="0.25">
      <c r="D82" s="142" t="s">
        <v>842</v>
      </c>
      <c r="E82" s="142" t="s">
        <v>55</v>
      </c>
      <c r="F82" s="147">
        <v>2.5000000000000001E-3</v>
      </c>
      <c r="H82" s="147">
        <f>F82</f>
        <v>2.5000000000000001E-3</v>
      </c>
      <c r="I82" s="147">
        <f t="shared" ref="I82:J82" si="37">H82</f>
        <v>2.5000000000000001E-3</v>
      </c>
      <c r="J82" s="147">
        <f t="shared" si="37"/>
        <v>2.5000000000000001E-3</v>
      </c>
      <c r="K82" s="147">
        <f t="shared" si="34"/>
        <v>2.5000000000000001E-3</v>
      </c>
      <c r="L82" s="147">
        <f>K82</f>
        <v>2.5000000000000001E-3</v>
      </c>
      <c r="M82" s="148"/>
      <c r="N82" s="147">
        <f>L82*Checklist!B391</f>
        <v>0</v>
      </c>
      <c r="O82" s="148"/>
      <c r="P82" s="147">
        <f>N82/$N$2</f>
        <v>0</v>
      </c>
      <c r="U82" s="157">
        <f>F82/$F$78</f>
        <v>8.3333333333333343E-2</v>
      </c>
    </row>
    <row r="83" spans="1:21" s="188" customFormat="1" outlineLevel="1" x14ac:dyDescent="0.25">
      <c r="A83" s="139"/>
      <c r="B83" s="140"/>
      <c r="C83" s="31" t="s">
        <v>843</v>
      </c>
      <c r="D83" s="31" t="s">
        <v>121</v>
      </c>
      <c r="E83" s="31"/>
      <c r="F83" s="169">
        <f>SUM(F84:F87)</f>
        <v>1.9999999999999997E-2</v>
      </c>
      <c r="H83" s="169">
        <f>SUM(H84:H87)</f>
        <v>1.9999999999999997E-2</v>
      </c>
      <c r="I83" s="169">
        <f>SUM(I84:I87)</f>
        <v>1.9999999999999997E-2</v>
      </c>
      <c r="J83" s="169">
        <f>SUM(J84:J87)</f>
        <v>1.9999999999999997E-2</v>
      </c>
      <c r="K83" s="169">
        <f>SUM(K84:K87)</f>
        <v>1.9999999999999997E-2</v>
      </c>
      <c r="L83" s="169">
        <f>SUM(L84:L87)</f>
        <v>1.9999999999999997E-2</v>
      </c>
      <c r="M83" s="148"/>
      <c r="N83" s="169">
        <f>SUM(N84:N87)</f>
        <v>0</v>
      </c>
      <c r="O83" s="148"/>
      <c r="P83" s="169">
        <f>SUM(P84:P87)</f>
        <v>0</v>
      </c>
      <c r="Q83" s="189"/>
      <c r="U83" s="202">
        <f>F83/F77</f>
        <v>0.21052631578947367</v>
      </c>
    </row>
    <row r="84" spans="1:21" outlineLevel="2" x14ac:dyDescent="0.25">
      <c r="D84" s="142" t="s">
        <v>844</v>
      </c>
      <c r="E84" s="142" t="s">
        <v>810</v>
      </c>
      <c r="F84" s="147">
        <v>7.4999999999999997E-3</v>
      </c>
      <c r="H84" s="147">
        <f>F84</f>
        <v>7.4999999999999997E-3</v>
      </c>
      <c r="I84" s="147">
        <f>H84</f>
        <v>7.4999999999999997E-3</v>
      </c>
      <c r="J84" s="147">
        <f>I84</f>
        <v>7.4999999999999997E-3</v>
      </c>
      <c r="K84" s="147">
        <f>J84</f>
        <v>7.4999999999999997E-3</v>
      </c>
      <c r="L84" s="147">
        <f>K84</f>
        <v>7.4999999999999997E-3</v>
      </c>
      <c r="M84" s="148"/>
      <c r="N84" s="147">
        <f>L84*Checklist!B417</f>
        <v>0</v>
      </c>
      <c r="O84" s="148"/>
      <c r="P84" s="147">
        <f>N84/$N$2</f>
        <v>0</v>
      </c>
      <c r="U84" s="156">
        <f>F84/$F$83</f>
        <v>0.37500000000000006</v>
      </c>
    </row>
    <row r="85" spans="1:21" outlineLevel="2" x14ac:dyDescent="0.25">
      <c r="D85" s="142" t="s">
        <v>845</v>
      </c>
      <c r="E85" s="142" t="s">
        <v>1762</v>
      </c>
      <c r="F85" s="147">
        <v>7.4999999999999997E-3</v>
      </c>
      <c r="H85" s="147">
        <f>F85</f>
        <v>7.4999999999999997E-3</v>
      </c>
      <c r="I85" s="147">
        <f t="shared" ref="I85:L87" si="38">H85</f>
        <v>7.4999999999999997E-3</v>
      </c>
      <c r="J85" s="147">
        <f t="shared" si="38"/>
        <v>7.4999999999999997E-3</v>
      </c>
      <c r="K85" s="147">
        <f t="shared" si="38"/>
        <v>7.4999999999999997E-3</v>
      </c>
      <c r="L85" s="147">
        <f t="shared" si="38"/>
        <v>7.4999999999999997E-3</v>
      </c>
      <c r="M85" s="148"/>
      <c r="N85" s="147">
        <f>L85*Checklist!B417</f>
        <v>0</v>
      </c>
      <c r="O85" s="148"/>
      <c r="P85" s="147">
        <f t="shared" ref="P85:P92" si="39">N85/$N$2</f>
        <v>0</v>
      </c>
      <c r="U85" s="156">
        <f>F85/$F$83</f>
        <v>0.37500000000000006</v>
      </c>
    </row>
    <row r="86" spans="1:21" outlineLevel="2" x14ac:dyDescent="0.25">
      <c r="D86" s="142" t="s">
        <v>846</v>
      </c>
      <c r="E86" s="142" t="s">
        <v>812</v>
      </c>
      <c r="F86" s="147">
        <v>2.5000000000000001E-3</v>
      </c>
      <c r="H86" s="147">
        <f>F86</f>
        <v>2.5000000000000001E-3</v>
      </c>
      <c r="I86" s="147">
        <f t="shared" ref="I86:J86" si="40">H86</f>
        <v>2.5000000000000001E-3</v>
      </c>
      <c r="J86" s="147">
        <f t="shared" si="40"/>
        <v>2.5000000000000001E-3</v>
      </c>
      <c r="K86" s="147">
        <f t="shared" si="38"/>
        <v>2.5000000000000001E-3</v>
      </c>
      <c r="L86" s="147">
        <f t="shared" si="38"/>
        <v>2.5000000000000001E-3</v>
      </c>
      <c r="M86" s="148"/>
      <c r="N86" s="147">
        <f>L86*Checklist!B417</f>
        <v>0</v>
      </c>
      <c r="O86" s="148"/>
      <c r="P86" s="147">
        <f t="shared" si="39"/>
        <v>0</v>
      </c>
      <c r="U86" s="156">
        <f>F86/$F$83</f>
        <v>0.12500000000000003</v>
      </c>
    </row>
    <row r="87" spans="1:21" outlineLevel="2" x14ac:dyDescent="0.25">
      <c r="D87" s="142" t="s">
        <v>847</v>
      </c>
      <c r="E87" s="142" t="s">
        <v>55</v>
      </c>
      <c r="F87" s="147">
        <v>2.5000000000000001E-3</v>
      </c>
      <c r="H87" s="147">
        <f>F87</f>
        <v>2.5000000000000001E-3</v>
      </c>
      <c r="I87" s="147">
        <f t="shared" ref="I87:J87" si="41">H87</f>
        <v>2.5000000000000001E-3</v>
      </c>
      <c r="J87" s="147">
        <f t="shared" si="41"/>
        <v>2.5000000000000001E-3</v>
      </c>
      <c r="K87" s="147">
        <f t="shared" si="38"/>
        <v>2.5000000000000001E-3</v>
      </c>
      <c r="L87" s="147">
        <f t="shared" si="38"/>
        <v>2.5000000000000001E-3</v>
      </c>
      <c r="M87" s="148"/>
      <c r="N87" s="147">
        <f>L87*Checklist!B417</f>
        <v>0</v>
      </c>
      <c r="O87" s="148"/>
      <c r="P87" s="147">
        <f t="shared" si="39"/>
        <v>0</v>
      </c>
      <c r="U87" s="156">
        <f>F87/$F$83</f>
        <v>0.12500000000000003</v>
      </c>
    </row>
    <row r="88" spans="1:21" s="188" customFormat="1" outlineLevel="1" x14ac:dyDescent="0.25">
      <c r="A88" s="165"/>
      <c r="B88" s="170"/>
      <c r="C88" s="31" t="s">
        <v>848</v>
      </c>
      <c r="D88" s="31" t="s">
        <v>817</v>
      </c>
      <c r="E88" s="31"/>
      <c r="F88" s="169">
        <f>SUM(F89:F92)</f>
        <v>1.9999999999999997E-2</v>
      </c>
      <c r="H88" s="169">
        <f>SUM(H89:H92)</f>
        <v>1.9999999999999997E-2</v>
      </c>
      <c r="I88" s="169">
        <f>SUM(I89:I92)</f>
        <v>1.9999999999999997E-2</v>
      </c>
      <c r="J88" s="169">
        <f>SUM(J89:J92)</f>
        <v>1.9999999999999997E-2</v>
      </c>
      <c r="K88" s="169">
        <f>SUM(K89:K92)</f>
        <v>1.9999999999999997E-2</v>
      </c>
      <c r="L88" s="169">
        <f>SUM(L89:L92)</f>
        <v>1.9999999999999997E-2</v>
      </c>
      <c r="M88" s="148"/>
      <c r="N88" s="169">
        <f>SUM(N89:N92)</f>
        <v>0</v>
      </c>
      <c r="O88" s="148"/>
      <c r="P88" s="169">
        <f>SUM(P89:P92)</f>
        <v>0</v>
      </c>
      <c r="Q88" s="189"/>
      <c r="U88" s="202">
        <f>F88/F77</f>
        <v>0.21052631578947367</v>
      </c>
    </row>
    <row r="89" spans="1:21" outlineLevel="2" x14ac:dyDescent="0.25">
      <c r="D89" s="142" t="s">
        <v>849</v>
      </c>
      <c r="E89" s="142" t="s">
        <v>810</v>
      </c>
      <c r="F89" s="147">
        <v>7.4999999999999997E-3</v>
      </c>
      <c r="H89" s="147">
        <f>F89</f>
        <v>7.4999999999999997E-3</v>
      </c>
      <c r="I89" s="147">
        <f>H89</f>
        <v>7.4999999999999997E-3</v>
      </c>
      <c r="J89" s="147">
        <f>I89</f>
        <v>7.4999999999999997E-3</v>
      </c>
      <c r="K89" s="147">
        <f>J89</f>
        <v>7.4999999999999997E-3</v>
      </c>
      <c r="L89" s="147">
        <f>K89</f>
        <v>7.4999999999999997E-3</v>
      </c>
      <c r="M89" s="148"/>
      <c r="N89" s="147">
        <f>L89*Checklist!B442</f>
        <v>0</v>
      </c>
      <c r="O89" s="148"/>
      <c r="P89" s="147">
        <f t="shared" si="39"/>
        <v>0</v>
      </c>
      <c r="U89" s="156">
        <f>F89/$F$88</f>
        <v>0.37500000000000006</v>
      </c>
    </row>
    <row r="90" spans="1:21" outlineLevel="2" x14ac:dyDescent="0.25">
      <c r="D90" s="142" t="s">
        <v>850</v>
      </c>
      <c r="E90" s="142" t="s">
        <v>1852</v>
      </c>
      <c r="F90" s="147">
        <v>7.4999999999999997E-3</v>
      </c>
      <c r="H90" s="147">
        <f>F90</f>
        <v>7.4999999999999997E-3</v>
      </c>
      <c r="I90" s="147">
        <f t="shared" ref="I90:L92" si="42">H90</f>
        <v>7.4999999999999997E-3</v>
      </c>
      <c r="J90" s="147">
        <f t="shared" si="42"/>
        <v>7.4999999999999997E-3</v>
      </c>
      <c r="K90" s="147">
        <f t="shared" si="42"/>
        <v>7.4999999999999997E-3</v>
      </c>
      <c r="L90" s="147">
        <f t="shared" si="42"/>
        <v>7.4999999999999997E-3</v>
      </c>
      <c r="M90" s="148"/>
      <c r="N90" s="147">
        <f>L90*Checklist!B442</f>
        <v>0</v>
      </c>
      <c r="O90" s="148"/>
      <c r="P90" s="147">
        <f>N90/$N$2</f>
        <v>0</v>
      </c>
      <c r="U90" s="156">
        <f>F90/$F$88</f>
        <v>0.37500000000000006</v>
      </c>
    </row>
    <row r="91" spans="1:21" outlineLevel="2" x14ac:dyDescent="0.25">
      <c r="D91" s="142" t="s">
        <v>851</v>
      </c>
      <c r="E91" s="142" t="s">
        <v>812</v>
      </c>
      <c r="F91" s="147">
        <v>2.5000000000000001E-3</v>
      </c>
      <c r="H91" s="147">
        <f>F91</f>
        <v>2.5000000000000001E-3</v>
      </c>
      <c r="I91" s="147">
        <f t="shared" ref="I91:J91" si="43">H91</f>
        <v>2.5000000000000001E-3</v>
      </c>
      <c r="J91" s="147">
        <f t="shared" si="43"/>
        <v>2.5000000000000001E-3</v>
      </c>
      <c r="K91" s="147">
        <f t="shared" si="42"/>
        <v>2.5000000000000001E-3</v>
      </c>
      <c r="L91" s="147">
        <f t="shared" si="42"/>
        <v>2.5000000000000001E-3</v>
      </c>
      <c r="M91" s="148"/>
      <c r="N91" s="147">
        <f>L91*Checklist!B442</f>
        <v>0</v>
      </c>
      <c r="O91" s="148"/>
      <c r="P91" s="147">
        <f>N91/$N$2</f>
        <v>0</v>
      </c>
      <c r="U91" s="156">
        <f>F91/$F$88</f>
        <v>0.12500000000000003</v>
      </c>
    </row>
    <row r="92" spans="1:21" outlineLevel="2" x14ac:dyDescent="0.25">
      <c r="D92" s="142" t="s">
        <v>852</v>
      </c>
      <c r="E92" s="142" t="s">
        <v>55</v>
      </c>
      <c r="F92" s="147">
        <v>2.5000000000000001E-3</v>
      </c>
      <c r="H92" s="147">
        <f>F92</f>
        <v>2.5000000000000001E-3</v>
      </c>
      <c r="I92" s="147">
        <f t="shared" ref="I92:J92" si="44">H92</f>
        <v>2.5000000000000001E-3</v>
      </c>
      <c r="J92" s="147">
        <f t="shared" si="44"/>
        <v>2.5000000000000001E-3</v>
      </c>
      <c r="K92" s="147">
        <f t="shared" si="42"/>
        <v>2.5000000000000001E-3</v>
      </c>
      <c r="L92" s="147">
        <f t="shared" si="42"/>
        <v>2.5000000000000001E-3</v>
      </c>
      <c r="M92" s="148"/>
      <c r="N92" s="147">
        <f>L92*Checklist!B442</f>
        <v>0</v>
      </c>
      <c r="O92" s="148"/>
      <c r="P92" s="147">
        <f t="shared" si="39"/>
        <v>0</v>
      </c>
      <c r="U92" s="156">
        <f>F92/$F$88</f>
        <v>0.12500000000000003</v>
      </c>
    </row>
    <row r="93" spans="1:21" s="188" customFormat="1" outlineLevel="1" x14ac:dyDescent="0.25">
      <c r="A93" s="200"/>
      <c r="C93" s="31" t="s">
        <v>853</v>
      </c>
      <c r="D93" s="31" t="s">
        <v>253</v>
      </c>
      <c r="E93" s="31"/>
      <c r="F93" s="169">
        <f>SUM(F94:F97)</f>
        <v>2.4999999999999998E-2</v>
      </c>
      <c r="H93" s="169">
        <f>SUM(H94:H97)</f>
        <v>2.4999999999999998E-2</v>
      </c>
      <c r="I93" s="169">
        <f>SUM(I94:I97)</f>
        <v>2.4999999999999998E-2</v>
      </c>
      <c r="J93" s="169">
        <f>SUM(J94:J97)</f>
        <v>2.4999999999999998E-2</v>
      </c>
      <c r="K93" s="169">
        <f>SUM(K94:K97)</f>
        <v>2.4999999999999998E-2</v>
      </c>
      <c r="L93" s="169">
        <f>SUM(L94:L97)</f>
        <v>2.4999999999999998E-2</v>
      </c>
      <c r="M93" s="148"/>
      <c r="N93" s="169">
        <f>SUM(N94:N97)</f>
        <v>0</v>
      </c>
      <c r="O93" s="148"/>
      <c r="P93" s="169">
        <f>SUM(P94:P97)</f>
        <v>0</v>
      </c>
      <c r="Q93" s="189"/>
      <c r="U93" s="202">
        <f>F93/F77</f>
        <v>0.26315789473684215</v>
      </c>
    </row>
    <row r="94" spans="1:21" outlineLevel="2" x14ac:dyDescent="0.25">
      <c r="C94" s="154"/>
      <c r="D94" s="142" t="s">
        <v>854</v>
      </c>
      <c r="E94" s="142" t="s">
        <v>810</v>
      </c>
      <c r="F94" s="147">
        <v>7.4999999999999997E-3</v>
      </c>
      <c r="G94" s="147"/>
      <c r="H94" s="147">
        <f>F94</f>
        <v>7.4999999999999997E-3</v>
      </c>
      <c r="I94" s="147">
        <f>H94</f>
        <v>7.4999999999999997E-3</v>
      </c>
      <c r="J94" s="147">
        <f>I94</f>
        <v>7.4999999999999997E-3</v>
      </c>
      <c r="K94" s="147">
        <f>J94</f>
        <v>7.4999999999999997E-3</v>
      </c>
      <c r="L94" s="147">
        <f>K94</f>
        <v>7.4999999999999997E-3</v>
      </c>
      <c r="M94" s="148"/>
      <c r="N94" s="147">
        <f>L94*Checklist!B467</f>
        <v>0</v>
      </c>
      <c r="O94" s="148"/>
      <c r="P94" s="147">
        <f>N94/$N$2</f>
        <v>0</v>
      </c>
      <c r="U94" s="156">
        <f>F94/$F$93</f>
        <v>0.3</v>
      </c>
    </row>
    <row r="95" spans="1:21" outlineLevel="2" x14ac:dyDescent="0.25">
      <c r="C95" s="154"/>
      <c r="D95" s="142" t="s">
        <v>855</v>
      </c>
      <c r="E95" s="142" t="s">
        <v>1852</v>
      </c>
      <c r="F95" s="147">
        <v>7.4999999999999997E-3</v>
      </c>
      <c r="G95" s="147"/>
      <c r="H95" s="147">
        <f>F95</f>
        <v>7.4999999999999997E-3</v>
      </c>
      <c r="I95" s="147">
        <f t="shared" ref="I95:L97" si="45">H95</f>
        <v>7.4999999999999997E-3</v>
      </c>
      <c r="J95" s="147">
        <f t="shared" si="45"/>
        <v>7.4999999999999997E-3</v>
      </c>
      <c r="K95" s="147">
        <f t="shared" si="45"/>
        <v>7.4999999999999997E-3</v>
      </c>
      <c r="L95" s="147">
        <f t="shared" si="45"/>
        <v>7.4999999999999997E-3</v>
      </c>
      <c r="M95" s="148"/>
      <c r="N95" s="147">
        <f>L95*Checklist!B467</f>
        <v>0</v>
      </c>
      <c r="O95" s="148"/>
      <c r="P95" s="147">
        <f t="shared" ref="P95:P97" si="46">N95/$N$2</f>
        <v>0</v>
      </c>
      <c r="U95" s="156">
        <f>F95/$F$93</f>
        <v>0.3</v>
      </c>
    </row>
    <row r="96" spans="1:21" outlineLevel="2" x14ac:dyDescent="0.25">
      <c r="C96" s="154"/>
      <c r="D96" s="142" t="s">
        <v>856</v>
      </c>
      <c r="E96" s="142" t="s">
        <v>812</v>
      </c>
      <c r="F96" s="147">
        <v>7.4999999999999997E-3</v>
      </c>
      <c r="G96" s="147"/>
      <c r="H96" s="147">
        <f>F96</f>
        <v>7.4999999999999997E-3</v>
      </c>
      <c r="I96" s="147">
        <f t="shared" ref="I96:J96" si="47">H96</f>
        <v>7.4999999999999997E-3</v>
      </c>
      <c r="J96" s="147">
        <f t="shared" si="47"/>
        <v>7.4999999999999997E-3</v>
      </c>
      <c r="K96" s="147">
        <f t="shared" si="45"/>
        <v>7.4999999999999997E-3</v>
      </c>
      <c r="L96" s="147">
        <f t="shared" si="45"/>
        <v>7.4999999999999997E-3</v>
      </c>
      <c r="M96" s="148"/>
      <c r="N96" s="147">
        <f>L96*Checklist!B467</f>
        <v>0</v>
      </c>
      <c r="O96" s="148"/>
      <c r="P96" s="147">
        <f t="shared" si="46"/>
        <v>0</v>
      </c>
      <c r="U96" s="156">
        <f>F96/$F$93</f>
        <v>0.3</v>
      </c>
    </row>
    <row r="97" spans="1:21" outlineLevel="2" x14ac:dyDescent="0.25">
      <c r="C97" s="154"/>
      <c r="D97" s="142" t="s">
        <v>857</v>
      </c>
      <c r="E97" s="142" t="s">
        <v>55</v>
      </c>
      <c r="F97" s="147">
        <v>2.5000000000000001E-3</v>
      </c>
      <c r="G97" s="147"/>
      <c r="H97" s="147">
        <f>F97</f>
        <v>2.5000000000000001E-3</v>
      </c>
      <c r="I97" s="147">
        <f t="shared" ref="I97:J97" si="48">H97</f>
        <v>2.5000000000000001E-3</v>
      </c>
      <c r="J97" s="147">
        <f t="shared" si="48"/>
        <v>2.5000000000000001E-3</v>
      </c>
      <c r="K97" s="147">
        <f t="shared" si="45"/>
        <v>2.5000000000000001E-3</v>
      </c>
      <c r="L97" s="147">
        <f t="shared" si="45"/>
        <v>2.5000000000000001E-3</v>
      </c>
      <c r="M97" s="148"/>
      <c r="N97" s="147">
        <f>L97*Checklist!B467</f>
        <v>0</v>
      </c>
      <c r="O97" s="148"/>
      <c r="P97" s="147">
        <f t="shared" si="46"/>
        <v>0</v>
      </c>
      <c r="U97" s="156">
        <f>F97/$F$93</f>
        <v>0.1</v>
      </c>
    </row>
    <row r="98" spans="1:21" s="167" customFormat="1" x14ac:dyDescent="0.25">
      <c r="A98" s="186"/>
      <c r="B98" s="7">
        <v>6</v>
      </c>
      <c r="C98" s="180" t="s">
        <v>858</v>
      </c>
      <c r="D98" s="180"/>
      <c r="E98" s="173"/>
      <c r="F98" s="176">
        <f>F99+F104</f>
        <v>7.4999999999999997E-2</v>
      </c>
      <c r="H98" s="176">
        <f>H99+H104</f>
        <v>7.4999999999999997E-2</v>
      </c>
      <c r="I98" s="176">
        <f>I99+I104</f>
        <v>7.4999999999999997E-2</v>
      </c>
      <c r="J98" s="176">
        <f>J99+J104</f>
        <v>7.4999999999999997E-2</v>
      </c>
      <c r="K98" s="176">
        <f>K99+K104</f>
        <v>7.4999999999999997E-2</v>
      </c>
      <c r="L98" s="176">
        <f>L99+L104</f>
        <v>7.4999999999999997E-2</v>
      </c>
      <c r="M98" s="148"/>
      <c r="N98" s="176">
        <f>N99+N104</f>
        <v>0</v>
      </c>
      <c r="O98" s="148"/>
      <c r="P98" s="176">
        <f>P99+P104</f>
        <v>0</v>
      </c>
      <c r="Q98" s="172"/>
    </row>
    <row r="99" spans="1:21" s="170" customFormat="1" outlineLevel="1" x14ac:dyDescent="0.25">
      <c r="A99" s="184"/>
      <c r="C99" s="31" t="s">
        <v>859</v>
      </c>
      <c r="D99" s="31" t="s">
        <v>860</v>
      </c>
      <c r="E99" s="31"/>
      <c r="F99" s="169">
        <f>SUM(F100:F103)</f>
        <v>0.03</v>
      </c>
      <c r="H99" s="169">
        <f>SUM(H100:H103)</f>
        <v>0.03</v>
      </c>
      <c r="I99" s="169">
        <f>SUM(I100:I103)</f>
        <v>0.03</v>
      </c>
      <c r="J99" s="169">
        <f>SUM(J100:J103)</f>
        <v>0.03</v>
      </c>
      <c r="K99" s="169">
        <f>SUM(K100:K103)</f>
        <v>0.03</v>
      </c>
      <c r="L99" s="169">
        <f>SUM(L100:L103)</f>
        <v>0.03</v>
      </c>
      <c r="M99" s="178"/>
      <c r="N99" s="169">
        <f>SUM(N100:N103)</f>
        <v>0</v>
      </c>
      <c r="O99" s="178"/>
      <c r="P99" s="169">
        <f>SUM(P100:P103)</f>
        <v>0</v>
      </c>
      <c r="Q99" s="171"/>
    </row>
    <row r="100" spans="1:21" outlineLevel="2" x14ac:dyDescent="0.25">
      <c r="D100" s="142" t="s">
        <v>861</v>
      </c>
      <c r="E100" s="142" t="s">
        <v>810</v>
      </c>
      <c r="F100" s="147">
        <v>0.01</v>
      </c>
      <c r="H100" s="147">
        <f>F100</f>
        <v>0.01</v>
      </c>
      <c r="I100" s="147">
        <f>H100</f>
        <v>0.01</v>
      </c>
      <c r="J100" s="147">
        <f>I100</f>
        <v>0.01</v>
      </c>
      <c r="K100" s="147">
        <f>J100</f>
        <v>0.01</v>
      </c>
      <c r="L100" s="147">
        <f>K100</f>
        <v>0.01</v>
      </c>
      <c r="M100" s="148"/>
      <c r="N100" s="147">
        <f>L100*Checklist!B495</f>
        <v>0</v>
      </c>
      <c r="O100" s="148"/>
      <c r="P100" s="147">
        <f>N100/$N$2</f>
        <v>0</v>
      </c>
      <c r="U100" s="156">
        <f>F100/$F$99</f>
        <v>0.33333333333333337</v>
      </c>
    </row>
    <row r="101" spans="1:21" outlineLevel="2" x14ac:dyDescent="0.25">
      <c r="D101" s="142" t="s">
        <v>862</v>
      </c>
      <c r="E101" s="142" t="s">
        <v>1852</v>
      </c>
      <c r="F101" s="147">
        <v>0.01</v>
      </c>
      <c r="H101" s="147">
        <f>F101</f>
        <v>0.01</v>
      </c>
      <c r="I101" s="147">
        <f t="shared" ref="I101:J103" si="49">H101</f>
        <v>0.01</v>
      </c>
      <c r="J101" s="147">
        <f t="shared" si="49"/>
        <v>0.01</v>
      </c>
      <c r="K101" s="147">
        <f t="shared" ref="K101:L103" si="50">J101</f>
        <v>0.01</v>
      </c>
      <c r="L101" s="147">
        <f t="shared" si="50"/>
        <v>0.01</v>
      </c>
      <c r="M101" s="148"/>
      <c r="N101" s="147">
        <f>L101*Checklist!B495</f>
        <v>0</v>
      </c>
      <c r="O101" s="148"/>
      <c r="P101" s="147">
        <f>N101/$N$2</f>
        <v>0</v>
      </c>
      <c r="U101" s="156">
        <f>F101/$F$99</f>
        <v>0.33333333333333337</v>
      </c>
    </row>
    <row r="102" spans="1:21" outlineLevel="2" x14ac:dyDescent="0.25">
      <c r="D102" s="142" t="s">
        <v>863</v>
      </c>
      <c r="E102" s="142" t="s">
        <v>812</v>
      </c>
      <c r="F102" s="147">
        <v>7.4999999999999997E-3</v>
      </c>
      <c r="H102" s="147">
        <f>F102</f>
        <v>7.4999999999999997E-3</v>
      </c>
      <c r="I102" s="147">
        <f t="shared" si="49"/>
        <v>7.4999999999999997E-3</v>
      </c>
      <c r="J102" s="147">
        <f t="shared" si="49"/>
        <v>7.4999999999999997E-3</v>
      </c>
      <c r="K102" s="147">
        <f t="shared" si="50"/>
        <v>7.4999999999999997E-3</v>
      </c>
      <c r="L102" s="147">
        <f t="shared" si="50"/>
        <v>7.4999999999999997E-3</v>
      </c>
      <c r="M102" s="148"/>
      <c r="N102" s="147">
        <f>L102*Checklist!B495</f>
        <v>0</v>
      </c>
      <c r="O102" s="148"/>
      <c r="P102" s="147">
        <f>N102/$N$2</f>
        <v>0</v>
      </c>
      <c r="U102" s="156">
        <f>F102/$F$99</f>
        <v>0.25</v>
      </c>
    </row>
    <row r="103" spans="1:21" outlineLevel="2" x14ac:dyDescent="0.25">
      <c r="D103" s="142" t="s">
        <v>864</v>
      </c>
      <c r="E103" s="142" t="s">
        <v>55</v>
      </c>
      <c r="F103" s="147">
        <v>2.5000000000000001E-3</v>
      </c>
      <c r="H103" s="147">
        <f>F103</f>
        <v>2.5000000000000001E-3</v>
      </c>
      <c r="I103" s="147">
        <f t="shared" si="49"/>
        <v>2.5000000000000001E-3</v>
      </c>
      <c r="J103" s="147">
        <f t="shared" si="49"/>
        <v>2.5000000000000001E-3</v>
      </c>
      <c r="K103" s="147">
        <f t="shared" si="50"/>
        <v>2.5000000000000001E-3</v>
      </c>
      <c r="L103" s="147">
        <f t="shared" si="50"/>
        <v>2.5000000000000001E-3</v>
      </c>
      <c r="M103" s="148"/>
      <c r="N103" s="147">
        <f>L103*Checklist!B495</f>
        <v>0</v>
      </c>
      <c r="O103" s="148"/>
      <c r="P103" s="147">
        <f>N103/$N$2</f>
        <v>0</v>
      </c>
      <c r="U103" s="156">
        <f>F103/$F$99</f>
        <v>8.3333333333333343E-2</v>
      </c>
    </row>
    <row r="104" spans="1:21" s="188" customFormat="1" outlineLevel="1" x14ac:dyDescent="0.25">
      <c r="A104" s="187"/>
      <c r="C104" s="31" t="s">
        <v>865</v>
      </c>
      <c r="D104" s="31" t="s">
        <v>46</v>
      </c>
      <c r="E104" s="31"/>
      <c r="F104" s="169">
        <f>SUM(F105:F106)</f>
        <v>4.4999999999999998E-2</v>
      </c>
      <c r="H104" s="169">
        <f>SUM(H105:H106)</f>
        <v>4.4999999999999998E-2</v>
      </c>
      <c r="I104" s="169">
        <f>SUM(I105:I106)</f>
        <v>4.4999999999999998E-2</v>
      </c>
      <c r="J104" s="169">
        <f>SUM(J105:J106)</f>
        <v>4.4999999999999998E-2</v>
      </c>
      <c r="K104" s="169">
        <f>SUM(K105:K106)</f>
        <v>4.4999999999999998E-2</v>
      </c>
      <c r="L104" s="169">
        <f>SUM(L105:L106)</f>
        <v>4.4999999999999998E-2</v>
      </c>
      <c r="M104" s="201"/>
      <c r="N104" s="169">
        <f>SUM(N105:N106)</f>
        <v>0</v>
      </c>
      <c r="O104" s="201"/>
      <c r="P104" s="169">
        <f>SUM(P105:P106)</f>
        <v>0</v>
      </c>
      <c r="Q104" s="189"/>
    </row>
    <row r="105" spans="1:21" outlineLevel="2" x14ac:dyDescent="0.25">
      <c r="D105" s="142" t="s">
        <v>866</v>
      </c>
      <c r="E105" s="142" t="s">
        <v>867</v>
      </c>
      <c r="F105" s="147">
        <v>0.03</v>
      </c>
      <c r="H105" s="147">
        <f>F105</f>
        <v>0.03</v>
      </c>
      <c r="I105" s="147">
        <f t="shared" ref="I105:L106" si="51">H105</f>
        <v>0.03</v>
      </c>
      <c r="J105" s="147">
        <f t="shared" si="51"/>
        <v>0.03</v>
      </c>
      <c r="K105" s="147">
        <f t="shared" si="51"/>
        <v>0.03</v>
      </c>
      <c r="L105" s="147">
        <f t="shared" si="51"/>
        <v>0.03</v>
      </c>
      <c r="M105" s="148"/>
      <c r="N105" s="147">
        <f>L105*Checklist!B519</f>
        <v>0</v>
      </c>
      <c r="O105" s="148"/>
      <c r="P105" s="147">
        <f>N105/$N$2</f>
        <v>0</v>
      </c>
      <c r="U105" s="156">
        <f>F105/$F$104</f>
        <v>0.66666666666666663</v>
      </c>
    </row>
    <row r="106" spans="1:21" outlineLevel="2" x14ac:dyDescent="0.25">
      <c r="D106" s="142" t="s">
        <v>868</v>
      </c>
      <c r="E106" s="142" t="s">
        <v>70</v>
      </c>
      <c r="F106" s="147">
        <v>1.4999999999999999E-2</v>
      </c>
      <c r="H106" s="147">
        <f>F106</f>
        <v>1.4999999999999999E-2</v>
      </c>
      <c r="I106" s="147">
        <f t="shared" si="51"/>
        <v>1.4999999999999999E-2</v>
      </c>
      <c r="J106" s="147">
        <f t="shared" si="51"/>
        <v>1.4999999999999999E-2</v>
      </c>
      <c r="K106" s="147">
        <f t="shared" si="51"/>
        <v>1.4999999999999999E-2</v>
      </c>
      <c r="L106" s="147">
        <f t="shared" si="51"/>
        <v>1.4999999999999999E-2</v>
      </c>
      <c r="M106" s="148"/>
      <c r="N106" s="147">
        <f>L106*Checklist!B519</f>
        <v>0</v>
      </c>
      <c r="O106" s="148"/>
      <c r="P106" s="147">
        <f>N106/$N$2</f>
        <v>0</v>
      </c>
      <c r="U106" s="156">
        <f>F106/$F$104</f>
        <v>0.33333333333333331</v>
      </c>
    </row>
    <row r="107" spans="1:21" s="167" customFormat="1" x14ac:dyDescent="0.25">
      <c r="A107" s="186"/>
      <c r="B107" s="7">
        <v>7</v>
      </c>
      <c r="C107" s="180" t="s">
        <v>869</v>
      </c>
      <c r="D107" s="180"/>
      <c r="E107" s="173"/>
      <c r="F107" s="176">
        <f>F108+F111</f>
        <v>5.5E-2</v>
      </c>
      <c r="H107" s="176">
        <f>H108+H111</f>
        <v>5.5E-2</v>
      </c>
      <c r="I107" s="176">
        <f>I108+I111</f>
        <v>5.5E-2</v>
      </c>
      <c r="J107" s="176">
        <f>J108+J111</f>
        <v>5.5E-2</v>
      </c>
      <c r="K107" s="176">
        <f>K108+K111</f>
        <v>5.5E-2</v>
      </c>
      <c r="L107" s="176">
        <f>L108+L111</f>
        <v>5.5E-2</v>
      </c>
      <c r="M107" s="179"/>
      <c r="N107" s="176">
        <f>N108+N111</f>
        <v>0.01</v>
      </c>
      <c r="O107" s="179"/>
      <c r="P107" s="176">
        <f>P108+P111</f>
        <v>1.4420976722577783E-2</v>
      </c>
      <c r="Q107" s="172"/>
    </row>
    <row r="108" spans="1:21" s="170" customFormat="1" ht="14.65" customHeight="1" outlineLevel="1" x14ac:dyDescent="0.25">
      <c r="A108" s="184"/>
      <c r="C108" s="31" t="s">
        <v>870</v>
      </c>
      <c r="D108" s="31" t="s">
        <v>871</v>
      </c>
      <c r="E108" s="31"/>
      <c r="F108" s="169">
        <f>SUM(F109:F110)</f>
        <v>4.4999999999999998E-2</v>
      </c>
      <c r="H108" s="169">
        <f>SUM(H109:H110)</f>
        <v>4.4999999999999998E-2</v>
      </c>
      <c r="I108" s="169">
        <f>SUM(I109:I110)</f>
        <v>4.4999999999999998E-2</v>
      </c>
      <c r="J108" s="169">
        <f>SUM(J109:J110)</f>
        <v>4.4999999999999998E-2</v>
      </c>
      <c r="K108" s="169">
        <f>SUM(K109:K110)</f>
        <v>4.4999999999999998E-2</v>
      </c>
      <c r="L108" s="169">
        <f>SUM(L109:L110)</f>
        <v>4.4999999999999998E-2</v>
      </c>
      <c r="M108" s="148"/>
      <c r="N108" s="169">
        <f>SUM(N109:N110)</f>
        <v>0</v>
      </c>
      <c r="O108" s="148"/>
      <c r="P108" s="169">
        <f>SUM(P109:P110)</f>
        <v>0</v>
      </c>
      <c r="Q108" s="171"/>
    </row>
    <row r="109" spans="1:21" outlineLevel="2" x14ac:dyDescent="0.25">
      <c r="D109" s="142" t="s">
        <v>872</v>
      </c>
      <c r="E109" s="142" t="s">
        <v>829</v>
      </c>
      <c r="F109" s="147">
        <v>0.03</v>
      </c>
      <c r="H109" s="147">
        <f>F109</f>
        <v>0.03</v>
      </c>
      <c r="I109" s="147">
        <f t="shared" ref="I109:L110" si="52">H109</f>
        <v>0.03</v>
      </c>
      <c r="J109" s="147">
        <f t="shared" si="52"/>
        <v>0.03</v>
      </c>
      <c r="K109" s="147">
        <f t="shared" si="52"/>
        <v>0.03</v>
      </c>
      <c r="L109" s="181">
        <f t="shared" si="52"/>
        <v>0.03</v>
      </c>
      <c r="M109" s="148"/>
      <c r="N109" s="194">
        <f>L109*Checklist!B533</f>
        <v>0</v>
      </c>
      <c r="O109" s="148"/>
      <c r="P109" s="164">
        <f>N109/$N$2</f>
        <v>0</v>
      </c>
      <c r="U109" s="156">
        <f>F109/$F$108</f>
        <v>0.66666666666666663</v>
      </c>
    </row>
    <row r="110" spans="1:21" outlineLevel="2" x14ac:dyDescent="0.25">
      <c r="D110" s="142" t="s">
        <v>873</v>
      </c>
      <c r="E110" s="142" t="s">
        <v>70</v>
      </c>
      <c r="F110" s="147">
        <v>1.4999999999999999E-2</v>
      </c>
      <c r="H110" s="147">
        <f>F110</f>
        <v>1.4999999999999999E-2</v>
      </c>
      <c r="I110" s="147">
        <f t="shared" si="52"/>
        <v>1.4999999999999999E-2</v>
      </c>
      <c r="J110" s="147">
        <f t="shared" si="52"/>
        <v>1.4999999999999999E-2</v>
      </c>
      <c r="K110" s="147">
        <f t="shared" si="52"/>
        <v>1.4999999999999999E-2</v>
      </c>
      <c r="L110" s="181">
        <f t="shared" si="52"/>
        <v>1.4999999999999999E-2</v>
      </c>
      <c r="M110" s="148"/>
      <c r="N110" s="194">
        <f>L110*Checklist!B533</f>
        <v>0</v>
      </c>
      <c r="O110" s="148"/>
      <c r="P110" s="164">
        <f>N110/$N$2</f>
        <v>0</v>
      </c>
      <c r="U110" s="156">
        <f>F110/$F$108</f>
        <v>0.33333333333333331</v>
      </c>
    </row>
    <row r="111" spans="1:21" s="188" customFormat="1" outlineLevel="1" x14ac:dyDescent="0.25">
      <c r="A111" s="187"/>
      <c r="C111" s="31" t="s">
        <v>874</v>
      </c>
      <c r="D111" s="31" t="s">
        <v>875</v>
      </c>
      <c r="E111" s="31"/>
      <c r="F111" s="169">
        <f>SUM(F112:F112)</f>
        <v>0.01</v>
      </c>
      <c r="H111" s="169">
        <f>SUM(H112:H112)</f>
        <v>0.01</v>
      </c>
      <c r="I111" s="169">
        <f>SUM(I112:I112)</f>
        <v>0.01</v>
      </c>
      <c r="J111" s="169">
        <f>SUM(J112:J112)</f>
        <v>0.01</v>
      </c>
      <c r="K111" s="169">
        <f>SUM(K112:K112)</f>
        <v>0.01</v>
      </c>
      <c r="L111" s="169">
        <f>SUM(L112:L112)</f>
        <v>0.01</v>
      </c>
      <c r="M111" s="148"/>
      <c r="N111" s="169">
        <f>SUM(N112:N112)</f>
        <v>0.01</v>
      </c>
      <c r="O111" s="148"/>
      <c r="P111" s="169">
        <f>SUM(P112:P112)</f>
        <v>1.4420976722577783E-2</v>
      </c>
      <c r="Q111" s="189"/>
    </row>
    <row r="112" spans="1:21" outlineLevel="2" x14ac:dyDescent="0.25">
      <c r="D112" s="142" t="s">
        <v>876</v>
      </c>
      <c r="E112" s="142" t="s">
        <v>877</v>
      </c>
      <c r="F112" s="147">
        <v>0.01</v>
      </c>
      <c r="H112" s="147">
        <f>F112</f>
        <v>0.01</v>
      </c>
      <c r="I112" s="147">
        <f>H112</f>
        <v>0.01</v>
      </c>
      <c r="J112" s="147">
        <f>I112</f>
        <v>0.01</v>
      </c>
      <c r="K112" s="147">
        <f>J112</f>
        <v>0.01</v>
      </c>
      <c r="L112" s="181">
        <f>K112</f>
        <v>0.01</v>
      </c>
      <c r="M112" s="148"/>
      <c r="N112" s="194">
        <f>L112*Checklist!B550</f>
        <v>0.01</v>
      </c>
      <c r="O112" s="148"/>
      <c r="P112" s="164">
        <f>N112/$N$2</f>
        <v>1.4420976722577783E-2</v>
      </c>
      <c r="U112" s="156">
        <f>F112/$F$111</f>
        <v>1</v>
      </c>
    </row>
    <row r="113" spans="1:21" s="167" customFormat="1" x14ac:dyDescent="0.25">
      <c r="A113" s="186"/>
      <c r="B113" s="7">
        <v>8</v>
      </c>
      <c r="C113" s="180" t="s">
        <v>86</v>
      </c>
      <c r="D113" s="173"/>
      <c r="E113" s="173"/>
      <c r="F113" s="176">
        <f>F114+F120+F124</f>
        <v>9.5000000000000001E-2</v>
      </c>
      <c r="H113" s="176">
        <f>H114+H120+H124</f>
        <v>9.5000000000000001E-2</v>
      </c>
      <c r="I113" s="176">
        <f>I114+I120+I124</f>
        <v>9.5000000000000001E-2</v>
      </c>
      <c r="J113" s="176">
        <f>J114+J120+J124</f>
        <v>0</v>
      </c>
      <c r="K113" s="176">
        <f>K114+K120+K124</f>
        <v>0</v>
      </c>
      <c r="L113" s="176">
        <f>L114+L120+L124</f>
        <v>0</v>
      </c>
      <c r="M113" s="148"/>
      <c r="N113" s="176">
        <f>N114+N120+N124</f>
        <v>0</v>
      </c>
      <c r="O113" s="148"/>
      <c r="P113" s="176">
        <f>P114+P120+P124</f>
        <v>0</v>
      </c>
      <c r="Q113" s="172"/>
    </row>
    <row r="114" spans="1:21" s="170" customFormat="1" outlineLevel="1" x14ac:dyDescent="0.25">
      <c r="A114" s="205"/>
      <c r="C114" s="31" t="s">
        <v>878</v>
      </c>
      <c r="D114" s="31" t="s">
        <v>879</v>
      </c>
      <c r="E114" s="31"/>
      <c r="F114" s="169">
        <f>SUM(F115:F119)</f>
        <v>3.9999999999999994E-2</v>
      </c>
      <c r="H114" s="169">
        <f>SUM(H115:H119)</f>
        <v>3.9999999999999994E-2</v>
      </c>
      <c r="I114" s="169">
        <f>SUM(I115:I119)</f>
        <v>3.9999999999999994E-2</v>
      </c>
      <c r="J114" s="169">
        <f>SUM(J115:J119)</f>
        <v>0</v>
      </c>
      <c r="K114" s="169">
        <f>SUM(K115:K119)</f>
        <v>0</v>
      </c>
      <c r="L114" s="169">
        <f>SUM(L115:L119)</f>
        <v>0</v>
      </c>
      <c r="M114" s="178"/>
      <c r="N114" s="169">
        <f>SUM(N115:N119)</f>
        <v>0</v>
      </c>
      <c r="O114" s="178"/>
      <c r="P114" s="169">
        <f>SUM(P115:P119)</f>
        <v>0</v>
      </c>
      <c r="Q114" s="171"/>
    </row>
    <row r="115" spans="1:21" outlineLevel="2" x14ac:dyDescent="0.25">
      <c r="D115" s="142" t="s">
        <v>880</v>
      </c>
      <c r="E115" s="142" t="s">
        <v>881</v>
      </c>
      <c r="F115" s="147">
        <v>7.4999999999999997E-3</v>
      </c>
      <c r="H115" s="147">
        <f>F115</f>
        <v>7.4999999999999997E-3</v>
      </c>
      <c r="I115" s="147">
        <f>H115</f>
        <v>7.4999999999999997E-3</v>
      </c>
      <c r="J115" s="147">
        <f>Checklist!B562*I115</f>
        <v>0</v>
      </c>
      <c r="K115" s="147">
        <f>J115</f>
        <v>0</v>
      </c>
      <c r="L115" s="147">
        <f>K115</f>
        <v>0</v>
      </c>
      <c r="M115" s="148"/>
      <c r="N115" s="147">
        <f>L115</f>
        <v>0</v>
      </c>
      <c r="O115" s="148"/>
      <c r="P115" s="147">
        <f>N115/$N$2</f>
        <v>0</v>
      </c>
      <c r="U115" s="156">
        <f>F115/$F$114</f>
        <v>0.18750000000000003</v>
      </c>
    </row>
    <row r="116" spans="1:21" ht="14.65" customHeight="1" outlineLevel="2" x14ac:dyDescent="0.25">
      <c r="D116" s="142" t="s">
        <v>882</v>
      </c>
      <c r="E116" s="142" t="s">
        <v>883</v>
      </c>
      <c r="F116" s="147">
        <v>7.4999999999999997E-3</v>
      </c>
      <c r="H116" s="147">
        <f>F116</f>
        <v>7.4999999999999997E-3</v>
      </c>
      <c r="I116" s="147">
        <f t="shared" ref="I116:I119" si="53">H116</f>
        <v>7.4999999999999997E-3</v>
      </c>
      <c r="J116" s="147">
        <f>Checklist!B569*I116</f>
        <v>0</v>
      </c>
      <c r="K116" s="147">
        <f t="shared" ref="K116:L119" si="54">J116</f>
        <v>0</v>
      </c>
      <c r="L116" s="147">
        <f t="shared" si="54"/>
        <v>0</v>
      </c>
      <c r="M116" s="148"/>
      <c r="N116" s="147">
        <f t="shared" ref="N116:N118" si="55">L116</f>
        <v>0</v>
      </c>
      <c r="O116" s="148"/>
      <c r="P116" s="147">
        <f t="shared" ref="P116:P123" si="56">N116/$N$2</f>
        <v>0</v>
      </c>
      <c r="U116" s="156">
        <f>F116/$F$114</f>
        <v>0.18750000000000003</v>
      </c>
    </row>
    <row r="117" spans="1:21" outlineLevel="2" x14ac:dyDescent="0.25">
      <c r="D117" s="142" t="s">
        <v>884</v>
      </c>
      <c r="E117" s="142" t="s">
        <v>885</v>
      </c>
      <c r="F117" s="147">
        <v>1.4999999999999999E-2</v>
      </c>
      <c r="H117" s="147">
        <f>F117</f>
        <v>1.4999999999999999E-2</v>
      </c>
      <c r="I117" s="147">
        <f t="shared" si="53"/>
        <v>1.4999999999999999E-2</v>
      </c>
      <c r="J117" s="147">
        <f>Checklist!B575*I117</f>
        <v>0</v>
      </c>
      <c r="K117" s="147">
        <f t="shared" si="54"/>
        <v>0</v>
      </c>
      <c r="L117" s="147">
        <f t="shared" si="54"/>
        <v>0</v>
      </c>
      <c r="M117" s="148"/>
      <c r="N117" s="147">
        <f t="shared" si="55"/>
        <v>0</v>
      </c>
      <c r="O117" s="148"/>
      <c r="P117" s="147">
        <f t="shared" si="56"/>
        <v>0</v>
      </c>
      <c r="U117" s="156">
        <f>F117/$F$114</f>
        <v>0.37500000000000006</v>
      </c>
    </row>
    <row r="118" spans="1:21" outlineLevel="2" x14ac:dyDescent="0.25">
      <c r="D118" s="142" t="s">
        <v>886</v>
      </c>
      <c r="E118" s="142" t="s">
        <v>887</v>
      </c>
      <c r="F118" s="147">
        <v>5.0000000000000001E-3</v>
      </c>
      <c r="H118" s="147">
        <f>F118</f>
        <v>5.0000000000000001E-3</v>
      </c>
      <c r="I118" s="147">
        <f t="shared" si="53"/>
        <v>5.0000000000000001E-3</v>
      </c>
      <c r="J118" s="147">
        <f>Checklist!B583*I118</f>
        <v>0</v>
      </c>
      <c r="K118" s="147">
        <f t="shared" si="54"/>
        <v>0</v>
      </c>
      <c r="L118" s="147">
        <f t="shared" si="54"/>
        <v>0</v>
      </c>
      <c r="M118" s="148"/>
      <c r="N118" s="147">
        <f t="shared" si="55"/>
        <v>0</v>
      </c>
      <c r="O118" s="148"/>
      <c r="P118" s="147">
        <f t="shared" si="56"/>
        <v>0</v>
      </c>
      <c r="U118" s="156">
        <f>F118/$F$114</f>
        <v>0.12500000000000003</v>
      </c>
    </row>
    <row r="119" spans="1:21" outlineLevel="2" x14ac:dyDescent="0.25">
      <c r="D119" s="142" t="s">
        <v>888</v>
      </c>
      <c r="E119" s="142" t="s">
        <v>769</v>
      </c>
      <c r="F119" s="147">
        <v>5.0000000000000001E-3</v>
      </c>
      <c r="H119" s="147">
        <f>F119</f>
        <v>5.0000000000000001E-3</v>
      </c>
      <c r="I119" s="147">
        <f t="shared" si="53"/>
        <v>5.0000000000000001E-3</v>
      </c>
      <c r="J119" s="147">
        <f>Checklist!B583*I119</f>
        <v>0</v>
      </c>
      <c r="K119" s="147">
        <f t="shared" si="54"/>
        <v>0</v>
      </c>
      <c r="L119" s="147">
        <f t="shared" si="54"/>
        <v>0</v>
      </c>
      <c r="M119" s="148"/>
      <c r="N119" s="147">
        <f>L119*Checklist!B588</f>
        <v>0</v>
      </c>
      <c r="O119" s="148"/>
      <c r="P119" s="147">
        <f t="shared" si="56"/>
        <v>0</v>
      </c>
      <c r="U119" s="156">
        <f>F119/$F$114</f>
        <v>0.12500000000000003</v>
      </c>
    </row>
    <row r="120" spans="1:21" s="188" customFormat="1" outlineLevel="1" x14ac:dyDescent="0.25">
      <c r="A120" s="206"/>
      <c r="C120" s="31" t="s">
        <v>889</v>
      </c>
      <c r="D120" s="31" t="s">
        <v>1850</v>
      </c>
      <c r="E120" s="31"/>
      <c r="F120" s="169">
        <f>SUM(F121:F123)</f>
        <v>1.4999999999999999E-2</v>
      </c>
      <c r="H120" s="169">
        <f>SUM(H121:H123)</f>
        <v>1.4999999999999999E-2</v>
      </c>
      <c r="I120" s="169">
        <f>SUM(I121:I123)</f>
        <v>1.4999999999999999E-2</v>
      </c>
      <c r="J120" s="169">
        <f>SUM(J121:J123)</f>
        <v>0</v>
      </c>
      <c r="K120" s="169">
        <f>SUM(K121:K123)</f>
        <v>0</v>
      </c>
      <c r="L120" s="169">
        <f>SUM(L121:L123)</f>
        <v>0</v>
      </c>
      <c r="M120" s="201"/>
      <c r="N120" s="169">
        <f>SUM(N121:N123)</f>
        <v>0</v>
      </c>
      <c r="O120" s="201"/>
      <c r="P120" s="169">
        <f>SUM(P121:P123)</f>
        <v>0</v>
      </c>
      <c r="Q120" s="189"/>
    </row>
    <row r="121" spans="1:21" outlineLevel="2" x14ac:dyDescent="0.25">
      <c r="D121" s="142" t="s">
        <v>890</v>
      </c>
      <c r="E121" s="142" t="s">
        <v>1853</v>
      </c>
      <c r="F121" s="147">
        <v>5.0000000000000001E-3</v>
      </c>
      <c r="H121" s="147">
        <f>F121</f>
        <v>5.0000000000000001E-3</v>
      </c>
      <c r="I121" s="147">
        <f>H121</f>
        <v>5.0000000000000001E-3</v>
      </c>
      <c r="J121" s="147">
        <f>Checklist!B598*I121</f>
        <v>0</v>
      </c>
      <c r="K121" s="147">
        <f>J121</f>
        <v>0</v>
      </c>
      <c r="L121" s="147">
        <f>K121</f>
        <v>0</v>
      </c>
      <c r="M121" s="148"/>
      <c r="N121" s="147">
        <f>L121</f>
        <v>0</v>
      </c>
      <c r="O121" s="148"/>
      <c r="P121" s="147">
        <f t="shared" si="56"/>
        <v>0</v>
      </c>
      <c r="U121" s="156">
        <f>F121/$F$120</f>
        <v>0.33333333333333337</v>
      </c>
    </row>
    <row r="122" spans="1:21" outlineLevel="2" x14ac:dyDescent="0.25">
      <c r="D122" s="142" t="s">
        <v>891</v>
      </c>
      <c r="E122" s="142" t="s">
        <v>1854</v>
      </c>
      <c r="F122" s="147">
        <v>5.0000000000000001E-3</v>
      </c>
      <c r="H122" s="147">
        <f>F122</f>
        <v>5.0000000000000001E-3</v>
      </c>
      <c r="I122" s="147">
        <f t="shared" ref="I122:I123" si="57">H122</f>
        <v>5.0000000000000001E-3</v>
      </c>
      <c r="J122" s="147">
        <f>Checklist!B605*I122</f>
        <v>0</v>
      </c>
      <c r="K122" s="147">
        <f t="shared" ref="K122:L123" si="58">J122</f>
        <v>0</v>
      </c>
      <c r="L122" s="147">
        <f t="shared" si="58"/>
        <v>0</v>
      </c>
      <c r="M122" s="148"/>
      <c r="N122" s="147">
        <f t="shared" ref="N122" si="59">L122</f>
        <v>0</v>
      </c>
      <c r="O122" s="148"/>
      <c r="P122" s="147">
        <f t="shared" si="56"/>
        <v>0</v>
      </c>
      <c r="U122" s="156">
        <f>F122/$F$120</f>
        <v>0.33333333333333337</v>
      </c>
    </row>
    <row r="123" spans="1:21" ht="14.65" customHeight="1" outlineLevel="2" x14ac:dyDescent="0.25">
      <c r="D123" s="142" t="s">
        <v>892</v>
      </c>
      <c r="E123" s="142" t="s">
        <v>1855</v>
      </c>
      <c r="F123" s="147">
        <v>5.0000000000000001E-3</v>
      </c>
      <c r="H123" s="147">
        <f>F123</f>
        <v>5.0000000000000001E-3</v>
      </c>
      <c r="I123" s="147">
        <f t="shared" si="57"/>
        <v>5.0000000000000001E-3</v>
      </c>
      <c r="J123" s="147">
        <f>Checklist!B605*I123</f>
        <v>0</v>
      </c>
      <c r="K123" s="147">
        <f t="shared" si="58"/>
        <v>0</v>
      </c>
      <c r="L123" s="147">
        <f t="shared" si="58"/>
        <v>0</v>
      </c>
      <c r="M123" s="148"/>
      <c r="N123" s="147">
        <f>L123*Checklist!B612</f>
        <v>0</v>
      </c>
      <c r="O123" s="148"/>
      <c r="P123" s="147">
        <f t="shared" si="56"/>
        <v>0</v>
      </c>
      <c r="U123" s="156">
        <f>F123/$F$120</f>
        <v>0.33333333333333337</v>
      </c>
    </row>
    <row r="124" spans="1:21" s="188" customFormat="1" outlineLevel="1" x14ac:dyDescent="0.25">
      <c r="A124" s="207"/>
      <c r="C124" s="31" t="s">
        <v>893</v>
      </c>
      <c r="D124" s="31" t="s">
        <v>894</v>
      </c>
      <c r="E124" s="31"/>
      <c r="F124" s="169">
        <f>SUM(F125:F126)</f>
        <v>0.04</v>
      </c>
      <c r="H124" s="169">
        <f>SUM(H125:H126)</f>
        <v>0.04</v>
      </c>
      <c r="I124" s="169">
        <f>SUM(I125:I126)</f>
        <v>0.04</v>
      </c>
      <c r="J124" s="169">
        <f>SUM(J125:J126)</f>
        <v>0</v>
      </c>
      <c r="K124" s="169">
        <f>SUM(K125:K126)</f>
        <v>0</v>
      </c>
      <c r="L124" s="169">
        <f>SUM(L125:L126)</f>
        <v>0</v>
      </c>
      <c r="M124" s="201"/>
      <c r="N124" s="169">
        <f>SUM(N125:N126)</f>
        <v>0</v>
      </c>
      <c r="O124" s="201"/>
      <c r="P124" s="169">
        <f>SUM(P125:P126)</f>
        <v>0</v>
      </c>
      <c r="Q124" s="189"/>
    </row>
    <row r="125" spans="1:21" outlineLevel="2" x14ac:dyDescent="0.25">
      <c r="B125" s="145"/>
      <c r="D125" s="142" t="s">
        <v>895</v>
      </c>
      <c r="E125" s="142" t="s">
        <v>896</v>
      </c>
      <c r="F125" s="147">
        <v>0.02</v>
      </c>
      <c r="H125" s="147">
        <f>F125</f>
        <v>0.02</v>
      </c>
      <c r="I125" s="147">
        <f>H125</f>
        <v>0.02</v>
      </c>
      <c r="J125" s="147">
        <f>Checklist!B620*I125</f>
        <v>0</v>
      </c>
      <c r="K125" s="147">
        <f>J125</f>
        <v>0</v>
      </c>
      <c r="L125" s="147">
        <f>K125</f>
        <v>0</v>
      </c>
      <c r="M125" s="148"/>
      <c r="N125" s="147">
        <f>L125</f>
        <v>0</v>
      </c>
      <c r="O125" s="148"/>
      <c r="P125" s="147">
        <f>N125/$N$2</f>
        <v>0</v>
      </c>
      <c r="U125" s="156">
        <f>F125/$F$124</f>
        <v>0.5</v>
      </c>
    </row>
    <row r="126" spans="1:21" outlineLevel="2" x14ac:dyDescent="0.25">
      <c r="B126" s="145"/>
      <c r="D126" s="142" t="s">
        <v>897</v>
      </c>
      <c r="E126" s="142" t="s">
        <v>898</v>
      </c>
      <c r="F126" s="147">
        <v>0.02</v>
      </c>
      <c r="H126" s="147">
        <f>F126</f>
        <v>0.02</v>
      </c>
      <c r="I126" s="147">
        <f>H126</f>
        <v>0.02</v>
      </c>
      <c r="J126" s="147">
        <f>Checklist!B620*I126</f>
        <v>0</v>
      </c>
      <c r="K126" s="147">
        <f>J126</f>
        <v>0</v>
      </c>
      <c r="L126" s="147">
        <f>K126</f>
        <v>0</v>
      </c>
      <c r="M126" s="148"/>
      <c r="N126" s="147">
        <f>L126</f>
        <v>0</v>
      </c>
      <c r="O126" s="148"/>
      <c r="P126" s="147">
        <f>N126/$N$2</f>
        <v>0</v>
      </c>
      <c r="U126" s="156">
        <f>F126/$F$124</f>
        <v>0.5</v>
      </c>
    </row>
    <row r="127" spans="1:21" s="167" customFormat="1" x14ac:dyDescent="0.25">
      <c r="A127" s="186"/>
      <c r="B127" s="7">
        <v>9</v>
      </c>
      <c r="C127" s="180" t="s">
        <v>1771</v>
      </c>
      <c r="D127" s="180"/>
      <c r="E127" s="173"/>
      <c r="F127" s="176">
        <f>F128+F134</f>
        <v>3.9999999999999994E-2</v>
      </c>
      <c r="H127" s="176">
        <f>H128+H134</f>
        <v>3.9999999999999994E-2</v>
      </c>
      <c r="I127" s="176">
        <f>I128+I134</f>
        <v>3.9999999999999994E-2</v>
      </c>
      <c r="J127" s="176">
        <f>J128+J134</f>
        <v>3.9999999999999994E-2</v>
      </c>
      <c r="K127" s="176">
        <f>K128+K134</f>
        <v>3.9999999999999994E-2</v>
      </c>
      <c r="L127" s="176">
        <f>L128+L134</f>
        <v>3.9999999999999994E-2</v>
      </c>
      <c r="M127" s="179"/>
      <c r="N127" s="176">
        <f>N128+N134</f>
        <v>3.9999999999999994E-2</v>
      </c>
      <c r="O127" s="179"/>
      <c r="P127" s="176">
        <f>P128+P134</f>
        <v>5.768390689031113E-2</v>
      </c>
      <c r="Q127" s="172"/>
    </row>
    <row r="128" spans="1:21" s="170" customFormat="1" outlineLevel="1" x14ac:dyDescent="0.25">
      <c r="A128" s="184"/>
      <c r="C128" s="31" t="s">
        <v>899</v>
      </c>
      <c r="D128" s="31" t="s">
        <v>900</v>
      </c>
      <c r="E128" s="31"/>
      <c r="F128" s="169">
        <f>SUM(F129:F133)</f>
        <v>2.4999999999999998E-2</v>
      </c>
      <c r="H128" s="169">
        <f>SUM(H129:H133)</f>
        <v>2.4999999999999998E-2</v>
      </c>
      <c r="I128" s="169">
        <f>SUM(I129:I133)</f>
        <v>2.4999999999999998E-2</v>
      </c>
      <c r="J128" s="169">
        <f>SUM(J129:J133)</f>
        <v>2.4999999999999998E-2</v>
      </c>
      <c r="K128" s="169">
        <f>SUM(K129:K133)</f>
        <v>2.4999999999999998E-2</v>
      </c>
      <c r="L128" s="169">
        <f>SUM(L129:L133)</f>
        <v>2.4999999999999998E-2</v>
      </c>
      <c r="M128" s="178"/>
      <c r="N128" s="169">
        <f>SUM(N129:N133)</f>
        <v>2.4999999999999998E-2</v>
      </c>
      <c r="O128" s="178"/>
      <c r="P128" s="169">
        <f>SUM(P129:P133)</f>
        <v>3.6052441806444457E-2</v>
      </c>
      <c r="Q128" s="171"/>
    </row>
    <row r="129" spans="1:21" outlineLevel="2" x14ac:dyDescent="0.25">
      <c r="D129" s="142" t="s">
        <v>901</v>
      </c>
      <c r="E129" s="142" t="s">
        <v>902</v>
      </c>
      <c r="F129" s="147">
        <v>5.0000000000000001E-3</v>
      </c>
      <c r="H129" s="147">
        <f>F129</f>
        <v>5.0000000000000001E-3</v>
      </c>
      <c r="I129" s="147">
        <f>H129</f>
        <v>5.0000000000000001E-3</v>
      </c>
      <c r="J129" s="147">
        <f>I129</f>
        <v>5.0000000000000001E-3</v>
      </c>
      <c r="K129" s="147">
        <f>J129</f>
        <v>5.0000000000000001E-3</v>
      </c>
      <c r="L129" s="147">
        <f>K129</f>
        <v>5.0000000000000001E-3</v>
      </c>
      <c r="M129" s="148"/>
      <c r="N129" s="147">
        <f>L129</f>
        <v>5.0000000000000001E-3</v>
      </c>
      <c r="O129" s="148"/>
      <c r="P129" s="147">
        <f>N129/$N$2</f>
        <v>7.2104883612888913E-3</v>
      </c>
      <c r="U129" s="156">
        <f>F129/$F$128</f>
        <v>0.2</v>
      </c>
    </row>
    <row r="130" spans="1:21" outlineLevel="2" x14ac:dyDescent="0.25">
      <c r="D130" s="142" t="s">
        <v>903</v>
      </c>
      <c r="E130" s="142" t="s">
        <v>904</v>
      </c>
      <c r="F130" s="147">
        <v>5.0000000000000001E-3</v>
      </c>
      <c r="H130" s="147">
        <f>F130</f>
        <v>5.0000000000000001E-3</v>
      </c>
      <c r="I130" s="147">
        <f t="shared" ref="I130:L133" si="60">H130</f>
        <v>5.0000000000000001E-3</v>
      </c>
      <c r="J130" s="147">
        <f t="shared" si="60"/>
        <v>5.0000000000000001E-3</v>
      </c>
      <c r="K130" s="147">
        <f t="shared" si="60"/>
        <v>5.0000000000000001E-3</v>
      </c>
      <c r="L130" s="147">
        <f t="shared" si="60"/>
        <v>5.0000000000000001E-3</v>
      </c>
      <c r="M130" s="148"/>
      <c r="N130" s="147">
        <f t="shared" ref="N130:N133" si="61">L130</f>
        <v>5.0000000000000001E-3</v>
      </c>
      <c r="O130" s="148"/>
      <c r="P130" s="147">
        <f t="shared" ref="P130:P133" si="62">N130/$N$2</f>
        <v>7.2104883612888913E-3</v>
      </c>
      <c r="U130" s="156">
        <f>F130/$F$128</f>
        <v>0.2</v>
      </c>
    </row>
    <row r="131" spans="1:21" outlineLevel="2" x14ac:dyDescent="0.25">
      <c r="D131" s="142" t="s">
        <v>905</v>
      </c>
      <c r="E131" s="142" t="s">
        <v>906</v>
      </c>
      <c r="F131" s="147">
        <v>0.01</v>
      </c>
      <c r="H131" s="147">
        <f>F131</f>
        <v>0.01</v>
      </c>
      <c r="I131" s="147">
        <f t="shared" ref="I131:J131" si="63">H131</f>
        <v>0.01</v>
      </c>
      <c r="J131" s="147">
        <f t="shared" si="63"/>
        <v>0.01</v>
      </c>
      <c r="K131" s="147">
        <f t="shared" si="60"/>
        <v>0.01</v>
      </c>
      <c r="L131" s="147">
        <f t="shared" si="60"/>
        <v>0.01</v>
      </c>
      <c r="M131" s="148"/>
      <c r="N131" s="147">
        <f t="shared" si="61"/>
        <v>0.01</v>
      </c>
      <c r="O131" s="148"/>
      <c r="P131" s="147">
        <f t="shared" si="62"/>
        <v>1.4420976722577783E-2</v>
      </c>
      <c r="U131" s="156">
        <f>F131/$F$128</f>
        <v>0.4</v>
      </c>
    </row>
    <row r="132" spans="1:21" outlineLevel="2" x14ac:dyDescent="0.25">
      <c r="D132" s="142" t="s">
        <v>907</v>
      </c>
      <c r="E132" s="142" t="s">
        <v>908</v>
      </c>
      <c r="F132" s="147">
        <v>2.5000000000000001E-3</v>
      </c>
      <c r="H132" s="147">
        <f>F132</f>
        <v>2.5000000000000001E-3</v>
      </c>
      <c r="I132" s="147">
        <f t="shared" ref="I132:J132" si="64">H132</f>
        <v>2.5000000000000001E-3</v>
      </c>
      <c r="J132" s="147">
        <f t="shared" si="64"/>
        <v>2.5000000000000001E-3</v>
      </c>
      <c r="K132" s="147">
        <f t="shared" si="60"/>
        <v>2.5000000000000001E-3</v>
      </c>
      <c r="L132" s="147">
        <f t="shared" si="60"/>
        <v>2.5000000000000001E-3</v>
      </c>
      <c r="M132" s="148"/>
      <c r="N132" s="147">
        <f t="shared" si="61"/>
        <v>2.5000000000000001E-3</v>
      </c>
      <c r="O132" s="148"/>
      <c r="P132" s="147">
        <f t="shared" si="62"/>
        <v>3.6052441806444457E-3</v>
      </c>
      <c r="U132" s="156">
        <f>F132/$F$128</f>
        <v>0.1</v>
      </c>
    </row>
    <row r="133" spans="1:21" outlineLevel="2" x14ac:dyDescent="0.25">
      <c r="D133" s="142" t="s">
        <v>909</v>
      </c>
      <c r="E133" s="142" t="s">
        <v>887</v>
      </c>
      <c r="F133" s="147">
        <v>2.5000000000000001E-3</v>
      </c>
      <c r="H133" s="147">
        <f>F133</f>
        <v>2.5000000000000001E-3</v>
      </c>
      <c r="I133" s="147">
        <f t="shared" ref="I133:J133" si="65">H133</f>
        <v>2.5000000000000001E-3</v>
      </c>
      <c r="J133" s="147">
        <f t="shared" si="65"/>
        <v>2.5000000000000001E-3</v>
      </c>
      <c r="K133" s="147">
        <f t="shared" si="60"/>
        <v>2.5000000000000001E-3</v>
      </c>
      <c r="L133" s="147">
        <f t="shared" si="60"/>
        <v>2.5000000000000001E-3</v>
      </c>
      <c r="M133" s="148"/>
      <c r="N133" s="147">
        <f t="shared" si="61"/>
        <v>2.5000000000000001E-3</v>
      </c>
      <c r="O133" s="148"/>
      <c r="P133" s="147">
        <f t="shared" si="62"/>
        <v>3.6052441806444457E-3</v>
      </c>
      <c r="U133" s="156">
        <f>F133/$F$128</f>
        <v>0.1</v>
      </c>
    </row>
    <row r="134" spans="1:21" s="188" customFormat="1" outlineLevel="1" x14ac:dyDescent="0.25">
      <c r="A134" s="187"/>
      <c r="C134" s="31" t="s">
        <v>910</v>
      </c>
      <c r="D134" s="31" t="s">
        <v>911</v>
      </c>
      <c r="E134" s="31"/>
      <c r="F134" s="169">
        <f>SUM(F135:F136)</f>
        <v>1.4999999999999999E-2</v>
      </c>
      <c r="H134" s="169">
        <f>SUM(H135:H136)</f>
        <v>1.4999999999999999E-2</v>
      </c>
      <c r="I134" s="169">
        <f>SUM(I135:I136)</f>
        <v>1.4999999999999999E-2</v>
      </c>
      <c r="J134" s="169">
        <f>SUM(J135:J136)</f>
        <v>1.4999999999999999E-2</v>
      </c>
      <c r="K134" s="169">
        <f>SUM(K135:K136)</f>
        <v>1.4999999999999999E-2</v>
      </c>
      <c r="L134" s="169">
        <f>SUM(L135:L136)</f>
        <v>1.4999999999999999E-2</v>
      </c>
      <c r="M134" s="201"/>
      <c r="N134" s="169">
        <f>SUM(N135:N136)</f>
        <v>1.4999999999999999E-2</v>
      </c>
      <c r="O134" s="201"/>
      <c r="P134" s="169">
        <f>SUM(P135:P136)</f>
        <v>2.1631465083866673E-2</v>
      </c>
      <c r="Q134" s="189"/>
    </row>
    <row r="135" spans="1:21" outlineLevel="2" x14ac:dyDescent="0.25">
      <c r="D135" s="142" t="s">
        <v>912</v>
      </c>
      <c r="E135" s="142" t="s">
        <v>913</v>
      </c>
      <c r="F135" s="147">
        <v>7.4999999999999997E-3</v>
      </c>
      <c r="H135" s="147">
        <f>F135</f>
        <v>7.4999999999999997E-3</v>
      </c>
      <c r="I135" s="147">
        <f t="shared" ref="I135:L136" si="66">H135</f>
        <v>7.4999999999999997E-3</v>
      </c>
      <c r="J135" s="147">
        <f t="shared" si="66"/>
        <v>7.4999999999999997E-3</v>
      </c>
      <c r="K135" s="147">
        <f t="shared" si="66"/>
        <v>7.4999999999999997E-3</v>
      </c>
      <c r="L135" s="147">
        <f t="shared" si="66"/>
        <v>7.4999999999999997E-3</v>
      </c>
      <c r="M135" s="148"/>
      <c r="N135" s="147">
        <f>L135</f>
        <v>7.4999999999999997E-3</v>
      </c>
      <c r="O135" s="148"/>
      <c r="P135" s="147">
        <f>N135/$N$2</f>
        <v>1.0815732541933337E-2</v>
      </c>
      <c r="U135" s="156">
        <f>F135/$F$134</f>
        <v>0.5</v>
      </c>
    </row>
    <row r="136" spans="1:21" outlineLevel="2" x14ac:dyDescent="0.25">
      <c r="D136" s="142" t="s">
        <v>914</v>
      </c>
      <c r="E136" s="142" t="s">
        <v>915</v>
      </c>
      <c r="F136" s="147">
        <v>7.4999999999999997E-3</v>
      </c>
      <c r="H136" s="147">
        <f>F136</f>
        <v>7.4999999999999997E-3</v>
      </c>
      <c r="I136" s="147">
        <f t="shared" si="66"/>
        <v>7.4999999999999997E-3</v>
      </c>
      <c r="J136" s="147">
        <f t="shared" si="66"/>
        <v>7.4999999999999997E-3</v>
      </c>
      <c r="K136" s="147">
        <f t="shared" si="66"/>
        <v>7.4999999999999997E-3</v>
      </c>
      <c r="L136" s="147">
        <f t="shared" si="66"/>
        <v>7.4999999999999997E-3</v>
      </c>
      <c r="M136" s="148"/>
      <c r="N136" s="147">
        <f>L136</f>
        <v>7.4999999999999997E-3</v>
      </c>
      <c r="O136" s="148"/>
      <c r="P136" s="147">
        <f>N136/$N$2</f>
        <v>1.0815732541933337E-2</v>
      </c>
      <c r="U136" s="156">
        <f>F136/$F$134</f>
        <v>0.5</v>
      </c>
    </row>
    <row r="137" spans="1:21" x14ac:dyDescent="0.25">
      <c r="A137" s="160"/>
      <c r="B137" s="7">
        <v>10</v>
      </c>
      <c r="C137" s="180" t="s">
        <v>916</v>
      </c>
      <c r="D137" s="180"/>
      <c r="E137" s="173"/>
      <c r="F137" s="176">
        <f>F138+F142</f>
        <v>0.02</v>
      </c>
      <c r="H137" s="176">
        <f>H138+H142</f>
        <v>0.02</v>
      </c>
      <c r="I137" s="176">
        <f>I138+I142</f>
        <v>0.02</v>
      </c>
      <c r="J137" s="176">
        <f>J138+J142</f>
        <v>0.02</v>
      </c>
      <c r="K137" s="176">
        <f>K138+K142</f>
        <v>0.02</v>
      </c>
      <c r="L137" s="176">
        <f>L138+L142</f>
        <v>0.02</v>
      </c>
      <c r="M137" s="148"/>
      <c r="N137" s="176">
        <f>N138+N142</f>
        <v>0.02</v>
      </c>
      <c r="O137" s="148"/>
      <c r="P137" s="176">
        <f>P138+P142</f>
        <v>2.8841953445155565E-2</v>
      </c>
      <c r="Q137" s="141"/>
    </row>
    <row r="138" spans="1:21" outlineLevel="1" x14ac:dyDescent="0.25">
      <c r="B138" s="167"/>
      <c r="C138" s="31" t="s">
        <v>917</v>
      </c>
      <c r="D138" s="31" t="s">
        <v>918</v>
      </c>
      <c r="E138" s="31"/>
      <c r="F138" s="169">
        <f>SUM(F139:F141)</f>
        <v>1.4999999999999999E-2</v>
      </c>
      <c r="H138" s="169">
        <f>SUM(H139:H141)</f>
        <v>1.4999999999999999E-2</v>
      </c>
      <c r="I138" s="169">
        <f>SUM(I139:I141)</f>
        <v>1.4999999999999999E-2</v>
      </c>
      <c r="J138" s="169">
        <f>SUM(J139:J141)</f>
        <v>1.4999999999999999E-2</v>
      </c>
      <c r="K138" s="169">
        <f>SUM(K139:K141)</f>
        <v>1.4999999999999999E-2</v>
      </c>
      <c r="L138" s="169">
        <f>SUM(L139:L141)</f>
        <v>1.4999999999999999E-2</v>
      </c>
      <c r="M138" s="148"/>
      <c r="N138" s="195">
        <f>SUM(N139:N141)</f>
        <v>1.4999999999999999E-2</v>
      </c>
      <c r="O138" s="148"/>
      <c r="P138" s="175">
        <f>SUM(P139:P141)</f>
        <v>2.1631465083866673E-2</v>
      </c>
    </row>
    <row r="139" spans="1:21" ht="14.65" customHeight="1" outlineLevel="2" x14ac:dyDescent="0.25">
      <c r="D139" s="142" t="s">
        <v>919</v>
      </c>
      <c r="E139" s="142" t="s">
        <v>920</v>
      </c>
      <c r="F139" s="181">
        <v>5.0000000000000001E-3</v>
      </c>
      <c r="H139" s="164">
        <f>F139</f>
        <v>5.0000000000000001E-3</v>
      </c>
      <c r="I139" s="147">
        <f>H139</f>
        <v>5.0000000000000001E-3</v>
      </c>
      <c r="J139" s="147">
        <f>I139</f>
        <v>5.0000000000000001E-3</v>
      </c>
      <c r="K139" s="147">
        <f>J139</f>
        <v>5.0000000000000001E-3</v>
      </c>
      <c r="L139" s="181">
        <f>K139</f>
        <v>5.0000000000000001E-3</v>
      </c>
      <c r="M139" s="148"/>
      <c r="N139" s="194">
        <f>L139</f>
        <v>5.0000000000000001E-3</v>
      </c>
      <c r="O139" s="148"/>
      <c r="P139" s="164">
        <f>N139/$N$2</f>
        <v>7.2104883612888913E-3</v>
      </c>
      <c r="U139" s="156">
        <f>F139/$F$138</f>
        <v>0.33333333333333337</v>
      </c>
    </row>
    <row r="140" spans="1:21" outlineLevel="2" x14ac:dyDescent="0.25">
      <c r="D140" s="142" t="s">
        <v>921</v>
      </c>
      <c r="E140" s="142" t="s">
        <v>1856</v>
      </c>
      <c r="F140" s="181">
        <v>5.0000000000000001E-3</v>
      </c>
      <c r="H140" s="164">
        <f>F140</f>
        <v>5.0000000000000001E-3</v>
      </c>
      <c r="I140" s="147">
        <f t="shared" ref="I140" si="67">H140</f>
        <v>5.0000000000000001E-3</v>
      </c>
      <c r="J140" s="147">
        <f t="shared" ref="J140:L141" si="68">I140</f>
        <v>5.0000000000000001E-3</v>
      </c>
      <c r="K140" s="147">
        <f t="shared" si="68"/>
        <v>5.0000000000000001E-3</v>
      </c>
      <c r="L140" s="181">
        <f t="shared" si="68"/>
        <v>5.0000000000000001E-3</v>
      </c>
      <c r="M140" s="148"/>
      <c r="N140" s="194">
        <f t="shared" ref="N140:N141" si="69">L140</f>
        <v>5.0000000000000001E-3</v>
      </c>
      <c r="O140" s="148"/>
      <c r="P140" s="164">
        <f t="shared" ref="P140" si="70">N140/$N$2</f>
        <v>7.2104883612888913E-3</v>
      </c>
      <c r="U140" s="156">
        <f>F140/$F$138</f>
        <v>0.33333333333333337</v>
      </c>
    </row>
    <row r="141" spans="1:21" outlineLevel="2" x14ac:dyDescent="0.25">
      <c r="D141" s="142" t="s">
        <v>1697</v>
      </c>
      <c r="E141" s="142" t="s">
        <v>1857</v>
      </c>
      <c r="F141" s="181">
        <v>5.0000000000000001E-3</v>
      </c>
      <c r="H141" s="164">
        <f>F141</f>
        <v>5.0000000000000001E-3</v>
      </c>
      <c r="I141" s="147">
        <f>H141</f>
        <v>5.0000000000000001E-3</v>
      </c>
      <c r="J141" s="147">
        <f t="shared" si="68"/>
        <v>5.0000000000000001E-3</v>
      </c>
      <c r="K141" s="147">
        <f t="shared" si="68"/>
        <v>5.0000000000000001E-3</v>
      </c>
      <c r="L141" s="181">
        <f t="shared" si="68"/>
        <v>5.0000000000000001E-3</v>
      </c>
      <c r="M141" s="148"/>
      <c r="N141" s="194">
        <f t="shared" si="69"/>
        <v>5.0000000000000001E-3</v>
      </c>
      <c r="O141" s="148"/>
      <c r="P141" s="164">
        <f>N141/$N$2</f>
        <v>7.2104883612888913E-3</v>
      </c>
      <c r="U141" s="156">
        <f>F141/$F$138</f>
        <v>0.33333333333333337</v>
      </c>
    </row>
    <row r="142" spans="1:21" outlineLevel="1" x14ac:dyDescent="0.25">
      <c r="C142" s="31" t="s">
        <v>922</v>
      </c>
      <c r="D142" s="31" t="s">
        <v>923</v>
      </c>
      <c r="E142" s="31"/>
      <c r="F142" s="169">
        <f>SUM(F143:F144)</f>
        <v>5.0000000000000001E-3</v>
      </c>
      <c r="H142" s="169">
        <f>SUM(H143:H144)</f>
        <v>5.0000000000000001E-3</v>
      </c>
      <c r="I142" s="169">
        <f>SUM(I143:I144)</f>
        <v>5.0000000000000001E-3</v>
      </c>
      <c r="J142" s="169">
        <f>SUM(J143:J144)</f>
        <v>5.0000000000000001E-3</v>
      </c>
      <c r="K142" s="169">
        <f>SUM(K143:K144)</f>
        <v>5.0000000000000001E-3</v>
      </c>
      <c r="L142" s="169">
        <f>SUM(L143:L144)</f>
        <v>5.0000000000000001E-3</v>
      </c>
      <c r="M142" s="148"/>
      <c r="N142" s="196">
        <f>SUM(N143:N144)</f>
        <v>5.0000000000000001E-3</v>
      </c>
      <c r="O142" s="148"/>
      <c r="P142" s="163">
        <f>SUM(P143:P144)</f>
        <v>7.2104883612888913E-3</v>
      </c>
    </row>
    <row r="143" spans="1:21" outlineLevel="2" x14ac:dyDescent="0.25">
      <c r="D143" s="142" t="s">
        <v>924</v>
      </c>
      <c r="E143" s="142" t="s">
        <v>925</v>
      </c>
      <c r="F143" s="181">
        <v>2.5000000000000001E-3</v>
      </c>
      <c r="H143" s="164">
        <f>F143</f>
        <v>2.5000000000000001E-3</v>
      </c>
      <c r="I143" s="147">
        <f t="shared" ref="I143:L144" si="71">H143</f>
        <v>2.5000000000000001E-3</v>
      </c>
      <c r="J143" s="147">
        <f t="shared" si="71"/>
        <v>2.5000000000000001E-3</v>
      </c>
      <c r="K143" s="147">
        <f t="shared" si="71"/>
        <v>2.5000000000000001E-3</v>
      </c>
      <c r="L143" s="181">
        <f t="shared" si="71"/>
        <v>2.5000000000000001E-3</v>
      </c>
      <c r="M143" s="148"/>
      <c r="N143" s="194">
        <f>L143</f>
        <v>2.5000000000000001E-3</v>
      </c>
      <c r="O143" s="148"/>
      <c r="P143" s="164">
        <f>N143/$N$2</f>
        <v>3.6052441806444457E-3</v>
      </c>
      <c r="U143" s="156">
        <f>F143/$F$142</f>
        <v>0.5</v>
      </c>
    </row>
    <row r="144" spans="1:21" outlineLevel="2" x14ac:dyDescent="0.25">
      <c r="D144" s="142" t="s">
        <v>926</v>
      </c>
      <c r="E144" s="142" t="s">
        <v>927</v>
      </c>
      <c r="F144" s="181">
        <v>2.5000000000000001E-3</v>
      </c>
      <c r="H144" s="164">
        <f>F144</f>
        <v>2.5000000000000001E-3</v>
      </c>
      <c r="I144" s="147">
        <f t="shared" si="71"/>
        <v>2.5000000000000001E-3</v>
      </c>
      <c r="J144" s="147">
        <f t="shared" si="71"/>
        <v>2.5000000000000001E-3</v>
      </c>
      <c r="K144" s="147">
        <f t="shared" si="71"/>
        <v>2.5000000000000001E-3</v>
      </c>
      <c r="L144" s="181">
        <f t="shared" si="71"/>
        <v>2.5000000000000001E-3</v>
      </c>
      <c r="M144" s="148"/>
      <c r="N144" s="194">
        <f>L144</f>
        <v>2.5000000000000001E-3</v>
      </c>
      <c r="O144" s="148"/>
      <c r="P144" s="164">
        <f>N144/$N$2</f>
        <v>3.6052441806444457E-3</v>
      </c>
      <c r="U144" s="156">
        <f>F144/$F$142</f>
        <v>0.5</v>
      </c>
    </row>
    <row r="145" spans="5:25" x14ac:dyDescent="0.25">
      <c r="M145" s="148"/>
      <c r="O145" s="148"/>
    </row>
    <row r="146" spans="5:25" x14ac:dyDescent="0.25">
      <c r="M146" s="148"/>
      <c r="O146" s="148"/>
    </row>
    <row r="147" spans="5:25" ht="14.65" customHeight="1" x14ac:dyDescent="0.25">
      <c r="M147" s="148"/>
      <c r="O147" s="148"/>
      <c r="X147" s="157"/>
      <c r="Y147" s="157"/>
    </row>
    <row r="148" spans="5:25" x14ac:dyDescent="0.25">
      <c r="E148" s="140"/>
      <c r="F148" s="183"/>
      <c r="M148" s="148"/>
      <c r="O148" s="148"/>
      <c r="X148" s="157"/>
      <c r="Y148" s="157"/>
    </row>
    <row r="149" spans="5:25" ht="14.65" customHeight="1" x14ac:dyDescent="0.25">
      <c r="F149" s="183"/>
      <c r="M149" s="148"/>
      <c r="O149" s="148"/>
    </row>
    <row r="150" spans="5:25" ht="14.65" customHeight="1" x14ac:dyDescent="0.25">
      <c r="F150" s="183"/>
      <c r="M150" s="148"/>
      <c r="O150" s="148"/>
    </row>
    <row r="151" spans="5:25" ht="14.65" customHeight="1" x14ac:dyDescent="0.25">
      <c r="F151" s="183"/>
      <c r="M151" s="148"/>
      <c r="O151" s="148"/>
    </row>
    <row r="152" spans="5:25" ht="14.65" customHeight="1" x14ac:dyDescent="0.25">
      <c r="F152" s="183"/>
      <c r="M152" s="148"/>
      <c r="O152" s="148"/>
      <c r="X152" s="157"/>
      <c r="Y152" s="157"/>
    </row>
    <row r="153" spans="5:25" x14ac:dyDescent="0.25">
      <c r="F153" s="183"/>
      <c r="M153" s="148"/>
      <c r="O153" s="148"/>
      <c r="X153" s="157"/>
      <c r="Y153" s="157"/>
    </row>
    <row r="154" spans="5:25" ht="14.65" customHeight="1" x14ac:dyDescent="0.25">
      <c r="F154" s="183"/>
      <c r="M154" s="148"/>
      <c r="O154" s="148"/>
    </row>
    <row r="155" spans="5:25" ht="14.65" customHeight="1" x14ac:dyDescent="0.25">
      <c r="F155" s="183"/>
      <c r="M155" s="148"/>
      <c r="O155" s="148"/>
    </row>
    <row r="156" spans="5:25" ht="14.65" customHeight="1" x14ac:dyDescent="0.25">
      <c r="F156" s="183"/>
      <c r="M156" s="148"/>
      <c r="O156" s="148"/>
    </row>
    <row r="157" spans="5:25" ht="14.65" customHeight="1" x14ac:dyDescent="0.25">
      <c r="F157" s="183"/>
      <c r="M157" s="148"/>
      <c r="O157" s="148"/>
    </row>
    <row r="158" spans="5:25" ht="14.65" customHeight="1" x14ac:dyDescent="0.25">
      <c r="M158" s="148"/>
      <c r="O158" s="148"/>
      <c r="X158" s="157"/>
      <c r="Y158" s="157"/>
    </row>
    <row r="159" spans="5:25" ht="14.65" customHeight="1" x14ac:dyDescent="0.25">
      <c r="M159" s="148"/>
      <c r="O159" s="148"/>
      <c r="X159" s="157"/>
      <c r="Y159" s="157"/>
    </row>
    <row r="160" spans="5:25" x14ac:dyDescent="0.25">
      <c r="M160" s="148"/>
      <c r="O160" s="148"/>
    </row>
    <row r="161" spans="13:25" x14ac:dyDescent="0.25">
      <c r="M161" s="148"/>
      <c r="O161" s="148"/>
    </row>
    <row r="162" spans="13:25" x14ac:dyDescent="0.25">
      <c r="M162" s="148"/>
      <c r="O162" s="148"/>
      <c r="X162" s="157"/>
      <c r="Y162" s="157"/>
    </row>
    <row r="163" spans="13:25" x14ac:dyDescent="0.25">
      <c r="M163" s="148"/>
      <c r="O163" s="148"/>
    </row>
    <row r="164" spans="13:25" x14ac:dyDescent="0.25">
      <c r="M164" s="148"/>
      <c r="O164" s="148"/>
    </row>
    <row r="165" spans="13:25" ht="14.65" customHeight="1" x14ac:dyDescent="0.25">
      <c r="M165" s="148"/>
      <c r="O165" s="148"/>
    </row>
    <row r="166" spans="13:25" x14ac:dyDescent="0.25">
      <c r="M166" s="148"/>
      <c r="O166" s="148"/>
    </row>
    <row r="167" spans="13:25" ht="14.65" customHeight="1" x14ac:dyDescent="0.25">
      <c r="M167" s="148"/>
      <c r="O167" s="148"/>
      <c r="X167" s="157"/>
      <c r="Y167" s="157"/>
    </row>
    <row r="168" spans="13:25" ht="14.65" customHeight="1" x14ac:dyDescent="0.25">
      <c r="M168" s="148"/>
      <c r="O168" s="148"/>
    </row>
    <row r="169" spans="13:25" ht="14.65" customHeight="1" x14ac:dyDescent="0.25">
      <c r="M169" s="148"/>
      <c r="O169" s="148"/>
    </row>
    <row r="170" spans="13:25" x14ac:dyDescent="0.25">
      <c r="M170" s="148"/>
      <c r="O170" s="148"/>
    </row>
    <row r="171" spans="13:25" x14ac:dyDescent="0.25">
      <c r="M171" s="148"/>
      <c r="O171" s="148"/>
    </row>
    <row r="172" spans="13:25" x14ac:dyDescent="0.25">
      <c r="M172" s="148"/>
      <c r="O172" s="148"/>
      <c r="X172" s="157"/>
      <c r="Y172" s="157"/>
    </row>
    <row r="173" spans="13:25" ht="14.65" customHeight="1" x14ac:dyDescent="0.25">
      <c r="M173" s="148"/>
      <c r="O173" s="148"/>
    </row>
    <row r="174" spans="13:25" ht="14.65" customHeight="1" x14ac:dyDescent="0.25">
      <c r="M174" s="148"/>
      <c r="O174" s="148"/>
    </row>
    <row r="175" spans="13:25" ht="14.65" customHeight="1" x14ac:dyDescent="0.25">
      <c r="M175" s="148"/>
      <c r="O175" s="148"/>
    </row>
    <row r="176" spans="13:25" ht="14.65" customHeight="1" x14ac:dyDescent="0.25">
      <c r="M176" s="148"/>
      <c r="O176" s="148"/>
    </row>
    <row r="177" spans="13:25" x14ac:dyDescent="0.25">
      <c r="M177" s="148"/>
      <c r="O177" s="148"/>
    </row>
    <row r="178" spans="13:25" x14ac:dyDescent="0.25">
      <c r="M178" s="148"/>
      <c r="O178" s="148"/>
      <c r="X178" s="157"/>
      <c r="Y178" s="157"/>
    </row>
    <row r="179" spans="13:25" x14ac:dyDescent="0.25">
      <c r="M179" s="148"/>
      <c r="O179" s="148"/>
    </row>
    <row r="180" spans="13:25" x14ac:dyDescent="0.25">
      <c r="M180" s="148"/>
      <c r="O180" s="148"/>
    </row>
    <row r="181" spans="13:25" x14ac:dyDescent="0.25">
      <c r="M181" s="148"/>
      <c r="O181" s="148"/>
    </row>
    <row r="182" spans="13:25" x14ac:dyDescent="0.25">
      <c r="M182" s="148"/>
      <c r="O182" s="148"/>
    </row>
    <row r="183" spans="13:25" x14ac:dyDescent="0.25">
      <c r="M183" s="148"/>
      <c r="O183" s="148"/>
    </row>
    <row r="184" spans="13:25" x14ac:dyDescent="0.25">
      <c r="M184" s="148"/>
      <c r="O184" s="148"/>
    </row>
    <row r="185" spans="13:25" x14ac:dyDescent="0.25">
      <c r="M185" s="148"/>
      <c r="O185" s="148"/>
    </row>
    <row r="186" spans="13:25" x14ac:dyDescent="0.25">
      <c r="M186" s="148"/>
      <c r="O186" s="148"/>
    </row>
    <row r="187" spans="13:25" x14ac:dyDescent="0.25">
      <c r="M187" s="148"/>
      <c r="O187" s="148"/>
    </row>
    <row r="188" spans="13:25" x14ac:dyDescent="0.25">
      <c r="M188" s="148"/>
      <c r="O188" s="148"/>
    </row>
    <row r="189" spans="13:25" x14ac:dyDescent="0.25">
      <c r="M189" s="148"/>
      <c r="O189" s="148"/>
    </row>
    <row r="190" spans="13:25" x14ac:dyDescent="0.25">
      <c r="M190" s="148"/>
      <c r="O190" s="148"/>
    </row>
    <row r="191" spans="13:25" x14ac:dyDescent="0.25">
      <c r="M191" s="148"/>
      <c r="O191" s="148"/>
    </row>
    <row r="192" spans="13:25" x14ac:dyDescent="0.25">
      <c r="M192" s="148"/>
      <c r="O192" s="148"/>
    </row>
    <row r="193" spans="13:15" x14ac:dyDescent="0.25">
      <c r="M193" s="148"/>
      <c r="O193" s="148"/>
    </row>
    <row r="194" spans="13:15" x14ac:dyDescent="0.25">
      <c r="M194" s="148"/>
      <c r="O194" s="148"/>
    </row>
    <row r="195" spans="13:15" x14ac:dyDescent="0.25">
      <c r="M195" s="148"/>
      <c r="O195" s="148"/>
    </row>
    <row r="196" spans="13:15" x14ac:dyDescent="0.25">
      <c r="M196" s="148"/>
      <c r="O196" s="148"/>
    </row>
    <row r="197" spans="13:15" x14ac:dyDescent="0.25">
      <c r="M197" s="148"/>
      <c r="O197" s="148"/>
    </row>
    <row r="198" spans="13:15" x14ac:dyDescent="0.25">
      <c r="M198" s="148"/>
      <c r="O198" s="148"/>
    </row>
    <row r="199" spans="13:15" x14ac:dyDescent="0.25">
      <c r="M199" s="148"/>
      <c r="O199" s="148"/>
    </row>
    <row r="200" spans="13:15" x14ac:dyDescent="0.25">
      <c r="M200" s="148"/>
      <c r="O200" s="148"/>
    </row>
    <row r="201" spans="13:15" x14ac:dyDescent="0.25">
      <c r="M201" s="148"/>
      <c r="O201" s="148"/>
    </row>
    <row r="202" spans="13:15" x14ac:dyDescent="0.25">
      <c r="M202" s="148"/>
      <c r="O202" s="148"/>
    </row>
    <row r="203" spans="13:15" x14ac:dyDescent="0.25">
      <c r="M203" s="148"/>
      <c r="O203" s="148"/>
    </row>
    <row r="204" spans="13:15" x14ac:dyDescent="0.25">
      <c r="M204" s="148"/>
      <c r="O204" s="148"/>
    </row>
    <row r="205" spans="13:15" x14ac:dyDescent="0.25">
      <c r="M205" s="148"/>
      <c r="O205" s="148"/>
    </row>
    <row r="206" spans="13:15" x14ac:dyDescent="0.25">
      <c r="M206" s="148"/>
      <c r="O206" s="148"/>
    </row>
    <row r="207" spans="13:15" x14ac:dyDescent="0.25">
      <c r="M207" s="148"/>
      <c r="O207" s="148"/>
    </row>
    <row r="208" spans="13:15" x14ac:dyDescent="0.25">
      <c r="M208" s="148"/>
      <c r="O208" s="148"/>
    </row>
    <row r="209" spans="13:15" x14ac:dyDescent="0.25">
      <c r="M209" s="148"/>
      <c r="O209" s="148"/>
    </row>
    <row r="210" spans="13:15" x14ac:dyDescent="0.25">
      <c r="M210" s="148"/>
      <c r="O210" s="148"/>
    </row>
    <row r="211" spans="13:15" x14ac:dyDescent="0.25">
      <c r="M211" s="148"/>
      <c r="O211" s="148"/>
    </row>
    <row r="212" spans="13:15" x14ac:dyDescent="0.25">
      <c r="M212" s="148"/>
      <c r="O212" s="148"/>
    </row>
    <row r="213" spans="13:15" x14ac:dyDescent="0.25">
      <c r="M213" s="148"/>
      <c r="O213" s="148"/>
    </row>
    <row r="214" spans="13:15" x14ac:dyDescent="0.25">
      <c r="M214" s="148"/>
      <c r="O214" s="148"/>
    </row>
    <row r="215" spans="13:15" x14ac:dyDescent="0.25">
      <c r="M215" s="148"/>
      <c r="O215" s="148"/>
    </row>
    <row r="216" spans="13:15" x14ac:dyDescent="0.25">
      <c r="M216" s="148"/>
      <c r="O216" s="148"/>
    </row>
    <row r="217" spans="13:15" x14ac:dyDescent="0.25">
      <c r="M217" s="148"/>
      <c r="O217" s="148"/>
    </row>
    <row r="218" spans="13:15" x14ac:dyDescent="0.25">
      <c r="M218" s="148"/>
      <c r="O218" s="148"/>
    </row>
    <row r="219" spans="13:15" x14ac:dyDescent="0.25">
      <c r="M219" s="148"/>
      <c r="O219" s="148"/>
    </row>
    <row r="220" spans="13:15" x14ac:dyDescent="0.25">
      <c r="M220" s="148"/>
      <c r="O220" s="148"/>
    </row>
    <row r="221" spans="13:15" x14ac:dyDescent="0.25">
      <c r="M221" s="148"/>
      <c r="O221" s="148"/>
    </row>
    <row r="222" spans="13:15" x14ac:dyDescent="0.25">
      <c r="M222" s="148"/>
      <c r="O222" s="148"/>
    </row>
    <row r="223" spans="13:15" x14ac:dyDescent="0.25">
      <c r="M223" s="148"/>
      <c r="O223" s="148"/>
    </row>
    <row r="224" spans="13:15" x14ac:dyDescent="0.25">
      <c r="M224" s="148"/>
      <c r="O224" s="148"/>
    </row>
    <row r="225" spans="13:15" x14ac:dyDescent="0.25">
      <c r="M225" s="148"/>
      <c r="O225" s="148"/>
    </row>
    <row r="226" spans="13:15" x14ac:dyDescent="0.25">
      <c r="M226" s="148"/>
      <c r="O226" s="148"/>
    </row>
    <row r="227" spans="13:15" x14ac:dyDescent="0.25">
      <c r="M227" s="148"/>
      <c r="O227" s="148"/>
    </row>
    <row r="228" spans="13:15" x14ac:dyDescent="0.25">
      <c r="M228" s="148"/>
      <c r="O228" s="148"/>
    </row>
    <row r="229" spans="13:15" x14ac:dyDescent="0.25">
      <c r="M229" s="148"/>
      <c r="O229" s="148"/>
    </row>
    <row r="230" spans="13:15" x14ac:dyDescent="0.25">
      <c r="M230" s="148"/>
      <c r="O230" s="148"/>
    </row>
    <row r="231" spans="13:15" x14ac:dyDescent="0.25">
      <c r="M231" s="148"/>
      <c r="O231" s="148"/>
    </row>
    <row r="232" spans="13:15" x14ac:dyDescent="0.25">
      <c r="M232" s="148"/>
      <c r="O232" s="148"/>
    </row>
    <row r="233" spans="13:15" x14ac:dyDescent="0.25">
      <c r="M233" s="148"/>
      <c r="O233" s="148"/>
    </row>
    <row r="234" spans="13:15" ht="14.65" customHeight="1" x14ac:dyDescent="0.25">
      <c r="M234" s="148"/>
      <c r="O234" s="148"/>
    </row>
    <row r="235" spans="13:15" x14ac:dyDescent="0.25">
      <c r="M235" s="148"/>
      <c r="O235" s="148"/>
    </row>
    <row r="236" spans="13:15" ht="14.65" customHeight="1" x14ac:dyDescent="0.25">
      <c r="M236" s="148"/>
      <c r="O236" s="148"/>
    </row>
    <row r="237" spans="13:15" x14ac:dyDescent="0.25">
      <c r="M237" s="148"/>
      <c r="O237" s="148"/>
    </row>
    <row r="238" spans="13:15" ht="14.65" customHeight="1" x14ac:dyDescent="0.25">
      <c r="M238" s="148"/>
      <c r="O238" s="148"/>
    </row>
    <row r="239" spans="13:15" x14ac:dyDescent="0.25">
      <c r="M239" s="148"/>
      <c r="O239" s="148"/>
    </row>
    <row r="240" spans="13:15" x14ac:dyDescent="0.25">
      <c r="M240" s="148"/>
      <c r="O240" s="148"/>
    </row>
    <row r="241" spans="13:15" x14ac:dyDescent="0.25">
      <c r="M241" s="148"/>
      <c r="O241" s="148"/>
    </row>
    <row r="242" spans="13:15" x14ac:dyDescent="0.25">
      <c r="M242" s="148"/>
      <c r="O242" s="148"/>
    </row>
    <row r="243" spans="13:15" x14ac:dyDescent="0.25">
      <c r="M243" s="148"/>
      <c r="O243" s="148"/>
    </row>
    <row r="244" spans="13:15" x14ac:dyDescent="0.25">
      <c r="M244" s="148"/>
      <c r="O244" s="148"/>
    </row>
    <row r="245" spans="13:15" x14ac:dyDescent="0.25">
      <c r="M245" s="148"/>
      <c r="O245" s="148"/>
    </row>
    <row r="246" spans="13:15" x14ac:dyDescent="0.25">
      <c r="M246" s="148"/>
      <c r="O246" s="148"/>
    </row>
    <row r="247" spans="13:15" x14ac:dyDescent="0.25">
      <c r="M247" s="148"/>
      <c r="O247" s="148"/>
    </row>
    <row r="248" spans="13:15" x14ac:dyDescent="0.25">
      <c r="M248" s="148"/>
      <c r="O248" s="148"/>
    </row>
    <row r="249" spans="13:15" x14ac:dyDescent="0.25">
      <c r="O249" s="148"/>
    </row>
    <row r="250" spans="13:15" x14ac:dyDescent="0.25">
      <c r="O250" s="148"/>
    </row>
    <row r="251" spans="13:15" x14ac:dyDescent="0.25">
      <c r="O251" s="148"/>
    </row>
    <row r="252" spans="13:15" x14ac:dyDescent="0.25">
      <c r="O252" s="148"/>
    </row>
    <row r="253" spans="13:15" x14ac:dyDescent="0.25">
      <c r="O253" s="148"/>
    </row>
    <row r="254" spans="13:15" x14ac:dyDescent="0.25">
      <c r="O254" s="148"/>
    </row>
    <row r="255" spans="13:15" x14ac:dyDescent="0.25">
      <c r="O255" s="148"/>
    </row>
    <row r="256" spans="13:15" x14ac:dyDescent="0.25">
      <c r="O256" s="148"/>
    </row>
    <row r="257" spans="15:15" x14ac:dyDescent="0.25">
      <c r="O257" s="148"/>
    </row>
    <row r="258" spans="15:15" x14ac:dyDescent="0.25">
      <c r="O258" s="148"/>
    </row>
    <row r="261" spans="15:15" ht="14.65" customHeight="1" x14ac:dyDescent="0.25"/>
    <row r="262" spans="15:15" ht="14.65" customHeight="1" x14ac:dyDescent="0.25"/>
    <row r="265" spans="15:15" ht="14.65" customHeight="1" x14ac:dyDescent="0.25"/>
  </sheetData>
  <sheetProtection algorithmName="SHA-512" hashValue="AXOeVqAvTrh3ebSc+47jHx8ChpBbxgS2ooXAE9sADytO89JfkRElMn3FyT9l6ncitdS2+Ymt4woziEWYxGt6gg==" saltValue="ph4ZtjK5moefqBl0llFgdw==" spinCount="100000" sheet="1" objects="1" scenarios="1"/>
  <dataConsolidate/>
  <mergeCells count="2">
    <mergeCell ref="R2:S2"/>
    <mergeCell ref="R14:S14"/>
  </mergeCells>
  <phoneticPr fontId="6" type="noConversion"/>
  <printOptions horizontalCentered="1"/>
  <pageMargins left="0.31496062992125984" right="0.31496062992125984" top="0.55118110236220474" bottom="0.55118110236220474" header="0.31496062992125984" footer="0.31496062992125984"/>
  <pageSetup paperSize="9" scale="62"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D88FD-6769-4159-9312-63A388BECD7B}">
  <sheetPr>
    <outlinePr applyStyles="1" summaryBelow="0"/>
    <pageSetUpPr fitToPage="1"/>
  </sheetPr>
  <dimension ref="A1:AF730"/>
  <sheetViews>
    <sheetView topLeftCell="A15" zoomScaleNormal="100" workbookViewId="0">
      <selection activeCell="G14" sqref="G14"/>
    </sheetView>
  </sheetViews>
  <sheetFormatPr defaultColWidth="8.7109375" defaultRowHeight="15" outlineLevelRow="3" outlineLevelCol="1" x14ac:dyDescent="0.25"/>
  <cols>
    <col min="1" max="1" width="5.7109375" style="22" bestFit="1" customWidth="1"/>
    <col min="2" max="2" width="3.42578125" style="239" customWidth="1"/>
    <col min="3" max="3" width="6.42578125" style="22" customWidth="1"/>
    <col min="4" max="4" width="5.5703125" style="22" customWidth="1"/>
    <col min="5" max="5" width="7.28515625" style="22" customWidth="1"/>
    <col min="6" max="6" width="8.7109375" style="22" customWidth="1"/>
    <col min="7" max="7" width="73.85546875" style="22" customWidth="1"/>
    <col min="8" max="8" width="11.28515625" style="239" bestFit="1" customWidth="1"/>
    <col min="9" max="9" width="10.7109375" style="239" bestFit="1" customWidth="1"/>
    <col min="10" max="10" width="10.7109375" style="265" hidden="1" customWidth="1" outlineLevel="1"/>
    <col min="11" max="11" width="12.42578125" style="265" hidden="1" customWidth="1" outlineLevel="1"/>
    <col min="12" max="12" width="10.7109375" style="308" hidden="1" customWidth="1" outlineLevel="1"/>
    <col min="13" max="13" width="15" style="265" hidden="1" customWidth="1" outlineLevel="1"/>
    <col min="14" max="14" width="10.7109375" style="265" customWidth="1" outlineLevel="1"/>
    <col min="15" max="15" width="12.42578125" style="265" customWidth="1" outlineLevel="1"/>
    <col min="16" max="16" width="8.7109375" style="22" customWidth="1"/>
    <col min="17" max="17" width="15.7109375" style="239" customWidth="1"/>
    <col min="18" max="18" width="7.28515625" style="239" customWidth="1"/>
    <col min="19" max="19" width="10.7109375" style="265" hidden="1" customWidth="1" outlineLevel="1"/>
    <col min="20" max="20" width="12.42578125" style="265" customWidth="1" outlineLevel="1"/>
    <col min="21" max="21" width="8.7109375" style="22" customWidth="1"/>
    <col min="22" max="22" width="15.7109375" style="239" customWidth="1"/>
    <col min="23" max="23" width="7.28515625" style="239" customWidth="1"/>
    <col min="24" max="24" width="10.7109375" style="265" hidden="1" customWidth="1" outlineLevel="1"/>
    <col min="25" max="25" width="12.42578125" style="265" customWidth="1" outlineLevel="1"/>
    <col min="26" max="26" width="8.7109375" style="22" customWidth="1"/>
    <col min="27" max="27" width="11.42578125" style="294" hidden="1" customWidth="1" outlineLevel="1"/>
    <col min="28" max="29" width="8.7109375" style="22" hidden="1" customWidth="1" outlineLevel="1"/>
    <col min="30" max="30" width="8.7109375" style="22" collapsed="1"/>
    <col min="31" max="31" width="8.85546875" style="22" customWidth="1"/>
    <col min="32" max="32" width="8.7109375" style="22" customWidth="1"/>
    <col min="33" max="16384" width="8.7109375" style="22"/>
  </cols>
  <sheetData>
    <row r="1" spans="1:29" ht="14.65" customHeight="1" thickBot="1" x14ac:dyDescent="0.3">
      <c r="H1" s="499" t="s">
        <v>718</v>
      </c>
      <c r="I1" s="499"/>
      <c r="Q1" s="499" t="s">
        <v>718</v>
      </c>
      <c r="R1" s="499"/>
      <c r="V1" s="499" t="s">
        <v>718</v>
      </c>
      <c r="W1" s="499"/>
      <c r="AA1" s="295"/>
    </row>
    <row r="2" spans="1:29" ht="14.65" customHeight="1" thickBot="1" x14ac:dyDescent="0.3">
      <c r="B2" s="267" t="s">
        <v>720</v>
      </c>
      <c r="D2" s="500" t="s">
        <v>721</v>
      </c>
      <c r="E2" s="501"/>
      <c r="F2" s="502"/>
      <c r="H2" s="256" t="s">
        <v>722</v>
      </c>
      <c r="I2" s="268">
        <f>(O6+O85+O147+O206+O389+O493+O559+O531+O635+O677)/100</f>
        <v>0</v>
      </c>
      <c r="K2" s="309"/>
      <c r="Q2" s="256" t="s">
        <v>722</v>
      </c>
      <c r="R2" s="268">
        <f>(T6+T85+T147+T206+T389+T493+T559+T531+T635+T677)/100</f>
        <v>0</v>
      </c>
      <c r="V2" s="256" t="s">
        <v>722</v>
      </c>
      <c r="W2" s="268">
        <f>(Y6+Y85+Y147+Y206+Y389+Y493+Y559+Y531+Y635+Y677)/100</f>
        <v>0</v>
      </c>
      <c r="AA2" s="295"/>
    </row>
    <row r="3" spans="1:29" ht="15.6" customHeight="1" thickBot="1" x14ac:dyDescent="0.3">
      <c r="H3" s="256" t="s">
        <v>723</v>
      </c>
      <c r="I3" s="268" t="str">
        <f>LOOKUP(I2,Ponderações!$R$4:$R$10,Ponderações!$T$4:$T$10)</f>
        <v>F</v>
      </c>
      <c r="Q3" s="256" t="s">
        <v>723</v>
      </c>
      <c r="R3" s="268" t="str">
        <f>LOOKUP(R2,Ponderações!$R$4:$R$10,Ponderações!$T$4:$T$10)</f>
        <v>F</v>
      </c>
      <c r="V3" s="256" t="s">
        <v>723</v>
      </c>
      <c r="W3" s="268" t="str">
        <f>LOOKUP(W2,Ponderações!$R$4:$R$10,Ponderações!$T$4:$T$10)</f>
        <v>F</v>
      </c>
      <c r="AA3" s="295"/>
    </row>
    <row r="4" spans="1:29" ht="14.65" customHeight="1" x14ac:dyDescent="0.25">
      <c r="H4" s="266"/>
      <c r="I4" s="266"/>
      <c r="Q4" s="266"/>
      <c r="R4" s="266"/>
      <c r="V4" s="266"/>
      <c r="W4" s="266"/>
      <c r="AA4" s="295"/>
    </row>
    <row r="5" spans="1:29" ht="29.1" customHeight="1" x14ac:dyDescent="0.25">
      <c r="H5" s="269" t="s">
        <v>724</v>
      </c>
      <c r="I5" s="269" t="s">
        <v>725</v>
      </c>
      <c r="J5" s="310" t="s">
        <v>928</v>
      </c>
      <c r="K5" s="310" t="s">
        <v>929</v>
      </c>
      <c r="L5" s="310" t="s">
        <v>928</v>
      </c>
      <c r="M5" s="310" t="s">
        <v>929</v>
      </c>
      <c r="N5" s="310" t="s">
        <v>928</v>
      </c>
      <c r="O5" s="310" t="s">
        <v>929</v>
      </c>
      <c r="Q5" s="269" t="s">
        <v>726</v>
      </c>
      <c r="R5" s="22"/>
      <c r="S5" s="310" t="s">
        <v>928</v>
      </c>
      <c r="T5" s="310" t="s">
        <v>929</v>
      </c>
      <c r="V5" s="269" t="s">
        <v>930</v>
      </c>
      <c r="W5" s="22"/>
      <c r="X5" s="310" t="s">
        <v>928</v>
      </c>
      <c r="Y5" s="310" t="s">
        <v>929</v>
      </c>
      <c r="AA5" s="311" t="s">
        <v>931</v>
      </c>
      <c r="AB5" s="311" t="s">
        <v>932</v>
      </c>
      <c r="AC5" s="311" t="s">
        <v>933</v>
      </c>
    </row>
    <row r="6" spans="1:29" x14ac:dyDescent="0.25">
      <c r="A6" s="307"/>
      <c r="B6" s="270">
        <v>1</v>
      </c>
      <c r="C6" s="271" t="s">
        <v>1844</v>
      </c>
      <c r="D6" s="271"/>
      <c r="E6" s="271"/>
      <c r="F6" s="271"/>
      <c r="G6" s="271"/>
      <c r="H6" s="272"/>
      <c r="I6" s="272"/>
      <c r="J6" s="312">
        <f>N6*0.8</f>
        <v>10.726890727168087</v>
      </c>
      <c r="K6" s="312">
        <f>K8+K36</f>
        <v>0</v>
      </c>
      <c r="L6" s="312">
        <f>N6*0.2</f>
        <v>2.6817226817920217</v>
      </c>
      <c r="M6" s="312">
        <f>M8+M36</f>
        <v>0</v>
      </c>
      <c r="N6" s="312">
        <f>N8+N36</f>
        <v>13.408613408960107</v>
      </c>
      <c r="O6" s="312">
        <f>O8+O36</f>
        <v>0</v>
      </c>
      <c r="Q6" s="272"/>
      <c r="R6" s="22"/>
      <c r="S6" s="312">
        <f>N6</f>
        <v>13.408613408960107</v>
      </c>
      <c r="T6" s="312">
        <f>T8+T36</f>
        <v>0</v>
      </c>
      <c r="V6" s="272"/>
      <c r="W6" s="22"/>
      <c r="X6" s="312">
        <f>S6</f>
        <v>13.408613408960107</v>
      </c>
      <c r="Y6" s="312">
        <f>Y8+Y36</f>
        <v>0</v>
      </c>
      <c r="AA6" s="313"/>
      <c r="AB6" s="313"/>
      <c r="AC6" s="314"/>
    </row>
    <row r="7" spans="1:29" outlineLevel="1" x14ac:dyDescent="0.25">
      <c r="H7" s="273"/>
      <c r="I7" s="273"/>
      <c r="J7" s="315"/>
      <c r="K7" s="315"/>
      <c r="L7" s="316"/>
      <c r="M7" s="315"/>
      <c r="N7" s="317"/>
      <c r="O7" s="317"/>
      <c r="Q7" s="273"/>
      <c r="R7" s="22"/>
      <c r="S7" s="315"/>
      <c r="T7" s="317"/>
      <c r="V7" s="273"/>
      <c r="W7" s="22"/>
      <c r="X7" s="315"/>
      <c r="Y7" s="317"/>
      <c r="AA7" s="318"/>
    </row>
    <row r="8" spans="1:29" outlineLevel="1" x14ac:dyDescent="0.25">
      <c r="A8" s="274"/>
      <c r="C8" s="275" t="s">
        <v>743</v>
      </c>
      <c r="D8" s="275" t="s">
        <v>1845</v>
      </c>
      <c r="E8" s="275"/>
      <c r="F8" s="275"/>
      <c r="G8" s="275"/>
      <c r="H8" s="276"/>
      <c r="I8" s="277"/>
      <c r="J8" s="319">
        <f>N8*0.8</f>
        <v>4.5972388830720368</v>
      </c>
      <c r="K8" s="319">
        <f>K9+K16+K24+K30</f>
        <v>0</v>
      </c>
      <c r="L8" s="320">
        <f>N8*0.2</f>
        <v>1.1493097207680092</v>
      </c>
      <c r="M8" s="320">
        <f>M9+M16+M24+M30</f>
        <v>0</v>
      </c>
      <c r="N8" s="321">
        <f>N9+N16+N24+N30</f>
        <v>5.7465486038400462</v>
      </c>
      <c r="O8" s="321">
        <f>O9+O16+O24+O30</f>
        <v>0</v>
      </c>
      <c r="Q8" s="276"/>
      <c r="R8" s="22"/>
      <c r="S8" s="321">
        <f>N8</f>
        <v>5.7465486038400462</v>
      </c>
      <c r="T8" s="321">
        <f>T9+T16+T24+T30</f>
        <v>0</v>
      </c>
      <c r="V8" s="276"/>
      <c r="W8" s="22"/>
      <c r="X8" s="321">
        <f>S8</f>
        <v>5.7465486038400462</v>
      </c>
      <c r="Y8" s="321">
        <f>Y9+Y16+Y24+Y30</f>
        <v>0</v>
      </c>
      <c r="AA8" s="322"/>
      <c r="AB8" s="323"/>
    </row>
    <row r="9" spans="1:29" ht="28.9" customHeight="1" outlineLevel="2" x14ac:dyDescent="0.25">
      <c r="C9" s="239"/>
      <c r="D9" s="278" t="s">
        <v>745</v>
      </c>
      <c r="E9" s="495" t="s">
        <v>1843</v>
      </c>
      <c r="F9" s="495"/>
      <c r="G9" s="495"/>
      <c r="H9" s="279" t="s">
        <v>729</v>
      </c>
      <c r="I9" s="280" t="s">
        <v>729</v>
      </c>
      <c r="J9" s="324">
        <f>N9*0.8</f>
        <v>1.5324129610240123</v>
      </c>
      <c r="K9" s="324">
        <f>IF(SUM(K10:K15)&gt;J9,J9,SUM(K10:K15))</f>
        <v>0</v>
      </c>
      <c r="L9" s="325">
        <f>N9*0.2</f>
        <v>0.38310324025600306</v>
      </c>
      <c r="M9" s="325">
        <f>IF(SUM(M10:M15)&gt;L9,L9,SUM(M10:M15))</f>
        <v>0</v>
      </c>
      <c r="N9" s="326">
        <f>Ponderações!P5*100</f>
        <v>1.9155162012800153</v>
      </c>
      <c r="O9" s="326">
        <f>IF(SUM(O10:O15)&gt;N9,N9,SUM(O10:O15))</f>
        <v>0</v>
      </c>
      <c r="Q9" s="279" t="s">
        <v>729</v>
      </c>
      <c r="R9" s="22"/>
      <c r="S9" s="326">
        <f>N9</f>
        <v>1.9155162012800153</v>
      </c>
      <c r="T9" s="326">
        <f>IF(SUM(T10:T15)&gt;S9,S9,SUM(T10:T15))</f>
        <v>0</v>
      </c>
      <c r="V9" s="279" t="s">
        <v>729</v>
      </c>
      <c r="W9" s="22"/>
      <c r="X9" s="326">
        <f>S9</f>
        <v>1.9155162012800153</v>
      </c>
      <c r="Y9" s="326">
        <f>IF(SUM(Y10:Y15)&gt;X9,X9,SUM(Y10:Y15))</f>
        <v>0</v>
      </c>
      <c r="AA9" s="327"/>
      <c r="AB9" s="327">
        <f>SUMPRODUCT(AB10:AB15,AC10:AC15)</f>
        <v>1.3</v>
      </c>
      <c r="AC9" s="328"/>
    </row>
    <row r="10" spans="1:29" outlineLevel="3" x14ac:dyDescent="0.25">
      <c r="C10" s="239"/>
      <c r="D10" s="214"/>
      <c r="E10" s="281" t="s">
        <v>934</v>
      </c>
      <c r="F10" s="281" t="s">
        <v>935</v>
      </c>
      <c r="G10" s="281"/>
      <c r="H10" s="282">
        <f>IF(Checklist!J10="",0,Checklist!J10)</f>
        <v>0</v>
      </c>
      <c r="I10" s="282">
        <f>IF(Checklist!K10="",0,Checklist!K10)</f>
        <v>0</v>
      </c>
      <c r="J10" s="329"/>
      <c r="K10" s="330">
        <f>H10*AA10*J9</f>
        <v>0</v>
      </c>
      <c r="L10" s="331"/>
      <c r="M10" s="332">
        <f>I10*AA10*L9</f>
        <v>0</v>
      </c>
      <c r="N10" s="333"/>
      <c r="O10" s="333">
        <f>M10+K10</f>
        <v>0</v>
      </c>
      <c r="Q10" s="282">
        <f>IF(Checklist!M10="",0,Checklist!M10)</f>
        <v>0</v>
      </c>
      <c r="R10" s="22"/>
      <c r="S10" s="334"/>
      <c r="T10" s="333">
        <f>Q10*AA10*S9</f>
        <v>0</v>
      </c>
      <c r="V10" s="282">
        <f>IF(Checklist!P10="",0,Checklist!P10)</f>
        <v>0</v>
      </c>
      <c r="W10" s="22"/>
      <c r="X10" s="334"/>
      <c r="Y10" s="333">
        <f>V10*AA10*X9</f>
        <v>0</v>
      </c>
      <c r="AA10" s="335">
        <f>IF($AB$9&lt;100%,AB10*AC10/$AB$9,AC10)</f>
        <v>0.6</v>
      </c>
      <c r="AB10" s="336">
        <v>1</v>
      </c>
      <c r="AC10" s="335">
        <v>0.6</v>
      </c>
    </row>
    <row r="11" spans="1:29" outlineLevel="3" x14ac:dyDescent="0.25">
      <c r="E11" s="281" t="s">
        <v>936</v>
      </c>
      <c r="F11" s="281" t="s">
        <v>989</v>
      </c>
      <c r="G11" s="281"/>
      <c r="H11" s="282">
        <f>IF(Checklist!J11="",0,Checklist!J11)</f>
        <v>0</v>
      </c>
      <c r="I11" s="282">
        <f>IF(Checklist!K11="",0,Checklist!K11)</f>
        <v>0</v>
      </c>
      <c r="J11" s="337"/>
      <c r="K11" s="337">
        <f>H11*AA11*J9</f>
        <v>0</v>
      </c>
      <c r="L11" s="338"/>
      <c r="M11" s="339">
        <f>I11*AA11*L9</f>
        <v>0</v>
      </c>
      <c r="N11" s="333"/>
      <c r="O11" s="333">
        <f>M11+K11</f>
        <v>0</v>
      </c>
      <c r="Q11" s="282">
        <f>IF(Checklist!M11="",0,Checklist!M11)</f>
        <v>0</v>
      </c>
      <c r="R11" s="22"/>
      <c r="S11" s="334"/>
      <c r="T11" s="333">
        <f>Q11*AA11*S9</f>
        <v>0</v>
      </c>
      <c r="V11" s="282">
        <f>IF(Checklist!P11="",0,Checklist!P11)</f>
        <v>0</v>
      </c>
      <c r="W11" s="22"/>
      <c r="X11" s="334"/>
      <c r="Y11" s="333">
        <f>V11*AA11*X9</f>
        <v>0</v>
      </c>
      <c r="AA11" s="335">
        <f>IF($AB$9&lt;100%,AB11*AC11/$AB$9,AC11)</f>
        <v>0.3</v>
      </c>
      <c r="AB11" s="336">
        <v>1</v>
      </c>
      <c r="AC11" s="335">
        <v>0.3</v>
      </c>
    </row>
    <row r="12" spans="1:29" outlineLevel="3" x14ac:dyDescent="0.25">
      <c r="E12" s="281" t="s">
        <v>937</v>
      </c>
      <c r="F12" s="281" t="s">
        <v>1878</v>
      </c>
      <c r="G12" s="281"/>
      <c r="H12" s="282">
        <f>IF(Checklist!J12="",0,Checklist!J12)</f>
        <v>0</v>
      </c>
      <c r="I12" s="282">
        <f>IF(Checklist!K12="",0,Checklist!K12)</f>
        <v>0</v>
      </c>
      <c r="J12" s="337"/>
      <c r="K12" s="337">
        <f>H12*AA12*J9</f>
        <v>0</v>
      </c>
      <c r="L12" s="338"/>
      <c r="M12" s="339">
        <f>I12*AA12*L9</f>
        <v>0</v>
      </c>
      <c r="N12" s="333"/>
      <c r="O12" s="333">
        <f t="shared" ref="O12:O15" si="0">M12+K12</f>
        <v>0</v>
      </c>
      <c r="Q12" s="282">
        <f>IF(Checklist!M12="",0,Checklist!M12)</f>
        <v>0</v>
      </c>
      <c r="R12" s="22"/>
      <c r="S12" s="334"/>
      <c r="T12" s="333">
        <f>Q12*AA12*S9</f>
        <v>0</v>
      </c>
      <c r="V12" s="282">
        <f>IF(Checklist!P12="",0,Checklist!P12)</f>
        <v>0</v>
      </c>
      <c r="W12" s="22"/>
      <c r="X12" s="334"/>
      <c r="Y12" s="333">
        <f>V12*AA12*X9</f>
        <v>0</v>
      </c>
      <c r="AA12" s="335">
        <f>IF(AB12=0,0%,AC12)</f>
        <v>0.3</v>
      </c>
      <c r="AB12" s="336">
        <v>1</v>
      </c>
      <c r="AC12" s="335">
        <v>0.3</v>
      </c>
    </row>
    <row r="13" spans="1:29" outlineLevel="3" x14ac:dyDescent="0.25">
      <c r="D13" s="214"/>
      <c r="E13" s="281" t="s">
        <v>938</v>
      </c>
      <c r="F13" s="281" t="s">
        <v>939</v>
      </c>
      <c r="G13" s="281"/>
      <c r="H13" s="282">
        <f>IF(Checklist!J13="",0,Checklist!J13)</f>
        <v>0</v>
      </c>
      <c r="I13" s="282">
        <f>IF(Checklist!K13="",0,Checklist!K13)</f>
        <v>0</v>
      </c>
      <c r="J13" s="337"/>
      <c r="K13" s="337">
        <f>H13*AA13*J9</f>
        <v>0</v>
      </c>
      <c r="L13" s="338"/>
      <c r="M13" s="339">
        <f>I13*AA13*L9</f>
        <v>0</v>
      </c>
      <c r="N13" s="333"/>
      <c r="O13" s="333">
        <f>M13+K13</f>
        <v>0</v>
      </c>
      <c r="Q13" s="282">
        <f>IF(Checklist!M13="",0,Checklist!M13)</f>
        <v>0</v>
      </c>
      <c r="R13" s="22"/>
      <c r="S13" s="334"/>
      <c r="T13" s="333">
        <f>Q13*AA13*S9</f>
        <v>0</v>
      </c>
      <c r="V13" s="282">
        <f>IF(Checklist!P13="",0,Checklist!P13)</f>
        <v>0</v>
      </c>
      <c r="W13" s="22"/>
      <c r="X13" s="334"/>
      <c r="Y13" s="333">
        <f>V13*AA13*X9</f>
        <v>0</v>
      </c>
      <c r="AA13" s="335">
        <f>IF(AB13=0,0%,AC13)</f>
        <v>0.1</v>
      </c>
      <c r="AB13" s="336">
        <v>1</v>
      </c>
      <c r="AC13" s="335">
        <v>0.1</v>
      </c>
    </row>
    <row r="14" spans="1:29" outlineLevel="3" x14ac:dyDescent="0.25">
      <c r="D14" s="214"/>
      <c r="E14" s="281" t="s">
        <v>940</v>
      </c>
      <c r="F14" s="281" t="s">
        <v>941</v>
      </c>
      <c r="G14" s="281"/>
      <c r="H14" s="282">
        <f>IF(Checklist!J14="",0,Checklist!J14)</f>
        <v>0</v>
      </c>
      <c r="I14" s="282">
        <f>IF(Checklist!K14="",0,Checklist!K14)</f>
        <v>0</v>
      </c>
      <c r="J14" s="337"/>
      <c r="K14" s="337">
        <f>H14*AA14*J9</f>
        <v>0</v>
      </c>
      <c r="L14" s="338"/>
      <c r="M14" s="339">
        <f>I14*AA14*L9</f>
        <v>0</v>
      </c>
      <c r="N14" s="333"/>
      <c r="O14" s="333">
        <f t="shared" si="0"/>
        <v>0</v>
      </c>
      <c r="Q14" s="282">
        <f>IF(Checklist!M14="",0,Checklist!M14)</f>
        <v>0</v>
      </c>
      <c r="R14" s="22"/>
      <c r="S14" s="334"/>
      <c r="T14" s="333">
        <f>Q14*AA14*S9</f>
        <v>0</v>
      </c>
      <c r="V14" s="282">
        <f>IF(Checklist!P14="",0,Checklist!P14)</f>
        <v>0</v>
      </c>
      <c r="W14" s="22"/>
      <c r="X14" s="334"/>
      <c r="Y14" s="333">
        <f>V14*AA14*X9</f>
        <v>0</v>
      </c>
      <c r="AA14" s="335">
        <v>0</v>
      </c>
      <c r="AB14" s="336">
        <v>1</v>
      </c>
      <c r="AC14" s="335">
        <v>0</v>
      </c>
    </row>
    <row r="15" spans="1:29" outlineLevel="3" x14ac:dyDescent="0.25">
      <c r="D15" s="214"/>
      <c r="E15" s="281" t="s">
        <v>942</v>
      </c>
      <c r="F15" s="281" t="s">
        <v>943</v>
      </c>
      <c r="G15" s="281"/>
      <c r="H15" s="282">
        <f>IF(Checklist!J15="",0,Checklist!J15)</f>
        <v>0</v>
      </c>
      <c r="I15" s="282">
        <f>IF(Checklist!K15="",0,Checklist!K15)</f>
        <v>0</v>
      </c>
      <c r="J15" s="337"/>
      <c r="K15" s="337">
        <f>H15*AA15*J9</f>
        <v>0</v>
      </c>
      <c r="L15" s="338"/>
      <c r="M15" s="339">
        <f>I15*AA15*L9</f>
        <v>0</v>
      </c>
      <c r="N15" s="333"/>
      <c r="O15" s="333">
        <f t="shared" si="0"/>
        <v>0</v>
      </c>
      <c r="Q15" s="282">
        <f>IF(Checklist!M15="",0,Checklist!M15)</f>
        <v>0</v>
      </c>
      <c r="R15" s="22"/>
      <c r="S15" s="334"/>
      <c r="T15" s="333">
        <f>Q15*AA15*S9</f>
        <v>0</v>
      </c>
      <c r="V15" s="282">
        <f>IF(Checklist!P15="",0,Checklist!P15)</f>
        <v>0</v>
      </c>
      <c r="W15" s="22"/>
      <c r="X15" s="334"/>
      <c r="Y15" s="333">
        <f>V15*AA15*X9</f>
        <v>0</v>
      </c>
      <c r="AA15" s="335">
        <v>0</v>
      </c>
      <c r="AB15" s="336">
        <v>1</v>
      </c>
      <c r="AC15" s="335">
        <v>0</v>
      </c>
    </row>
    <row r="16" spans="1:29" ht="29.1" customHeight="1" outlineLevel="2" x14ac:dyDescent="0.25">
      <c r="C16" s="274"/>
      <c r="D16" s="278" t="s">
        <v>747</v>
      </c>
      <c r="E16" s="495" t="s">
        <v>1846</v>
      </c>
      <c r="F16" s="495"/>
      <c r="G16" s="495"/>
      <c r="H16" s="279" t="s">
        <v>729</v>
      </c>
      <c r="I16" s="280" t="s">
        <v>729</v>
      </c>
      <c r="J16" s="324">
        <f>N16*0.8</f>
        <v>1.5324129610240123</v>
      </c>
      <c r="K16" s="324">
        <f>IF(SUM(K17:K23)&gt;J16,J16,SUM(K17:K23))</f>
        <v>0</v>
      </c>
      <c r="L16" s="325">
        <f t="shared" ref="L16:L60" si="1">N16*0.2</f>
        <v>0.38310324025600306</v>
      </c>
      <c r="M16" s="325">
        <f>IF(SUM(M17:M23)&gt;L16,L16,SUM(M17:M23))</f>
        <v>0</v>
      </c>
      <c r="N16" s="326">
        <f>Ponderações!P6*100</f>
        <v>1.9155162012800153</v>
      </c>
      <c r="O16" s="326">
        <f>IF(SUM(O17:O23)&gt;N16,N16,SUM(O17:O23))</f>
        <v>0</v>
      </c>
      <c r="Q16" s="279" t="s">
        <v>729</v>
      </c>
      <c r="R16" s="22"/>
      <c r="S16" s="326">
        <f>N16</f>
        <v>1.9155162012800153</v>
      </c>
      <c r="T16" s="326">
        <f>IF(SUM(T17:T23)&gt;S16,S16,SUM(T17:T23))</f>
        <v>0</v>
      </c>
      <c r="V16" s="279" t="s">
        <v>729</v>
      </c>
      <c r="W16" s="22"/>
      <c r="X16" s="326">
        <f>S16</f>
        <v>1.9155162012800153</v>
      </c>
      <c r="Y16" s="326">
        <f>IF(SUM(Y17:Y23)&gt;X16,X16,SUM(Y17:Y23))</f>
        <v>0</v>
      </c>
      <c r="AA16" s="327"/>
      <c r="AB16" s="327">
        <f>SUMPRODUCT(AC17:AC23,AB17:AB23)</f>
        <v>0.6</v>
      </c>
      <c r="AC16" s="328"/>
    </row>
    <row r="17" spans="1:29" outlineLevel="3" x14ac:dyDescent="0.25">
      <c r="D17" s="214"/>
      <c r="E17" s="281" t="s">
        <v>944</v>
      </c>
      <c r="F17" s="281" t="s">
        <v>945</v>
      </c>
      <c r="G17" s="281"/>
      <c r="H17" s="282">
        <f>IF(Checklist!J17="",0,Checklist!J17)</f>
        <v>0</v>
      </c>
      <c r="I17" s="282">
        <f>IF(Checklist!K17="",0,Checklist!K17)</f>
        <v>0</v>
      </c>
      <c r="J17" s="329"/>
      <c r="K17" s="330">
        <f>H17*AA17*J16</f>
        <v>0</v>
      </c>
      <c r="L17" s="340"/>
      <c r="M17" s="332">
        <f>I17*AA17*L16</f>
        <v>0</v>
      </c>
      <c r="N17" s="333"/>
      <c r="O17" s="333">
        <f t="shared" ref="O17:O23" si="2">M17+K17</f>
        <v>0</v>
      </c>
      <c r="Q17" s="282">
        <f>IF(Checklist!M17="",0,Checklist!M17)</f>
        <v>0</v>
      </c>
      <c r="R17" s="22"/>
      <c r="S17" s="334"/>
      <c r="T17" s="333">
        <f>Q17*AA17*S16</f>
        <v>0</v>
      </c>
      <c r="V17" s="282">
        <f>IF(Checklist!P17="",0,Checklist!P17)</f>
        <v>0</v>
      </c>
      <c r="W17" s="22"/>
      <c r="X17" s="334"/>
      <c r="Y17" s="333">
        <f>V17*AA17*X16</f>
        <v>0</v>
      </c>
      <c r="AA17" s="335">
        <f>AC17*AB17/$AB$16</f>
        <v>0</v>
      </c>
      <c r="AB17" s="341">
        <f>IF('Registo de informação'!B87+'Registo de informação'!B112+'Registo de informação'!B1410&lt;10,0,1)</f>
        <v>0</v>
      </c>
      <c r="AC17" s="335">
        <v>0.3</v>
      </c>
    </row>
    <row r="18" spans="1:29" outlineLevel="3" x14ac:dyDescent="0.25">
      <c r="D18" s="214"/>
      <c r="E18" s="281" t="s">
        <v>946</v>
      </c>
      <c r="F18" s="281" t="s">
        <v>947</v>
      </c>
      <c r="G18" s="281"/>
      <c r="H18" s="282">
        <f>IF(Checklist!J18="",0,Checklist!J18)</f>
        <v>0</v>
      </c>
      <c r="I18" s="282">
        <f>IF(Checklist!K18="",0,Checklist!K18)</f>
        <v>0</v>
      </c>
      <c r="J18" s="337"/>
      <c r="K18" s="337">
        <f>H18*AA18*J16</f>
        <v>0</v>
      </c>
      <c r="L18" s="338"/>
      <c r="M18" s="339">
        <f>I18*AA18*L16</f>
        <v>0</v>
      </c>
      <c r="N18" s="333"/>
      <c r="O18" s="333">
        <f t="shared" si="2"/>
        <v>0</v>
      </c>
      <c r="Q18" s="282">
        <f>IF(Checklist!M18="",0,Checklist!M18)</f>
        <v>0</v>
      </c>
      <c r="R18" s="22"/>
      <c r="S18" s="334"/>
      <c r="T18" s="333">
        <f>Q18*AA18*S16</f>
        <v>0</v>
      </c>
      <c r="V18" s="282">
        <f>IF(Checklist!P18="",0,Checklist!P18)</f>
        <v>0</v>
      </c>
      <c r="W18" s="22"/>
      <c r="X18" s="334"/>
      <c r="Y18" s="333">
        <f>V18*AA18*X16</f>
        <v>0</v>
      </c>
      <c r="AA18" s="335">
        <f t="shared" ref="AA18:AA23" si="3">AC18*AB18/$AB$16</f>
        <v>0.5</v>
      </c>
      <c r="AB18" s="341">
        <v>1</v>
      </c>
      <c r="AC18" s="335">
        <v>0.3</v>
      </c>
    </row>
    <row r="19" spans="1:29" outlineLevel="3" x14ac:dyDescent="0.25">
      <c r="D19" s="214"/>
      <c r="E19" s="281" t="s">
        <v>948</v>
      </c>
      <c r="F19" s="281" t="s">
        <v>949</v>
      </c>
      <c r="G19" s="281"/>
      <c r="H19" s="282">
        <f>IF(Checklist!J19="",0,Checklist!J19)</f>
        <v>0</v>
      </c>
      <c r="I19" s="282">
        <f>IF(Checklist!K19="",0,Checklist!K19)</f>
        <v>0</v>
      </c>
      <c r="J19" s="337"/>
      <c r="K19" s="337">
        <f>H19*AA19*J16</f>
        <v>0</v>
      </c>
      <c r="L19" s="338"/>
      <c r="M19" s="339">
        <f>I19*AA19*L16</f>
        <v>0</v>
      </c>
      <c r="N19" s="333"/>
      <c r="O19" s="333">
        <f t="shared" si="2"/>
        <v>0</v>
      </c>
      <c r="Q19" s="282">
        <f>IF(Checklist!M19="",0,Checklist!M19)</f>
        <v>0</v>
      </c>
      <c r="R19" s="22"/>
      <c r="S19" s="334"/>
      <c r="T19" s="333">
        <f>Q19*AA19*S16</f>
        <v>0</v>
      </c>
      <c r="V19" s="282">
        <f>IF(Checklist!P19="",0,Checklist!P19)</f>
        <v>0</v>
      </c>
      <c r="W19" s="22"/>
      <c r="X19" s="334"/>
      <c r="Y19" s="333">
        <f>V19*AA19*X16</f>
        <v>0</v>
      </c>
      <c r="AA19" s="335">
        <f t="shared" si="3"/>
        <v>0.33333333333333337</v>
      </c>
      <c r="AB19" s="341">
        <v>1</v>
      </c>
      <c r="AC19" s="335">
        <v>0.2</v>
      </c>
    </row>
    <row r="20" spans="1:29" outlineLevel="3" x14ac:dyDescent="0.25">
      <c r="D20" s="214"/>
      <c r="E20" s="281" t="s">
        <v>950</v>
      </c>
      <c r="F20" s="281" t="s">
        <v>951</v>
      </c>
      <c r="G20" s="281"/>
      <c r="H20" s="282">
        <f>IF(Checklist!J20="",0,Checklist!J20)</f>
        <v>0</v>
      </c>
      <c r="I20" s="282">
        <f>IF(Checklist!K20="",0,Checklist!K20)</f>
        <v>0</v>
      </c>
      <c r="J20" s="337"/>
      <c r="K20" s="337">
        <f>H20*AA20*J16</f>
        <v>0</v>
      </c>
      <c r="L20" s="338"/>
      <c r="M20" s="339">
        <f>I20*AA20*L16</f>
        <v>0</v>
      </c>
      <c r="N20" s="333"/>
      <c r="O20" s="333">
        <f t="shared" si="2"/>
        <v>0</v>
      </c>
      <c r="Q20" s="282">
        <f>IF(Checklist!M20="",0,Checklist!M20)</f>
        <v>0</v>
      </c>
      <c r="R20" s="22"/>
      <c r="S20" s="334"/>
      <c r="T20" s="333">
        <f>Q20*AA20*S16</f>
        <v>0</v>
      </c>
      <c r="V20" s="282">
        <f>IF(Checklist!P20="",0,Checklist!P20)</f>
        <v>0</v>
      </c>
      <c r="W20" s="22"/>
      <c r="X20" s="334"/>
      <c r="Y20" s="333">
        <f>V20*AA20*X16</f>
        <v>0</v>
      </c>
      <c r="AA20" s="335">
        <f t="shared" si="3"/>
        <v>0</v>
      </c>
      <c r="AB20" s="341">
        <f>IF(SUM(Checklist!B544:B544)&gt;0,1,0)</f>
        <v>0</v>
      </c>
      <c r="AC20" s="335">
        <v>0.1</v>
      </c>
    </row>
    <row r="21" spans="1:29" outlineLevel="3" x14ac:dyDescent="0.25">
      <c r="D21" s="214"/>
      <c r="E21" s="281" t="s">
        <v>952</v>
      </c>
      <c r="F21" s="281" t="s">
        <v>953</v>
      </c>
      <c r="G21" s="281"/>
      <c r="H21" s="282">
        <f>IF(Checklist!J21="",0,Checklist!J21)</f>
        <v>0</v>
      </c>
      <c r="I21" s="282">
        <f>IF(Checklist!K21="",0,Checklist!K21)</f>
        <v>0</v>
      </c>
      <c r="J21" s="337"/>
      <c r="K21" s="337">
        <f>H21*AA21*J16</f>
        <v>0</v>
      </c>
      <c r="L21" s="338"/>
      <c r="M21" s="339">
        <f>I21*AA21*L16</f>
        <v>0</v>
      </c>
      <c r="N21" s="333"/>
      <c r="O21" s="333">
        <f t="shared" si="2"/>
        <v>0</v>
      </c>
      <c r="Q21" s="282">
        <f>IF(Checklist!M21="",0,Checklist!M21)</f>
        <v>0</v>
      </c>
      <c r="R21" s="22"/>
      <c r="S21" s="334"/>
      <c r="T21" s="333">
        <f>Q21*AA21*S16</f>
        <v>0</v>
      </c>
      <c r="V21" s="282">
        <f>IF(Checklist!P21="",0,Checklist!P21)</f>
        <v>0</v>
      </c>
      <c r="W21" s="22"/>
      <c r="X21" s="334"/>
      <c r="Y21" s="333">
        <f>V21*AA21*X16</f>
        <v>0</v>
      </c>
      <c r="AA21" s="335">
        <f t="shared" si="3"/>
        <v>0.16666666666666669</v>
      </c>
      <c r="AB21" s="341">
        <v>1</v>
      </c>
      <c r="AC21" s="335">
        <v>0.1</v>
      </c>
    </row>
    <row r="22" spans="1:29" outlineLevel="3" x14ac:dyDescent="0.25">
      <c r="D22" s="214"/>
      <c r="E22" s="281" t="s">
        <v>954</v>
      </c>
      <c r="F22" s="281" t="s">
        <v>941</v>
      </c>
      <c r="G22" s="281"/>
      <c r="H22" s="282">
        <f>IF(Checklist!J22="",0,Checklist!J22)</f>
        <v>0</v>
      </c>
      <c r="I22" s="282">
        <f>IF(Checklist!K22="",0,Checklist!K22)</f>
        <v>0</v>
      </c>
      <c r="J22" s="337"/>
      <c r="K22" s="337">
        <f>H22*AA22*J16</f>
        <v>0</v>
      </c>
      <c r="L22" s="338"/>
      <c r="M22" s="339">
        <f>I22*AA22*L16</f>
        <v>0</v>
      </c>
      <c r="N22" s="333"/>
      <c r="O22" s="333">
        <f t="shared" si="2"/>
        <v>0</v>
      </c>
      <c r="Q22" s="282">
        <f>IF(Checklist!M22="",0,Checklist!M22)</f>
        <v>0</v>
      </c>
      <c r="R22" s="22"/>
      <c r="S22" s="334"/>
      <c r="T22" s="333">
        <f>Q22*AA22*S16</f>
        <v>0</v>
      </c>
      <c r="V22" s="282">
        <f>IF(Checklist!P22="",0,Checklist!P22)</f>
        <v>0</v>
      </c>
      <c r="W22" s="22"/>
      <c r="X22" s="334"/>
      <c r="Y22" s="333">
        <f>V22*AA22*X16</f>
        <v>0</v>
      </c>
      <c r="AA22" s="335">
        <f t="shared" si="3"/>
        <v>0</v>
      </c>
      <c r="AB22" s="341">
        <v>1</v>
      </c>
      <c r="AC22" s="335">
        <v>0</v>
      </c>
    </row>
    <row r="23" spans="1:29" outlineLevel="3" x14ac:dyDescent="0.25">
      <c r="D23" s="214"/>
      <c r="E23" s="281" t="s">
        <v>955</v>
      </c>
      <c r="F23" s="281" t="s">
        <v>943</v>
      </c>
      <c r="G23" s="281"/>
      <c r="H23" s="282">
        <f>IF(Checklist!J23="",0,Checklist!J23)</f>
        <v>0</v>
      </c>
      <c r="I23" s="282">
        <f>IF(Checklist!K23="",0,Checklist!K23)</f>
        <v>0</v>
      </c>
      <c r="J23" s="337"/>
      <c r="K23" s="337">
        <f>H23*AA23*J16</f>
        <v>0</v>
      </c>
      <c r="L23" s="338"/>
      <c r="M23" s="339">
        <f>I23*AA23*L16</f>
        <v>0</v>
      </c>
      <c r="N23" s="333"/>
      <c r="O23" s="333">
        <f t="shared" si="2"/>
        <v>0</v>
      </c>
      <c r="Q23" s="282">
        <f>IF(Checklist!M23="",0,Checklist!M23)</f>
        <v>0</v>
      </c>
      <c r="R23" s="22"/>
      <c r="S23" s="334"/>
      <c r="T23" s="333">
        <f>Q23*AA23*S16</f>
        <v>0</v>
      </c>
      <c r="V23" s="282">
        <f>IF(Checklist!P23="",0,Checklist!P23)</f>
        <v>0</v>
      </c>
      <c r="W23" s="22"/>
      <c r="X23" s="334"/>
      <c r="Y23" s="333">
        <f>V23*AA23*X16</f>
        <v>0</v>
      </c>
      <c r="AA23" s="335">
        <f t="shared" si="3"/>
        <v>0</v>
      </c>
      <c r="AB23" s="341">
        <v>1</v>
      </c>
      <c r="AC23" s="335">
        <v>0</v>
      </c>
    </row>
    <row r="24" spans="1:29" ht="29.1" customHeight="1" outlineLevel="2" x14ac:dyDescent="0.25">
      <c r="D24" s="278" t="s">
        <v>750</v>
      </c>
      <c r="E24" s="495" t="s">
        <v>1847</v>
      </c>
      <c r="F24" s="495"/>
      <c r="G24" s="495"/>
      <c r="H24" s="279" t="s">
        <v>730</v>
      </c>
      <c r="I24" s="280" t="s">
        <v>730</v>
      </c>
      <c r="J24" s="324">
        <f t="shared" ref="J24:J60" si="4">N24*0.8</f>
        <v>1.1493097207680092</v>
      </c>
      <c r="K24" s="324">
        <f>IF(SUM(K25:K29)&gt;J24,J24,SUM(K25:K29))</f>
        <v>0</v>
      </c>
      <c r="L24" s="325">
        <f t="shared" si="1"/>
        <v>0.2873274301920023</v>
      </c>
      <c r="M24" s="325">
        <f>IF(SUM(M25:M29)&gt;L24,L24,SUM(M25:M29))</f>
        <v>0</v>
      </c>
      <c r="N24" s="326">
        <f>Ponderações!P7*100</f>
        <v>1.4366371509600113</v>
      </c>
      <c r="O24" s="326">
        <f>IF(SUM(O25:O29)&gt;N24,N24,SUM(O25:O29))</f>
        <v>0</v>
      </c>
      <c r="Q24" s="279" t="s">
        <v>730</v>
      </c>
      <c r="R24" s="22"/>
      <c r="S24" s="326">
        <f>N24</f>
        <v>1.4366371509600113</v>
      </c>
      <c r="T24" s="326">
        <f>IF(SUM(T25:T29)&gt;S24,S24,SUM(T25:T29))</f>
        <v>0</v>
      </c>
      <c r="V24" s="279" t="s">
        <v>730</v>
      </c>
      <c r="W24" s="22"/>
      <c r="X24" s="326">
        <f>S24</f>
        <v>1.4366371509600113</v>
      </c>
      <c r="Y24" s="326">
        <f>IF(SUM(Y25:Y29)&gt;X24,X24,SUM(Y25:Y29))</f>
        <v>0</v>
      </c>
      <c r="AA24" s="327"/>
      <c r="AB24" s="342"/>
    </row>
    <row r="25" spans="1:29" outlineLevel="3" x14ac:dyDescent="0.25">
      <c r="D25" s="214"/>
      <c r="E25" s="281" t="s">
        <v>956</v>
      </c>
      <c r="F25" s="283" t="s">
        <v>957</v>
      </c>
      <c r="G25" s="281"/>
      <c r="H25" s="282">
        <f>IF(Checklist!J25="",0,Checklist!J25)</f>
        <v>0</v>
      </c>
      <c r="I25" s="282">
        <f>IF(Checklist!K25="",0,Checklist!K25)</f>
        <v>0</v>
      </c>
      <c r="J25" s="329"/>
      <c r="K25" s="330">
        <f>H25*AA25*J24</f>
        <v>0</v>
      </c>
      <c r="L25" s="340"/>
      <c r="M25" s="332">
        <f>I25*AA25*L24</f>
        <v>0</v>
      </c>
      <c r="N25" s="333"/>
      <c r="O25" s="333">
        <f>M25+K25</f>
        <v>0</v>
      </c>
      <c r="Q25" s="282">
        <f>IF(Checklist!M25="",0,Checklist!M25)</f>
        <v>0</v>
      </c>
      <c r="R25" s="22"/>
      <c r="S25" s="334"/>
      <c r="T25" s="333">
        <f>Q25*AA25*S24</f>
        <v>0</v>
      </c>
      <c r="V25" s="282">
        <f>IF(Checklist!P25="",0,Checklist!P25)</f>
        <v>0</v>
      </c>
      <c r="W25" s="22"/>
      <c r="X25" s="334"/>
      <c r="Y25" s="333">
        <f>V25*AA25*X24</f>
        <v>0</v>
      </c>
      <c r="AA25" s="335">
        <v>1</v>
      </c>
      <c r="AC25" s="343"/>
    </row>
    <row r="26" spans="1:29" outlineLevel="3" x14ac:dyDescent="0.25">
      <c r="D26" s="214"/>
      <c r="E26" s="281" t="s">
        <v>958</v>
      </c>
      <c r="F26" s="283" t="s">
        <v>1813</v>
      </c>
      <c r="G26" s="281"/>
      <c r="H26" s="282">
        <f>IF(Checklist!J26="",0,Checklist!J26)</f>
        <v>0</v>
      </c>
      <c r="I26" s="282">
        <f>IF(Checklist!K26="",0,Checklist!K26)</f>
        <v>0</v>
      </c>
      <c r="J26" s="329"/>
      <c r="K26" s="330">
        <f>H26*AA26*J24</f>
        <v>0</v>
      </c>
      <c r="L26" s="340"/>
      <c r="M26" s="332">
        <f>I26*AA26*L24</f>
        <v>0</v>
      </c>
      <c r="N26" s="333"/>
      <c r="O26" s="333">
        <f>M26+K26</f>
        <v>0</v>
      </c>
      <c r="Q26" s="282">
        <f>IF(Checklist!M26="",0,Checklist!M26)</f>
        <v>0</v>
      </c>
      <c r="R26" s="22"/>
      <c r="S26" s="334"/>
      <c r="T26" s="333">
        <f>Q26*AA26*S24</f>
        <v>0</v>
      </c>
      <c r="V26" s="282">
        <f>IF(Checklist!P26="",0,Checklist!P26)</f>
        <v>0</v>
      </c>
      <c r="W26" s="22"/>
      <c r="X26" s="334"/>
      <c r="Y26" s="333">
        <f>V26*AA26*X24</f>
        <v>0</v>
      </c>
      <c r="AA26" s="335">
        <v>0.75</v>
      </c>
    </row>
    <row r="27" spans="1:29" outlineLevel="3" x14ac:dyDescent="0.25">
      <c r="D27" s="214"/>
      <c r="E27" s="281" t="s">
        <v>959</v>
      </c>
      <c r="F27" s="283" t="s">
        <v>960</v>
      </c>
      <c r="G27" s="281"/>
      <c r="H27" s="282">
        <f>IF(Checklist!J27="",0,Checklist!J27)</f>
        <v>0</v>
      </c>
      <c r="I27" s="282">
        <f>IF(Checklist!K27="",0,Checklist!K27)</f>
        <v>0</v>
      </c>
      <c r="J27" s="337"/>
      <c r="K27" s="337">
        <f>H27*AA27*J24</f>
        <v>0</v>
      </c>
      <c r="L27" s="338"/>
      <c r="M27" s="339">
        <f>I27*AA27*L24</f>
        <v>0</v>
      </c>
      <c r="N27" s="333"/>
      <c r="O27" s="333">
        <f>M27+K27</f>
        <v>0</v>
      </c>
      <c r="Q27" s="282">
        <f>IF(Checklist!M27="",0,Checklist!M27)</f>
        <v>0</v>
      </c>
      <c r="R27" s="22"/>
      <c r="S27" s="334"/>
      <c r="T27" s="333">
        <f>Q27*AA27*S24</f>
        <v>0</v>
      </c>
      <c r="V27" s="282">
        <f>IF(Checklist!P27="",0,Checklist!P27)</f>
        <v>0</v>
      </c>
      <c r="W27" s="22"/>
      <c r="X27" s="334"/>
      <c r="Y27" s="333">
        <f>V27*AA27*X24</f>
        <v>0</v>
      </c>
      <c r="AA27" s="335">
        <v>0.25</v>
      </c>
    </row>
    <row r="28" spans="1:29" outlineLevel="3" x14ac:dyDescent="0.25">
      <c r="D28" s="214"/>
      <c r="E28" s="281" t="s">
        <v>961</v>
      </c>
      <c r="F28" s="281" t="s">
        <v>962</v>
      </c>
      <c r="G28" s="281"/>
      <c r="H28" s="282">
        <f>IF(Checklist!J28="",0,Checklist!J28)</f>
        <v>0</v>
      </c>
      <c r="I28" s="282">
        <f>IF(Checklist!K28="",0,Checklist!K28)</f>
        <v>0</v>
      </c>
      <c r="J28" s="337"/>
      <c r="K28" s="337">
        <f>H28*AA28*J24</f>
        <v>0</v>
      </c>
      <c r="L28" s="338"/>
      <c r="M28" s="339">
        <f>I28*AA28*L24</f>
        <v>0</v>
      </c>
      <c r="N28" s="333"/>
      <c r="O28" s="333">
        <f>M28+K28</f>
        <v>0</v>
      </c>
      <c r="Q28" s="282">
        <f>IF(Checklist!M28="",0,Checklist!M28)</f>
        <v>0</v>
      </c>
      <c r="R28" s="22"/>
      <c r="S28" s="334"/>
      <c r="T28" s="333">
        <f>Q28*AA28*S24</f>
        <v>0</v>
      </c>
      <c r="V28" s="282">
        <f>IF(Checklist!P28="",0,Checklist!P28)</f>
        <v>0</v>
      </c>
      <c r="W28" s="22"/>
      <c r="X28" s="334"/>
      <c r="Y28" s="333">
        <f>V28*AA28*X24</f>
        <v>0</v>
      </c>
      <c r="AA28" s="335">
        <v>0</v>
      </c>
    </row>
    <row r="29" spans="1:29" outlineLevel="3" x14ac:dyDescent="0.25">
      <c r="D29" s="214"/>
      <c r="E29" s="281" t="s">
        <v>963</v>
      </c>
      <c r="F29" s="281" t="s">
        <v>943</v>
      </c>
      <c r="G29" s="281"/>
      <c r="H29" s="282">
        <f>IF(Checklist!J29="",0,Checklist!J29)</f>
        <v>0</v>
      </c>
      <c r="I29" s="282">
        <f>IF(Checklist!K29="",0,Checklist!K29)</f>
        <v>0</v>
      </c>
      <c r="J29" s="337"/>
      <c r="K29" s="337">
        <f>H29*AA29*J24</f>
        <v>0</v>
      </c>
      <c r="L29" s="338"/>
      <c r="M29" s="339">
        <f>I29*AA29*L24</f>
        <v>0</v>
      </c>
      <c r="N29" s="333"/>
      <c r="O29" s="333">
        <f>M29+K29</f>
        <v>0</v>
      </c>
      <c r="Q29" s="282">
        <f>IF(Checklist!M29="",0,Checklist!M29)</f>
        <v>0</v>
      </c>
      <c r="R29" s="22"/>
      <c r="S29" s="334"/>
      <c r="T29" s="333">
        <f>Q29*AA29*S24</f>
        <v>0</v>
      </c>
      <c r="V29" s="282">
        <f>IF(Checklist!P29="",0,Checklist!P29)</f>
        <v>0</v>
      </c>
      <c r="W29" s="22"/>
      <c r="X29" s="334"/>
      <c r="Y29" s="333">
        <f>V29*AA29*X24</f>
        <v>0</v>
      </c>
      <c r="AA29" s="335">
        <v>0</v>
      </c>
    </row>
    <row r="30" spans="1:29" ht="14.65" customHeight="1" outlineLevel="2" x14ac:dyDescent="0.25">
      <c r="A30" s="274"/>
      <c r="C30" s="274"/>
      <c r="D30" s="278" t="s">
        <v>752</v>
      </c>
      <c r="E30" s="495" t="s">
        <v>1848</v>
      </c>
      <c r="F30" s="495"/>
      <c r="G30" s="495"/>
      <c r="H30" s="279" t="s">
        <v>731</v>
      </c>
      <c r="I30" s="280" t="s">
        <v>731</v>
      </c>
      <c r="J30" s="324">
        <f t="shared" si="4"/>
        <v>0.38310324025600306</v>
      </c>
      <c r="K30" s="324">
        <f>IF(SUM(K31:K34)&gt;J30,J30,SUM(K31:K34))</f>
        <v>0</v>
      </c>
      <c r="L30" s="325">
        <f t="shared" si="1"/>
        <v>9.5775810064000766E-2</v>
      </c>
      <c r="M30" s="325">
        <f>IF(SUM(M31:M34)&gt;L30,L30,SUM(M31:M34))</f>
        <v>0</v>
      </c>
      <c r="N30" s="326">
        <f>Ponderações!P8*100</f>
        <v>0.47887905032000383</v>
      </c>
      <c r="O30" s="326">
        <f>IF(SUM(O31:O34)&gt;N30,N30,SUM(O31:O34))</f>
        <v>0</v>
      </c>
      <c r="Q30" s="279" t="s">
        <v>731</v>
      </c>
      <c r="R30" s="22"/>
      <c r="S30" s="326">
        <f>N30</f>
        <v>0.47887905032000383</v>
      </c>
      <c r="T30" s="326">
        <f>IF(SUM(T31:T34)&gt;S30,S30,SUM(T31:T34))</f>
        <v>0</v>
      </c>
      <c r="V30" s="279" t="s">
        <v>731</v>
      </c>
      <c r="W30" s="22"/>
      <c r="X30" s="326">
        <f>S30</f>
        <v>0.47887905032000383</v>
      </c>
      <c r="Y30" s="326">
        <f>IF(SUM(Y31:Y34)&gt;X30,X30,SUM(Y31:Y34))</f>
        <v>0</v>
      </c>
      <c r="AA30" s="327"/>
      <c r="AB30" s="342"/>
    </row>
    <row r="31" spans="1:29" ht="29.65" customHeight="1" outlineLevel="3" x14ac:dyDescent="0.25">
      <c r="E31" s="281" t="s">
        <v>964</v>
      </c>
      <c r="F31" s="503" t="s">
        <v>965</v>
      </c>
      <c r="G31" s="504"/>
      <c r="H31" s="285">
        <f>IF(Checklist!J31="",0,Checklist!J31)</f>
        <v>0</v>
      </c>
      <c r="I31" s="285">
        <f>IF(Checklist!K31="",0,Checklist!K31)</f>
        <v>0</v>
      </c>
      <c r="J31" s="329"/>
      <c r="K31" s="330">
        <f>H31*AA31*J30</f>
        <v>0</v>
      </c>
      <c r="L31" s="340"/>
      <c r="M31" s="332">
        <f>I31*AA31*L30</f>
        <v>0</v>
      </c>
      <c r="N31" s="333"/>
      <c r="O31" s="333">
        <f>M31+K31</f>
        <v>0</v>
      </c>
      <c r="Q31" s="285">
        <f>IF(Checklist!M31="",0,Checklist!M31)</f>
        <v>0</v>
      </c>
      <c r="R31" s="22"/>
      <c r="S31" s="334"/>
      <c r="T31" s="333">
        <f>Q31*AA31*S30</f>
        <v>0</v>
      </c>
      <c r="V31" s="285">
        <f>IF(Checklist!P31="",0,Checklist!P31)</f>
        <v>0</v>
      </c>
      <c r="W31" s="22"/>
      <c r="X31" s="334"/>
      <c r="Y31" s="333">
        <f>V31*AA31*X30</f>
        <v>0</v>
      </c>
      <c r="AA31" s="335">
        <v>1</v>
      </c>
    </row>
    <row r="32" spans="1:29" outlineLevel="3" x14ac:dyDescent="0.25">
      <c r="E32" s="35" t="s">
        <v>966</v>
      </c>
      <c r="F32" s="35" t="s">
        <v>1814</v>
      </c>
      <c r="G32" s="35"/>
      <c r="H32" s="285">
        <f>IF(Checklist!J32="",0,Checklist!J32)</f>
        <v>0</v>
      </c>
      <c r="I32" s="285">
        <f>IF(Checklist!K32="",0,Checklist!K32)</f>
        <v>0</v>
      </c>
      <c r="J32" s="329"/>
      <c r="K32" s="330">
        <f>H32*AA32*J30</f>
        <v>0</v>
      </c>
      <c r="L32" s="340"/>
      <c r="M32" s="332">
        <f>I32*AA32*L30</f>
        <v>0</v>
      </c>
      <c r="N32" s="333"/>
      <c r="O32" s="333">
        <f>M32+K32</f>
        <v>0</v>
      </c>
      <c r="Q32" s="285">
        <f>IF(Checklist!M32="",0,Checklist!M32)</f>
        <v>0</v>
      </c>
      <c r="R32" s="22"/>
      <c r="S32" s="334"/>
      <c r="T32" s="333">
        <f>Q32*AA32*S30</f>
        <v>0</v>
      </c>
      <c r="V32" s="285">
        <f>IF(Checklist!P32="",0,Checklist!P32)</f>
        <v>0</v>
      </c>
      <c r="W32" s="22"/>
      <c r="X32" s="334"/>
      <c r="Y32" s="333">
        <f>V32*AA32*X30</f>
        <v>0</v>
      </c>
      <c r="AA32" s="335">
        <v>1</v>
      </c>
    </row>
    <row r="33" spans="1:32" outlineLevel="3" x14ac:dyDescent="0.25">
      <c r="E33" s="35" t="s">
        <v>967</v>
      </c>
      <c r="F33" s="35" t="s">
        <v>941</v>
      </c>
      <c r="G33" s="35"/>
      <c r="H33" s="285">
        <f>IF(Checklist!J33="",0,Checklist!J33)</f>
        <v>0</v>
      </c>
      <c r="I33" s="285">
        <f>IF(Checklist!K33="",0,Checklist!K33)</f>
        <v>0</v>
      </c>
      <c r="J33" s="337"/>
      <c r="K33" s="337">
        <f>H33*AA33*J30</f>
        <v>0</v>
      </c>
      <c r="L33" s="338"/>
      <c r="M33" s="339">
        <f>I33*AA33*L30</f>
        <v>0</v>
      </c>
      <c r="N33" s="333"/>
      <c r="O33" s="333">
        <f>M33+K33</f>
        <v>0</v>
      </c>
      <c r="Q33" s="285">
        <f>IF(Checklist!M33="",0,Checklist!M33)</f>
        <v>0</v>
      </c>
      <c r="R33" s="22"/>
      <c r="S33" s="334"/>
      <c r="T33" s="333">
        <f>Q33*AA33*S30</f>
        <v>0</v>
      </c>
      <c r="V33" s="285">
        <f>IF(Checklist!P33="",0,Checklist!P33)</f>
        <v>0</v>
      </c>
      <c r="W33" s="22"/>
      <c r="X33" s="334"/>
      <c r="Y33" s="333">
        <f>V33*AA33*X30</f>
        <v>0</v>
      </c>
      <c r="AA33" s="335">
        <v>0</v>
      </c>
    </row>
    <row r="34" spans="1:32" outlineLevel="3" x14ac:dyDescent="0.25">
      <c r="E34" s="35" t="s">
        <v>968</v>
      </c>
      <c r="F34" s="35" t="s">
        <v>943</v>
      </c>
      <c r="G34" s="35"/>
      <c r="H34" s="285">
        <f>IF(Checklist!J34="",0,Checklist!J34)</f>
        <v>0</v>
      </c>
      <c r="I34" s="285">
        <f>IF(Checklist!K34="",0,Checklist!K34)</f>
        <v>0</v>
      </c>
      <c r="J34" s="337"/>
      <c r="K34" s="337">
        <f>H34*AA34*J30</f>
        <v>0</v>
      </c>
      <c r="L34" s="338"/>
      <c r="M34" s="339">
        <f>I34*AA34*L30</f>
        <v>0</v>
      </c>
      <c r="N34" s="333"/>
      <c r="O34" s="333">
        <f>M34+K34</f>
        <v>0</v>
      </c>
      <c r="Q34" s="285">
        <f>IF(Checklist!M34="",0,Checklist!M34)</f>
        <v>0</v>
      </c>
      <c r="R34" s="22"/>
      <c r="S34" s="334"/>
      <c r="T34" s="333">
        <f>Q34*AA34*S30</f>
        <v>0</v>
      </c>
      <c r="V34" s="285">
        <f>IF(Checklist!P34="",0,Checklist!P34)</f>
        <v>0</v>
      </c>
      <c r="W34" s="22"/>
      <c r="X34" s="334"/>
      <c r="Y34" s="333">
        <f>V34*AA34*X30</f>
        <v>0</v>
      </c>
      <c r="AA34" s="335">
        <v>0</v>
      </c>
    </row>
    <row r="35" spans="1:32" outlineLevel="1" x14ac:dyDescent="0.25">
      <c r="H35" s="273"/>
      <c r="I35" s="273"/>
      <c r="J35" s="315"/>
      <c r="K35" s="315"/>
      <c r="L35" s="316"/>
      <c r="M35" s="315"/>
      <c r="N35" s="317"/>
      <c r="O35" s="317"/>
      <c r="Q35" s="273"/>
      <c r="R35" s="22"/>
      <c r="S35" s="315"/>
      <c r="T35" s="317"/>
      <c r="V35" s="273"/>
      <c r="W35" s="22"/>
      <c r="X35" s="315"/>
      <c r="Y35" s="317"/>
      <c r="AA35" s="318"/>
    </row>
    <row r="36" spans="1:32" outlineLevel="1" x14ac:dyDescent="0.25">
      <c r="A36" s="274"/>
      <c r="C36" s="275" t="s">
        <v>755</v>
      </c>
      <c r="D36" s="275" t="s">
        <v>969</v>
      </c>
      <c r="E36" s="275"/>
      <c r="F36" s="275"/>
      <c r="G36" s="275"/>
      <c r="H36" s="276"/>
      <c r="I36" s="277"/>
      <c r="J36" s="319">
        <f t="shared" si="4"/>
        <v>6.129651844096049</v>
      </c>
      <c r="K36" s="319">
        <f>K37+K45+K50+K55+K60+K69+K76</f>
        <v>0</v>
      </c>
      <c r="L36" s="320">
        <f>N36*0.2</f>
        <v>1.5324129610240123</v>
      </c>
      <c r="M36" s="320">
        <f>M37+M45+M50+M55+M60+M69+M76</f>
        <v>0</v>
      </c>
      <c r="N36" s="321">
        <f>N37+N45+N50+N55+N60+N69+N76</f>
        <v>7.6620648051200613</v>
      </c>
      <c r="O36" s="321">
        <f>O37+O45+O50+O55+O60+O69+O76</f>
        <v>0</v>
      </c>
      <c r="Q36" s="276"/>
      <c r="R36" s="22"/>
      <c r="S36" s="321">
        <f>N36</f>
        <v>7.6620648051200613</v>
      </c>
      <c r="T36" s="321">
        <f>T37+T45+T50+T55+T60+T69+T76</f>
        <v>0</v>
      </c>
      <c r="V36" s="276"/>
      <c r="W36" s="22"/>
      <c r="X36" s="321">
        <f>S36</f>
        <v>7.6620648051200613</v>
      </c>
      <c r="Y36" s="321">
        <f>Y37+Y45+Y50+Y55+Y60+Y69+Y76</f>
        <v>0</v>
      </c>
      <c r="AA36" s="322"/>
      <c r="AB36" s="344"/>
    </row>
    <row r="37" spans="1:32" ht="29.1" customHeight="1" outlineLevel="2" x14ac:dyDescent="0.25">
      <c r="C37" s="274"/>
      <c r="D37" s="278" t="s">
        <v>758</v>
      </c>
      <c r="E37" s="495" t="s">
        <v>1743</v>
      </c>
      <c r="F37" s="495"/>
      <c r="G37" s="495"/>
      <c r="H37" s="279" t="s">
        <v>729</v>
      </c>
      <c r="I37" s="280" t="s">
        <v>729</v>
      </c>
      <c r="J37" s="324">
        <f t="shared" si="4"/>
        <v>1.5324129610240123</v>
      </c>
      <c r="K37" s="324">
        <f>IF(SUM(K38:K44)&gt;J37,J37,SUM(K38:K44))</f>
        <v>0</v>
      </c>
      <c r="L37" s="325">
        <f t="shared" si="1"/>
        <v>0.38310324025600306</v>
      </c>
      <c r="M37" s="325">
        <f>IF(SUM(M38:M44)&gt;L37,L37,SUM(M38:M44))</f>
        <v>0</v>
      </c>
      <c r="N37" s="326">
        <f>Ponderações!P10*100</f>
        <v>1.9155162012800153</v>
      </c>
      <c r="O37" s="326">
        <f>IF(SUM(O38:O44)&gt;N37,N37,SUM(O38:O44))</f>
        <v>0</v>
      </c>
      <c r="Q37" s="279" t="s">
        <v>729</v>
      </c>
      <c r="R37" s="22"/>
      <c r="S37" s="326">
        <f>N37</f>
        <v>1.9155162012800153</v>
      </c>
      <c r="T37" s="326">
        <f>IF(SUM(T38:T44)&gt;S37,S37,SUM(T38:T44))</f>
        <v>0</v>
      </c>
      <c r="V37" s="279" t="s">
        <v>729</v>
      </c>
      <c r="W37" s="22"/>
      <c r="X37" s="326">
        <f>S37</f>
        <v>1.9155162012800153</v>
      </c>
      <c r="Y37" s="326">
        <f>IF(SUM(Y38:Y44)&gt;X37,X37,SUM(Y38:Y44))</f>
        <v>0</v>
      </c>
      <c r="AA37" s="327"/>
      <c r="AB37" s="327">
        <f>SUMPRODUCT(AC38:AC44,AB38:AB44)</f>
        <v>0.6</v>
      </c>
      <c r="AC37" s="328"/>
    </row>
    <row r="38" spans="1:32" outlineLevel="3" x14ac:dyDescent="0.25">
      <c r="D38" s="214"/>
      <c r="E38" s="281" t="s">
        <v>970</v>
      </c>
      <c r="F38" s="281" t="s">
        <v>971</v>
      </c>
      <c r="G38" s="281"/>
      <c r="H38" s="282">
        <f>IF(Checklist!J38="",0,Checklist!J38)</f>
        <v>0</v>
      </c>
      <c r="I38" s="282">
        <f>IF(Checklist!K38="",0,Checklist!K38)</f>
        <v>0</v>
      </c>
      <c r="J38" s="329"/>
      <c r="K38" s="330">
        <f>H38*AA38*J37</f>
        <v>0</v>
      </c>
      <c r="L38" s="340"/>
      <c r="M38" s="332">
        <f>I38*AA38*L37</f>
        <v>0</v>
      </c>
      <c r="N38" s="333"/>
      <c r="O38" s="333">
        <f t="shared" ref="O38:O44" si="5">M38+K38</f>
        <v>0</v>
      </c>
      <c r="Q38" s="282">
        <f>IF(Checklist!M38="",0,Checklist!M38)</f>
        <v>0</v>
      </c>
      <c r="R38" s="22"/>
      <c r="S38" s="334"/>
      <c r="T38" s="333">
        <f>Q38*AA38*S37</f>
        <v>0</v>
      </c>
      <c r="V38" s="282">
        <f>IF(Checklist!P38="",0,Checklist!P38)</f>
        <v>0</v>
      </c>
      <c r="W38" s="22"/>
      <c r="X38" s="334"/>
      <c r="Y38" s="333">
        <f>V38*AA38*X37</f>
        <v>0</v>
      </c>
      <c r="AA38" s="335">
        <f>AC38*AB38/$AB$37</f>
        <v>0.25</v>
      </c>
      <c r="AB38" s="341">
        <v>1</v>
      </c>
      <c r="AC38" s="335">
        <v>0.15</v>
      </c>
      <c r="AD38" s="343"/>
    </row>
    <row r="39" spans="1:32" outlineLevel="3" x14ac:dyDescent="0.25">
      <c r="D39" s="214"/>
      <c r="E39" s="281" t="s">
        <v>972</v>
      </c>
      <c r="F39" s="281" t="s">
        <v>1849</v>
      </c>
      <c r="G39" s="281"/>
      <c r="H39" s="282">
        <f>IF(Checklist!J39="",0,Checklist!J39)</f>
        <v>0</v>
      </c>
      <c r="I39" s="282">
        <f>IF(Checklist!K39="",0,Checklist!K39)</f>
        <v>0</v>
      </c>
      <c r="J39" s="329"/>
      <c r="K39" s="330">
        <f>H39*AA39*J37</f>
        <v>0</v>
      </c>
      <c r="L39" s="340"/>
      <c r="M39" s="332">
        <f>I39*AA39*L37</f>
        <v>0</v>
      </c>
      <c r="N39" s="333"/>
      <c r="O39" s="333">
        <f t="shared" si="5"/>
        <v>0</v>
      </c>
      <c r="Q39" s="282">
        <f>IF(Checklist!M39="",0,Checklist!M39)</f>
        <v>0</v>
      </c>
      <c r="R39" s="22"/>
      <c r="S39" s="334"/>
      <c r="T39" s="333">
        <f>Q39*AA39*S37</f>
        <v>0</v>
      </c>
      <c r="V39" s="282">
        <f>IF(Checklist!P39="",0,Checklist!P39)</f>
        <v>0</v>
      </c>
      <c r="W39" s="22"/>
      <c r="X39" s="334"/>
      <c r="Y39" s="333">
        <f>V39*AA39*X37</f>
        <v>0</v>
      </c>
      <c r="AA39" s="335">
        <f>AC39*AB39/$AB$37</f>
        <v>0.25</v>
      </c>
      <c r="AB39" s="341">
        <f>IF((IF(Checklist!B598=0,0,IF(Checklist!J603=1,0,1))+IF(Checklist!J14=1,0,1))&gt;0,1,0)</f>
        <v>1</v>
      </c>
      <c r="AC39" s="335">
        <v>0.15</v>
      </c>
    </row>
    <row r="40" spans="1:32" outlineLevel="3" x14ac:dyDescent="0.25">
      <c r="D40" s="214"/>
      <c r="E40" s="281" t="s">
        <v>973</v>
      </c>
      <c r="F40" s="281" t="s">
        <v>974</v>
      </c>
      <c r="G40" s="281"/>
      <c r="H40" s="282">
        <f>IF(Checklist!J40="",0,Checklist!J40)</f>
        <v>0</v>
      </c>
      <c r="I40" s="282">
        <f>IF(Checklist!K40="",0,Checklist!K40)</f>
        <v>0</v>
      </c>
      <c r="J40" s="329"/>
      <c r="K40" s="330">
        <f>H40*AA40*J37</f>
        <v>0</v>
      </c>
      <c r="L40" s="340"/>
      <c r="M40" s="332">
        <f>I40*AA40*L37</f>
        <v>0</v>
      </c>
      <c r="N40" s="333"/>
      <c r="O40" s="333">
        <f t="shared" si="5"/>
        <v>0</v>
      </c>
      <c r="Q40" s="282">
        <f>IF(Checklist!M40="",0,Checklist!M40)</f>
        <v>0</v>
      </c>
      <c r="R40" s="22"/>
      <c r="S40" s="334"/>
      <c r="T40" s="333">
        <f>Q40*AA40*S37</f>
        <v>0</v>
      </c>
      <c r="V40" s="282">
        <f>IF(Checklist!P40="",0,Checklist!P40)</f>
        <v>0</v>
      </c>
      <c r="W40" s="22"/>
      <c r="X40" s="334"/>
      <c r="Y40" s="333">
        <f>V40*AA40*X37</f>
        <v>0</v>
      </c>
      <c r="AA40" s="335">
        <f>AC40*AB40/$AB$37</f>
        <v>0.25</v>
      </c>
      <c r="AB40" s="341">
        <v>1</v>
      </c>
      <c r="AC40" s="335">
        <v>0.15</v>
      </c>
    </row>
    <row r="41" spans="1:32" outlineLevel="3" x14ac:dyDescent="0.25">
      <c r="D41" s="214"/>
      <c r="E41" s="281" t="s">
        <v>975</v>
      </c>
      <c r="F41" s="281" t="s">
        <v>976</v>
      </c>
      <c r="G41" s="281"/>
      <c r="H41" s="282">
        <f>IF(Checklist!J41="",0,Checklist!J41)</f>
        <v>0</v>
      </c>
      <c r="I41" s="282">
        <f>IF(Checklist!K41="",0,Checklist!K41)</f>
        <v>0</v>
      </c>
      <c r="J41" s="329"/>
      <c r="K41" s="330">
        <f>H41*AA41*J37</f>
        <v>0</v>
      </c>
      <c r="L41" s="340"/>
      <c r="M41" s="332">
        <f>I41*AA41*L37</f>
        <v>0</v>
      </c>
      <c r="N41" s="333"/>
      <c r="O41" s="333">
        <f t="shared" si="5"/>
        <v>0</v>
      </c>
      <c r="Q41" s="282">
        <f>IF(Checklist!M41="",0,Checklist!M41)</f>
        <v>0</v>
      </c>
      <c r="R41" s="22"/>
      <c r="S41" s="334"/>
      <c r="T41" s="333">
        <f>Q41*AA41*S37</f>
        <v>0</v>
      </c>
      <c r="V41" s="282">
        <f>IF(Checklist!P41="",0,Checklist!P41)</f>
        <v>0</v>
      </c>
      <c r="W41" s="22"/>
      <c r="X41" s="334"/>
      <c r="Y41" s="333">
        <f>V41*AA41*X37</f>
        <v>0</v>
      </c>
      <c r="AA41" s="335">
        <f t="shared" ref="AA41:AA43" si="6">AC41*AB41/$AB$37</f>
        <v>0</v>
      </c>
      <c r="AB41" s="341">
        <f>IF(SUM(Checklist!B150,Checklist!B159,Checklist!B166,Checklist!B173,Checklist!B179,Checklist!B185)&gt;0,1,0)</f>
        <v>0</v>
      </c>
      <c r="AC41" s="335">
        <v>0.2</v>
      </c>
    </row>
    <row r="42" spans="1:32" outlineLevel="3" x14ac:dyDescent="0.25">
      <c r="D42" s="214"/>
      <c r="E42" s="281" t="s">
        <v>977</v>
      </c>
      <c r="F42" s="281" t="s">
        <v>978</v>
      </c>
      <c r="G42" s="281"/>
      <c r="H42" s="282">
        <f>IF(Checklist!J42="",0,Checklist!J42)</f>
        <v>0</v>
      </c>
      <c r="I42" s="282">
        <f>IF(Checklist!K42="",0,Checklist!K42)</f>
        <v>0</v>
      </c>
      <c r="J42" s="329"/>
      <c r="K42" s="330">
        <f>H42*AA42*J37</f>
        <v>0</v>
      </c>
      <c r="L42" s="340"/>
      <c r="M42" s="332">
        <f>I42*AA42*L37</f>
        <v>0</v>
      </c>
      <c r="N42" s="333"/>
      <c r="O42" s="333">
        <f t="shared" si="5"/>
        <v>0</v>
      </c>
      <c r="Q42" s="282">
        <f>IF(Checklist!M42="",0,Checklist!M42)</f>
        <v>0</v>
      </c>
      <c r="R42" s="22"/>
      <c r="S42" s="334"/>
      <c r="T42" s="333">
        <f>Q42*AA42*S37</f>
        <v>0</v>
      </c>
      <c r="V42" s="282">
        <f>IF(Checklist!P42="",0,Checklist!P42)</f>
        <v>0</v>
      </c>
      <c r="W42" s="22"/>
      <c r="X42" s="334"/>
      <c r="Y42" s="333">
        <f>V42*AA42*X37</f>
        <v>0</v>
      </c>
      <c r="AA42" s="335">
        <f>AC42*AB42/$AB$37</f>
        <v>0</v>
      </c>
      <c r="AB42" s="341">
        <f>IF('Registo de informação'!B87+'Registo de informação'!B112+'Registo de informação'!B1410&lt;10,0,1)</f>
        <v>0</v>
      </c>
      <c r="AC42" s="335">
        <v>0.2</v>
      </c>
    </row>
    <row r="43" spans="1:32" outlineLevel="3" x14ac:dyDescent="0.25">
      <c r="D43" s="214"/>
      <c r="E43" s="281" t="s">
        <v>979</v>
      </c>
      <c r="F43" s="281" t="s">
        <v>980</v>
      </c>
      <c r="G43" s="281"/>
      <c r="H43" s="282">
        <f>IF(Checklist!J43="",0,Checklist!J43)</f>
        <v>0</v>
      </c>
      <c r="I43" s="282">
        <f>IF(Checklist!K43="",0,Checklist!K43)</f>
        <v>0</v>
      </c>
      <c r="J43" s="329"/>
      <c r="K43" s="330">
        <f>H43*AA43*J37</f>
        <v>0</v>
      </c>
      <c r="L43" s="340"/>
      <c r="M43" s="332">
        <f>I43*AA43*L37</f>
        <v>0</v>
      </c>
      <c r="N43" s="333"/>
      <c r="O43" s="333">
        <f t="shared" si="5"/>
        <v>0</v>
      </c>
      <c r="Q43" s="282">
        <f>IF(Checklist!M43="",0,Checklist!M43)</f>
        <v>0</v>
      </c>
      <c r="R43" s="22"/>
      <c r="S43" s="334"/>
      <c r="T43" s="333">
        <f>Q43*AA43*S37</f>
        <v>0</v>
      </c>
      <c r="V43" s="282">
        <f>IF(Checklist!P43="",0,Checklist!P43)</f>
        <v>0</v>
      </c>
      <c r="W43" s="22"/>
      <c r="X43" s="334"/>
      <c r="Y43" s="333">
        <f>V43*AA43*X37</f>
        <v>0</v>
      </c>
      <c r="AA43" s="335">
        <f t="shared" si="6"/>
        <v>0.25</v>
      </c>
      <c r="AB43" s="341">
        <v>1</v>
      </c>
      <c r="AC43" s="335">
        <v>0.15</v>
      </c>
    </row>
    <row r="44" spans="1:32" outlineLevel="3" x14ac:dyDescent="0.25">
      <c r="D44" s="214"/>
      <c r="E44" s="281" t="s">
        <v>981</v>
      </c>
      <c r="F44" s="281" t="s">
        <v>943</v>
      </c>
      <c r="G44" s="281"/>
      <c r="H44" s="282">
        <f>IF(Checklist!J44="",0,Checklist!J44)</f>
        <v>0</v>
      </c>
      <c r="I44" s="282">
        <f>IF(Checklist!K44="",0,Checklist!K44)</f>
        <v>0</v>
      </c>
      <c r="J44" s="337"/>
      <c r="K44" s="337">
        <f>H44*AA44*J37</f>
        <v>0</v>
      </c>
      <c r="L44" s="338"/>
      <c r="M44" s="339">
        <f>I44*AA44*L37</f>
        <v>0</v>
      </c>
      <c r="N44" s="333"/>
      <c r="O44" s="333">
        <f t="shared" si="5"/>
        <v>0</v>
      </c>
      <c r="Q44" s="282">
        <f>IF(Checklist!M44="",0,Checklist!M44)</f>
        <v>0</v>
      </c>
      <c r="R44" s="22"/>
      <c r="S44" s="334"/>
      <c r="T44" s="333">
        <f>Q44*AA44*S37</f>
        <v>0</v>
      </c>
      <c r="V44" s="282">
        <f>IF(Checklist!P44="",0,Checklist!P44)</f>
        <v>0</v>
      </c>
      <c r="W44" s="22"/>
      <c r="X44" s="334"/>
      <c r="Y44" s="333">
        <f>V44*AA44*X37</f>
        <v>0</v>
      </c>
      <c r="AA44" s="335">
        <f>AC44*AB44/$AB$37</f>
        <v>0</v>
      </c>
      <c r="AB44" s="341">
        <v>1</v>
      </c>
      <c r="AC44" s="335">
        <v>0</v>
      </c>
      <c r="AF44" s="343"/>
    </row>
    <row r="45" spans="1:32" ht="43.5" customHeight="1" outlineLevel="2" x14ac:dyDescent="0.25">
      <c r="C45" s="274"/>
      <c r="D45" s="278" t="s">
        <v>761</v>
      </c>
      <c r="E45" s="495" t="s">
        <v>1858</v>
      </c>
      <c r="F45" s="495"/>
      <c r="G45" s="495"/>
      <c r="H45" s="279" t="s">
        <v>729</v>
      </c>
      <c r="I45" s="280" t="s">
        <v>729</v>
      </c>
      <c r="J45" s="324">
        <f t="shared" si="4"/>
        <v>0.76620648051200613</v>
      </c>
      <c r="K45" s="324">
        <f>IF(SUM(K46:K49)&gt;J45,J45,SUM(K46:K49))</f>
        <v>0</v>
      </c>
      <c r="L45" s="325">
        <f t="shared" si="1"/>
        <v>0.19155162012800153</v>
      </c>
      <c r="M45" s="325">
        <f>IF(SUM(M46:M49)&gt;L45,L45,SUM(M46:M49))</f>
        <v>0</v>
      </c>
      <c r="N45" s="326">
        <f>Ponderações!P11*100</f>
        <v>0.95775810064000766</v>
      </c>
      <c r="O45" s="326">
        <f>IF(SUM(O46:O49)&gt;N45,N45,SUM(O46:O49))</f>
        <v>0</v>
      </c>
      <c r="Q45" s="279" t="s">
        <v>729</v>
      </c>
      <c r="R45" s="22"/>
      <c r="S45" s="326">
        <f>N45</f>
        <v>0.95775810064000766</v>
      </c>
      <c r="T45" s="326">
        <f>IF(SUM(T46:T49)&gt;S45,S45,SUM(T46:T49))</f>
        <v>0</v>
      </c>
      <c r="V45" s="279" t="s">
        <v>729</v>
      </c>
      <c r="W45" s="22"/>
      <c r="X45" s="326">
        <f>S45</f>
        <v>0.95775810064000766</v>
      </c>
      <c r="Y45" s="326">
        <f>IF(SUM(Y46:Y49)&gt;X45,X45,SUM(Y46:Y49))</f>
        <v>0</v>
      </c>
      <c r="AA45" s="327"/>
      <c r="AB45" s="327">
        <f>SUMPRODUCT(AC46:AC49,AB46:AB49)</f>
        <v>0.5</v>
      </c>
      <c r="AC45" s="328"/>
    </row>
    <row r="46" spans="1:32" outlineLevel="3" x14ac:dyDescent="0.25">
      <c r="D46" s="214"/>
      <c r="E46" s="281" t="s">
        <v>982</v>
      </c>
      <c r="F46" s="281" t="s">
        <v>983</v>
      </c>
      <c r="G46" s="281"/>
      <c r="H46" s="282">
        <f>IF(Checklist!J46="",0,Checklist!J46)</f>
        <v>0</v>
      </c>
      <c r="I46" s="282">
        <f>IF(Checklist!K46="",0,Checklist!K46)</f>
        <v>0</v>
      </c>
      <c r="J46" s="329"/>
      <c r="K46" s="330">
        <f>H46*AA46*J45</f>
        <v>0</v>
      </c>
      <c r="L46" s="340"/>
      <c r="M46" s="332">
        <f>I46*AA46*L45</f>
        <v>0</v>
      </c>
      <c r="N46" s="333"/>
      <c r="O46" s="333">
        <f>M46+K46</f>
        <v>0</v>
      </c>
      <c r="Q46" s="282">
        <f>IF(Checklist!M46="",0,Checklist!M46)</f>
        <v>0</v>
      </c>
      <c r="R46" s="22"/>
      <c r="S46" s="334"/>
      <c r="T46" s="333">
        <f>Q46*AA46*S45</f>
        <v>0</v>
      </c>
      <c r="V46" s="282">
        <f>IF(Checklist!P46="",0,Checklist!P46)</f>
        <v>0</v>
      </c>
      <c r="W46" s="22"/>
      <c r="X46" s="334"/>
      <c r="Y46" s="333">
        <f>V46*AA46*X45</f>
        <v>0</v>
      </c>
      <c r="AA46" s="335">
        <f>AC46*AB46/$AB$45</f>
        <v>0</v>
      </c>
      <c r="AB46" s="341">
        <f>IF('Registo de informação'!B87+'Registo de informação'!B112+'Registo de informação'!B1410&lt;10,0,1)</f>
        <v>0</v>
      </c>
      <c r="AC46" s="335">
        <v>0.5</v>
      </c>
    </row>
    <row r="47" spans="1:32" outlineLevel="3" x14ac:dyDescent="0.25">
      <c r="D47" s="214"/>
      <c r="E47" s="281" t="s">
        <v>984</v>
      </c>
      <c r="F47" s="281" t="s">
        <v>985</v>
      </c>
      <c r="G47" s="281"/>
      <c r="H47" s="282">
        <f>IF(Checklist!J47="",0,Checklist!J47)</f>
        <v>0</v>
      </c>
      <c r="I47" s="282">
        <f>IF(Checklist!K47="",0,Checklist!K47)</f>
        <v>0</v>
      </c>
      <c r="J47" s="337"/>
      <c r="K47" s="337">
        <f>H47*AA47*J45</f>
        <v>0</v>
      </c>
      <c r="L47" s="338"/>
      <c r="M47" s="339">
        <f>I47*AA47*L45</f>
        <v>0</v>
      </c>
      <c r="N47" s="333"/>
      <c r="O47" s="333">
        <f>M47+K47</f>
        <v>0</v>
      </c>
      <c r="Q47" s="282">
        <f>IF(Checklist!M47="",0,Checklist!M47)</f>
        <v>0</v>
      </c>
      <c r="R47" s="22"/>
      <c r="S47" s="334"/>
      <c r="T47" s="333">
        <f>Q47*AA47*S45</f>
        <v>0</v>
      </c>
      <c r="V47" s="282">
        <f>IF(Checklist!P47="",0,Checklist!P47)</f>
        <v>0</v>
      </c>
      <c r="W47" s="22"/>
      <c r="X47" s="334"/>
      <c r="Y47" s="333">
        <f>V47*AA47*X45</f>
        <v>0</v>
      </c>
      <c r="AA47" s="335">
        <f>AC47*AB47/$AB$45</f>
        <v>1</v>
      </c>
      <c r="AB47" s="341">
        <v>1</v>
      </c>
      <c r="AC47" s="335">
        <v>0.5</v>
      </c>
    </row>
    <row r="48" spans="1:32" outlineLevel="3" x14ac:dyDescent="0.25">
      <c r="D48" s="214"/>
      <c r="E48" s="281" t="s">
        <v>986</v>
      </c>
      <c r="F48" s="281" t="s">
        <v>941</v>
      </c>
      <c r="G48" s="281"/>
      <c r="H48" s="282">
        <f>IF(Checklist!J48="",0,Checklist!J48)</f>
        <v>0</v>
      </c>
      <c r="I48" s="282">
        <f>IF(Checklist!K48="",0,Checklist!K48)</f>
        <v>0</v>
      </c>
      <c r="J48" s="337"/>
      <c r="K48" s="337">
        <f>H48*AA48*J45</f>
        <v>0</v>
      </c>
      <c r="L48" s="338"/>
      <c r="M48" s="339">
        <f>I48*AA48*L45</f>
        <v>0</v>
      </c>
      <c r="N48" s="333"/>
      <c r="O48" s="333">
        <f>M48+K48</f>
        <v>0</v>
      </c>
      <c r="Q48" s="282">
        <f>IF(Checklist!M48="",0,Checklist!M48)</f>
        <v>0</v>
      </c>
      <c r="R48" s="22"/>
      <c r="S48" s="334"/>
      <c r="T48" s="333">
        <f>Q48*AA48*S45</f>
        <v>0</v>
      </c>
      <c r="V48" s="282">
        <f>IF(Checklist!P48="",0,Checklist!P48)</f>
        <v>0</v>
      </c>
      <c r="W48" s="22"/>
      <c r="X48" s="334"/>
      <c r="Y48" s="333">
        <f>V48*AA48*X45</f>
        <v>0</v>
      </c>
      <c r="AA48" s="335">
        <f>AC48*AB48/$AB$45</f>
        <v>0</v>
      </c>
      <c r="AB48" s="341">
        <v>1</v>
      </c>
      <c r="AC48" s="335">
        <v>0</v>
      </c>
    </row>
    <row r="49" spans="1:29" outlineLevel="3" x14ac:dyDescent="0.25">
      <c r="D49" s="214"/>
      <c r="E49" s="281" t="s">
        <v>987</v>
      </c>
      <c r="F49" s="281" t="s">
        <v>943</v>
      </c>
      <c r="G49" s="281"/>
      <c r="H49" s="282">
        <f>IF(Checklist!J49="",0,Checklist!J49)</f>
        <v>0</v>
      </c>
      <c r="I49" s="282">
        <f>IF(Checklist!K49="",0,Checklist!K49)</f>
        <v>0</v>
      </c>
      <c r="J49" s="337"/>
      <c r="K49" s="337">
        <f>H49*AA49*J45</f>
        <v>0</v>
      </c>
      <c r="L49" s="338"/>
      <c r="M49" s="339">
        <f>I49*AA49*L45</f>
        <v>0</v>
      </c>
      <c r="N49" s="333"/>
      <c r="O49" s="333">
        <f>M49+K49</f>
        <v>0</v>
      </c>
      <c r="Q49" s="282">
        <f>IF(Checklist!M49="",0,Checklist!M49)</f>
        <v>0</v>
      </c>
      <c r="R49" s="22"/>
      <c r="S49" s="334"/>
      <c r="T49" s="333">
        <f>Q49*AA49*S45</f>
        <v>0</v>
      </c>
      <c r="V49" s="282">
        <f>IF(Checklist!P49="",0,Checklist!P49)</f>
        <v>0</v>
      </c>
      <c r="W49" s="22"/>
      <c r="X49" s="334"/>
      <c r="Y49" s="333">
        <f>V49*AA49*X45</f>
        <v>0</v>
      </c>
      <c r="AA49" s="335">
        <f>AC49*AB49/$AB$45</f>
        <v>0</v>
      </c>
      <c r="AB49" s="341">
        <v>1</v>
      </c>
      <c r="AC49" s="335">
        <v>0</v>
      </c>
    </row>
    <row r="50" spans="1:29" ht="14.65" customHeight="1" outlineLevel="2" x14ac:dyDescent="0.25">
      <c r="C50" s="274"/>
      <c r="D50" s="278" t="s">
        <v>762</v>
      </c>
      <c r="E50" s="495" t="s">
        <v>1815</v>
      </c>
      <c r="F50" s="495"/>
      <c r="G50" s="495"/>
      <c r="H50" s="279" t="s">
        <v>729</v>
      </c>
      <c r="I50" s="280" t="s">
        <v>729</v>
      </c>
      <c r="J50" s="324">
        <f t="shared" si="4"/>
        <v>0.38310324025600306</v>
      </c>
      <c r="K50" s="324">
        <f>IF(SUM(K51:K54)&gt;J50,J50,SUM(K51:K54))</f>
        <v>0</v>
      </c>
      <c r="L50" s="325">
        <f t="shared" si="1"/>
        <v>9.5775810064000766E-2</v>
      </c>
      <c r="M50" s="325">
        <f>IF(SUM(M51:M54)&gt;L50,L50,SUM(M51:M54))</f>
        <v>0</v>
      </c>
      <c r="N50" s="326">
        <f>Ponderações!P12*100</f>
        <v>0.47887905032000383</v>
      </c>
      <c r="O50" s="326">
        <f>IF(SUM(O51:O54)&gt;N50,N50,SUM(O51:O54))</f>
        <v>0</v>
      </c>
      <c r="Q50" s="279" t="s">
        <v>729</v>
      </c>
      <c r="R50" s="22"/>
      <c r="S50" s="326">
        <f>N50</f>
        <v>0.47887905032000383</v>
      </c>
      <c r="T50" s="326">
        <f>IF(SUM(T51:T54)&gt;S50,S50,SUM(T51:T54))</f>
        <v>0</v>
      </c>
      <c r="V50" s="279" t="s">
        <v>729</v>
      </c>
      <c r="W50" s="22"/>
      <c r="X50" s="326">
        <f>S50</f>
        <v>0.47887905032000383</v>
      </c>
      <c r="Y50" s="326">
        <f>IF(SUM(Y51:Y54)&gt;X50,X50,SUM(Y51:Y54))</f>
        <v>0</v>
      </c>
      <c r="AA50" s="327"/>
      <c r="AB50" s="342"/>
    </row>
    <row r="51" spans="1:29" outlineLevel="3" x14ac:dyDescent="0.25">
      <c r="D51" s="214"/>
      <c r="E51" s="281" t="s">
        <v>988</v>
      </c>
      <c r="F51" s="281" t="s">
        <v>989</v>
      </c>
      <c r="G51" s="281"/>
      <c r="H51" s="282">
        <f>IF(Checklist!J51="",0,Checklist!J51)</f>
        <v>0</v>
      </c>
      <c r="I51" s="282">
        <f>IF(Checklist!K51="",0,Checklist!K51)</f>
        <v>0</v>
      </c>
      <c r="J51" s="329"/>
      <c r="K51" s="330">
        <f>H51*AA51*J50</f>
        <v>0</v>
      </c>
      <c r="L51" s="340"/>
      <c r="M51" s="332">
        <f>I51*AA51*L50</f>
        <v>0</v>
      </c>
      <c r="N51" s="333"/>
      <c r="O51" s="333">
        <f>M51+K51</f>
        <v>0</v>
      </c>
      <c r="Q51" s="282">
        <f>IF(Checklist!M51="",0,Checklist!M51)</f>
        <v>0</v>
      </c>
      <c r="R51" s="22"/>
      <c r="S51" s="334"/>
      <c r="T51" s="333">
        <f>Q51*AA51*S50</f>
        <v>0</v>
      </c>
      <c r="V51" s="282">
        <f>IF(Checklist!P51="",0,Checklist!P51)</f>
        <v>0</v>
      </c>
      <c r="W51" s="22"/>
      <c r="X51" s="334"/>
      <c r="Y51" s="333">
        <f>V51*AA51*X50</f>
        <v>0</v>
      </c>
      <c r="AA51" s="335">
        <v>0.5</v>
      </c>
    </row>
    <row r="52" spans="1:29" outlineLevel="3" x14ac:dyDescent="0.25">
      <c r="D52" s="214"/>
      <c r="E52" s="281" t="s">
        <v>1881</v>
      </c>
      <c r="F52" s="281" t="s">
        <v>990</v>
      </c>
      <c r="G52" s="281"/>
      <c r="H52" s="282">
        <f>IF(Checklist!J52="",0,Checklist!J52)</f>
        <v>0</v>
      </c>
      <c r="I52" s="282">
        <f>IF(Checklist!K52="",0,Checklist!K52)</f>
        <v>0</v>
      </c>
      <c r="J52" s="329"/>
      <c r="K52" s="330">
        <f>H52*AA52*J50</f>
        <v>0</v>
      </c>
      <c r="L52" s="340"/>
      <c r="M52" s="332">
        <f>I52*AA52*L50</f>
        <v>0</v>
      </c>
      <c r="N52" s="333"/>
      <c r="O52" s="333">
        <f>M52+K52</f>
        <v>0</v>
      </c>
      <c r="Q52" s="282">
        <f>IF(Checklist!M52="",0,Checklist!M52)</f>
        <v>0</v>
      </c>
      <c r="R52" s="22"/>
      <c r="S52" s="334"/>
      <c r="T52" s="333">
        <f>Q52*AA52*S50</f>
        <v>0</v>
      </c>
      <c r="V52" s="282">
        <f>IF(Checklist!P52="",0,Checklist!P52)</f>
        <v>0</v>
      </c>
      <c r="W52" s="22"/>
      <c r="X52" s="334"/>
      <c r="Y52" s="333">
        <f>V52*AA52*X50</f>
        <v>0</v>
      </c>
      <c r="AA52" s="335">
        <v>0.5</v>
      </c>
    </row>
    <row r="53" spans="1:29" outlineLevel="3" x14ac:dyDescent="0.25">
      <c r="D53" s="214"/>
      <c r="E53" s="281" t="s">
        <v>1882</v>
      </c>
      <c r="F53" s="281" t="s">
        <v>941</v>
      </c>
      <c r="G53" s="281"/>
      <c r="H53" s="282">
        <f>IF(Checklist!J53="",0,Checklist!J53)</f>
        <v>0</v>
      </c>
      <c r="I53" s="282">
        <f>IF(Checklist!K53="",0,Checklist!K53)</f>
        <v>0</v>
      </c>
      <c r="J53" s="337"/>
      <c r="K53" s="337">
        <f>H53*AA53*J50</f>
        <v>0</v>
      </c>
      <c r="L53" s="338"/>
      <c r="M53" s="339">
        <f>I53*AA53*L50</f>
        <v>0</v>
      </c>
      <c r="N53" s="333"/>
      <c r="O53" s="333">
        <f>M53+K53</f>
        <v>0</v>
      </c>
      <c r="Q53" s="282">
        <f>IF(Checklist!M53="",0,Checklist!M53)</f>
        <v>0</v>
      </c>
      <c r="R53" s="22"/>
      <c r="S53" s="334"/>
      <c r="T53" s="333">
        <f>Q53*AA53*S50</f>
        <v>0</v>
      </c>
      <c r="V53" s="282">
        <f>IF(Checklist!P53="",0,Checklist!P53)</f>
        <v>0</v>
      </c>
      <c r="W53" s="22"/>
      <c r="X53" s="334"/>
      <c r="Y53" s="333">
        <f>V53*AA53*X50</f>
        <v>0</v>
      </c>
      <c r="AA53" s="335">
        <v>0</v>
      </c>
    </row>
    <row r="54" spans="1:29" outlineLevel="3" x14ac:dyDescent="0.25">
      <c r="D54" s="214"/>
      <c r="E54" s="281" t="s">
        <v>1883</v>
      </c>
      <c r="F54" s="281" t="s">
        <v>943</v>
      </c>
      <c r="G54" s="281"/>
      <c r="H54" s="282">
        <f>IF(Checklist!J54="",0,Checklist!J54)</f>
        <v>0</v>
      </c>
      <c r="I54" s="282">
        <f>IF(Checklist!K54="",0,Checklist!K54)</f>
        <v>0</v>
      </c>
      <c r="J54" s="337"/>
      <c r="K54" s="337">
        <f>H54*AA54*J50</f>
        <v>0</v>
      </c>
      <c r="L54" s="338"/>
      <c r="M54" s="339">
        <f>I54*AA54*L50</f>
        <v>0</v>
      </c>
      <c r="N54" s="333"/>
      <c r="O54" s="333">
        <f>M54+K54</f>
        <v>0</v>
      </c>
      <c r="Q54" s="282">
        <f>IF(Checklist!M54="",0,Checklist!M54)</f>
        <v>0</v>
      </c>
      <c r="R54" s="22"/>
      <c r="S54" s="334"/>
      <c r="T54" s="333">
        <f>Q54*AA54*S50</f>
        <v>0</v>
      </c>
      <c r="V54" s="282">
        <f>IF(Checklist!P54="",0,Checklist!P54)</f>
        <v>0</v>
      </c>
      <c r="W54" s="22"/>
      <c r="X54" s="334"/>
      <c r="Y54" s="333">
        <f>V54*AA54*X50</f>
        <v>0</v>
      </c>
      <c r="AA54" s="335">
        <v>0</v>
      </c>
    </row>
    <row r="55" spans="1:29" ht="28.9" customHeight="1" outlineLevel="2" x14ac:dyDescent="0.25">
      <c r="D55" s="278" t="s">
        <v>764</v>
      </c>
      <c r="E55" s="495" t="s">
        <v>1884</v>
      </c>
      <c r="F55" s="495"/>
      <c r="G55" s="495"/>
      <c r="H55" s="279" t="s">
        <v>731</v>
      </c>
      <c r="I55" s="280" t="s">
        <v>731</v>
      </c>
      <c r="J55" s="324">
        <f>N55*0.8</f>
        <v>0.38310324025600306</v>
      </c>
      <c r="K55" s="324">
        <f>IF(SUM(K56:K59)&gt;J55,J55,SUM(K56:K59))</f>
        <v>0</v>
      </c>
      <c r="L55" s="325">
        <f t="shared" si="1"/>
        <v>9.5775810064000766E-2</v>
      </c>
      <c r="M55" s="325">
        <f>IF(SUM(M56:M59)&gt;L55,L55,SUM(M56:M59))</f>
        <v>0</v>
      </c>
      <c r="N55" s="326">
        <f>Ponderações!P13*100</f>
        <v>0.47887905032000383</v>
      </c>
      <c r="O55" s="326">
        <f>IF(SUM(O56:O59)&gt;N55,N55,SUM(O56:O59))</f>
        <v>0</v>
      </c>
      <c r="Q55" s="279" t="s">
        <v>731</v>
      </c>
      <c r="R55" s="22"/>
      <c r="S55" s="326">
        <f>N55</f>
        <v>0.47887905032000383</v>
      </c>
      <c r="T55" s="326">
        <f>IF(SUM(T56:T59)&gt;S55,S55,SUM(T56:T59))</f>
        <v>0</v>
      </c>
      <c r="V55" s="279" t="s">
        <v>731</v>
      </c>
      <c r="W55" s="22"/>
      <c r="X55" s="326">
        <f>S55</f>
        <v>0.47887905032000383</v>
      </c>
      <c r="Y55" s="326">
        <f>IF(SUM(Y56:Y59)&gt;X55,X55,SUM(Y56:Y59))</f>
        <v>0</v>
      </c>
      <c r="AA55" s="327"/>
      <c r="AB55" s="342"/>
    </row>
    <row r="56" spans="1:29" outlineLevel="3" x14ac:dyDescent="0.25">
      <c r="D56" s="214"/>
      <c r="E56" s="281" t="s">
        <v>991</v>
      </c>
      <c r="F56" s="281" t="s">
        <v>992</v>
      </c>
      <c r="G56" s="281"/>
      <c r="H56" s="293">
        <f>IF(Checklist!J56="",0,Checklist!J56)</f>
        <v>0</v>
      </c>
      <c r="I56" s="293">
        <f>IF(Checklist!K56="",0,Checklist!K56)</f>
        <v>0</v>
      </c>
      <c r="J56" s="329"/>
      <c r="K56" s="330">
        <f>H56*AA56*J55</f>
        <v>0</v>
      </c>
      <c r="L56" s="340"/>
      <c r="M56" s="332">
        <f>I56*AA56*L55</f>
        <v>0</v>
      </c>
      <c r="N56" s="333"/>
      <c r="O56" s="333">
        <f>M56+K56</f>
        <v>0</v>
      </c>
      <c r="Q56" s="285">
        <f>IF(Checklist!M56="",0,Checklist!M56)</f>
        <v>0</v>
      </c>
      <c r="R56" s="22"/>
      <c r="S56" s="334"/>
      <c r="T56" s="333">
        <f>Q56*AA56*S55</f>
        <v>0</v>
      </c>
      <c r="V56" s="285">
        <f>IF(Checklist!P56="",0,Checklist!P56)</f>
        <v>0</v>
      </c>
      <c r="W56" s="22"/>
      <c r="X56" s="334"/>
      <c r="Y56" s="333">
        <f>V56*AA56*X55</f>
        <v>0</v>
      </c>
      <c r="AA56" s="335">
        <v>1</v>
      </c>
    </row>
    <row r="57" spans="1:29" outlineLevel="3" x14ac:dyDescent="0.25">
      <c r="D57" s="214"/>
      <c r="E57" s="281" t="s">
        <v>993</v>
      </c>
      <c r="F57" s="281" t="s">
        <v>994</v>
      </c>
      <c r="G57" s="281"/>
      <c r="H57" s="293">
        <f>IF(Checklist!J57="",0,Checklist!J57)</f>
        <v>0</v>
      </c>
      <c r="I57" s="293">
        <f>IF(Checklist!K57="",0,Checklist!K57)</f>
        <v>0</v>
      </c>
      <c r="J57" s="329"/>
      <c r="K57" s="330">
        <f>H57*AA57*J55</f>
        <v>0</v>
      </c>
      <c r="L57" s="340"/>
      <c r="M57" s="332">
        <f>I57*AA57*L55</f>
        <v>0</v>
      </c>
      <c r="N57" s="333"/>
      <c r="O57" s="333">
        <f>M57+K57</f>
        <v>0</v>
      </c>
      <c r="Q57" s="285">
        <f>IF(Checklist!M57="",0,Checklist!M57)</f>
        <v>0</v>
      </c>
      <c r="R57" s="22"/>
      <c r="S57" s="334"/>
      <c r="T57" s="333">
        <f>Q57*AA57*S55</f>
        <v>0</v>
      </c>
      <c r="V57" s="285">
        <f>IF(Checklist!P57="",0,Checklist!P57)</f>
        <v>0</v>
      </c>
      <c r="W57" s="22"/>
      <c r="X57" s="334"/>
      <c r="Y57" s="333">
        <f>V57*AA57*X55</f>
        <v>0</v>
      </c>
      <c r="AA57" s="335">
        <v>0.75</v>
      </c>
    </row>
    <row r="58" spans="1:29" outlineLevel="3" x14ac:dyDescent="0.25">
      <c r="D58" s="214"/>
      <c r="E58" s="281" t="s">
        <v>995</v>
      </c>
      <c r="F58" s="281" t="s">
        <v>996</v>
      </c>
      <c r="G58" s="281"/>
      <c r="H58" s="293">
        <f>IF(Checklist!J58="",0,Checklist!J58)</f>
        <v>0</v>
      </c>
      <c r="I58" s="293">
        <f>IF(Checklist!K58="",0,Checklist!K58)</f>
        <v>0</v>
      </c>
      <c r="J58" s="329"/>
      <c r="K58" s="330">
        <f>H58*AA58*J55</f>
        <v>0</v>
      </c>
      <c r="L58" s="340"/>
      <c r="M58" s="332">
        <f>I58*AA58*L55</f>
        <v>0</v>
      </c>
      <c r="N58" s="333"/>
      <c r="O58" s="333">
        <f>M58+K58</f>
        <v>0</v>
      </c>
      <c r="Q58" s="285">
        <f>IF(Checklist!M58="",0,Checklist!M58)</f>
        <v>0</v>
      </c>
      <c r="R58" s="22"/>
      <c r="S58" s="334"/>
      <c r="T58" s="333">
        <f>Q58*AA58*S55</f>
        <v>0</v>
      </c>
      <c r="V58" s="285">
        <f>IF(Checklist!P58="",0,Checklist!P58)</f>
        <v>0</v>
      </c>
      <c r="W58" s="22"/>
      <c r="X58" s="334"/>
      <c r="Y58" s="333">
        <f>V58*AA58*X55</f>
        <v>0</v>
      </c>
      <c r="AA58" s="335">
        <v>0.25</v>
      </c>
    </row>
    <row r="59" spans="1:29" outlineLevel="3" x14ac:dyDescent="0.25">
      <c r="D59" s="214"/>
      <c r="E59" s="281" t="s">
        <v>997</v>
      </c>
      <c r="F59" s="281" t="s">
        <v>943</v>
      </c>
      <c r="G59" s="281"/>
      <c r="H59" s="293">
        <f>IF(Checklist!J59="",0,Checklist!J59)</f>
        <v>1</v>
      </c>
      <c r="I59" s="293">
        <f>IF(Checklist!K59="",0,Checklist!K59)</f>
        <v>1</v>
      </c>
      <c r="J59" s="337"/>
      <c r="K59" s="337">
        <f>H59*AA59*J55</f>
        <v>0</v>
      </c>
      <c r="L59" s="338"/>
      <c r="M59" s="339">
        <f>I59*AA59*L55</f>
        <v>0</v>
      </c>
      <c r="N59" s="333"/>
      <c r="O59" s="333">
        <f>M59+K59</f>
        <v>0</v>
      </c>
      <c r="Q59" s="285">
        <f>IF(Checklist!M59="",0,Checklist!M59)</f>
        <v>1</v>
      </c>
      <c r="R59" s="22"/>
      <c r="S59" s="334"/>
      <c r="T59" s="333">
        <f>Q59*AA59*S55</f>
        <v>0</v>
      </c>
      <c r="V59" s="285">
        <f>IF(Checklist!P59="",0,Checklist!P59)</f>
        <v>1</v>
      </c>
      <c r="W59" s="22"/>
      <c r="X59" s="334"/>
      <c r="Y59" s="333">
        <f>V59*AA59*X55</f>
        <v>0</v>
      </c>
      <c r="AA59" s="335">
        <v>0</v>
      </c>
    </row>
    <row r="60" spans="1:29" ht="14.65" customHeight="1" outlineLevel="2" x14ac:dyDescent="0.25">
      <c r="A60" s="274"/>
      <c r="C60" s="274"/>
      <c r="D60" s="278" t="s">
        <v>766</v>
      </c>
      <c r="E60" s="495" t="s">
        <v>998</v>
      </c>
      <c r="F60" s="495"/>
      <c r="G60" s="495"/>
      <c r="H60" s="279" t="s">
        <v>730</v>
      </c>
      <c r="I60" s="280" t="s">
        <v>730</v>
      </c>
      <c r="J60" s="324">
        <f t="shared" si="4"/>
        <v>1.5324129610240123</v>
      </c>
      <c r="K60" s="324">
        <f>IF(SUM(K61:K68)&gt;J60,J60,SUM(K61:K68))</f>
        <v>0</v>
      </c>
      <c r="L60" s="325">
        <f t="shared" si="1"/>
        <v>0.38310324025600306</v>
      </c>
      <c r="M60" s="325">
        <f>IF(SUM(M61:M68)&gt;L60,L60,SUM(M61:M68))</f>
        <v>0</v>
      </c>
      <c r="N60" s="326">
        <f>Ponderações!P14*100</f>
        <v>1.9155162012800153</v>
      </c>
      <c r="O60" s="326">
        <f>IF(SUM(O61:O68)&gt;N60,N60,SUM(O61:O68))</f>
        <v>0</v>
      </c>
      <c r="Q60" s="279" t="s">
        <v>730</v>
      </c>
      <c r="R60" s="22"/>
      <c r="S60" s="326">
        <f>N60</f>
        <v>1.9155162012800153</v>
      </c>
      <c r="T60" s="326">
        <f>IF(SUM(T61:T68)&gt;S60,S60,SUM(T61:T68))</f>
        <v>0</v>
      </c>
      <c r="V60" s="279" t="s">
        <v>730</v>
      </c>
      <c r="W60" s="22"/>
      <c r="X60" s="326">
        <f>S60</f>
        <v>1.9155162012800153</v>
      </c>
      <c r="Y60" s="326">
        <f>IF(SUM(Y61:Y68)&gt;X60,X60,SUM(Y61:Y68))</f>
        <v>0</v>
      </c>
      <c r="AA60" s="327"/>
      <c r="AB60" s="327"/>
    </row>
    <row r="61" spans="1:29" ht="28.5" customHeight="1" outlineLevel="3" x14ac:dyDescent="0.25">
      <c r="A61" s="274"/>
      <c r="D61" s="214"/>
      <c r="E61" s="281" t="s">
        <v>999</v>
      </c>
      <c r="F61" s="497" t="s">
        <v>1885</v>
      </c>
      <c r="G61" s="498"/>
      <c r="H61" s="282">
        <f>IF(Checklist!J61="",0,Checklist!J61)</f>
        <v>0</v>
      </c>
      <c r="I61" s="282">
        <f>IF(Checklist!K61="",0,Checklist!K61)</f>
        <v>0</v>
      </c>
      <c r="J61" s="337"/>
      <c r="K61" s="337">
        <f t="shared" ref="K61:K68" si="7">H61*AA61*$J$60</f>
        <v>0</v>
      </c>
      <c r="L61" s="338"/>
      <c r="M61" s="339">
        <f t="shared" ref="M61:M68" si="8">I61*AA61*$L$60</f>
        <v>0</v>
      </c>
      <c r="N61" s="333"/>
      <c r="O61" s="333">
        <f t="shared" ref="O61" si="9">M61+K61</f>
        <v>0</v>
      </c>
      <c r="Q61" s="282">
        <f>IF(Checklist!M61="",0,Checklist!M61)</f>
        <v>0</v>
      </c>
      <c r="R61" s="22"/>
      <c r="S61" s="334"/>
      <c r="T61" s="333">
        <f t="shared" ref="T61:T68" si="10">Q61*AA61*$S$60</f>
        <v>0</v>
      </c>
      <c r="V61" s="282">
        <f>IF(Checklist!P61="",0,Checklist!P61)</f>
        <v>0</v>
      </c>
      <c r="W61" s="22"/>
      <c r="X61" s="334"/>
      <c r="Y61" s="333">
        <f>V61*AA61*$X$60</f>
        <v>0</v>
      </c>
      <c r="AA61" s="335">
        <v>1</v>
      </c>
      <c r="AB61" s="341">
        <v>1</v>
      </c>
    </row>
    <row r="62" spans="1:29" ht="28.5" customHeight="1" outlineLevel="3" x14ac:dyDescent="0.25">
      <c r="A62" s="274"/>
      <c r="D62" s="214"/>
      <c r="E62" s="281" t="s">
        <v>1000</v>
      </c>
      <c r="F62" s="497" t="s">
        <v>1886</v>
      </c>
      <c r="G62" s="498"/>
      <c r="H62" s="282">
        <f>IF(Checklist!J62="",0,Checklist!J62)</f>
        <v>0</v>
      </c>
      <c r="I62" s="282">
        <f>IF(Checklist!K62="",0,Checklist!K62)</f>
        <v>0</v>
      </c>
      <c r="J62" s="337"/>
      <c r="K62" s="337">
        <f t="shared" si="7"/>
        <v>0</v>
      </c>
      <c r="L62" s="338"/>
      <c r="M62" s="339">
        <f t="shared" si="8"/>
        <v>0</v>
      </c>
      <c r="N62" s="333"/>
      <c r="O62" s="333">
        <f t="shared" ref="O62:O68" si="11">M62+K62</f>
        <v>0</v>
      </c>
      <c r="Q62" s="282">
        <f>IF(Checklist!M62="",0,Checklist!M62)</f>
        <v>0</v>
      </c>
      <c r="R62" s="22"/>
      <c r="S62" s="334"/>
      <c r="T62" s="333">
        <f t="shared" si="10"/>
        <v>0</v>
      </c>
      <c r="V62" s="282">
        <f>IF(Checklist!P62="",0,Checklist!P62)</f>
        <v>0</v>
      </c>
      <c r="W62" s="22"/>
      <c r="X62" s="334"/>
      <c r="Y62" s="333">
        <f>V62*AA62*$X$60</f>
        <v>0</v>
      </c>
      <c r="AA62" s="335">
        <v>0.8</v>
      </c>
      <c r="AB62" s="341">
        <v>1</v>
      </c>
    </row>
    <row r="63" spans="1:29" outlineLevel="3" x14ac:dyDescent="0.25">
      <c r="A63" s="274"/>
      <c r="D63" s="214"/>
      <c r="E63" s="281" t="s">
        <v>1001</v>
      </c>
      <c r="F63" s="497" t="s">
        <v>1887</v>
      </c>
      <c r="G63" s="498"/>
      <c r="H63" s="282">
        <f>IF(Checklist!J63="",0,Checklist!J63)</f>
        <v>0</v>
      </c>
      <c r="I63" s="282">
        <f>IF(Checklist!K63="",0,Checklist!K63)</f>
        <v>0</v>
      </c>
      <c r="J63" s="337"/>
      <c r="K63" s="330">
        <f t="shared" si="7"/>
        <v>0</v>
      </c>
      <c r="L63" s="340"/>
      <c r="M63" s="332">
        <f t="shared" si="8"/>
        <v>0</v>
      </c>
      <c r="N63" s="333"/>
      <c r="O63" s="333">
        <f t="shared" si="11"/>
        <v>0</v>
      </c>
      <c r="Q63" s="282">
        <f>IF(Checklist!M63="",0,Checklist!M63)</f>
        <v>0</v>
      </c>
      <c r="R63" s="22"/>
      <c r="S63" s="334"/>
      <c r="T63" s="333">
        <f t="shared" si="10"/>
        <v>0</v>
      </c>
      <c r="V63" s="282">
        <f>IF(Checklist!P63="",0,Checklist!P63)</f>
        <v>0</v>
      </c>
      <c r="W63" s="22"/>
      <c r="X63" s="334"/>
      <c r="Y63" s="333">
        <f t="shared" ref="Y63:Y67" si="12">V63*AA63*$X$60</f>
        <v>0</v>
      </c>
      <c r="AA63" s="335">
        <f>IF(AB63=0,100%,60%)</f>
        <v>1</v>
      </c>
      <c r="AB63" s="341">
        <f>IF((IF('Registo de informação'!B88+'Registo de informação'!B112+'Registo de informação'!B1410&lt;10,0,1)+IF(SUM(Checklist!B150,Checklist!B159,Checklist!B166,Checklist!B173,Checklist!B179,Checklist!B185)&gt;0,1,0))=0,0,1)</f>
        <v>0</v>
      </c>
    </row>
    <row r="64" spans="1:29" outlineLevel="3" x14ac:dyDescent="0.25">
      <c r="A64" s="274"/>
      <c r="D64" s="214"/>
      <c r="E64" s="281" t="s">
        <v>1002</v>
      </c>
      <c r="F64" s="497" t="s">
        <v>1888</v>
      </c>
      <c r="G64" s="498"/>
      <c r="H64" s="282">
        <f>IF(Checklist!J64="",0,Checklist!J64)</f>
        <v>0</v>
      </c>
      <c r="I64" s="282">
        <f>IF(Checklist!K64="",0,Checklist!K64)</f>
        <v>0</v>
      </c>
      <c r="J64" s="337"/>
      <c r="K64" s="337">
        <f t="shared" si="7"/>
        <v>0</v>
      </c>
      <c r="L64" s="338"/>
      <c r="M64" s="339">
        <f t="shared" si="8"/>
        <v>0</v>
      </c>
      <c r="N64" s="333"/>
      <c r="O64" s="333">
        <f t="shared" si="11"/>
        <v>0</v>
      </c>
      <c r="Q64" s="282">
        <f>IF(Checklist!M64="",0,Checklist!M64)</f>
        <v>0</v>
      </c>
      <c r="R64" s="22"/>
      <c r="S64" s="334"/>
      <c r="T64" s="333">
        <f t="shared" si="10"/>
        <v>0</v>
      </c>
      <c r="V64" s="282">
        <f>IF(Checklist!P64="",0,Checklist!P64)</f>
        <v>0</v>
      </c>
      <c r="W64" s="22"/>
      <c r="X64" s="334"/>
      <c r="Y64" s="333">
        <f t="shared" si="12"/>
        <v>0</v>
      </c>
      <c r="AA64" s="335">
        <f>IF(AB64=0,80%,40%)</f>
        <v>0.8</v>
      </c>
      <c r="AB64" s="341">
        <f>IF((IF('Registo de informação'!B88+'Registo de informação'!B112+'Registo de informação'!B1410&lt;10,0,1)+IF(SUM(Checklist!B150,Checklist!B159,Checklist!B166,Checklist!B173,Checklist!B179,Checklist!B185)&gt;0,1,0))=0,0,1)</f>
        <v>0</v>
      </c>
    </row>
    <row r="65" spans="1:28" outlineLevel="3" x14ac:dyDescent="0.25">
      <c r="A65" s="274"/>
      <c r="D65" s="214"/>
      <c r="E65" s="281" t="s">
        <v>1003</v>
      </c>
      <c r="F65" s="281" t="s">
        <v>1889</v>
      </c>
      <c r="G65" s="281"/>
      <c r="H65" s="282">
        <f>IF(Checklist!J65="",0,Checklist!J65)</f>
        <v>0</v>
      </c>
      <c r="I65" s="282">
        <f>IF(Checklist!K65="",0,Checklist!K65)</f>
        <v>0</v>
      </c>
      <c r="J65" s="337"/>
      <c r="K65" s="337">
        <f t="shared" si="7"/>
        <v>0</v>
      </c>
      <c r="L65" s="338"/>
      <c r="M65" s="339">
        <f t="shared" si="8"/>
        <v>0</v>
      </c>
      <c r="N65" s="333"/>
      <c r="O65" s="333">
        <f t="shared" si="11"/>
        <v>0</v>
      </c>
      <c r="Q65" s="282">
        <f>IF(Checklist!M65="",0,Checklist!M65)</f>
        <v>0</v>
      </c>
      <c r="R65" s="22"/>
      <c r="S65" s="334"/>
      <c r="T65" s="333">
        <f t="shared" si="10"/>
        <v>0</v>
      </c>
      <c r="V65" s="282">
        <f>IF(Checklist!P65="",0,Checklist!P65)</f>
        <v>0</v>
      </c>
      <c r="W65" s="22"/>
      <c r="X65" s="334"/>
      <c r="Y65" s="333">
        <f>V65*AA65*$X$60</f>
        <v>0</v>
      </c>
      <c r="AA65" s="335">
        <v>0.2</v>
      </c>
      <c r="AB65" s="341">
        <v>1</v>
      </c>
    </row>
    <row r="66" spans="1:28" outlineLevel="3" x14ac:dyDescent="0.25">
      <c r="A66" s="274"/>
      <c r="D66" s="214"/>
      <c r="E66" s="281" t="s">
        <v>1004</v>
      </c>
      <c r="F66" s="281" t="s">
        <v>1890</v>
      </c>
      <c r="G66" s="281"/>
      <c r="H66" s="282">
        <f>IF(Checklist!J66="",0,Checklist!J66)</f>
        <v>0</v>
      </c>
      <c r="I66" s="282">
        <f>IF(Checklist!K66="",0,Checklist!K66)</f>
        <v>0</v>
      </c>
      <c r="J66" s="337"/>
      <c r="K66" s="337">
        <f t="shared" si="7"/>
        <v>0</v>
      </c>
      <c r="L66" s="338"/>
      <c r="M66" s="339">
        <f t="shared" si="8"/>
        <v>0</v>
      </c>
      <c r="N66" s="333"/>
      <c r="O66" s="333">
        <f t="shared" si="11"/>
        <v>0</v>
      </c>
      <c r="Q66" s="282">
        <f>IF(Checklist!M66="",0,Checklist!M66)</f>
        <v>0</v>
      </c>
      <c r="R66" s="22"/>
      <c r="S66" s="334"/>
      <c r="T66" s="333">
        <f t="shared" si="10"/>
        <v>0</v>
      </c>
      <c r="V66" s="282">
        <f>IF(Checklist!P66="",0,Checklist!P66)</f>
        <v>0</v>
      </c>
      <c r="W66" s="22"/>
      <c r="X66" s="334"/>
      <c r="Y66" s="333">
        <f t="shared" si="12"/>
        <v>0</v>
      </c>
      <c r="AA66" s="335">
        <v>0</v>
      </c>
      <c r="AB66" s="341">
        <v>1</v>
      </c>
    </row>
    <row r="67" spans="1:28" outlineLevel="3" x14ac:dyDescent="0.25">
      <c r="A67" s="274"/>
      <c r="D67" s="214"/>
      <c r="E67" s="281" t="s">
        <v>1005</v>
      </c>
      <c r="F67" s="281" t="s">
        <v>941</v>
      </c>
      <c r="G67" s="281"/>
      <c r="H67" s="282">
        <f>IF(Checklist!J67="",0,Checklist!J67)</f>
        <v>0</v>
      </c>
      <c r="I67" s="282">
        <f>IF(Checklist!K67="",0,Checklist!K67)</f>
        <v>0</v>
      </c>
      <c r="J67" s="337"/>
      <c r="K67" s="337">
        <f t="shared" si="7"/>
        <v>0</v>
      </c>
      <c r="L67" s="338"/>
      <c r="M67" s="339">
        <f t="shared" si="8"/>
        <v>0</v>
      </c>
      <c r="N67" s="333"/>
      <c r="O67" s="333">
        <f t="shared" si="11"/>
        <v>0</v>
      </c>
      <c r="Q67" s="282">
        <f>IF(Checklist!M67="",0,Checklist!M67)</f>
        <v>0</v>
      </c>
      <c r="R67" s="22"/>
      <c r="S67" s="334"/>
      <c r="T67" s="333">
        <f t="shared" si="10"/>
        <v>0</v>
      </c>
      <c r="V67" s="282">
        <f>IF(Checklist!P67="",0,Checklist!P67)</f>
        <v>0</v>
      </c>
      <c r="W67" s="22"/>
      <c r="X67" s="334"/>
      <c r="Y67" s="333">
        <f t="shared" si="12"/>
        <v>0</v>
      </c>
      <c r="AA67" s="335">
        <v>0</v>
      </c>
      <c r="AB67" s="341">
        <v>1</v>
      </c>
    </row>
    <row r="68" spans="1:28" outlineLevel="3" x14ac:dyDescent="0.25">
      <c r="A68" s="274"/>
      <c r="D68" s="214"/>
      <c r="E68" s="281" t="s">
        <v>1006</v>
      </c>
      <c r="F68" s="281" t="s">
        <v>943</v>
      </c>
      <c r="G68" s="281"/>
      <c r="H68" s="282">
        <f>IF(Checklist!J68="",0,Checklist!J68)</f>
        <v>0</v>
      </c>
      <c r="I68" s="282">
        <f>IF(Checklist!K68="",0,Checklist!K68)</f>
        <v>0</v>
      </c>
      <c r="J68" s="337"/>
      <c r="K68" s="337">
        <f t="shared" si="7"/>
        <v>0</v>
      </c>
      <c r="L68" s="338"/>
      <c r="M68" s="339">
        <f t="shared" si="8"/>
        <v>0</v>
      </c>
      <c r="N68" s="333"/>
      <c r="O68" s="333">
        <f t="shared" si="11"/>
        <v>0</v>
      </c>
      <c r="Q68" s="282">
        <f>IF(Checklist!M68="",0,Checklist!M68)</f>
        <v>0</v>
      </c>
      <c r="R68" s="22"/>
      <c r="S68" s="334"/>
      <c r="T68" s="333">
        <f t="shared" si="10"/>
        <v>0</v>
      </c>
      <c r="V68" s="282">
        <f>IF(Checklist!P68="",0,Checklist!P68)</f>
        <v>0</v>
      </c>
      <c r="W68" s="22"/>
      <c r="X68" s="334"/>
      <c r="Y68" s="333">
        <f>V68*AA68*$X$60</f>
        <v>0</v>
      </c>
      <c r="AA68" s="335">
        <v>0</v>
      </c>
      <c r="AB68" s="341">
        <v>1</v>
      </c>
    </row>
    <row r="69" spans="1:28" ht="28.15" customHeight="1" outlineLevel="2" x14ac:dyDescent="0.25">
      <c r="A69" s="274"/>
      <c r="D69" s="278" t="s">
        <v>768</v>
      </c>
      <c r="E69" s="495" t="s">
        <v>1816</v>
      </c>
      <c r="F69" s="495"/>
      <c r="G69" s="496"/>
      <c r="H69" s="279" t="s">
        <v>730</v>
      </c>
      <c r="I69" s="280" t="s">
        <v>730</v>
      </c>
      <c r="J69" s="324">
        <f t="shared" ref="J69" si="13">N69*0.8</f>
        <v>0</v>
      </c>
      <c r="K69" s="324">
        <f>IF(SUM(K70:K75)&gt;J69,J69,SUM(K70:K75))</f>
        <v>0</v>
      </c>
      <c r="L69" s="325">
        <f t="shared" ref="L69" si="14">N69*0.2</f>
        <v>0</v>
      </c>
      <c r="M69" s="325">
        <f>IF(SUM(M70:M75)&gt;L69,L69,SUM(M70:M75))</f>
        <v>0</v>
      </c>
      <c r="N69" s="326">
        <f>Ponderações!P15*100</f>
        <v>0</v>
      </c>
      <c r="O69" s="326">
        <f>IF(SUM(O70:O75)&gt;N69,N69,SUM(O70:O75))</f>
        <v>0</v>
      </c>
      <c r="Q69" s="279" t="s">
        <v>730</v>
      </c>
      <c r="R69" s="22"/>
      <c r="S69" s="326">
        <f>N69</f>
        <v>0</v>
      </c>
      <c r="T69" s="326">
        <f>IF(SUM(T70:T75)&gt;S69,S69,SUM(T70:T75))</f>
        <v>0</v>
      </c>
      <c r="V69" s="279" t="s">
        <v>730</v>
      </c>
      <c r="W69" s="22"/>
      <c r="X69" s="326">
        <f>S69</f>
        <v>0</v>
      </c>
      <c r="Y69" s="326">
        <f>IF(SUM(Y70:Y75)&gt;X69,X69,SUM(Y70:Y75))</f>
        <v>0</v>
      </c>
      <c r="AA69" s="327"/>
      <c r="AB69" s="342"/>
    </row>
    <row r="70" spans="1:28" outlineLevel="3" x14ac:dyDescent="0.25">
      <c r="D70" s="214"/>
      <c r="E70" s="281" t="s">
        <v>1007</v>
      </c>
      <c r="F70" s="281" t="s">
        <v>1837</v>
      </c>
      <c r="G70" s="281"/>
      <c r="H70" s="282">
        <f>IF(Checklist!J70="",0,Checklist!J70)</f>
        <v>0</v>
      </c>
      <c r="I70" s="282">
        <f>IF(Checklist!K70="",0,Checklist!K70)</f>
        <v>0</v>
      </c>
      <c r="J70" s="329"/>
      <c r="K70" s="329">
        <f t="shared" ref="K70:K75" si="15">H70*AA70*$J$69</f>
        <v>0</v>
      </c>
      <c r="L70" s="340"/>
      <c r="M70" s="345">
        <f t="shared" ref="M70:M75" si="16">I70*AA70*$L$69</f>
        <v>0</v>
      </c>
      <c r="N70" s="333"/>
      <c r="O70" s="333">
        <f t="shared" ref="O70:O75" si="17">M70+K70</f>
        <v>0</v>
      </c>
      <c r="Q70" s="282">
        <f>IF(Checklist!M70="",0,Checklist!M70)</f>
        <v>0</v>
      </c>
      <c r="R70" s="22"/>
      <c r="S70" s="334"/>
      <c r="T70" s="333">
        <f>Q70*AA70*$S$69</f>
        <v>0</v>
      </c>
      <c r="V70" s="282">
        <f>IF(Checklist!P70="",0,Checklist!P70)</f>
        <v>0</v>
      </c>
      <c r="W70" s="22"/>
      <c r="X70" s="334"/>
      <c r="Y70" s="333">
        <f t="shared" ref="Y70:Y75" si="18">V70*AA70*$X$69</f>
        <v>0</v>
      </c>
      <c r="AA70" s="335">
        <v>1</v>
      </c>
    </row>
    <row r="71" spans="1:28" outlineLevel="3" x14ac:dyDescent="0.25">
      <c r="D71" s="214"/>
      <c r="E71" s="281" t="s">
        <v>1008</v>
      </c>
      <c r="F71" s="281" t="s">
        <v>1010</v>
      </c>
      <c r="G71" s="281"/>
      <c r="H71" s="282">
        <f>IF(Checklist!J71="",0,Checklist!J71)</f>
        <v>0</v>
      </c>
      <c r="I71" s="282">
        <f>IF(Checklist!K71="",0,Checklist!K71)</f>
        <v>0</v>
      </c>
      <c r="J71" s="329"/>
      <c r="K71" s="329">
        <f t="shared" si="15"/>
        <v>0</v>
      </c>
      <c r="L71" s="340"/>
      <c r="M71" s="345">
        <f t="shared" si="16"/>
        <v>0</v>
      </c>
      <c r="N71" s="333"/>
      <c r="O71" s="333">
        <f>M71+K71</f>
        <v>0</v>
      </c>
      <c r="Q71" s="282">
        <f>IF(Checklist!M71="",0,Checklist!M71)</f>
        <v>0</v>
      </c>
      <c r="R71" s="22"/>
      <c r="S71" s="334"/>
      <c r="T71" s="333">
        <f t="shared" ref="T71" si="19">Q71*AA71*$S$69</f>
        <v>0</v>
      </c>
      <c r="V71" s="282">
        <f>IF(Checklist!P71="",0,Checklist!P71)</f>
        <v>0</v>
      </c>
      <c r="W71" s="22"/>
      <c r="X71" s="334"/>
      <c r="Y71" s="333">
        <f t="shared" si="18"/>
        <v>0</v>
      </c>
      <c r="AA71" s="335">
        <f>IF(SUM(Checklist!B150,Checklist!B159,Checklist!B166,Checklist!B173,Checklist!B179,Checklist!B185)=0,75%,100%)</f>
        <v>0.75</v>
      </c>
    </row>
    <row r="72" spans="1:28" outlineLevel="3" x14ac:dyDescent="0.25">
      <c r="D72" s="214"/>
      <c r="E72" s="281" t="s">
        <v>1009</v>
      </c>
      <c r="F72" s="281" t="s">
        <v>1012</v>
      </c>
      <c r="G72" s="281"/>
      <c r="H72" s="282">
        <f>IF(Checklist!J72="",0,Checklist!J72)</f>
        <v>0</v>
      </c>
      <c r="I72" s="282">
        <f>IF(Checklist!K72="",0,Checklist!K72)</f>
        <v>0</v>
      </c>
      <c r="J72" s="337"/>
      <c r="K72" s="337">
        <f t="shared" si="15"/>
        <v>0</v>
      </c>
      <c r="L72" s="338"/>
      <c r="M72" s="339">
        <f t="shared" si="16"/>
        <v>0</v>
      </c>
      <c r="N72" s="333"/>
      <c r="O72" s="333">
        <f t="shared" ref="O72" si="20">M72+K72</f>
        <v>0</v>
      </c>
      <c r="Q72" s="282">
        <f>IF(Checklist!M72="",0,Checklist!M72)</f>
        <v>0</v>
      </c>
      <c r="R72" s="22"/>
      <c r="S72" s="334"/>
      <c r="T72" s="333">
        <f>Q72*AA72*$S$69</f>
        <v>0</v>
      </c>
      <c r="V72" s="282">
        <f>IF(Checklist!P72="",0,Checklist!P72)</f>
        <v>0</v>
      </c>
      <c r="W72" s="22"/>
      <c r="X72" s="334"/>
      <c r="Y72" s="333">
        <f t="shared" si="18"/>
        <v>0</v>
      </c>
      <c r="AA72" s="335">
        <f>IF(SUM(Checklist!B150,Checklist!B159,Checklist!B166,Checklist!B173,Checklist!B179,Checklist!B185)=0,50%,100%)</f>
        <v>0.5</v>
      </c>
    </row>
    <row r="73" spans="1:28" outlineLevel="3" x14ac:dyDescent="0.25">
      <c r="D73" s="214"/>
      <c r="E73" s="281" t="s">
        <v>1011</v>
      </c>
      <c r="F73" s="281" t="s">
        <v>1014</v>
      </c>
      <c r="G73" s="281"/>
      <c r="H73" s="282">
        <f>IF(Checklist!J73="",0,Checklist!J73)</f>
        <v>0</v>
      </c>
      <c r="I73" s="282">
        <f>IF(Checklist!K73="",0,Checklist!K73)</f>
        <v>0</v>
      </c>
      <c r="J73" s="337"/>
      <c r="K73" s="337">
        <f t="shared" si="15"/>
        <v>0</v>
      </c>
      <c r="L73" s="338"/>
      <c r="M73" s="339">
        <f t="shared" si="16"/>
        <v>0</v>
      </c>
      <c r="N73" s="333"/>
      <c r="O73" s="333">
        <f t="shared" si="17"/>
        <v>0</v>
      </c>
      <c r="Q73" s="282">
        <f>IF(Checklist!M73="",0,Checklist!M73)</f>
        <v>0</v>
      </c>
      <c r="R73" s="22"/>
      <c r="S73" s="334"/>
      <c r="T73" s="333">
        <f>Q73*AA73*$S$69</f>
        <v>0</v>
      </c>
      <c r="V73" s="282">
        <f>IF(Checklist!P73="",0,Checklist!P73)</f>
        <v>0</v>
      </c>
      <c r="W73" s="22"/>
      <c r="X73" s="334"/>
      <c r="Y73" s="333">
        <f t="shared" si="18"/>
        <v>0</v>
      </c>
      <c r="AA73" s="335">
        <f>IF(SUM(Checklist!B150,Checklist!B159,Checklist!B166,Checklist!B173,Checklist!B179,Checklist!B185)=0,0%,50%)</f>
        <v>0</v>
      </c>
    </row>
    <row r="74" spans="1:28" outlineLevel="3" x14ac:dyDescent="0.25">
      <c r="D74" s="214"/>
      <c r="E74" s="281" t="s">
        <v>1013</v>
      </c>
      <c r="F74" s="281" t="s">
        <v>1016</v>
      </c>
      <c r="G74" s="281"/>
      <c r="H74" s="282">
        <f>IF(Checklist!J74="",0,Checklist!J74)</f>
        <v>0</v>
      </c>
      <c r="I74" s="282">
        <f>IF(Checklist!K74="",0,Checklist!K74)</f>
        <v>0</v>
      </c>
      <c r="J74" s="337"/>
      <c r="K74" s="337">
        <f t="shared" si="15"/>
        <v>0</v>
      </c>
      <c r="L74" s="338"/>
      <c r="M74" s="339">
        <f t="shared" si="16"/>
        <v>0</v>
      </c>
      <c r="N74" s="333"/>
      <c r="O74" s="333">
        <f t="shared" si="17"/>
        <v>0</v>
      </c>
      <c r="Q74" s="282">
        <f>IF(Checklist!M74="",0,Checklist!M74)</f>
        <v>0</v>
      </c>
      <c r="R74" s="22"/>
      <c r="S74" s="334"/>
      <c r="T74" s="333">
        <f>Q74*AA74*$S$69</f>
        <v>0</v>
      </c>
      <c r="V74" s="282">
        <f>IF(Checklist!P74="",0,Checklist!P74)</f>
        <v>0</v>
      </c>
      <c r="W74" s="22"/>
      <c r="X74" s="334"/>
      <c r="Y74" s="333">
        <f t="shared" si="18"/>
        <v>0</v>
      </c>
      <c r="AA74" s="335">
        <v>0</v>
      </c>
    </row>
    <row r="75" spans="1:28" outlineLevel="3" x14ac:dyDescent="0.25">
      <c r="D75" s="214"/>
      <c r="E75" s="281" t="s">
        <v>1015</v>
      </c>
      <c r="F75" s="281" t="s">
        <v>943</v>
      </c>
      <c r="G75" s="281"/>
      <c r="H75" s="282">
        <f>IF(Checklist!J75="",0,Checklist!J75)</f>
        <v>1</v>
      </c>
      <c r="I75" s="282">
        <f>IF(Checklist!K75="",0,Checklist!K75)</f>
        <v>1</v>
      </c>
      <c r="J75" s="337"/>
      <c r="K75" s="337">
        <f t="shared" si="15"/>
        <v>0</v>
      </c>
      <c r="L75" s="338"/>
      <c r="M75" s="339">
        <f t="shared" si="16"/>
        <v>0</v>
      </c>
      <c r="N75" s="333"/>
      <c r="O75" s="333">
        <f t="shared" si="17"/>
        <v>0</v>
      </c>
      <c r="Q75" s="282">
        <f>IF(Checklist!M75="",0,Checklist!M75)</f>
        <v>1</v>
      </c>
      <c r="R75" s="22"/>
      <c r="S75" s="334"/>
      <c r="T75" s="333">
        <f>Q75*AA75*$S$69</f>
        <v>0</v>
      </c>
      <c r="V75" s="282">
        <f>IF(Checklist!P75="",0,Checklist!P75)</f>
        <v>1</v>
      </c>
      <c r="W75" s="22"/>
      <c r="X75" s="334"/>
      <c r="Y75" s="333">
        <f t="shared" si="18"/>
        <v>0</v>
      </c>
      <c r="AA75" s="335">
        <v>0</v>
      </c>
    </row>
    <row r="76" spans="1:28" ht="14.65" customHeight="1" outlineLevel="2" x14ac:dyDescent="0.25">
      <c r="A76" s="274"/>
      <c r="C76" s="274"/>
      <c r="D76" s="278" t="s">
        <v>770</v>
      </c>
      <c r="E76" s="495" t="s">
        <v>1017</v>
      </c>
      <c r="F76" s="495"/>
      <c r="G76" s="495"/>
      <c r="H76" s="279" t="s">
        <v>729</v>
      </c>
      <c r="I76" s="280" t="s">
        <v>729</v>
      </c>
      <c r="J76" s="324">
        <f>N76*0.8</f>
        <v>1.5324129610240123</v>
      </c>
      <c r="K76" s="324">
        <f>IF(SUM(K77:K83)&gt;J76,J76,SUM(K77:K83))</f>
        <v>0</v>
      </c>
      <c r="L76" s="325">
        <f>N76*0.2</f>
        <v>0.38310324025600306</v>
      </c>
      <c r="M76" s="325">
        <f>IF(SUM(M77:M83)&gt;L76,L76,SUM(M77:M83))</f>
        <v>0</v>
      </c>
      <c r="N76" s="326">
        <f>Ponderações!P16*100</f>
        <v>1.9155162012800153</v>
      </c>
      <c r="O76" s="326">
        <f>IF(SUM(O77:O83)&gt;N76,N76,SUM(O77:O83))</f>
        <v>0</v>
      </c>
      <c r="Q76" s="279" t="s">
        <v>729</v>
      </c>
      <c r="R76" s="22"/>
      <c r="S76" s="326">
        <f>N76</f>
        <v>1.9155162012800153</v>
      </c>
      <c r="T76" s="326">
        <f>IF(SUM(T77:T83)&gt;S76,S76,SUM(T77:T83))</f>
        <v>0</v>
      </c>
      <c r="V76" s="279" t="s">
        <v>729</v>
      </c>
      <c r="W76" s="22"/>
      <c r="X76" s="326">
        <f>S76</f>
        <v>1.9155162012800153</v>
      </c>
      <c r="Y76" s="326">
        <f>IF(SUM(Y77:Y83)&gt;X76,X76,SUM(Y77:Y83))</f>
        <v>0</v>
      </c>
      <c r="AA76" s="327"/>
      <c r="AB76" s="342"/>
    </row>
    <row r="77" spans="1:28" ht="14.65" customHeight="1" outlineLevel="3" x14ac:dyDescent="0.25">
      <c r="E77" s="35" t="s">
        <v>1018</v>
      </c>
      <c r="F77" s="287" t="s">
        <v>1019</v>
      </c>
      <c r="G77" s="35"/>
      <c r="H77" s="282">
        <f>IF(Checklist!J77="",0,Checklist!J77)</f>
        <v>0</v>
      </c>
      <c r="I77" s="282">
        <f>IF(Checklist!K77="",0,Checklist!K77)</f>
        <v>0</v>
      </c>
      <c r="J77" s="329"/>
      <c r="K77" s="330">
        <f>H77*AA77*J76</f>
        <v>0</v>
      </c>
      <c r="L77" s="340"/>
      <c r="M77" s="332">
        <f>I77*AA77*L76</f>
        <v>0</v>
      </c>
      <c r="N77" s="333"/>
      <c r="O77" s="333">
        <f>M77+K77</f>
        <v>0</v>
      </c>
      <c r="Q77" s="282">
        <f>IF(Checklist!M77="",0,Checklist!M77)</f>
        <v>0</v>
      </c>
      <c r="R77" s="22"/>
      <c r="S77" s="334"/>
      <c r="T77" s="333">
        <f>Q77*AA77*S76</f>
        <v>0</v>
      </c>
      <c r="V77" s="282">
        <f>IF(Checklist!P77="",0,Checklist!P77)</f>
        <v>0</v>
      </c>
      <c r="W77" s="22"/>
      <c r="X77" s="334"/>
      <c r="Y77" s="333">
        <f>V77*AA77*X76</f>
        <v>0</v>
      </c>
      <c r="AA77" s="335">
        <v>0.3</v>
      </c>
    </row>
    <row r="78" spans="1:28" ht="14.65" customHeight="1" outlineLevel="3" x14ac:dyDescent="0.25">
      <c r="E78" s="35" t="s">
        <v>1020</v>
      </c>
      <c r="F78" s="287" t="s">
        <v>1021</v>
      </c>
      <c r="G78" s="35"/>
      <c r="H78" s="282">
        <f>IF(Checklist!J78="",0,Checklist!J78)</f>
        <v>0</v>
      </c>
      <c r="I78" s="282">
        <f>IF(Checklist!K78="",0,Checklist!K78)</f>
        <v>0</v>
      </c>
      <c r="J78" s="329"/>
      <c r="K78" s="330">
        <f>H78*AA78*J76</f>
        <v>0</v>
      </c>
      <c r="L78" s="340"/>
      <c r="M78" s="332">
        <f>I78*AA78*L76</f>
        <v>0</v>
      </c>
      <c r="N78" s="333"/>
      <c r="O78" s="333">
        <f>M78+K78</f>
        <v>0</v>
      </c>
      <c r="Q78" s="282">
        <f>IF(Checklist!M78="",0,Checklist!M78)</f>
        <v>0</v>
      </c>
      <c r="R78" s="22"/>
      <c r="S78" s="334"/>
      <c r="T78" s="333">
        <f>Q78*AA78*S76</f>
        <v>0</v>
      </c>
      <c r="V78" s="282">
        <f>IF(Checklist!P78="",0,Checklist!P78)</f>
        <v>0</v>
      </c>
      <c r="W78" s="22"/>
      <c r="X78" s="334"/>
      <c r="Y78" s="333">
        <f>V78*AA78*X76</f>
        <v>0</v>
      </c>
      <c r="AA78" s="335">
        <v>0.3</v>
      </c>
    </row>
    <row r="79" spans="1:28" ht="14.65" customHeight="1" outlineLevel="3" x14ac:dyDescent="0.25">
      <c r="E79" s="35" t="s">
        <v>1022</v>
      </c>
      <c r="F79" s="287" t="s">
        <v>1023</v>
      </c>
      <c r="G79" s="35"/>
      <c r="H79" s="282">
        <f>IF(Checklist!J79="",0,Checklist!J79)</f>
        <v>0</v>
      </c>
      <c r="I79" s="282">
        <f>IF(Checklist!K79="",0,Checklist!K79)</f>
        <v>0</v>
      </c>
      <c r="J79" s="329"/>
      <c r="K79" s="330">
        <f>H79*AA79*J76</f>
        <v>0</v>
      </c>
      <c r="L79" s="340"/>
      <c r="M79" s="332">
        <f>I79*AA79*L76</f>
        <v>0</v>
      </c>
      <c r="N79" s="333"/>
      <c r="O79" s="333">
        <f t="shared" ref="O79:O83" si="21">M79+K79</f>
        <v>0</v>
      </c>
      <c r="Q79" s="282">
        <f>IF(Checklist!M79="",0,Checklist!M79)</f>
        <v>0</v>
      </c>
      <c r="R79" s="22"/>
      <c r="S79" s="334"/>
      <c r="T79" s="333">
        <f>Q79*AA79*S76</f>
        <v>0</v>
      </c>
      <c r="V79" s="282">
        <f>IF(Checklist!P79="",0,Checklist!P79)</f>
        <v>0</v>
      </c>
      <c r="W79" s="22"/>
      <c r="X79" s="334"/>
      <c r="Y79" s="333">
        <f>V79*AA79*X76</f>
        <v>0</v>
      </c>
      <c r="AA79" s="335">
        <v>0.3</v>
      </c>
    </row>
    <row r="80" spans="1:28" ht="14.65" customHeight="1" outlineLevel="3" x14ac:dyDescent="0.25">
      <c r="E80" s="35" t="s">
        <v>1024</v>
      </c>
      <c r="F80" s="287" t="s">
        <v>1025</v>
      </c>
      <c r="G80" s="35"/>
      <c r="H80" s="282">
        <f>IF(Checklist!J80="",0,Checklist!J80)</f>
        <v>0</v>
      </c>
      <c r="I80" s="282">
        <f>IF(Checklist!K80="",0,Checklist!K80)</f>
        <v>0</v>
      </c>
      <c r="J80" s="337"/>
      <c r="K80" s="337">
        <f>H80*AA80*J76</f>
        <v>0</v>
      </c>
      <c r="L80" s="338"/>
      <c r="M80" s="339">
        <f>I80*AA80*L76</f>
        <v>0</v>
      </c>
      <c r="N80" s="333"/>
      <c r="O80" s="333">
        <f>M80+K80</f>
        <v>0</v>
      </c>
      <c r="Q80" s="282">
        <f>IF(Checklist!M80="",0,Checklist!M80)</f>
        <v>0</v>
      </c>
      <c r="R80" s="22"/>
      <c r="S80" s="334"/>
      <c r="T80" s="333">
        <f>Q80*AA80*S76</f>
        <v>0</v>
      </c>
      <c r="V80" s="282">
        <f>IF(Checklist!P80="",0,Checklist!P80)</f>
        <v>0</v>
      </c>
      <c r="W80" s="22"/>
      <c r="X80" s="334"/>
      <c r="Y80" s="333">
        <f>V80*AA80*X76</f>
        <v>0</v>
      </c>
      <c r="AA80" s="335">
        <v>0.1</v>
      </c>
    </row>
    <row r="81" spans="1:28" ht="14.65" customHeight="1" outlineLevel="3" x14ac:dyDescent="0.25">
      <c r="E81" s="35" t="s">
        <v>1026</v>
      </c>
      <c r="F81" s="287" t="s">
        <v>1859</v>
      </c>
      <c r="G81" s="35"/>
      <c r="H81" s="282">
        <f>IF(Checklist!J81="",0,Checklist!J81)</f>
        <v>0</v>
      </c>
      <c r="I81" s="282">
        <f>IF(Checklist!K81="",0,Checklist!K81)</f>
        <v>0</v>
      </c>
      <c r="J81" s="337"/>
      <c r="K81" s="337">
        <f>H81*AA81*J76</f>
        <v>0</v>
      </c>
      <c r="L81" s="338"/>
      <c r="M81" s="339">
        <f>I81*AA81*L76</f>
        <v>0</v>
      </c>
      <c r="N81" s="333"/>
      <c r="O81" s="333">
        <f t="shared" si="21"/>
        <v>0</v>
      </c>
      <c r="Q81" s="282">
        <f>IF(Checklist!M81="",0,Checklist!M81)</f>
        <v>0</v>
      </c>
      <c r="R81" s="22"/>
      <c r="S81" s="334"/>
      <c r="T81" s="333">
        <f>Q81*AA81*S76</f>
        <v>0</v>
      </c>
      <c r="V81" s="282">
        <f>IF(Checklist!P81="",0,Checklist!P81)</f>
        <v>0</v>
      </c>
      <c r="W81" s="22"/>
      <c r="X81" s="334"/>
      <c r="Y81" s="333">
        <f>V81*AA81*X76</f>
        <v>0</v>
      </c>
      <c r="AA81" s="335">
        <v>0.1</v>
      </c>
    </row>
    <row r="82" spans="1:28" ht="14.65" customHeight="1" outlineLevel="3" x14ac:dyDescent="0.25">
      <c r="E82" s="35" t="s">
        <v>1027</v>
      </c>
      <c r="F82" s="35" t="s">
        <v>941</v>
      </c>
      <c r="G82" s="35"/>
      <c r="H82" s="282">
        <f>IF(Checklist!J82="",0,Checklist!J82)</f>
        <v>0</v>
      </c>
      <c r="I82" s="282">
        <f>IF(Checklist!K82="",0,Checklist!K82)</f>
        <v>0</v>
      </c>
      <c r="J82" s="337"/>
      <c r="K82" s="337">
        <f>H82*AA82*J76</f>
        <v>0</v>
      </c>
      <c r="L82" s="338"/>
      <c r="M82" s="339">
        <f>I82*AA82*L76</f>
        <v>0</v>
      </c>
      <c r="N82" s="333"/>
      <c r="O82" s="333">
        <f t="shared" si="21"/>
        <v>0</v>
      </c>
      <c r="Q82" s="282">
        <f>IF(Checklist!M82="",0,Checklist!M82)</f>
        <v>0</v>
      </c>
      <c r="R82" s="22"/>
      <c r="S82" s="334"/>
      <c r="T82" s="333">
        <f>Q82*AA82*S76</f>
        <v>0</v>
      </c>
      <c r="V82" s="282">
        <f>IF(Checklist!P82="",0,Checklist!P82)</f>
        <v>0</v>
      </c>
      <c r="W82" s="22"/>
      <c r="X82" s="334"/>
      <c r="Y82" s="333">
        <f>V82*AA82*X76</f>
        <v>0</v>
      </c>
      <c r="AA82" s="335">
        <v>0</v>
      </c>
    </row>
    <row r="83" spans="1:28" ht="14.65" customHeight="1" outlineLevel="3" x14ac:dyDescent="0.25">
      <c r="E83" s="35" t="s">
        <v>1028</v>
      </c>
      <c r="F83" s="35" t="s">
        <v>943</v>
      </c>
      <c r="G83" s="35"/>
      <c r="H83" s="282">
        <f>IF(Checklist!J83="",0,Checklist!J83)</f>
        <v>0</v>
      </c>
      <c r="I83" s="282">
        <f>IF(Checklist!K83="",0,Checklist!K83)</f>
        <v>0</v>
      </c>
      <c r="J83" s="337"/>
      <c r="K83" s="337">
        <f>H83*AA83*J76</f>
        <v>0</v>
      </c>
      <c r="L83" s="338"/>
      <c r="M83" s="339">
        <f>I83*AA83*L76</f>
        <v>0</v>
      </c>
      <c r="N83" s="333"/>
      <c r="O83" s="333">
        <f t="shared" si="21"/>
        <v>0</v>
      </c>
      <c r="Q83" s="282">
        <f>IF(Checklist!M83="",0,Checklist!M83)</f>
        <v>0</v>
      </c>
      <c r="R83" s="22"/>
      <c r="S83" s="334"/>
      <c r="T83" s="333">
        <f>Q83*AA83*S76</f>
        <v>0</v>
      </c>
      <c r="V83" s="282">
        <f>IF(Checklist!P83="",0,Checklist!P83)</f>
        <v>0</v>
      </c>
      <c r="W83" s="22"/>
      <c r="X83" s="334"/>
      <c r="Y83" s="333">
        <f>V83*AA83*X76</f>
        <v>0</v>
      </c>
      <c r="AA83" s="335">
        <v>0</v>
      </c>
    </row>
    <row r="84" spans="1:28" x14ac:dyDescent="0.25">
      <c r="H84" s="273"/>
      <c r="I84" s="273"/>
      <c r="J84" s="315"/>
      <c r="K84" s="315"/>
      <c r="L84" s="316"/>
      <c r="M84" s="315"/>
      <c r="N84" s="317"/>
      <c r="O84" s="317"/>
      <c r="Q84" s="273"/>
      <c r="R84" s="22"/>
      <c r="S84" s="315"/>
      <c r="T84" s="317"/>
      <c r="V84" s="273"/>
      <c r="W84" s="22"/>
      <c r="X84" s="315"/>
      <c r="Y84" s="317"/>
      <c r="AA84" s="318"/>
    </row>
    <row r="85" spans="1:28" x14ac:dyDescent="0.25">
      <c r="B85" s="270">
        <v>2</v>
      </c>
      <c r="C85" s="271" t="s">
        <v>22</v>
      </c>
      <c r="D85" s="271"/>
      <c r="E85" s="271"/>
      <c r="F85" s="271"/>
      <c r="G85" s="271"/>
      <c r="H85" s="272"/>
      <c r="I85" s="272"/>
      <c r="J85" s="312">
        <f>N85*0.8</f>
        <v>0</v>
      </c>
      <c r="K85" s="312">
        <f>K87+K115</f>
        <v>0</v>
      </c>
      <c r="L85" s="312">
        <f t="shared" ref="L85:L150" si="22">N85*0.2</f>
        <v>0</v>
      </c>
      <c r="M85" s="312">
        <f>M87+M115</f>
        <v>0</v>
      </c>
      <c r="N85" s="312">
        <f>N87+N115</f>
        <v>0</v>
      </c>
      <c r="O85" s="312">
        <f>O87+O115</f>
        <v>0</v>
      </c>
      <c r="Q85" s="272"/>
      <c r="R85" s="22"/>
      <c r="S85" s="312">
        <f>N85</f>
        <v>0</v>
      </c>
      <c r="T85" s="312">
        <f>T87+T115</f>
        <v>0</v>
      </c>
      <c r="V85" s="272"/>
      <c r="W85" s="22"/>
      <c r="X85" s="312">
        <f>S85</f>
        <v>0</v>
      </c>
      <c r="Y85" s="312">
        <f>Y87+Y115</f>
        <v>0</v>
      </c>
      <c r="AA85" s="313"/>
      <c r="AB85" s="346"/>
    </row>
    <row r="86" spans="1:28" outlineLevel="1" x14ac:dyDescent="0.25">
      <c r="H86" s="273"/>
      <c r="I86" s="273"/>
      <c r="J86" s="315"/>
      <c r="K86" s="315"/>
      <c r="L86" s="316"/>
      <c r="M86" s="315"/>
      <c r="N86" s="317"/>
      <c r="O86" s="317"/>
      <c r="Q86" s="273"/>
      <c r="R86" s="22"/>
      <c r="S86" s="315"/>
      <c r="T86" s="317"/>
      <c r="V86" s="273"/>
      <c r="W86" s="22"/>
      <c r="X86" s="315"/>
      <c r="Y86" s="317"/>
      <c r="AA86" s="318"/>
    </row>
    <row r="87" spans="1:28" outlineLevel="1" x14ac:dyDescent="0.25">
      <c r="C87" s="275" t="s">
        <v>772</v>
      </c>
      <c r="D87" s="275" t="s">
        <v>773</v>
      </c>
      <c r="E87" s="275"/>
      <c r="F87" s="275"/>
      <c r="G87" s="275"/>
      <c r="H87" s="276"/>
      <c r="I87" s="277"/>
      <c r="J87" s="319">
        <f t="shared" ref="J87:J150" si="23">N87*0.8</f>
        <v>0</v>
      </c>
      <c r="K87" s="319">
        <f>K88+K95+K102+K109</f>
        <v>0</v>
      </c>
      <c r="L87" s="320">
        <f t="shared" si="22"/>
        <v>0</v>
      </c>
      <c r="M87" s="320">
        <f>M88+M95+M102+M109</f>
        <v>0</v>
      </c>
      <c r="N87" s="321">
        <f>N88+N95+N102+N109</f>
        <v>0</v>
      </c>
      <c r="O87" s="321">
        <f>O88+O95+O102+O109</f>
        <v>0</v>
      </c>
      <c r="Q87" s="276"/>
      <c r="R87" s="22"/>
      <c r="S87" s="321">
        <f>N87</f>
        <v>0</v>
      </c>
      <c r="T87" s="321">
        <f>T88+T95+T102+T109</f>
        <v>0</v>
      </c>
      <c r="V87" s="276"/>
      <c r="W87" s="22"/>
      <c r="X87" s="321">
        <f>S87</f>
        <v>0</v>
      </c>
      <c r="Y87" s="321">
        <f>Y88+Y95+Y102+Y109</f>
        <v>0</v>
      </c>
      <c r="AA87" s="322"/>
      <c r="AB87" s="344"/>
    </row>
    <row r="88" spans="1:28" ht="14.65" customHeight="1" outlineLevel="2" x14ac:dyDescent="0.25">
      <c r="A88" s="274"/>
      <c r="C88" s="274"/>
      <c r="D88" s="284" t="s">
        <v>774</v>
      </c>
      <c r="E88" s="284" t="s">
        <v>1029</v>
      </c>
      <c r="F88" s="284"/>
      <c r="G88" s="284"/>
      <c r="H88" s="289" t="s">
        <v>731</v>
      </c>
      <c r="I88" s="288" t="s">
        <v>731</v>
      </c>
      <c r="J88" s="324">
        <f t="shared" si="23"/>
        <v>0</v>
      </c>
      <c r="K88" s="324">
        <f>IF(SUM(K89:K94)&gt;J88,J88,SUM(K89:K94))</f>
        <v>0</v>
      </c>
      <c r="L88" s="325">
        <f t="shared" si="22"/>
        <v>0</v>
      </c>
      <c r="M88" s="325">
        <f>IF(SUM(M89:M94)&gt;L88,L88,SUM(M89:M94))</f>
        <v>0</v>
      </c>
      <c r="N88" s="326">
        <f>Ponderações!P19*100</f>
        <v>0</v>
      </c>
      <c r="O88" s="326">
        <f>IF(SUM(O89:O94)&gt;N88,N88,SUM(O89:O94))</f>
        <v>0</v>
      </c>
      <c r="Q88" s="289" t="s">
        <v>731</v>
      </c>
      <c r="R88" s="22"/>
      <c r="S88" s="326">
        <f>N88</f>
        <v>0</v>
      </c>
      <c r="T88" s="326">
        <f>IF(SUM(T89:T94)&gt;S88,S88,SUM(T89:T94))</f>
        <v>0</v>
      </c>
      <c r="V88" s="289" t="s">
        <v>731</v>
      </c>
      <c r="W88" s="22"/>
      <c r="X88" s="326">
        <f>S88</f>
        <v>0</v>
      </c>
      <c r="Y88" s="326">
        <f>IF(SUM(Y89:Y94)&gt;X88,X88,SUM(Y89:Y94))</f>
        <v>0</v>
      </c>
      <c r="AA88" s="327"/>
      <c r="AB88" s="342"/>
    </row>
    <row r="89" spans="1:28" outlineLevel="3" x14ac:dyDescent="0.25">
      <c r="E89" s="35" t="s">
        <v>1030</v>
      </c>
      <c r="F89" s="35" t="s">
        <v>1031</v>
      </c>
      <c r="G89" s="35"/>
      <c r="H89" s="285">
        <f>IF(Checklist!J89="",0,Checklist!J89)</f>
        <v>0</v>
      </c>
      <c r="I89" s="285">
        <f>IF(Checklist!K89="",0,Checklist!K89)</f>
        <v>0</v>
      </c>
      <c r="J89" s="337"/>
      <c r="K89" s="337">
        <f>H89*AA89*$J$88</f>
        <v>0</v>
      </c>
      <c r="L89" s="338"/>
      <c r="M89" s="339">
        <f>I89*AA89*$L$88</f>
        <v>0</v>
      </c>
      <c r="N89" s="333"/>
      <c r="O89" s="333">
        <f t="shared" ref="O89:O94" si="24">M89+K89</f>
        <v>0</v>
      </c>
      <c r="Q89" s="285">
        <f>IF(Checklist!M89="",0,Checklist!M89)</f>
        <v>0</v>
      </c>
      <c r="R89" s="22"/>
      <c r="S89" s="334"/>
      <c r="T89" s="333">
        <f>Q89*AA89*$S$88</f>
        <v>0</v>
      </c>
      <c r="V89" s="285">
        <f>IF(Checklist!P89="",0,Checklist!P89)</f>
        <v>0</v>
      </c>
      <c r="W89" s="22"/>
      <c r="X89" s="334"/>
      <c r="Y89" s="333">
        <f>V89*AA89*$X$88</f>
        <v>0</v>
      </c>
      <c r="AA89" s="335">
        <v>1</v>
      </c>
    </row>
    <row r="90" spans="1:28" outlineLevel="3" x14ac:dyDescent="0.25">
      <c r="E90" s="35" t="s">
        <v>1032</v>
      </c>
      <c r="F90" s="35" t="s">
        <v>1033</v>
      </c>
      <c r="G90" s="35"/>
      <c r="H90" s="285">
        <f>IF(Checklist!J90="",0,Checklist!J90)</f>
        <v>0</v>
      </c>
      <c r="I90" s="285">
        <f>IF(Checklist!K90="",0,Checklist!K90)</f>
        <v>0</v>
      </c>
      <c r="J90" s="337"/>
      <c r="K90" s="337">
        <f t="shared" ref="K90:K94" si="25">H90*AA90*$J$88</f>
        <v>0</v>
      </c>
      <c r="L90" s="338"/>
      <c r="M90" s="339">
        <f t="shared" ref="M90:M94" si="26">I90*AA90*$L$88</f>
        <v>0</v>
      </c>
      <c r="N90" s="333"/>
      <c r="O90" s="333">
        <f t="shared" si="24"/>
        <v>0</v>
      </c>
      <c r="Q90" s="285">
        <f>IF(Checklist!M90="",0,Checklist!M90)</f>
        <v>0</v>
      </c>
      <c r="R90" s="22"/>
      <c r="S90" s="334"/>
      <c r="T90" s="333">
        <f t="shared" ref="T90:T94" si="27">Q90*AA90*$S$88</f>
        <v>0</v>
      </c>
      <c r="V90" s="285">
        <f>IF(Checklist!P90="",0,Checklist!P90)</f>
        <v>0</v>
      </c>
      <c r="W90" s="22"/>
      <c r="X90" s="334"/>
      <c r="Y90" s="333">
        <f t="shared" ref="Y90:Y93" si="28">V90*AA90*$X$88</f>
        <v>0</v>
      </c>
      <c r="AA90" s="335">
        <v>0.75</v>
      </c>
    </row>
    <row r="91" spans="1:28" outlineLevel="3" x14ac:dyDescent="0.25">
      <c r="E91" s="35" t="s">
        <v>1034</v>
      </c>
      <c r="F91" s="35" t="s">
        <v>1035</v>
      </c>
      <c r="G91" s="35"/>
      <c r="H91" s="285">
        <f>IF(Checklist!J91="",0,Checklist!J91)</f>
        <v>0</v>
      </c>
      <c r="I91" s="285">
        <f>IF(Checklist!K91="",0,Checklist!K91)</f>
        <v>0</v>
      </c>
      <c r="J91" s="337"/>
      <c r="K91" s="337">
        <f t="shared" si="25"/>
        <v>0</v>
      </c>
      <c r="L91" s="338"/>
      <c r="M91" s="339">
        <f t="shared" si="26"/>
        <v>0</v>
      </c>
      <c r="N91" s="333"/>
      <c r="O91" s="333">
        <f t="shared" si="24"/>
        <v>0</v>
      </c>
      <c r="Q91" s="285">
        <f>IF(Checklist!M91="",0,Checklist!M91)</f>
        <v>0</v>
      </c>
      <c r="R91" s="22"/>
      <c r="S91" s="334"/>
      <c r="T91" s="333">
        <f t="shared" si="27"/>
        <v>0</v>
      </c>
      <c r="V91" s="285">
        <f>IF(Checklist!P91="",0,Checklist!P91)</f>
        <v>0</v>
      </c>
      <c r="W91" s="22"/>
      <c r="X91" s="334"/>
      <c r="Y91" s="333">
        <f t="shared" si="28"/>
        <v>0</v>
      </c>
      <c r="AA91" s="335">
        <v>0.5</v>
      </c>
    </row>
    <row r="92" spans="1:28" outlineLevel="3" x14ac:dyDescent="0.25">
      <c r="E92" s="35" t="s">
        <v>1036</v>
      </c>
      <c r="F92" s="35" t="s">
        <v>1037</v>
      </c>
      <c r="G92" s="35"/>
      <c r="H92" s="285">
        <f>IF(Checklist!J92="",0,Checklist!J92)</f>
        <v>0</v>
      </c>
      <c r="I92" s="285">
        <f>IF(Checklist!K92="",0,Checklist!K92)</f>
        <v>0</v>
      </c>
      <c r="J92" s="337"/>
      <c r="K92" s="337">
        <f t="shared" si="25"/>
        <v>0</v>
      </c>
      <c r="L92" s="338"/>
      <c r="M92" s="339">
        <f t="shared" si="26"/>
        <v>0</v>
      </c>
      <c r="N92" s="333"/>
      <c r="O92" s="333">
        <f t="shared" si="24"/>
        <v>0</v>
      </c>
      <c r="Q92" s="285">
        <f>IF(Checklist!M92="",0,Checklist!M92)</f>
        <v>0</v>
      </c>
      <c r="R92" s="22"/>
      <c r="S92" s="334"/>
      <c r="T92" s="333">
        <f t="shared" si="27"/>
        <v>0</v>
      </c>
      <c r="V92" s="285">
        <f>IF(Checklist!P92="",0,Checklist!P92)</f>
        <v>0</v>
      </c>
      <c r="W92" s="22"/>
      <c r="X92" s="334"/>
      <c r="Y92" s="333">
        <f>V92*AA92*$X$88</f>
        <v>0</v>
      </c>
      <c r="AA92" s="335">
        <v>0.25</v>
      </c>
    </row>
    <row r="93" spans="1:28" outlineLevel="3" x14ac:dyDescent="0.25">
      <c r="E93" s="35" t="s">
        <v>1038</v>
      </c>
      <c r="F93" s="35" t="s">
        <v>941</v>
      </c>
      <c r="G93" s="35"/>
      <c r="H93" s="285">
        <f>IF(Checklist!J93="",0,Checklist!J93)</f>
        <v>0</v>
      </c>
      <c r="I93" s="285">
        <f>IF(Checklist!K93="",0,Checklist!K93)</f>
        <v>0</v>
      </c>
      <c r="J93" s="337"/>
      <c r="K93" s="337">
        <f t="shared" si="25"/>
        <v>0</v>
      </c>
      <c r="L93" s="338"/>
      <c r="M93" s="339">
        <f t="shared" si="26"/>
        <v>0</v>
      </c>
      <c r="N93" s="333"/>
      <c r="O93" s="333">
        <f t="shared" si="24"/>
        <v>0</v>
      </c>
      <c r="Q93" s="285">
        <f>IF(Checklist!M93="",0,Checklist!M93)</f>
        <v>0</v>
      </c>
      <c r="R93" s="22"/>
      <c r="S93" s="334"/>
      <c r="T93" s="333">
        <f t="shared" si="27"/>
        <v>0</v>
      </c>
      <c r="V93" s="285">
        <f>IF(Checklist!P93="",0,Checklist!P93)</f>
        <v>0</v>
      </c>
      <c r="W93" s="22"/>
      <c r="X93" s="334"/>
      <c r="Y93" s="333">
        <f t="shared" si="28"/>
        <v>0</v>
      </c>
      <c r="AA93" s="335">
        <v>0</v>
      </c>
    </row>
    <row r="94" spans="1:28" outlineLevel="3" x14ac:dyDescent="0.25">
      <c r="E94" s="35" t="s">
        <v>1039</v>
      </c>
      <c r="F94" s="35" t="s">
        <v>943</v>
      </c>
      <c r="G94" s="35"/>
      <c r="H94" s="285">
        <f>IF(Checklist!J94="",0,Checklist!J94)</f>
        <v>0</v>
      </c>
      <c r="I94" s="285">
        <f>IF(Checklist!K94="",0,Checklist!K94)</f>
        <v>0</v>
      </c>
      <c r="J94" s="337"/>
      <c r="K94" s="337">
        <f t="shared" si="25"/>
        <v>0</v>
      </c>
      <c r="L94" s="338"/>
      <c r="M94" s="339">
        <f t="shared" si="26"/>
        <v>0</v>
      </c>
      <c r="N94" s="333"/>
      <c r="O94" s="333">
        <f t="shared" si="24"/>
        <v>0</v>
      </c>
      <c r="Q94" s="285">
        <f>IF(Checklist!M94="",0,Checklist!M94)</f>
        <v>0</v>
      </c>
      <c r="R94" s="22"/>
      <c r="S94" s="334"/>
      <c r="T94" s="333">
        <f t="shared" si="27"/>
        <v>0</v>
      </c>
      <c r="V94" s="285">
        <f>IF(Checklist!P94="",0,Checklist!P94)</f>
        <v>0</v>
      </c>
      <c r="W94" s="22"/>
      <c r="X94" s="334"/>
      <c r="Y94" s="333">
        <f>V94*AA94*$X$88</f>
        <v>0</v>
      </c>
      <c r="AA94" s="335">
        <v>0</v>
      </c>
    </row>
    <row r="95" spans="1:28" ht="14.65" customHeight="1" outlineLevel="2" x14ac:dyDescent="0.25">
      <c r="D95" s="284" t="s">
        <v>776</v>
      </c>
      <c r="E95" s="284" t="s">
        <v>1040</v>
      </c>
      <c r="F95" s="284"/>
      <c r="G95" s="284"/>
      <c r="H95" s="289" t="s">
        <v>731</v>
      </c>
      <c r="I95" s="288" t="s">
        <v>731</v>
      </c>
      <c r="J95" s="324">
        <f t="shared" si="23"/>
        <v>0</v>
      </c>
      <c r="K95" s="324">
        <f>IF(SUM(K96:K101)&gt;J95,J95,SUM(K96:K101))</f>
        <v>0</v>
      </c>
      <c r="L95" s="325">
        <f t="shared" si="22"/>
        <v>0</v>
      </c>
      <c r="M95" s="325">
        <f>IF(SUM(M96:M101)&gt;L95,L95,SUM(M96:M101))</f>
        <v>0</v>
      </c>
      <c r="N95" s="326">
        <f>Ponderações!P20*100</f>
        <v>0</v>
      </c>
      <c r="O95" s="326">
        <f>IF(SUM(O96:O101)&gt;N95,N95,SUM(O96:O101))</f>
        <v>0</v>
      </c>
      <c r="Q95" s="289" t="s">
        <v>731</v>
      </c>
      <c r="R95" s="22"/>
      <c r="S95" s="326">
        <f>N95</f>
        <v>0</v>
      </c>
      <c r="T95" s="326">
        <f>IF(SUM(T96:T101)&gt;S95,S95,SUM(T96:T101))</f>
        <v>0</v>
      </c>
      <c r="V95" s="289" t="s">
        <v>731</v>
      </c>
      <c r="W95" s="22"/>
      <c r="X95" s="326">
        <f>S95</f>
        <v>0</v>
      </c>
      <c r="Y95" s="326">
        <f>IF(SUM(Y96:Y101)&gt;X95,X95,SUM(Y96:Y101))</f>
        <v>0</v>
      </c>
      <c r="AA95" s="327"/>
      <c r="AB95" s="342"/>
    </row>
    <row r="96" spans="1:28" outlineLevel="3" x14ac:dyDescent="0.25">
      <c r="E96" s="35" t="s">
        <v>1041</v>
      </c>
      <c r="F96" s="35" t="s">
        <v>1042</v>
      </c>
      <c r="G96" s="35"/>
      <c r="H96" s="285">
        <f>IF(Checklist!J96="",0,Checklist!J96)</f>
        <v>0</v>
      </c>
      <c r="I96" s="285">
        <f>IF(Checklist!K96="",0,Checklist!K96)</f>
        <v>0</v>
      </c>
      <c r="J96" s="337"/>
      <c r="K96" s="337">
        <f>H96*AA96*J95</f>
        <v>0</v>
      </c>
      <c r="L96" s="338"/>
      <c r="M96" s="339">
        <f>I96*AA96*L95</f>
        <v>0</v>
      </c>
      <c r="N96" s="333"/>
      <c r="O96" s="333">
        <f t="shared" ref="O96:O101" si="29">M96+K96</f>
        <v>0</v>
      </c>
      <c r="Q96" s="285">
        <f>IF(Checklist!M96="",0,Checklist!M96)</f>
        <v>0</v>
      </c>
      <c r="R96" s="22"/>
      <c r="S96" s="334"/>
      <c r="T96" s="333">
        <f>Q96*AA96*S95</f>
        <v>0</v>
      </c>
      <c r="V96" s="285">
        <f>IF(Checklist!P96="",0,Checklist!P96)</f>
        <v>0</v>
      </c>
      <c r="W96" s="22"/>
      <c r="X96" s="334"/>
      <c r="Y96" s="333">
        <f>V96*AA96*X95</f>
        <v>0</v>
      </c>
      <c r="AA96" s="335">
        <v>1</v>
      </c>
    </row>
    <row r="97" spans="3:28" outlineLevel="3" x14ac:dyDescent="0.25">
      <c r="E97" s="35" t="s">
        <v>1043</v>
      </c>
      <c r="F97" s="35" t="s">
        <v>1044</v>
      </c>
      <c r="G97" s="35"/>
      <c r="H97" s="285">
        <f>IF(Checklist!J97="",0,Checklist!J97)</f>
        <v>0</v>
      </c>
      <c r="I97" s="285">
        <f>IF(Checklist!K97="",0,Checklist!K97)</f>
        <v>0</v>
      </c>
      <c r="J97" s="337"/>
      <c r="K97" s="337">
        <f>H97*AA97*J95</f>
        <v>0</v>
      </c>
      <c r="L97" s="338"/>
      <c r="M97" s="339">
        <f>I97*AA97*L95</f>
        <v>0</v>
      </c>
      <c r="N97" s="333"/>
      <c r="O97" s="333">
        <f t="shared" si="29"/>
        <v>0</v>
      </c>
      <c r="Q97" s="285">
        <f>IF(Checklist!M97="",0,Checklist!M97)</f>
        <v>0</v>
      </c>
      <c r="R97" s="22"/>
      <c r="S97" s="334"/>
      <c r="T97" s="333">
        <f>Q97*AA97*S95</f>
        <v>0</v>
      </c>
      <c r="V97" s="285">
        <f>IF(Checklist!P97="",0,Checklist!P97)</f>
        <v>0</v>
      </c>
      <c r="W97" s="22"/>
      <c r="X97" s="334"/>
      <c r="Y97" s="333">
        <f>V97*AA97*X95</f>
        <v>0</v>
      </c>
      <c r="AA97" s="335">
        <v>0.75</v>
      </c>
    </row>
    <row r="98" spans="3:28" outlineLevel="3" x14ac:dyDescent="0.25">
      <c r="E98" s="35" t="s">
        <v>1046</v>
      </c>
      <c r="F98" s="35" t="s">
        <v>1045</v>
      </c>
      <c r="G98" s="35"/>
      <c r="H98" s="285">
        <f>IF(Checklist!J98="",0,Checklist!J98)</f>
        <v>0</v>
      </c>
      <c r="I98" s="285">
        <f>IF(Checklist!K98="",0,Checklist!K98)</f>
        <v>0</v>
      </c>
      <c r="J98" s="337"/>
      <c r="K98" s="337">
        <f>H98*AA98*J95</f>
        <v>0</v>
      </c>
      <c r="L98" s="338"/>
      <c r="M98" s="339">
        <f>I98*AA98*L95</f>
        <v>0</v>
      </c>
      <c r="N98" s="333"/>
      <c r="O98" s="333">
        <f t="shared" si="29"/>
        <v>0</v>
      </c>
      <c r="Q98" s="285">
        <f>IF(Checklist!M98="",0,Checklist!M98)</f>
        <v>0</v>
      </c>
      <c r="R98" s="22"/>
      <c r="S98" s="334"/>
      <c r="T98" s="333">
        <f>Q98*AA98*S95</f>
        <v>0</v>
      </c>
      <c r="V98" s="285">
        <f>IF(Checklist!P98="",0,Checklist!P98)</f>
        <v>0</v>
      </c>
      <c r="W98" s="22"/>
      <c r="X98" s="334"/>
      <c r="Y98" s="333">
        <f>V98*AA98*X95</f>
        <v>0</v>
      </c>
      <c r="AA98" s="335">
        <v>0.25</v>
      </c>
    </row>
    <row r="99" spans="3:28" outlineLevel="3" x14ac:dyDescent="0.25">
      <c r="E99" s="35" t="s">
        <v>1048</v>
      </c>
      <c r="F99" s="35" t="s">
        <v>1047</v>
      </c>
      <c r="G99" s="35"/>
      <c r="H99" s="285">
        <f>IF(Checklist!J99="",0,Checklist!J99)</f>
        <v>0</v>
      </c>
      <c r="I99" s="285">
        <f>IF(Checklist!K99="",0,Checklist!K99)</f>
        <v>0</v>
      </c>
      <c r="J99" s="337"/>
      <c r="K99" s="337">
        <f>H99*AA99*J95</f>
        <v>0</v>
      </c>
      <c r="L99" s="338"/>
      <c r="M99" s="339">
        <f>I99*AA99*L95</f>
        <v>0</v>
      </c>
      <c r="N99" s="333"/>
      <c r="O99" s="333">
        <f t="shared" si="29"/>
        <v>0</v>
      </c>
      <c r="Q99" s="285">
        <f>IF(Checklist!M99="",0,Checklist!M99)</f>
        <v>0</v>
      </c>
      <c r="R99" s="22"/>
      <c r="S99" s="334"/>
      <c r="T99" s="333">
        <f>Q99*AA99*S95</f>
        <v>0</v>
      </c>
      <c r="V99" s="285">
        <f>IF(Checklist!P99="",0,Checklist!P99)</f>
        <v>0</v>
      </c>
      <c r="W99" s="22"/>
      <c r="X99" s="334"/>
      <c r="Y99" s="333">
        <f>V99*AA99*X95</f>
        <v>0</v>
      </c>
      <c r="AA99" s="335">
        <v>0</v>
      </c>
    </row>
    <row r="100" spans="3:28" outlineLevel="3" x14ac:dyDescent="0.25">
      <c r="E100" s="35" t="s">
        <v>1049</v>
      </c>
      <c r="F100" s="35" t="s">
        <v>941</v>
      </c>
      <c r="G100" s="35"/>
      <c r="H100" s="285">
        <f>IF(Checklist!J100="",0,Checklist!J100)</f>
        <v>0</v>
      </c>
      <c r="I100" s="285">
        <f>IF(Checklist!K100="",0,Checklist!K100)</f>
        <v>0</v>
      </c>
      <c r="J100" s="337"/>
      <c r="K100" s="337">
        <f>H100*AA100*J95</f>
        <v>0</v>
      </c>
      <c r="L100" s="338"/>
      <c r="M100" s="339">
        <f>I100*AA100*L95</f>
        <v>0</v>
      </c>
      <c r="N100" s="333"/>
      <c r="O100" s="333">
        <f t="shared" si="29"/>
        <v>0</v>
      </c>
      <c r="Q100" s="285">
        <f>IF(Checklist!M100="",0,Checklist!M100)</f>
        <v>0</v>
      </c>
      <c r="R100" s="22"/>
      <c r="S100" s="334"/>
      <c r="T100" s="333">
        <f>Q100*AA100*S95</f>
        <v>0</v>
      </c>
      <c r="V100" s="285">
        <f>IF(Checklist!P100="",0,Checklist!P100)</f>
        <v>0</v>
      </c>
      <c r="W100" s="22"/>
      <c r="X100" s="334"/>
      <c r="Y100" s="333">
        <f>V100*AA100*X95</f>
        <v>0</v>
      </c>
      <c r="AA100" s="335">
        <v>0</v>
      </c>
    </row>
    <row r="101" spans="3:28" outlineLevel="3" x14ac:dyDescent="0.25">
      <c r="E101" s="35" t="s">
        <v>1728</v>
      </c>
      <c r="F101" s="35" t="s">
        <v>943</v>
      </c>
      <c r="G101" s="35"/>
      <c r="H101" s="285">
        <f>IF(Checklist!J101="",0,Checklist!J101)</f>
        <v>0</v>
      </c>
      <c r="I101" s="285">
        <f>IF(Checklist!K101="",0,Checklist!K101)</f>
        <v>0</v>
      </c>
      <c r="J101" s="337"/>
      <c r="K101" s="337">
        <f>H101*AA101*J95</f>
        <v>0</v>
      </c>
      <c r="L101" s="338"/>
      <c r="M101" s="339">
        <f>I101*AA101*L95</f>
        <v>0</v>
      </c>
      <c r="N101" s="333"/>
      <c r="O101" s="333">
        <f t="shared" si="29"/>
        <v>0</v>
      </c>
      <c r="Q101" s="285">
        <f>IF(Checklist!M101="",0,Checklist!M101)</f>
        <v>0</v>
      </c>
      <c r="R101" s="22"/>
      <c r="S101" s="334"/>
      <c r="T101" s="333">
        <f>Q101*AA101*S95</f>
        <v>0</v>
      </c>
      <c r="V101" s="285">
        <f>IF(Checklist!P101="",0,Checklist!P101)</f>
        <v>0</v>
      </c>
      <c r="W101" s="22"/>
      <c r="X101" s="334"/>
      <c r="Y101" s="333">
        <f>V101*AA101*X95</f>
        <v>0</v>
      </c>
      <c r="AA101" s="335">
        <v>0</v>
      </c>
    </row>
    <row r="102" spans="3:28" outlineLevel="2" x14ac:dyDescent="0.25">
      <c r="C102" s="274"/>
      <c r="D102" s="284" t="s">
        <v>778</v>
      </c>
      <c r="E102" s="284" t="s">
        <v>1050</v>
      </c>
      <c r="F102" s="284"/>
      <c r="G102" s="284"/>
      <c r="H102" s="279" t="s">
        <v>729</v>
      </c>
      <c r="I102" s="280" t="s">
        <v>729</v>
      </c>
      <c r="J102" s="324">
        <f t="shared" si="23"/>
        <v>0</v>
      </c>
      <c r="K102" s="324">
        <f>IF(SUM(K103:K108)&gt;J102,J102,SUM(K103:K108))</f>
        <v>0</v>
      </c>
      <c r="L102" s="325">
        <f t="shared" si="22"/>
        <v>0</v>
      </c>
      <c r="M102" s="325">
        <f>IF(SUM(M103:M108)&gt;L102,L102,SUM(M103:M108))</f>
        <v>0</v>
      </c>
      <c r="N102" s="326">
        <f>Ponderações!P21*100</f>
        <v>0</v>
      </c>
      <c r="O102" s="326">
        <f>IF(SUM(O103:O108)&gt;N102,N102,SUM(O103:O108))</f>
        <v>0</v>
      </c>
      <c r="Q102" s="279" t="s">
        <v>729</v>
      </c>
      <c r="R102" s="22"/>
      <c r="S102" s="326">
        <f>N102</f>
        <v>0</v>
      </c>
      <c r="T102" s="326">
        <f>IF(SUM(T103:T108)&gt;S102,S102,SUM(T103:T108))</f>
        <v>0</v>
      </c>
      <c r="V102" s="279" t="s">
        <v>729</v>
      </c>
      <c r="W102" s="22"/>
      <c r="X102" s="326">
        <f>S102</f>
        <v>0</v>
      </c>
      <c r="Y102" s="326">
        <f>IF(SUM(Y103:Y108)&gt;X102,X102,SUM(Y103:Y108))</f>
        <v>0</v>
      </c>
      <c r="AA102" s="327"/>
      <c r="AB102" s="342"/>
    </row>
    <row r="103" spans="3:28" outlineLevel="3" x14ac:dyDescent="0.25">
      <c r="C103" s="274"/>
      <c r="E103" s="35" t="s">
        <v>1051</v>
      </c>
      <c r="F103" s="35" t="s">
        <v>1052</v>
      </c>
      <c r="G103" s="35"/>
      <c r="H103" s="286">
        <f>IF(Checklist!J103="",0,Checklist!J103)</f>
        <v>0</v>
      </c>
      <c r="I103" s="286">
        <f>IF(Checklist!K103="",0,Checklist!K103)</f>
        <v>0</v>
      </c>
      <c r="J103" s="337"/>
      <c r="K103" s="337">
        <f>H103*AA103*J102</f>
        <v>0</v>
      </c>
      <c r="L103" s="338"/>
      <c r="M103" s="339">
        <f>I103*AA103*L102</f>
        <v>0</v>
      </c>
      <c r="N103" s="333"/>
      <c r="O103" s="333">
        <f t="shared" ref="O103:O108" si="30">M103+K103</f>
        <v>0</v>
      </c>
      <c r="Q103" s="282">
        <f>IF(Checklist!M103="",0,Checklist!M103)</f>
        <v>0</v>
      </c>
      <c r="R103" s="22"/>
      <c r="S103" s="334"/>
      <c r="T103" s="333">
        <f>Q103*AA103*S102</f>
        <v>0</v>
      </c>
      <c r="V103" s="282">
        <f>IF(Checklist!P103="",0,Checklist!P103)</f>
        <v>0</v>
      </c>
      <c r="W103" s="22"/>
      <c r="X103" s="334"/>
      <c r="Y103" s="333">
        <f t="shared" ref="Y103:Y108" si="31">V103*AA103*$X$102</f>
        <v>0</v>
      </c>
      <c r="AA103" s="335">
        <v>0.4</v>
      </c>
    </row>
    <row r="104" spans="3:28" outlineLevel="3" x14ac:dyDescent="0.25">
      <c r="C104" s="274"/>
      <c r="E104" s="35" t="s">
        <v>1053</v>
      </c>
      <c r="F104" s="35" t="s">
        <v>1054</v>
      </c>
      <c r="G104" s="35"/>
      <c r="H104" s="286">
        <f>IF(Checklist!J104="",0,Checklist!J104)</f>
        <v>0</v>
      </c>
      <c r="I104" s="286">
        <f>IF(Checklist!K104="",0,Checklist!K104)</f>
        <v>0</v>
      </c>
      <c r="J104" s="337"/>
      <c r="K104" s="337">
        <f>H104*AA104*J102</f>
        <v>0</v>
      </c>
      <c r="L104" s="338"/>
      <c r="M104" s="339">
        <f>I104*AA104*L102</f>
        <v>0</v>
      </c>
      <c r="N104" s="333"/>
      <c r="O104" s="333">
        <f t="shared" si="30"/>
        <v>0</v>
      </c>
      <c r="Q104" s="282">
        <f>IF(Checklist!M104="",0,Checklist!M104)</f>
        <v>0</v>
      </c>
      <c r="R104" s="22"/>
      <c r="S104" s="334"/>
      <c r="T104" s="333">
        <f>Q104*AA104*S102</f>
        <v>0</v>
      </c>
      <c r="V104" s="282">
        <f>IF(Checklist!P104="",0,Checklist!P104)</f>
        <v>0</v>
      </c>
      <c r="W104" s="22"/>
      <c r="X104" s="334"/>
      <c r="Y104" s="333">
        <f t="shared" si="31"/>
        <v>0</v>
      </c>
      <c r="AA104" s="335">
        <v>0.25</v>
      </c>
    </row>
    <row r="105" spans="3:28" outlineLevel="3" x14ac:dyDescent="0.25">
      <c r="C105" s="274"/>
      <c r="E105" s="35" t="s">
        <v>1055</v>
      </c>
      <c r="F105" s="35" t="s">
        <v>1056</v>
      </c>
      <c r="G105" s="35"/>
      <c r="H105" s="286">
        <f>IF(Checklist!J105="",0,Checklist!J105)</f>
        <v>0</v>
      </c>
      <c r="I105" s="286">
        <f>IF(Checklist!K105="",0,Checklist!K105)</f>
        <v>0</v>
      </c>
      <c r="J105" s="337"/>
      <c r="K105" s="337">
        <f>H105*AA105*J102</f>
        <v>0</v>
      </c>
      <c r="L105" s="338"/>
      <c r="M105" s="339">
        <f>I105*AA105*L102</f>
        <v>0</v>
      </c>
      <c r="N105" s="333"/>
      <c r="O105" s="333">
        <f t="shared" si="30"/>
        <v>0</v>
      </c>
      <c r="Q105" s="282">
        <f>IF(Checklist!M105="",0,Checklist!M105)</f>
        <v>0</v>
      </c>
      <c r="R105" s="22"/>
      <c r="S105" s="334"/>
      <c r="T105" s="333">
        <f>Q105*AA105*S102</f>
        <v>0</v>
      </c>
      <c r="V105" s="282">
        <f>IF(Checklist!P105="",0,Checklist!P105)</f>
        <v>0</v>
      </c>
      <c r="W105" s="22"/>
      <c r="X105" s="334"/>
      <c r="Y105" s="333">
        <f t="shared" si="31"/>
        <v>0</v>
      </c>
      <c r="AA105" s="335">
        <v>0.25</v>
      </c>
    </row>
    <row r="106" spans="3:28" outlineLevel="3" x14ac:dyDescent="0.25">
      <c r="C106" s="274"/>
      <c r="E106" s="35" t="s">
        <v>1057</v>
      </c>
      <c r="F106" s="35" t="s">
        <v>1058</v>
      </c>
      <c r="G106" s="35"/>
      <c r="H106" s="286">
        <f>IF(Checklist!J106="",0,Checklist!J106)</f>
        <v>0</v>
      </c>
      <c r="I106" s="286">
        <f>IF(Checklist!K106="",0,Checklist!K106)</f>
        <v>0</v>
      </c>
      <c r="J106" s="337"/>
      <c r="K106" s="337">
        <f>H106*AA106*J102</f>
        <v>0</v>
      </c>
      <c r="L106" s="338"/>
      <c r="M106" s="339">
        <f>I106*AA106*L102</f>
        <v>0</v>
      </c>
      <c r="N106" s="333"/>
      <c r="O106" s="333">
        <f t="shared" si="30"/>
        <v>0</v>
      </c>
      <c r="Q106" s="282">
        <f>IF(Checklist!M106="",0,Checklist!M106)</f>
        <v>0</v>
      </c>
      <c r="R106" s="22"/>
      <c r="S106" s="334"/>
      <c r="T106" s="333">
        <f>Q106*AA106*S102</f>
        <v>0</v>
      </c>
      <c r="V106" s="282">
        <f>IF(Checklist!P106="",0,Checklist!P106)</f>
        <v>0</v>
      </c>
      <c r="W106" s="22"/>
      <c r="X106" s="334"/>
      <c r="Y106" s="333">
        <f t="shared" si="31"/>
        <v>0</v>
      </c>
      <c r="AA106" s="335">
        <v>0.1</v>
      </c>
    </row>
    <row r="107" spans="3:28" outlineLevel="3" x14ac:dyDescent="0.25">
      <c r="C107" s="274"/>
      <c r="E107" s="35" t="s">
        <v>1059</v>
      </c>
      <c r="F107" s="35" t="s">
        <v>941</v>
      </c>
      <c r="G107" s="35"/>
      <c r="H107" s="286">
        <f>IF(Checklist!J107="",0,Checklist!J107)</f>
        <v>0</v>
      </c>
      <c r="I107" s="286">
        <f>IF(Checklist!K107="",0,Checklist!K107)</f>
        <v>0</v>
      </c>
      <c r="J107" s="337"/>
      <c r="K107" s="337">
        <f>H107*AA107*J102</f>
        <v>0</v>
      </c>
      <c r="L107" s="338"/>
      <c r="M107" s="339">
        <f>I107*AA107*L102</f>
        <v>0</v>
      </c>
      <c r="N107" s="333"/>
      <c r="O107" s="333">
        <f t="shared" si="30"/>
        <v>0</v>
      </c>
      <c r="Q107" s="282">
        <f>IF(Checklist!M107="",0,Checklist!M107)</f>
        <v>0</v>
      </c>
      <c r="R107" s="22"/>
      <c r="S107" s="334"/>
      <c r="T107" s="333">
        <f>Q107*AA107*S102</f>
        <v>0</v>
      </c>
      <c r="V107" s="282">
        <f>IF(Checklist!P107="",0,Checklist!P107)</f>
        <v>0</v>
      </c>
      <c r="W107" s="22"/>
      <c r="X107" s="334"/>
      <c r="Y107" s="333">
        <f t="shared" si="31"/>
        <v>0</v>
      </c>
      <c r="AA107" s="335">
        <v>0</v>
      </c>
    </row>
    <row r="108" spans="3:28" outlineLevel="3" x14ac:dyDescent="0.25">
      <c r="C108" s="274"/>
      <c r="E108" s="35" t="s">
        <v>1060</v>
      </c>
      <c r="F108" s="35" t="s">
        <v>943</v>
      </c>
      <c r="G108" s="35"/>
      <c r="H108" s="286">
        <f>IF(Checklist!J108="",0,Checklist!J108)</f>
        <v>0</v>
      </c>
      <c r="I108" s="286">
        <f>IF(Checklist!K108="",0,Checklist!K108)</f>
        <v>0</v>
      </c>
      <c r="J108" s="337"/>
      <c r="K108" s="337">
        <f>H108*AA108*J102</f>
        <v>0</v>
      </c>
      <c r="L108" s="338"/>
      <c r="M108" s="339">
        <f>I108*AA108*L102</f>
        <v>0</v>
      </c>
      <c r="N108" s="333"/>
      <c r="O108" s="333">
        <f t="shared" si="30"/>
        <v>0</v>
      </c>
      <c r="Q108" s="282">
        <f>IF(Checklist!M108="",0,Checklist!M108)</f>
        <v>0</v>
      </c>
      <c r="R108" s="22"/>
      <c r="S108" s="334"/>
      <c r="T108" s="333">
        <f>Q108*AA108*S102</f>
        <v>0</v>
      </c>
      <c r="V108" s="282">
        <f>IF(Checklist!P108="",0,Checklist!P108)</f>
        <v>0</v>
      </c>
      <c r="W108" s="22"/>
      <c r="X108" s="334"/>
      <c r="Y108" s="333">
        <f t="shared" si="31"/>
        <v>0</v>
      </c>
      <c r="AA108" s="335">
        <v>0</v>
      </c>
    </row>
    <row r="109" spans="3:28" ht="29.1" customHeight="1" outlineLevel="2" x14ac:dyDescent="0.25">
      <c r="C109" s="274"/>
      <c r="D109" s="290" t="s">
        <v>780</v>
      </c>
      <c r="E109" s="494" t="s">
        <v>1061</v>
      </c>
      <c r="F109" s="494"/>
      <c r="G109" s="494"/>
      <c r="H109" s="279" t="s">
        <v>730</v>
      </c>
      <c r="I109" s="280" t="s">
        <v>730</v>
      </c>
      <c r="J109" s="324">
        <f t="shared" si="23"/>
        <v>0</v>
      </c>
      <c r="K109" s="324">
        <f>IF(SUM(K110:K113)&gt;J109,J109,SUM(K110:K113))</f>
        <v>0</v>
      </c>
      <c r="L109" s="325">
        <f t="shared" si="22"/>
        <v>0</v>
      </c>
      <c r="M109" s="325">
        <f>IF(SUM(M110:M113)&gt;L109,L109,SUM(M110:M113))</f>
        <v>0</v>
      </c>
      <c r="N109" s="326">
        <f>Ponderações!P22*100</f>
        <v>0</v>
      </c>
      <c r="O109" s="326">
        <f>IF(SUM(O110:O113)&gt;N109,N109,SUM(O110:O113))</f>
        <v>0</v>
      </c>
      <c r="Q109" s="279" t="s">
        <v>730</v>
      </c>
      <c r="R109" s="22"/>
      <c r="S109" s="326">
        <f>N109</f>
        <v>0</v>
      </c>
      <c r="T109" s="326">
        <f>IF(SUM(T110:T113)&gt;S109,S109,SUM(T110:T113))</f>
        <v>0</v>
      </c>
      <c r="V109" s="279" t="s">
        <v>730</v>
      </c>
      <c r="W109" s="22"/>
      <c r="X109" s="326">
        <f>S109</f>
        <v>0</v>
      </c>
      <c r="Y109" s="326">
        <f>IF(SUM(Y110:Y113)&gt;X109,X109,SUM(Y110:Y113))</f>
        <v>0</v>
      </c>
      <c r="AA109" s="327"/>
      <c r="AB109" s="342"/>
    </row>
    <row r="110" spans="3:28" ht="17.25" outlineLevel="3" x14ac:dyDescent="0.25">
      <c r="D110" s="32"/>
      <c r="E110" s="287" t="s">
        <v>1062</v>
      </c>
      <c r="F110" s="287" t="s">
        <v>1063</v>
      </c>
      <c r="G110" s="287"/>
      <c r="H110" s="286">
        <f>IF(Checklist!J110="",0,Checklist!J110)</f>
        <v>0</v>
      </c>
      <c r="I110" s="286">
        <f>IF(Checklist!K110="",0,Checklist!K110)</f>
        <v>0</v>
      </c>
      <c r="J110" s="337"/>
      <c r="K110" s="337">
        <f>H110*AA110*J109</f>
        <v>0</v>
      </c>
      <c r="L110" s="338"/>
      <c r="M110" s="339">
        <f>I110*AA110*L109</f>
        <v>0</v>
      </c>
      <c r="N110" s="333"/>
      <c r="O110" s="333">
        <f>M110+K110</f>
        <v>0</v>
      </c>
      <c r="Q110" s="286">
        <f>IF(Checklist!M110="",0,Checklist!M110)</f>
        <v>0</v>
      </c>
      <c r="R110" s="22"/>
      <c r="S110" s="334"/>
      <c r="T110" s="333">
        <f>Q110*AA110*S109</f>
        <v>0</v>
      </c>
      <c r="V110" s="286">
        <f>IF(Checklist!P110="",0,Checklist!P110)</f>
        <v>0</v>
      </c>
      <c r="W110" s="22"/>
      <c r="X110" s="334"/>
      <c r="Y110" s="333">
        <f>V110*AA110*X109</f>
        <v>0</v>
      </c>
      <c r="AA110" s="335">
        <v>1</v>
      </c>
    </row>
    <row r="111" spans="3:28" ht="17.25" outlineLevel="3" x14ac:dyDescent="0.25">
      <c r="D111" s="32"/>
      <c r="E111" s="287" t="s">
        <v>1064</v>
      </c>
      <c r="F111" s="287" t="s">
        <v>1065</v>
      </c>
      <c r="G111" s="287"/>
      <c r="H111" s="286">
        <f>IF(Checklist!J111="",0,Checklist!J111)</f>
        <v>0</v>
      </c>
      <c r="I111" s="286">
        <f>IF(Checklist!K111="",0,Checklist!K111)</f>
        <v>0</v>
      </c>
      <c r="J111" s="337"/>
      <c r="K111" s="337">
        <f>H111*AA111*J109</f>
        <v>0</v>
      </c>
      <c r="L111" s="338"/>
      <c r="M111" s="339">
        <f>I111*AA111*L109</f>
        <v>0</v>
      </c>
      <c r="N111" s="333"/>
      <c r="O111" s="333">
        <f>M111+K111</f>
        <v>0</v>
      </c>
      <c r="Q111" s="286">
        <f>IF(Checklist!M111="",0,Checklist!M111)</f>
        <v>0</v>
      </c>
      <c r="R111" s="22"/>
      <c r="S111" s="334"/>
      <c r="T111" s="333">
        <f>Q111*AA111*S109</f>
        <v>0</v>
      </c>
      <c r="V111" s="286">
        <f>IF(Checklist!P111="",0,Checklist!P111)</f>
        <v>0</v>
      </c>
      <c r="W111" s="22"/>
      <c r="X111" s="334"/>
      <c r="Y111" s="333">
        <f>V111*AA111*X109</f>
        <v>0</v>
      </c>
      <c r="AA111" s="335">
        <v>0.5</v>
      </c>
    </row>
    <row r="112" spans="3:28" ht="17.25" outlineLevel="3" x14ac:dyDescent="0.25">
      <c r="D112" s="32"/>
      <c r="E112" s="287" t="s">
        <v>1066</v>
      </c>
      <c r="F112" s="287" t="s">
        <v>1067</v>
      </c>
      <c r="G112" s="287"/>
      <c r="H112" s="286">
        <f>IF(Checklist!J112="",0,Checklist!J112)</f>
        <v>0</v>
      </c>
      <c r="I112" s="286">
        <f>IF(Checklist!K112="",0,Checklist!K112)</f>
        <v>0</v>
      </c>
      <c r="J112" s="337"/>
      <c r="K112" s="337">
        <f>H112*AA112*J109</f>
        <v>0</v>
      </c>
      <c r="L112" s="338"/>
      <c r="M112" s="339">
        <f>I112*AA112*L109</f>
        <v>0</v>
      </c>
      <c r="N112" s="333"/>
      <c r="O112" s="333">
        <f>M112+K112</f>
        <v>0</v>
      </c>
      <c r="Q112" s="286">
        <f>IF(Checklist!M112="",0,Checklist!M112)</f>
        <v>0</v>
      </c>
      <c r="R112" s="22"/>
      <c r="S112" s="334"/>
      <c r="T112" s="333">
        <f>Q112*AA112*S109</f>
        <v>0</v>
      </c>
      <c r="V112" s="286">
        <f>IF(Checklist!P112="",0,Checklist!P112)</f>
        <v>0</v>
      </c>
      <c r="W112" s="22"/>
      <c r="X112" s="334"/>
      <c r="Y112" s="333">
        <f>V112*AA112*X109</f>
        <v>0</v>
      </c>
      <c r="AA112" s="335">
        <v>0</v>
      </c>
    </row>
    <row r="113" spans="1:28" outlineLevel="3" x14ac:dyDescent="0.25">
      <c r="D113" s="32"/>
      <c r="E113" s="287" t="s">
        <v>1068</v>
      </c>
      <c r="F113" s="287" t="s">
        <v>943</v>
      </c>
      <c r="G113" s="287"/>
      <c r="H113" s="286">
        <f>IF(Checklist!J113="",0,Checklist!J113)</f>
        <v>1</v>
      </c>
      <c r="I113" s="286">
        <f>IF(Checklist!K113="",0,Checklist!K113)</f>
        <v>1</v>
      </c>
      <c r="J113" s="337"/>
      <c r="K113" s="337">
        <f>H113*AA113*J109</f>
        <v>0</v>
      </c>
      <c r="L113" s="338"/>
      <c r="M113" s="339">
        <f>I113*AA113*L108</f>
        <v>0</v>
      </c>
      <c r="N113" s="333"/>
      <c r="O113" s="333">
        <f>M113+K113</f>
        <v>0</v>
      </c>
      <c r="Q113" s="286">
        <f>IF(Checklist!M113="",0,Checklist!M113)</f>
        <v>1</v>
      </c>
      <c r="R113" s="22"/>
      <c r="S113" s="334"/>
      <c r="T113" s="333">
        <f>Q113*AA113*S109</f>
        <v>0</v>
      </c>
      <c r="V113" s="286">
        <f>IF(Checklist!P113="",0,Checklist!P113)</f>
        <v>1</v>
      </c>
      <c r="W113" s="22"/>
      <c r="X113" s="334"/>
      <c r="Y113" s="333">
        <f>V113*AA113*X109</f>
        <v>0</v>
      </c>
      <c r="AA113" s="335">
        <v>0</v>
      </c>
    </row>
    <row r="114" spans="1:28" outlineLevel="1" x14ac:dyDescent="0.25">
      <c r="H114" s="273"/>
      <c r="I114" s="273"/>
      <c r="J114" s="315"/>
      <c r="K114" s="315"/>
      <c r="L114" s="316"/>
      <c r="M114" s="315"/>
      <c r="N114" s="317"/>
      <c r="O114" s="317"/>
      <c r="Q114" s="273"/>
      <c r="R114" s="22"/>
      <c r="S114" s="315"/>
      <c r="T114" s="317"/>
      <c r="V114" s="273"/>
      <c r="W114" s="22"/>
      <c r="X114" s="315"/>
      <c r="Y114" s="317"/>
      <c r="AA114" s="318"/>
    </row>
    <row r="115" spans="1:28" outlineLevel="1" x14ac:dyDescent="0.25">
      <c r="C115" s="275" t="s">
        <v>781</v>
      </c>
      <c r="D115" s="275" t="s">
        <v>1069</v>
      </c>
      <c r="E115" s="275"/>
      <c r="F115" s="275"/>
      <c r="G115" s="275"/>
      <c r="H115" s="276"/>
      <c r="I115" s="277"/>
      <c r="J115" s="319">
        <f t="shared" si="23"/>
        <v>0</v>
      </c>
      <c r="K115" s="319">
        <f>K116+K122+K127+K133+K141</f>
        <v>0</v>
      </c>
      <c r="L115" s="320">
        <f t="shared" si="22"/>
        <v>0</v>
      </c>
      <c r="M115" s="320">
        <f>M116+M122+M127+M133+M141</f>
        <v>0</v>
      </c>
      <c r="N115" s="321">
        <f>N116+N122+N127+N133+N141</f>
        <v>0</v>
      </c>
      <c r="O115" s="321">
        <f>O116+O122+O127+O133+O141</f>
        <v>0</v>
      </c>
      <c r="Q115" s="276"/>
      <c r="R115" s="22"/>
      <c r="S115" s="321">
        <f>N115</f>
        <v>0</v>
      </c>
      <c r="T115" s="321">
        <f>T116+T122+T127+T133+T141</f>
        <v>0</v>
      </c>
      <c r="V115" s="276"/>
      <c r="W115" s="22"/>
      <c r="X115" s="321">
        <f>S115</f>
        <v>0</v>
      </c>
      <c r="Y115" s="321">
        <f>Y116+Y122+Y127+Y133+Y141</f>
        <v>0</v>
      </c>
      <c r="AA115" s="322"/>
      <c r="AB115" s="344"/>
    </row>
    <row r="116" spans="1:28" ht="30" customHeight="1" outlineLevel="2" x14ac:dyDescent="0.25">
      <c r="A116" s="274"/>
      <c r="C116" s="274"/>
      <c r="D116" s="278" t="s">
        <v>782</v>
      </c>
      <c r="E116" s="495" t="s">
        <v>1070</v>
      </c>
      <c r="F116" s="495"/>
      <c r="G116" s="495"/>
      <c r="H116" s="279" t="s">
        <v>730</v>
      </c>
      <c r="I116" s="280" t="s">
        <v>730</v>
      </c>
      <c r="J116" s="324">
        <f t="shared" si="23"/>
        <v>0</v>
      </c>
      <c r="K116" s="324">
        <f>IF(SUM(K117:K121)&gt;J116,J116,SUM(K117:K121))</f>
        <v>0</v>
      </c>
      <c r="L116" s="325">
        <f t="shared" si="22"/>
        <v>0</v>
      </c>
      <c r="M116" s="325">
        <f>IF(SUM(M117:M121)&gt;L116,L116,SUM(M117:M121))</f>
        <v>0</v>
      </c>
      <c r="N116" s="326">
        <f>Ponderações!P24*100</f>
        <v>0</v>
      </c>
      <c r="O116" s="326">
        <f>IF(SUM(O117:O121)&gt;N116,N116,SUM(O117:O121))</f>
        <v>0</v>
      </c>
      <c r="Q116" s="279" t="s">
        <v>730</v>
      </c>
      <c r="R116" s="22"/>
      <c r="S116" s="326">
        <f>N116</f>
        <v>0</v>
      </c>
      <c r="T116" s="326">
        <f>IF(SUM(T117:T121)&gt;S116,S116,SUM(T117:T121))</f>
        <v>0</v>
      </c>
      <c r="V116" s="279" t="s">
        <v>730</v>
      </c>
      <c r="W116" s="22"/>
      <c r="X116" s="326">
        <f>S116</f>
        <v>0</v>
      </c>
      <c r="Y116" s="326">
        <f>IF(SUM(Y117:Y121)&gt;X116,X116,SUM(Y117:Y121))</f>
        <v>0</v>
      </c>
      <c r="AA116" s="327"/>
      <c r="AB116" s="342"/>
    </row>
    <row r="117" spans="1:28" outlineLevel="3" x14ac:dyDescent="0.25">
      <c r="D117" s="214"/>
      <c r="E117" s="281" t="s">
        <v>1071</v>
      </c>
      <c r="F117" s="281" t="s">
        <v>1072</v>
      </c>
      <c r="G117" s="281"/>
      <c r="H117" s="282">
        <f>IF(Checklist!J117="",0,Checklist!J117)</f>
        <v>0</v>
      </c>
      <c r="I117" s="282">
        <f>IF(Checklist!K117="",0,Checklist!K117)</f>
        <v>0</v>
      </c>
      <c r="J117" s="337"/>
      <c r="K117" s="337">
        <f>H117*AA117*J116</f>
        <v>0</v>
      </c>
      <c r="L117" s="338"/>
      <c r="M117" s="339">
        <f>I117*AA117*L116</f>
        <v>0</v>
      </c>
      <c r="N117" s="333"/>
      <c r="O117" s="333">
        <f>M117+K117</f>
        <v>0</v>
      </c>
      <c r="Q117" s="282">
        <f>IF(Checklist!M117="",0,Checklist!M117)</f>
        <v>0</v>
      </c>
      <c r="R117" s="22"/>
      <c r="S117" s="334"/>
      <c r="T117" s="333">
        <f>Q117*AA117*S116</f>
        <v>0</v>
      </c>
      <c r="V117" s="282">
        <f>IF(Checklist!P117="",0,Checklist!P117)</f>
        <v>0</v>
      </c>
      <c r="W117" s="22"/>
      <c r="X117" s="334"/>
      <c r="Y117" s="333">
        <f>V117*AA117*X116</f>
        <v>0</v>
      </c>
      <c r="AA117" s="335">
        <v>1</v>
      </c>
    </row>
    <row r="118" spans="1:28" outlineLevel="3" x14ac:dyDescent="0.25">
      <c r="D118" s="214"/>
      <c r="E118" s="281" t="s">
        <v>1073</v>
      </c>
      <c r="F118" s="281" t="s">
        <v>1074</v>
      </c>
      <c r="G118" s="281"/>
      <c r="H118" s="282">
        <f>IF(Checklist!J118="",0,Checklist!J118)</f>
        <v>0</v>
      </c>
      <c r="I118" s="282">
        <f>IF(Checklist!K118="",0,Checklist!K118)</f>
        <v>0</v>
      </c>
      <c r="J118" s="337"/>
      <c r="K118" s="337">
        <f>H118*AA118*J116</f>
        <v>0</v>
      </c>
      <c r="L118" s="338"/>
      <c r="M118" s="339">
        <f>I118*AA118*L116</f>
        <v>0</v>
      </c>
      <c r="N118" s="333"/>
      <c r="O118" s="333">
        <f>M118+K118</f>
        <v>0</v>
      </c>
      <c r="Q118" s="282">
        <f>IF(Checklist!M118="",0,Checklist!M118)</f>
        <v>0</v>
      </c>
      <c r="R118" s="22"/>
      <c r="S118" s="334"/>
      <c r="T118" s="333">
        <f>Q118*AA118*S116</f>
        <v>0</v>
      </c>
      <c r="V118" s="282">
        <f>IF(Checklist!P118="",0,Checklist!P118)</f>
        <v>0</v>
      </c>
      <c r="W118" s="22"/>
      <c r="X118" s="334"/>
      <c r="Y118" s="333">
        <f>V118*AA118*X116</f>
        <v>0</v>
      </c>
      <c r="AA118" s="335">
        <v>0.75</v>
      </c>
    </row>
    <row r="119" spans="1:28" outlineLevel="3" x14ac:dyDescent="0.25">
      <c r="D119" s="214"/>
      <c r="E119" s="281" t="s">
        <v>1075</v>
      </c>
      <c r="F119" s="281" t="s">
        <v>1076</v>
      </c>
      <c r="G119" s="281"/>
      <c r="H119" s="282">
        <f>IF(Checklist!J119="",0,Checklist!J119)</f>
        <v>0</v>
      </c>
      <c r="I119" s="282">
        <f>IF(Checklist!K119="",0,Checklist!K119)</f>
        <v>0</v>
      </c>
      <c r="J119" s="337"/>
      <c r="K119" s="337">
        <f>H119*AA119*J116</f>
        <v>0</v>
      </c>
      <c r="L119" s="338"/>
      <c r="M119" s="339">
        <f>I119*AA119*L116</f>
        <v>0</v>
      </c>
      <c r="N119" s="333"/>
      <c r="O119" s="333">
        <f>M119+K119</f>
        <v>0</v>
      </c>
      <c r="Q119" s="282">
        <f>IF(Checklist!M119="",0,Checklist!M119)</f>
        <v>0</v>
      </c>
      <c r="R119" s="22"/>
      <c r="S119" s="334"/>
      <c r="T119" s="333">
        <f>Q119*AA119*S116</f>
        <v>0</v>
      </c>
      <c r="V119" s="282">
        <f>IF(Checklist!P119="",0,Checklist!P119)</f>
        <v>0</v>
      </c>
      <c r="W119" s="22"/>
      <c r="X119" s="334"/>
      <c r="Y119" s="333">
        <f>V119*AA119*X116</f>
        <v>0</v>
      </c>
      <c r="AA119" s="335">
        <v>0.25</v>
      </c>
    </row>
    <row r="120" spans="1:28" outlineLevel="3" x14ac:dyDescent="0.25">
      <c r="D120" s="214"/>
      <c r="E120" s="281" t="s">
        <v>1077</v>
      </c>
      <c r="F120" s="281" t="s">
        <v>1078</v>
      </c>
      <c r="G120" s="281"/>
      <c r="H120" s="282">
        <f>IF(Checklist!J120="",0,Checklist!J120)</f>
        <v>0</v>
      </c>
      <c r="I120" s="282">
        <f>IF(Checklist!K120="",0,Checklist!K120)</f>
        <v>0</v>
      </c>
      <c r="J120" s="337"/>
      <c r="K120" s="337">
        <f>H120*AA120*J116</f>
        <v>0</v>
      </c>
      <c r="L120" s="338"/>
      <c r="M120" s="339">
        <f>I120*AA120*L116</f>
        <v>0</v>
      </c>
      <c r="N120" s="333"/>
      <c r="O120" s="333">
        <f>M120+K120</f>
        <v>0</v>
      </c>
      <c r="Q120" s="282">
        <f>IF(Checklist!M120="",0,Checklist!M120)</f>
        <v>0</v>
      </c>
      <c r="R120" s="22"/>
      <c r="S120" s="334"/>
      <c r="T120" s="333">
        <f>Q120*AA120*S116</f>
        <v>0</v>
      </c>
      <c r="V120" s="282">
        <f>IF(Checklist!P120="",0,Checklist!P120)</f>
        <v>0</v>
      </c>
      <c r="W120" s="22"/>
      <c r="X120" s="334"/>
      <c r="Y120" s="333">
        <f>V120*AA120*X116</f>
        <v>0</v>
      </c>
      <c r="AA120" s="335">
        <v>0</v>
      </c>
    </row>
    <row r="121" spans="1:28" outlineLevel="3" x14ac:dyDescent="0.25">
      <c r="D121" s="214"/>
      <c r="E121" s="281" t="s">
        <v>1079</v>
      </c>
      <c r="F121" s="281" t="s">
        <v>943</v>
      </c>
      <c r="G121" s="281"/>
      <c r="H121" s="282">
        <f>IF(Checklist!J121="",0,Checklist!J121)</f>
        <v>1</v>
      </c>
      <c r="I121" s="282">
        <f>IF(Checklist!K121="",0,Checklist!K121)</f>
        <v>1</v>
      </c>
      <c r="J121" s="337"/>
      <c r="K121" s="337">
        <f>H121*AA121*J116</f>
        <v>0</v>
      </c>
      <c r="L121" s="338"/>
      <c r="M121" s="339">
        <f>I121*AA121*L116</f>
        <v>0</v>
      </c>
      <c r="N121" s="333"/>
      <c r="O121" s="333">
        <f>M121+K121</f>
        <v>0</v>
      </c>
      <c r="Q121" s="282">
        <f>IF(Checklist!M121="",0,Checklist!M121)</f>
        <v>1</v>
      </c>
      <c r="R121" s="22"/>
      <c r="S121" s="334"/>
      <c r="T121" s="333">
        <f>Q121*AA121*S116</f>
        <v>0</v>
      </c>
      <c r="V121" s="282">
        <f>IF(Checklist!P121="",0,Checklist!P121)</f>
        <v>1</v>
      </c>
      <c r="W121" s="22"/>
      <c r="X121" s="334"/>
      <c r="Y121" s="333">
        <f>V121*AA121*X116</f>
        <v>0</v>
      </c>
      <c r="AA121" s="335">
        <v>0</v>
      </c>
    </row>
    <row r="122" spans="1:28" ht="30.6" customHeight="1" outlineLevel="2" x14ac:dyDescent="0.25">
      <c r="C122" s="274"/>
      <c r="D122" s="290" t="s">
        <v>784</v>
      </c>
      <c r="E122" s="494" t="s">
        <v>1080</v>
      </c>
      <c r="F122" s="494"/>
      <c r="G122" s="494"/>
      <c r="H122" s="279" t="s">
        <v>730</v>
      </c>
      <c r="I122" s="280" t="s">
        <v>730</v>
      </c>
      <c r="J122" s="324">
        <f t="shared" si="23"/>
        <v>0</v>
      </c>
      <c r="K122" s="324">
        <f>IF(SUM(K123:K126)&gt;J122,J122,SUM(K123:K126))</f>
        <v>0</v>
      </c>
      <c r="L122" s="325">
        <f t="shared" si="22"/>
        <v>0</v>
      </c>
      <c r="M122" s="325">
        <f>IF(SUM(M123:M126)&gt;L122,L122,SUM(M123:M126))</f>
        <v>0</v>
      </c>
      <c r="N122" s="326">
        <f>Ponderações!P25*100</f>
        <v>0</v>
      </c>
      <c r="O122" s="326">
        <f>IF(SUM(O123:O126)&gt;N122,N122,SUM(O123:O126))</f>
        <v>0</v>
      </c>
      <c r="Q122" s="279" t="s">
        <v>730</v>
      </c>
      <c r="R122" s="22"/>
      <c r="S122" s="326">
        <f>N122</f>
        <v>0</v>
      </c>
      <c r="T122" s="326">
        <f>IF(SUM(T123:T126)&gt;S122,S122,SUM(T123:T126))</f>
        <v>0</v>
      </c>
      <c r="V122" s="279" t="s">
        <v>730</v>
      </c>
      <c r="W122" s="22"/>
      <c r="X122" s="326">
        <f>S122</f>
        <v>0</v>
      </c>
      <c r="Y122" s="326">
        <f>IF(SUM(Y123:Y126)&gt;X122,X122,SUM(Y123:Y126))</f>
        <v>0</v>
      </c>
      <c r="AA122" s="327"/>
      <c r="AB122" s="342"/>
    </row>
    <row r="123" spans="1:28" outlineLevel="3" x14ac:dyDescent="0.25">
      <c r="D123" s="213"/>
      <c r="E123" s="283" t="s">
        <v>1081</v>
      </c>
      <c r="F123" s="283" t="s">
        <v>1072</v>
      </c>
      <c r="G123" s="283"/>
      <c r="H123" s="282">
        <f>IF(Checklist!J123="",0,Checklist!J123)</f>
        <v>0</v>
      </c>
      <c r="I123" s="282">
        <f>IF(Checklist!K123="",0,Checklist!K123)</f>
        <v>0</v>
      </c>
      <c r="J123" s="337"/>
      <c r="K123" s="337">
        <f>H123*AA123*J122</f>
        <v>0</v>
      </c>
      <c r="L123" s="338"/>
      <c r="M123" s="339">
        <f>I123*AA123*L122</f>
        <v>0</v>
      </c>
      <c r="N123" s="333"/>
      <c r="O123" s="333">
        <f>M123+K123</f>
        <v>0</v>
      </c>
      <c r="Q123" s="282">
        <f>IF(Checklist!M123="",0,Checklist!M123)</f>
        <v>0</v>
      </c>
      <c r="R123" s="22"/>
      <c r="S123" s="334"/>
      <c r="T123" s="333">
        <f>Q123*AA123*S122</f>
        <v>0</v>
      </c>
      <c r="V123" s="282">
        <f>IF(Checklist!P123="",0,Checklist!P123)</f>
        <v>0</v>
      </c>
      <c r="W123" s="22"/>
      <c r="X123" s="334"/>
      <c r="Y123" s="333">
        <f>V123*AA123*X122</f>
        <v>0</v>
      </c>
      <c r="AA123" s="335">
        <v>1</v>
      </c>
    </row>
    <row r="124" spans="1:28" outlineLevel="3" x14ac:dyDescent="0.25">
      <c r="D124" s="213"/>
      <c r="E124" s="283" t="s">
        <v>1082</v>
      </c>
      <c r="F124" s="283" t="s">
        <v>1811</v>
      </c>
      <c r="G124" s="283"/>
      <c r="H124" s="282">
        <f>IF(Checklist!J124="",0,Checklist!J124)</f>
        <v>0</v>
      </c>
      <c r="I124" s="282">
        <f>IF(Checklist!K124="",0,Checklist!K124)</f>
        <v>0</v>
      </c>
      <c r="J124" s="337"/>
      <c r="K124" s="337">
        <f>H124*AA124*J122</f>
        <v>0</v>
      </c>
      <c r="L124" s="338"/>
      <c r="M124" s="339">
        <f>I124*AA124*L122</f>
        <v>0</v>
      </c>
      <c r="N124" s="333"/>
      <c r="O124" s="333">
        <f>M124+K124</f>
        <v>0</v>
      </c>
      <c r="Q124" s="282">
        <f>IF(Checklist!M124="",0,Checklist!M124)</f>
        <v>0</v>
      </c>
      <c r="R124" s="22"/>
      <c r="S124" s="334"/>
      <c r="T124" s="333">
        <f>Q124*AA124*S122</f>
        <v>0</v>
      </c>
      <c r="V124" s="282">
        <f>IF(Checklist!P124="",0,Checklist!P124)</f>
        <v>0</v>
      </c>
      <c r="W124" s="22"/>
      <c r="X124" s="334"/>
      <c r="Y124" s="333">
        <f>V124*AA124*X122</f>
        <v>0</v>
      </c>
      <c r="AA124" s="335">
        <v>0.5</v>
      </c>
    </row>
    <row r="125" spans="1:28" outlineLevel="3" x14ac:dyDescent="0.25">
      <c r="D125" s="213"/>
      <c r="E125" s="283" t="s">
        <v>1083</v>
      </c>
      <c r="F125" s="283" t="s">
        <v>1812</v>
      </c>
      <c r="G125" s="283"/>
      <c r="H125" s="282">
        <f>IF(Checklist!J125="",0,Checklist!J125)</f>
        <v>0</v>
      </c>
      <c r="I125" s="282">
        <f>IF(Checklist!K125="",0,Checklist!K125)</f>
        <v>0</v>
      </c>
      <c r="J125" s="337"/>
      <c r="K125" s="337">
        <f>H125*AA125*J122</f>
        <v>0</v>
      </c>
      <c r="L125" s="338"/>
      <c r="M125" s="339">
        <f>I125*AA125*L122</f>
        <v>0</v>
      </c>
      <c r="N125" s="333"/>
      <c r="O125" s="333">
        <f>M125+K125</f>
        <v>0</v>
      </c>
      <c r="Q125" s="282">
        <f>IF(Checklist!M125="",0,Checklist!M125)</f>
        <v>0</v>
      </c>
      <c r="R125" s="22"/>
      <c r="S125" s="334"/>
      <c r="T125" s="333">
        <f>Q125*AA125*S122</f>
        <v>0</v>
      </c>
      <c r="V125" s="282">
        <f>IF(Checklist!P125="",0,Checklist!P125)</f>
        <v>0</v>
      </c>
      <c r="W125" s="22"/>
      <c r="X125" s="334"/>
      <c r="Y125" s="333">
        <f>V125*AA125*X122</f>
        <v>0</v>
      </c>
      <c r="AA125" s="335">
        <v>0</v>
      </c>
    </row>
    <row r="126" spans="1:28" outlineLevel="3" x14ac:dyDescent="0.25">
      <c r="D126" s="213"/>
      <c r="E126" s="283" t="s">
        <v>1084</v>
      </c>
      <c r="F126" s="283" t="s">
        <v>943</v>
      </c>
      <c r="G126" s="283"/>
      <c r="H126" s="282">
        <f>IF(Checklist!J126="",0,Checklist!J126)</f>
        <v>1</v>
      </c>
      <c r="I126" s="282">
        <f>IF(Checklist!K126="",0,Checklist!K126)</f>
        <v>1</v>
      </c>
      <c r="J126" s="337"/>
      <c r="K126" s="337">
        <f>H126*AA126*J122</f>
        <v>0</v>
      </c>
      <c r="L126" s="338"/>
      <c r="M126" s="339">
        <f>I126*AA126*L122</f>
        <v>0</v>
      </c>
      <c r="N126" s="333"/>
      <c r="O126" s="333">
        <f>M126+K126</f>
        <v>0</v>
      </c>
      <c r="Q126" s="282">
        <f>IF(Checklist!M126="",0,Checklist!M126)</f>
        <v>1</v>
      </c>
      <c r="R126" s="22"/>
      <c r="S126" s="334"/>
      <c r="T126" s="333">
        <f>Q126*AA126*S122</f>
        <v>0</v>
      </c>
      <c r="V126" s="282">
        <f>IF(Checklist!P126="",0,Checklist!P126)</f>
        <v>1</v>
      </c>
      <c r="W126" s="22"/>
      <c r="X126" s="334"/>
      <c r="Y126" s="333">
        <f>V126*AA126*X122</f>
        <v>0</v>
      </c>
      <c r="AA126" s="335">
        <v>0</v>
      </c>
    </row>
    <row r="127" spans="1:28" ht="29.1" customHeight="1" outlineLevel="2" x14ac:dyDescent="0.25">
      <c r="C127" s="274"/>
      <c r="D127" s="278" t="s">
        <v>786</v>
      </c>
      <c r="E127" s="495" t="s">
        <v>1085</v>
      </c>
      <c r="F127" s="495"/>
      <c r="G127" s="495"/>
      <c r="H127" s="279" t="s">
        <v>730</v>
      </c>
      <c r="I127" s="280" t="s">
        <v>730</v>
      </c>
      <c r="J127" s="324">
        <f t="shared" si="23"/>
        <v>0</v>
      </c>
      <c r="K127" s="324">
        <f>IF(SUM(K128:K132)&gt;J127,J127,SUM(K128:K132))</f>
        <v>0</v>
      </c>
      <c r="L127" s="325">
        <f t="shared" si="22"/>
        <v>0</v>
      </c>
      <c r="M127" s="325">
        <f>IF(SUM(M128:M132)&gt;L127,L127,SUM(M128:M132))</f>
        <v>0</v>
      </c>
      <c r="N127" s="326">
        <f>Ponderações!P26*100</f>
        <v>0</v>
      </c>
      <c r="O127" s="326">
        <f>IF(SUM(O128:O132)&gt;N127,N127,SUM(O128:O132))</f>
        <v>0</v>
      </c>
      <c r="Q127" s="279" t="s">
        <v>730</v>
      </c>
      <c r="R127" s="22"/>
      <c r="S127" s="326">
        <f>N127</f>
        <v>0</v>
      </c>
      <c r="T127" s="326">
        <f>IF(SUM(T128:T132)&gt;S127,S127,SUM(T128:T132))</f>
        <v>0</v>
      </c>
      <c r="V127" s="279" t="s">
        <v>730</v>
      </c>
      <c r="W127" s="22"/>
      <c r="X127" s="326">
        <f>S127</f>
        <v>0</v>
      </c>
      <c r="Y127" s="326">
        <f>IF(SUM(Y128:Y132)&gt;X127,X127,SUM(Y128:Y132))</f>
        <v>0</v>
      </c>
      <c r="AA127" s="327"/>
      <c r="AB127" s="342"/>
    </row>
    <row r="128" spans="1:28" outlineLevel="3" x14ac:dyDescent="0.25">
      <c r="E128" s="35" t="s">
        <v>1086</v>
      </c>
      <c r="F128" s="35" t="s">
        <v>1812</v>
      </c>
      <c r="G128" s="35"/>
      <c r="H128" s="282">
        <f>IF(Checklist!J128="",0,Checklist!J128)</f>
        <v>0</v>
      </c>
      <c r="I128" s="282">
        <f>IF(Checklist!K128="",0,Checklist!K128)</f>
        <v>0</v>
      </c>
      <c r="J128" s="337"/>
      <c r="K128" s="337">
        <f>H128*AA128*J127</f>
        <v>0</v>
      </c>
      <c r="L128" s="338"/>
      <c r="M128" s="339">
        <f>I128*AA128*L127</f>
        <v>0</v>
      </c>
      <c r="N128" s="333"/>
      <c r="O128" s="333">
        <f>M128+K128</f>
        <v>0</v>
      </c>
      <c r="Q128" s="282">
        <f>IF(Checklist!M128="",0,Checklist!M128)</f>
        <v>0</v>
      </c>
      <c r="R128" s="22"/>
      <c r="S128" s="334"/>
      <c r="T128" s="333">
        <f>Q128*AA128*S127</f>
        <v>0</v>
      </c>
      <c r="V128" s="282">
        <f>IF(Checklist!P128="",0,Checklist!P128)</f>
        <v>0</v>
      </c>
      <c r="W128" s="22"/>
      <c r="X128" s="334"/>
      <c r="Y128" s="333">
        <f>V128*AA128*X127</f>
        <v>0</v>
      </c>
      <c r="AA128" s="335">
        <v>1</v>
      </c>
    </row>
    <row r="129" spans="3:28" outlineLevel="3" x14ac:dyDescent="0.25">
      <c r="E129" s="35" t="s">
        <v>1087</v>
      </c>
      <c r="F129" s="35" t="s">
        <v>1811</v>
      </c>
      <c r="G129" s="35"/>
      <c r="H129" s="282">
        <f>IF(Checklist!J129="",0,Checklist!J129)</f>
        <v>0</v>
      </c>
      <c r="I129" s="282">
        <f>IF(Checklist!K129="",0,Checklist!K129)</f>
        <v>0</v>
      </c>
      <c r="J129" s="337"/>
      <c r="K129" s="337">
        <f>H129*AA129*J127</f>
        <v>0</v>
      </c>
      <c r="L129" s="338"/>
      <c r="M129" s="339">
        <f>I129*AA129*L127</f>
        <v>0</v>
      </c>
      <c r="N129" s="333"/>
      <c r="O129" s="333">
        <f>M129+K129</f>
        <v>0</v>
      </c>
      <c r="Q129" s="282">
        <f>IF(Checklist!M129="",0,Checklist!M129)</f>
        <v>0</v>
      </c>
      <c r="R129" s="22"/>
      <c r="S129" s="334"/>
      <c r="T129" s="333">
        <f>Q129*AA129*S127</f>
        <v>0</v>
      </c>
      <c r="V129" s="282">
        <f>IF(Checklist!P129="",0,Checklist!P129)</f>
        <v>0</v>
      </c>
      <c r="W129" s="22"/>
      <c r="X129" s="334"/>
      <c r="Y129" s="333">
        <f>V129*AA129*X127</f>
        <v>0</v>
      </c>
      <c r="AA129" s="335">
        <v>0.75</v>
      </c>
    </row>
    <row r="130" spans="3:28" outlineLevel="3" x14ac:dyDescent="0.25">
      <c r="E130" s="35" t="s">
        <v>1088</v>
      </c>
      <c r="F130" s="35" t="s">
        <v>1089</v>
      </c>
      <c r="G130" s="35"/>
      <c r="H130" s="282">
        <f>IF(Checklist!J130="",0,Checklist!J130)</f>
        <v>0</v>
      </c>
      <c r="I130" s="282">
        <f>IF(Checklist!K130="",0,Checklist!K130)</f>
        <v>0</v>
      </c>
      <c r="J130" s="337"/>
      <c r="K130" s="337">
        <f>H130*AA130*J127</f>
        <v>0</v>
      </c>
      <c r="L130" s="338"/>
      <c r="M130" s="339">
        <f>I130*AA130*L127</f>
        <v>0</v>
      </c>
      <c r="N130" s="333"/>
      <c r="O130" s="333">
        <f>M130+K130</f>
        <v>0</v>
      </c>
      <c r="Q130" s="282">
        <f>IF(Checklist!M130="",0,Checklist!M130)</f>
        <v>0</v>
      </c>
      <c r="R130" s="22"/>
      <c r="S130" s="334"/>
      <c r="T130" s="333">
        <f>Q130*AA130*S127</f>
        <v>0</v>
      </c>
      <c r="V130" s="282">
        <f>IF(Checklist!P130="",0,Checklist!P130)</f>
        <v>0</v>
      </c>
      <c r="W130" s="22"/>
      <c r="X130" s="334"/>
      <c r="Y130" s="333">
        <f>V130*AA130*X127</f>
        <v>0</v>
      </c>
      <c r="AA130" s="335">
        <v>0.25</v>
      </c>
    </row>
    <row r="131" spans="3:28" outlineLevel="3" x14ac:dyDescent="0.25">
      <c r="E131" s="35" t="s">
        <v>1090</v>
      </c>
      <c r="F131" s="35" t="s">
        <v>962</v>
      </c>
      <c r="G131" s="35"/>
      <c r="H131" s="282">
        <f>IF(Checklist!J131="",0,Checklist!J131)</f>
        <v>0</v>
      </c>
      <c r="I131" s="282">
        <f>IF(Checklist!K131="",0,Checklist!K131)</f>
        <v>0</v>
      </c>
      <c r="J131" s="337"/>
      <c r="K131" s="337">
        <f>H131*AA131*J127</f>
        <v>0</v>
      </c>
      <c r="L131" s="338"/>
      <c r="M131" s="339">
        <f>I131*AA131*L127</f>
        <v>0</v>
      </c>
      <c r="N131" s="333"/>
      <c r="O131" s="333">
        <f>M131+K131</f>
        <v>0</v>
      </c>
      <c r="Q131" s="282">
        <f>IF(Checklist!M131="",0,Checklist!M131)</f>
        <v>0</v>
      </c>
      <c r="R131" s="22"/>
      <c r="S131" s="334"/>
      <c r="T131" s="333">
        <f>Q131*AA131*S127</f>
        <v>0</v>
      </c>
      <c r="V131" s="282">
        <f>IF(Checklist!P131="",0,Checklist!P131)</f>
        <v>0</v>
      </c>
      <c r="W131" s="22"/>
      <c r="X131" s="334"/>
      <c r="Y131" s="333">
        <f>V131*AA131*X127</f>
        <v>0</v>
      </c>
      <c r="AA131" s="335">
        <v>0</v>
      </c>
    </row>
    <row r="132" spans="3:28" outlineLevel="3" x14ac:dyDescent="0.25">
      <c r="E132" s="35" t="s">
        <v>1091</v>
      </c>
      <c r="F132" s="35" t="s">
        <v>943</v>
      </c>
      <c r="G132" s="35"/>
      <c r="H132" s="282">
        <f>IF(Checklist!J132="",0,Checklist!J132)</f>
        <v>1</v>
      </c>
      <c r="I132" s="282">
        <f>IF(Checklist!K132="",0,Checklist!K132)</f>
        <v>1</v>
      </c>
      <c r="J132" s="337"/>
      <c r="K132" s="337">
        <f>H132*AA132*J127</f>
        <v>0</v>
      </c>
      <c r="L132" s="338"/>
      <c r="M132" s="339">
        <f>I132*AA132*L127</f>
        <v>0</v>
      </c>
      <c r="N132" s="333"/>
      <c r="O132" s="333">
        <f>M132+K132</f>
        <v>0</v>
      </c>
      <c r="Q132" s="282">
        <f>IF(Checklist!M132="",0,Checklist!M132)</f>
        <v>1</v>
      </c>
      <c r="R132" s="22"/>
      <c r="S132" s="334"/>
      <c r="T132" s="333">
        <f>Q132*AA132*S127</f>
        <v>0</v>
      </c>
      <c r="V132" s="282">
        <f>IF(Checklist!P132="",0,Checklist!P132)</f>
        <v>1</v>
      </c>
      <c r="W132" s="22"/>
      <c r="X132" s="334"/>
      <c r="Y132" s="333">
        <f>V132*AA132*X127</f>
        <v>0</v>
      </c>
      <c r="AA132" s="335">
        <v>0</v>
      </c>
    </row>
    <row r="133" spans="3:28" ht="30.6" customHeight="1" outlineLevel="2" x14ac:dyDescent="0.25">
      <c r="C133" s="274"/>
      <c r="D133" s="278" t="s">
        <v>788</v>
      </c>
      <c r="E133" s="278" t="s">
        <v>1092</v>
      </c>
      <c r="F133" s="278"/>
      <c r="G133" s="278"/>
      <c r="H133" s="279" t="s">
        <v>732</v>
      </c>
      <c r="I133" s="280" t="s">
        <v>732</v>
      </c>
      <c r="J133" s="324">
        <f t="shared" ref="J133" si="32">N133*0.8</f>
        <v>0</v>
      </c>
      <c r="K133" s="324">
        <f>IF(SUM(K134:K140)&gt;J133,J133,SUM(K134:K140))</f>
        <v>0</v>
      </c>
      <c r="L133" s="325">
        <f t="shared" ref="L133" si="33">N133*0.2</f>
        <v>0</v>
      </c>
      <c r="M133" s="325">
        <f>IF(SUM(M134:M140)&gt;L133,L133,SUM(M134:M140))</f>
        <v>0</v>
      </c>
      <c r="N133" s="326">
        <f>Ponderações!P27*100</f>
        <v>0</v>
      </c>
      <c r="O133" s="326">
        <f>IF(SUM(O134:O140)&gt;N133,N133,SUM(O134:O140))</f>
        <v>0</v>
      </c>
      <c r="Q133" s="279" t="s">
        <v>732</v>
      </c>
      <c r="R133" s="22"/>
      <c r="S133" s="326">
        <f>N133</f>
        <v>0</v>
      </c>
      <c r="T133" s="326">
        <f>IF(SUM(T134:T140)&gt;S133,S133,SUM(T134:T140))</f>
        <v>0</v>
      </c>
      <c r="V133" s="279" t="s">
        <v>732</v>
      </c>
      <c r="W133" s="22"/>
      <c r="X133" s="326">
        <f>S133</f>
        <v>0</v>
      </c>
      <c r="Y133" s="326">
        <f>IF(SUM(Y134:Y140)&gt;X133,X133,SUM(Y134:Y140))</f>
        <v>0</v>
      </c>
      <c r="AA133" s="327"/>
      <c r="AB133" s="342"/>
    </row>
    <row r="134" spans="3:28" outlineLevel="3" x14ac:dyDescent="0.25">
      <c r="D134" s="214"/>
      <c r="E134" s="281" t="s">
        <v>1093</v>
      </c>
      <c r="F134" s="281" t="s">
        <v>1094</v>
      </c>
      <c r="G134" s="281"/>
      <c r="H134" s="285">
        <f>IF(Checklist!J134="",0,Checklist!J134)</f>
        <v>0</v>
      </c>
      <c r="I134" s="285">
        <f>IF(Checklist!K134="",0,Checklist!K134)</f>
        <v>0</v>
      </c>
      <c r="J134" s="337"/>
      <c r="K134" s="337">
        <f>H134*AA134*J133</f>
        <v>0</v>
      </c>
      <c r="L134" s="338"/>
      <c r="M134" s="339">
        <f>I134*AA134*L133</f>
        <v>0</v>
      </c>
      <c r="N134" s="333"/>
      <c r="O134" s="333">
        <f>M134+K134</f>
        <v>0</v>
      </c>
      <c r="Q134" s="285">
        <f>IF(Checklist!M134="",0,Checklist!M134)</f>
        <v>0</v>
      </c>
      <c r="R134" s="22"/>
      <c r="S134" s="334"/>
      <c r="T134" s="333">
        <f>Q134*AA134*S133</f>
        <v>0</v>
      </c>
      <c r="V134" s="285">
        <f>IF(Checklist!P134="",0,Checklist!P134)</f>
        <v>0</v>
      </c>
      <c r="W134" s="22"/>
      <c r="X134" s="334"/>
      <c r="Y134" s="333">
        <f>V134*AA134*X133</f>
        <v>0</v>
      </c>
      <c r="AA134" s="335">
        <v>0.3</v>
      </c>
    </row>
    <row r="135" spans="3:28" outlineLevel="3" x14ac:dyDescent="0.25">
      <c r="D135" s="214"/>
      <c r="E135" s="281" t="s">
        <v>1095</v>
      </c>
      <c r="F135" s="281" t="s">
        <v>1096</v>
      </c>
      <c r="G135" s="281"/>
      <c r="H135" s="285">
        <f>IF(Checklist!J135="",0,Checklist!J135)</f>
        <v>0</v>
      </c>
      <c r="I135" s="285">
        <f>IF(Checklist!K135="",0,Checklist!K135)</f>
        <v>0</v>
      </c>
      <c r="J135" s="337"/>
      <c r="K135" s="337">
        <f>H135*AA135*J133</f>
        <v>0</v>
      </c>
      <c r="L135" s="338"/>
      <c r="M135" s="339">
        <f>I135*AA135*L133</f>
        <v>0</v>
      </c>
      <c r="N135" s="333"/>
      <c r="O135" s="333">
        <f t="shared" ref="O135:O137" si="34">M135+K135</f>
        <v>0</v>
      </c>
      <c r="Q135" s="285">
        <f>IF(Checklist!M135="",0,Checklist!M135)</f>
        <v>0</v>
      </c>
      <c r="R135" s="22"/>
      <c r="S135" s="334"/>
      <c r="T135" s="333">
        <f>Q135*AA135*S133</f>
        <v>0</v>
      </c>
      <c r="V135" s="285">
        <f>IF(Checklist!P135="",0,Checklist!P135)</f>
        <v>0</v>
      </c>
      <c r="W135" s="22"/>
      <c r="X135" s="334"/>
      <c r="Y135" s="333">
        <f>V135*AA135*X133</f>
        <v>0</v>
      </c>
      <c r="AA135" s="335">
        <v>0.3</v>
      </c>
    </row>
    <row r="136" spans="3:28" outlineLevel="3" x14ac:dyDescent="0.25">
      <c r="D136" s="214"/>
      <c r="E136" s="281" t="s">
        <v>1097</v>
      </c>
      <c r="F136" s="281" t="s">
        <v>1098</v>
      </c>
      <c r="G136" s="281"/>
      <c r="H136" s="285">
        <f>IF(Checklist!J136="",0,Checklist!J136)</f>
        <v>0</v>
      </c>
      <c r="I136" s="285">
        <f>IF(Checklist!K136="",0,Checklist!K136)</f>
        <v>0</v>
      </c>
      <c r="J136" s="337"/>
      <c r="K136" s="337">
        <f>H136*AA136*J133</f>
        <v>0</v>
      </c>
      <c r="L136" s="338"/>
      <c r="M136" s="339">
        <f>I136*AA136*L133</f>
        <v>0</v>
      </c>
      <c r="N136" s="333"/>
      <c r="O136" s="333">
        <f>M136+K136</f>
        <v>0</v>
      </c>
      <c r="Q136" s="285">
        <f>IF(Checklist!M136="",0,Checklist!M136)</f>
        <v>0</v>
      </c>
      <c r="R136" s="22"/>
      <c r="S136" s="334"/>
      <c r="T136" s="333">
        <f>Q136*AA136*S133</f>
        <v>0</v>
      </c>
      <c r="V136" s="285">
        <f>IF(Checklist!P136="",0,Checklist!P136)</f>
        <v>0</v>
      </c>
      <c r="W136" s="22"/>
      <c r="X136" s="334"/>
      <c r="Y136" s="333">
        <f>V136*AA136*X133</f>
        <v>0</v>
      </c>
      <c r="AA136" s="335">
        <v>0.2</v>
      </c>
    </row>
    <row r="137" spans="3:28" outlineLevel="3" x14ac:dyDescent="0.25">
      <c r="D137" s="214"/>
      <c r="E137" s="281" t="s">
        <v>1099</v>
      </c>
      <c r="F137" s="281" t="s">
        <v>1100</v>
      </c>
      <c r="G137" s="281"/>
      <c r="H137" s="285">
        <f>IF(Checklist!J137="",0,Checklist!J137)</f>
        <v>0</v>
      </c>
      <c r="I137" s="285">
        <f>IF(Checklist!K137="",0,Checklist!K137)</f>
        <v>0</v>
      </c>
      <c r="J137" s="337"/>
      <c r="K137" s="337">
        <f>H137*AA137*J133</f>
        <v>0</v>
      </c>
      <c r="L137" s="338"/>
      <c r="M137" s="339">
        <f>I137*AA137*L133</f>
        <v>0</v>
      </c>
      <c r="N137" s="333"/>
      <c r="O137" s="333">
        <f t="shared" si="34"/>
        <v>0</v>
      </c>
      <c r="Q137" s="285">
        <f>IF(Checklist!M137="",0,Checklist!M137)</f>
        <v>0</v>
      </c>
      <c r="R137" s="22"/>
      <c r="S137" s="334"/>
      <c r="T137" s="333">
        <f>Q137*AA137*S133</f>
        <v>0</v>
      </c>
      <c r="V137" s="285">
        <f>IF(Checklist!P137="",0,Checklist!P137)</f>
        <v>0</v>
      </c>
      <c r="W137" s="22"/>
      <c r="X137" s="334"/>
      <c r="Y137" s="333">
        <f>V137*AA137*X133</f>
        <v>0</v>
      </c>
      <c r="AA137" s="335">
        <v>0.2</v>
      </c>
    </row>
    <row r="138" spans="3:28" outlineLevel="3" x14ac:dyDescent="0.25">
      <c r="D138" s="214"/>
      <c r="E138" s="281" t="s">
        <v>1101</v>
      </c>
      <c r="F138" s="281" t="s">
        <v>1860</v>
      </c>
      <c r="G138" s="281"/>
      <c r="H138" s="285">
        <f>IF(Checklist!J138="",0,Checklist!J138)</f>
        <v>0</v>
      </c>
      <c r="I138" s="285">
        <f>IF(Checklist!K138="",0,Checklist!K138)</f>
        <v>0</v>
      </c>
      <c r="J138" s="337"/>
      <c r="K138" s="337">
        <f>H138*AA138*J133</f>
        <v>0</v>
      </c>
      <c r="L138" s="338"/>
      <c r="M138" s="339">
        <f>I138*AA138*L133</f>
        <v>0</v>
      </c>
      <c r="N138" s="333"/>
      <c r="O138" s="333">
        <f>M138+K138</f>
        <v>0</v>
      </c>
      <c r="Q138" s="285">
        <f>IF(Checklist!M138="",0,Checklist!M138)</f>
        <v>0</v>
      </c>
      <c r="R138" s="22"/>
      <c r="S138" s="334"/>
      <c r="T138" s="333">
        <f>Q138*AA138*S133</f>
        <v>0</v>
      </c>
      <c r="V138" s="285">
        <f>IF(Checklist!P138="",0,Checklist!P138)</f>
        <v>0</v>
      </c>
      <c r="W138" s="22"/>
      <c r="X138" s="334"/>
      <c r="Y138" s="333">
        <f>V138*AA138*X133</f>
        <v>0</v>
      </c>
      <c r="AA138" s="335">
        <v>0.1</v>
      </c>
    </row>
    <row r="139" spans="3:28" outlineLevel="3" x14ac:dyDescent="0.25">
      <c r="D139" s="214"/>
      <c r="E139" s="281" t="s">
        <v>1102</v>
      </c>
      <c r="F139" s="281" t="s">
        <v>941</v>
      </c>
      <c r="G139" s="281"/>
      <c r="H139" s="285">
        <f>IF(Checklist!J139="",0,Checklist!J139)</f>
        <v>0</v>
      </c>
      <c r="I139" s="285">
        <f>IF(Checklist!K139="",0,Checklist!K139)</f>
        <v>0</v>
      </c>
      <c r="J139" s="337"/>
      <c r="K139" s="337">
        <f>H139*AA139*J133</f>
        <v>0</v>
      </c>
      <c r="L139" s="338"/>
      <c r="M139" s="339">
        <f>I139*AA139*L133</f>
        <v>0</v>
      </c>
      <c r="N139" s="333"/>
      <c r="O139" s="333">
        <f>M139+K139</f>
        <v>0</v>
      </c>
      <c r="Q139" s="285">
        <f>IF(Checklist!M139="",0,Checklist!M139)</f>
        <v>0</v>
      </c>
      <c r="R139" s="22"/>
      <c r="S139" s="334"/>
      <c r="T139" s="333">
        <f>Q139*AA139*S133</f>
        <v>0</v>
      </c>
      <c r="V139" s="285">
        <f>IF(Checklist!P139="",0,Checklist!P139)</f>
        <v>0</v>
      </c>
      <c r="W139" s="22"/>
      <c r="X139" s="334"/>
      <c r="Y139" s="333">
        <f>V139*AA139*X133</f>
        <v>0</v>
      </c>
      <c r="AA139" s="335">
        <v>0</v>
      </c>
    </row>
    <row r="140" spans="3:28" outlineLevel="3" x14ac:dyDescent="0.25">
      <c r="D140" s="214"/>
      <c r="E140" s="281" t="s">
        <v>1828</v>
      </c>
      <c r="F140" s="281" t="s">
        <v>943</v>
      </c>
      <c r="G140" s="281"/>
      <c r="H140" s="285">
        <f>IF(Checklist!J140="",0,Checklist!J140)</f>
        <v>0</v>
      </c>
      <c r="I140" s="285">
        <f>IF(Checklist!K140="",0,Checklist!K140)</f>
        <v>0</v>
      </c>
      <c r="J140" s="337"/>
      <c r="K140" s="337">
        <f>H140*AA140*J133</f>
        <v>0</v>
      </c>
      <c r="L140" s="338"/>
      <c r="M140" s="339">
        <f>I140*AA140*L133</f>
        <v>0</v>
      </c>
      <c r="N140" s="333"/>
      <c r="O140" s="333">
        <f>M140+K140</f>
        <v>0</v>
      </c>
      <c r="Q140" s="285">
        <f>IF(Checklist!M140="",0,Checklist!M140)</f>
        <v>0</v>
      </c>
      <c r="R140" s="22"/>
      <c r="S140" s="334"/>
      <c r="T140" s="333">
        <f>Q140*AA140*S133</f>
        <v>0</v>
      </c>
      <c r="V140" s="285">
        <f>IF(Checklist!P140="",0,Checklist!P140)</f>
        <v>0</v>
      </c>
      <c r="W140" s="22"/>
      <c r="X140" s="334"/>
      <c r="Y140" s="333">
        <f>V140*AA140*X133</f>
        <v>0</v>
      </c>
      <c r="AA140" s="335">
        <v>0</v>
      </c>
    </row>
    <row r="141" spans="3:28" outlineLevel="2" x14ac:dyDescent="0.25">
      <c r="D141" s="284" t="s">
        <v>790</v>
      </c>
      <c r="E141" s="284" t="s">
        <v>1103</v>
      </c>
      <c r="F141" s="284"/>
      <c r="G141" s="284"/>
      <c r="H141" s="279" t="s">
        <v>731</v>
      </c>
      <c r="I141" s="280" t="s">
        <v>731</v>
      </c>
      <c r="J141" s="324">
        <f t="shared" ref="J141" si="35">N141*0.8</f>
        <v>0</v>
      </c>
      <c r="K141" s="324">
        <f>IF(SUM(K142:K145)&gt;J141,J141,SUM(K142:K145))</f>
        <v>0</v>
      </c>
      <c r="L141" s="325">
        <f t="shared" ref="L141" si="36">N141*0.2</f>
        <v>0</v>
      </c>
      <c r="M141" s="325">
        <f>IF(SUM(M142:M145)&gt;L141,L141,SUM(M142:M145))</f>
        <v>0</v>
      </c>
      <c r="N141" s="326">
        <f>Ponderações!P28*100</f>
        <v>0</v>
      </c>
      <c r="O141" s="326">
        <f>IF(SUM(O142:O145)&gt;N141,N141,SUM(O142:O145))</f>
        <v>0</v>
      </c>
      <c r="Q141" s="279" t="s">
        <v>731</v>
      </c>
      <c r="R141" s="22"/>
      <c r="S141" s="326">
        <f>N141</f>
        <v>0</v>
      </c>
      <c r="T141" s="326">
        <f>IF(SUM(T142:T145)&gt;S141,S141,SUM(T142:T145))</f>
        <v>0</v>
      </c>
      <c r="V141" s="279" t="s">
        <v>731</v>
      </c>
      <c r="W141" s="22"/>
      <c r="X141" s="326">
        <f>S141</f>
        <v>0</v>
      </c>
      <c r="Y141" s="326">
        <f>IF(SUM(Y142:Y145)&gt;X141,X141,SUM(Y142:Y145))</f>
        <v>0</v>
      </c>
      <c r="AA141" s="327"/>
      <c r="AB141" s="342"/>
    </row>
    <row r="142" spans="3:28" outlineLevel="3" x14ac:dyDescent="0.25">
      <c r="E142" s="35" t="s">
        <v>1104</v>
      </c>
      <c r="F142" s="35" t="s">
        <v>1105</v>
      </c>
      <c r="G142" s="35"/>
      <c r="H142" s="285">
        <f>IF(Checklist!J142="",0,Checklist!J142)</f>
        <v>0</v>
      </c>
      <c r="I142" s="285">
        <f>IF(Checklist!K142="",0,Checklist!K142)</f>
        <v>0</v>
      </c>
      <c r="J142" s="337"/>
      <c r="K142" s="337">
        <f>H142*AA142*J141</f>
        <v>0</v>
      </c>
      <c r="L142" s="338"/>
      <c r="M142" s="339">
        <f>I142*AA142*L141</f>
        <v>0</v>
      </c>
      <c r="N142" s="333"/>
      <c r="O142" s="333">
        <f>M142+K142</f>
        <v>0</v>
      </c>
      <c r="Q142" s="285">
        <f>IF(Checklist!M142="",0,Checklist!M142)</f>
        <v>0</v>
      </c>
      <c r="R142" s="22"/>
      <c r="S142" s="334"/>
      <c r="T142" s="333">
        <f>Q142*AA142*S141</f>
        <v>0</v>
      </c>
      <c r="V142" s="285">
        <f>IF(Checklist!P142="",0,Checklist!P142)</f>
        <v>0</v>
      </c>
      <c r="W142" s="22"/>
      <c r="X142" s="334"/>
      <c r="Y142" s="333">
        <f>V142*AA142*X141</f>
        <v>0</v>
      </c>
      <c r="AA142" s="335">
        <v>1</v>
      </c>
    </row>
    <row r="143" spans="3:28" outlineLevel="3" x14ac:dyDescent="0.25">
      <c r="E143" s="35" t="s">
        <v>1106</v>
      </c>
      <c r="F143" s="35" t="s">
        <v>1107</v>
      </c>
      <c r="G143" s="35"/>
      <c r="H143" s="285">
        <f>IF(Checklist!J143="",0,Checklist!J143)</f>
        <v>0</v>
      </c>
      <c r="I143" s="285">
        <f>IF(Checklist!K143="",0,Checklist!K143)</f>
        <v>0</v>
      </c>
      <c r="J143" s="337"/>
      <c r="K143" s="337">
        <f>H143*AA143*J141</f>
        <v>0</v>
      </c>
      <c r="L143" s="338"/>
      <c r="M143" s="339">
        <f>I143*AA143*L141</f>
        <v>0</v>
      </c>
      <c r="N143" s="333"/>
      <c r="O143" s="333">
        <f>M143+K143</f>
        <v>0</v>
      </c>
      <c r="Q143" s="285">
        <f>IF(Checklist!M143="",0,Checklist!M143)</f>
        <v>0</v>
      </c>
      <c r="R143" s="22"/>
      <c r="S143" s="334"/>
      <c r="T143" s="333">
        <f>Q143*AA143*S141</f>
        <v>0</v>
      </c>
      <c r="V143" s="285">
        <f>IF(Checklist!P143="",0,Checklist!P143)</f>
        <v>0</v>
      </c>
      <c r="W143" s="22"/>
      <c r="X143" s="334"/>
      <c r="Y143" s="333">
        <f>V143*AA143*X141</f>
        <v>0</v>
      </c>
      <c r="AA143" s="335">
        <v>0</v>
      </c>
    </row>
    <row r="144" spans="3:28" outlineLevel="3" x14ac:dyDescent="0.25">
      <c r="E144" s="35" t="s">
        <v>1108</v>
      </c>
      <c r="F144" s="35" t="s">
        <v>1109</v>
      </c>
      <c r="G144" s="35"/>
      <c r="H144" s="285">
        <f>IF(Checklist!J144="",0,Checklist!J144)</f>
        <v>0</v>
      </c>
      <c r="I144" s="285">
        <f>IF(Checklist!K144="",0,Checklist!K144)</f>
        <v>0</v>
      </c>
      <c r="J144" s="337"/>
      <c r="K144" s="337">
        <f>H144*AA144*J141</f>
        <v>0</v>
      </c>
      <c r="L144" s="338"/>
      <c r="M144" s="339">
        <f>I144*AA144*L141</f>
        <v>0</v>
      </c>
      <c r="N144" s="333"/>
      <c r="O144" s="333">
        <f>M144+K144</f>
        <v>0</v>
      </c>
      <c r="Q144" s="285">
        <f>IF(Checklist!M144="",0,Checklist!M144)</f>
        <v>0</v>
      </c>
      <c r="R144" s="22"/>
      <c r="S144" s="334"/>
      <c r="T144" s="333">
        <f>Q144*AA144*S141</f>
        <v>0</v>
      </c>
      <c r="V144" s="285">
        <f>IF(Checklist!P144="",0,Checklist!P144)</f>
        <v>0</v>
      </c>
      <c r="W144" s="22"/>
      <c r="X144" s="334"/>
      <c r="Y144" s="333">
        <f>V144*AA144*X141</f>
        <v>0</v>
      </c>
      <c r="AA144" s="335">
        <v>0</v>
      </c>
    </row>
    <row r="145" spans="1:28" outlineLevel="3" x14ac:dyDescent="0.25">
      <c r="E145" s="35" t="s">
        <v>1110</v>
      </c>
      <c r="F145" s="35" t="s">
        <v>943</v>
      </c>
      <c r="G145" s="35"/>
      <c r="H145" s="285">
        <f>IF(Checklist!J145="",0,Checklist!J145)</f>
        <v>0</v>
      </c>
      <c r="I145" s="285">
        <f>IF(Checklist!K145="",0,Checklist!K145)</f>
        <v>0</v>
      </c>
      <c r="J145" s="337"/>
      <c r="K145" s="337">
        <f>H145*AA145*J141</f>
        <v>0</v>
      </c>
      <c r="L145" s="338"/>
      <c r="M145" s="339">
        <f>I145*AA145*L141</f>
        <v>0</v>
      </c>
      <c r="N145" s="333"/>
      <c r="O145" s="333">
        <f>M145+K145</f>
        <v>0</v>
      </c>
      <c r="Q145" s="285">
        <f>IF(Checklist!M145="",0,Checklist!M145)</f>
        <v>0</v>
      </c>
      <c r="R145" s="22"/>
      <c r="S145" s="334"/>
      <c r="T145" s="333">
        <f>Q145*AA145*S141</f>
        <v>0</v>
      </c>
      <c r="V145" s="285">
        <f>IF(Checklist!P145="",0,Checklist!P145)</f>
        <v>0</v>
      </c>
      <c r="W145" s="22"/>
      <c r="X145" s="334"/>
      <c r="Y145" s="333">
        <f>V145*AA145*X141</f>
        <v>0</v>
      </c>
      <c r="AA145" s="335">
        <v>0</v>
      </c>
    </row>
    <row r="146" spans="1:28" x14ac:dyDescent="0.25">
      <c r="B146" s="22"/>
      <c r="H146" s="273"/>
      <c r="I146" s="273"/>
      <c r="J146" s="315"/>
      <c r="K146" s="315"/>
      <c r="L146" s="316"/>
      <c r="M146" s="315"/>
      <c r="N146" s="317"/>
      <c r="O146" s="317"/>
      <c r="Q146" s="273"/>
      <c r="R146" s="22"/>
      <c r="S146" s="315"/>
      <c r="T146" s="317"/>
      <c r="V146" s="273"/>
      <c r="W146" s="22"/>
      <c r="X146" s="315"/>
      <c r="Y146" s="317"/>
      <c r="AA146" s="318"/>
    </row>
    <row r="147" spans="1:28" x14ac:dyDescent="0.25">
      <c r="B147" s="270">
        <v>3</v>
      </c>
      <c r="C147" s="271" t="s">
        <v>1730</v>
      </c>
      <c r="D147" s="271"/>
      <c r="E147" s="271"/>
      <c r="F147" s="271"/>
      <c r="G147" s="271"/>
      <c r="H147" s="272"/>
      <c r="I147" s="272"/>
      <c r="J147" s="312">
        <f>N147*0.8</f>
        <v>0</v>
      </c>
      <c r="K147" s="312">
        <f>K149+K192</f>
        <v>0</v>
      </c>
      <c r="L147" s="312">
        <f>N147*0.2</f>
        <v>0</v>
      </c>
      <c r="M147" s="312">
        <f>M149+M192</f>
        <v>0</v>
      </c>
      <c r="N147" s="312">
        <f>N149+N192</f>
        <v>0</v>
      </c>
      <c r="O147" s="312">
        <f>O149+O192</f>
        <v>0</v>
      </c>
      <c r="Q147" s="272"/>
      <c r="R147" s="22"/>
      <c r="S147" s="312">
        <f>N147</f>
        <v>0</v>
      </c>
      <c r="T147" s="312">
        <f>T149+T192</f>
        <v>0</v>
      </c>
      <c r="V147" s="272"/>
      <c r="W147" s="22"/>
      <c r="X147" s="312">
        <f>S147</f>
        <v>0</v>
      </c>
      <c r="Y147" s="312">
        <f>Y149+Y192</f>
        <v>0</v>
      </c>
      <c r="AA147" s="313"/>
      <c r="AB147" s="346"/>
    </row>
    <row r="148" spans="1:28" outlineLevel="1" x14ac:dyDescent="0.25">
      <c r="B148" s="22"/>
      <c r="H148" s="291"/>
      <c r="I148" s="291"/>
      <c r="J148" s="315"/>
      <c r="K148" s="315"/>
      <c r="L148" s="316"/>
      <c r="M148" s="315"/>
      <c r="N148" s="317"/>
      <c r="O148" s="317"/>
      <c r="Q148" s="291"/>
      <c r="R148" s="22"/>
      <c r="S148" s="315"/>
      <c r="T148" s="317"/>
      <c r="V148" s="291"/>
      <c r="W148" s="22"/>
      <c r="X148" s="315"/>
      <c r="Y148" s="317"/>
      <c r="AA148" s="347"/>
    </row>
    <row r="149" spans="1:28" outlineLevel="1" x14ac:dyDescent="0.25">
      <c r="B149" s="292"/>
      <c r="C149" s="348" t="s">
        <v>792</v>
      </c>
      <c r="D149" s="275" t="s">
        <v>793</v>
      </c>
      <c r="E149" s="275"/>
      <c r="F149" s="275"/>
      <c r="G149" s="275"/>
      <c r="H149" s="276"/>
      <c r="I149" s="277"/>
      <c r="J149" s="319">
        <f>N149*0.8</f>
        <v>0</v>
      </c>
      <c r="K149" s="319">
        <f>K150+K159+K166+K173+K179+K185</f>
        <v>0</v>
      </c>
      <c r="L149" s="320">
        <f>N149*0.2</f>
        <v>0</v>
      </c>
      <c r="M149" s="320">
        <f>M150+M159+M173+M166+M179+M185</f>
        <v>0</v>
      </c>
      <c r="N149" s="321">
        <f>N150+N159+N166+N173+N179+N185</f>
        <v>0</v>
      </c>
      <c r="O149" s="321">
        <f>O150+O159+O166+O179+O185+O173</f>
        <v>0</v>
      </c>
      <c r="Q149" s="276"/>
      <c r="R149" s="22"/>
      <c r="S149" s="321">
        <f>N149</f>
        <v>0</v>
      </c>
      <c r="T149" s="321">
        <f>T150+T159+T166+T179+T185+T173</f>
        <v>0</v>
      </c>
      <c r="V149" s="276"/>
      <c r="W149" s="22"/>
      <c r="X149" s="321">
        <f>S149</f>
        <v>0</v>
      </c>
      <c r="Y149" s="321">
        <f>Y150+Y159+Y166+Y179+Y185+Y173</f>
        <v>0</v>
      </c>
      <c r="AA149" s="322"/>
      <c r="AB149" s="344"/>
    </row>
    <row r="150" spans="1:28" ht="14.65" customHeight="1" outlineLevel="2" x14ac:dyDescent="0.25">
      <c r="A150" s="274"/>
      <c r="C150" s="274"/>
      <c r="D150" s="278" t="s">
        <v>794</v>
      </c>
      <c r="E150" s="278" t="s">
        <v>1111</v>
      </c>
      <c r="F150" s="278"/>
      <c r="G150" s="278"/>
      <c r="H150" s="279" t="s">
        <v>731</v>
      </c>
      <c r="I150" s="280" t="s">
        <v>731</v>
      </c>
      <c r="J150" s="324">
        <f t="shared" si="23"/>
        <v>0</v>
      </c>
      <c r="K150" s="324">
        <f>IF(SUM(K151:K158)&gt;J150,J150,SUM(K151:K158))</f>
        <v>0</v>
      </c>
      <c r="L150" s="325">
        <f t="shared" si="22"/>
        <v>0</v>
      </c>
      <c r="M150" s="325">
        <f>IF(SUM(M151:M158)&gt;L150,L150,SUM(M151:M158))</f>
        <v>0</v>
      </c>
      <c r="N150" s="326">
        <f>Ponderações!P31*100</f>
        <v>0</v>
      </c>
      <c r="O150" s="326">
        <f>IF(SUM(O151:O158)&gt;N150,N150,SUM(O151:O158))</f>
        <v>0</v>
      </c>
      <c r="Q150" s="279" t="s">
        <v>731</v>
      </c>
      <c r="R150" s="22"/>
      <c r="S150" s="326">
        <f>N150</f>
        <v>0</v>
      </c>
      <c r="T150" s="326">
        <f>IF(SUM(T151:T158)&gt;S150,S150,SUM(T151:T158))</f>
        <v>0</v>
      </c>
      <c r="V150" s="279" t="s">
        <v>731</v>
      </c>
      <c r="W150" s="22"/>
      <c r="X150" s="326">
        <f>S150</f>
        <v>0</v>
      </c>
      <c r="Y150" s="326">
        <f>IF(SUM(Y151:Y158)&gt;X150,X150,SUM(Y151:Y158))</f>
        <v>0</v>
      </c>
      <c r="AA150" s="327"/>
      <c r="AB150" s="342"/>
    </row>
    <row r="151" spans="1:28" outlineLevel="3" x14ac:dyDescent="0.25">
      <c r="D151" s="214"/>
      <c r="E151" s="281" t="s">
        <v>1112</v>
      </c>
      <c r="F151" s="281" t="s">
        <v>1113</v>
      </c>
      <c r="G151" s="281"/>
      <c r="H151" s="285">
        <f>IF(Checklist!J151="",0,Checklist!J151)</f>
        <v>0</v>
      </c>
      <c r="I151" s="285">
        <f>IF(Checklist!K151="",0,Checklist!K151)</f>
        <v>0</v>
      </c>
      <c r="J151" s="337"/>
      <c r="K151" s="337">
        <f>H151*AA151*J150</f>
        <v>0</v>
      </c>
      <c r="L151" s="338"/>
      <c r="M151" s="339">
        <f>I151*AA151*L150</f>
        <v>0</v>
      </c>
      <c r="N151" s="333"/>
      <c r="O151" s="333">
        <f t="shared" ref="O151:O158" si="37">M151+K151</f>
        <v>0</v>
      </c>
      <c r="Q151" s="285">
        <f>IF(Checklist!M151="",0,Checklist!M151)</f>
        <v>0</v>
      </c>
      <c r="R151" s="22"/>
      <c r="S151" s="334"/>
      <c r="T151" s="333">
        <f>Q151*AA151*S150</f>
        <v>0</v>
      </c>
      <c r="V151" s="285">
        <f>IF(Checklist!P151="",0,Checklist!P151)</f>
        <v>0</v>
      </c>
      <c r="W151" s="22"/>
      <c r="X151" s="334"/>
      <c r="Y151" s="333">
        <f>V151*AA151*X150</f>
        <v>0</v>
      </c>
      <c r="AA151" s="335">
        <v>1</v>
      </c>
    </row>
    <row r="152" spans="1:28" outlineLevel="3" x14ac:dyDescent="0.25">
      <c r="C152" s="239"/>
      <c r="D152" s="214"/>
      <c r="E152" s="281" t="s">
        <v>1114</v>
      </c>
      <c r="F152" s="281" t="s">
        <v>1115</v>
      </c>
      <c r="G152" s="281"/>
      <c r="H152" s="285">
        <f>IF(Checklist!J152="",0,Checklist!J152)</f>
        <v>0</v>
      </c>
      <c r="I152" s="285">
        <f>IF(Checklist!K152="",0,Checklist!K152)</f>
        <v>0</v>
      </c>
      <c r="J152" s="337"/>
      <c r="K152" s="337">
        <f>H152*AA152*J150</f>
        <v>0</v>
      </c>
      <c r="L152" s="338"/>
      <c r="M152" s="339">
        <f>I152*AA152*L150</f>
        <v>0</v>
      </c>
      <c r="N152" s="333"/>
      <c r="O152" s="333">
        <f t="shared" si="37"/>
        <v>0</v>
      </c>
      <c r="Q152" s="285">
        <f>IF(Checklist!M152="",0,Checklist!M152)</f>
        <v>0</v>
      </c>
      <c r="R152" s="22"/>
      <c r="S152" s="334"/>
      <c r="T152" s="333">
        <f>Q152*AA152*S150</f>
        <v>0</v>
      </c>
      <c r="V152" s="285">
        <f>IF(Checklist!P152="",0,Checklist!P152)</f>
        <v>0</v>
      </c>
      <c r="W152" s="22"/>
      <c r="X152" s="334"/>
      <c r="Y152" s="333">
        <f>V152*AA152*X150</f>
        <v>0</v>
      </c>
      <c r="AA152" s="335">
        <v>0.8</v>
      </c>
    </row>
    <row r="153" spans="1:28" outlineLevel="3" x14ac:dyDescent="0.25">
      <c r="C153" s="239"/>
      <c r="D153" s="214"/>
      <c r="E153" s="281" t="s">
        <v>1116</v>
      </c>
      <c r="F153" s="281" t="s">
        <v>1117</v>
      </c>
      <c r="G153" s="281"/>
      <c r="H153" s="285">
        <f>IF(Checklist!J153="",0,Checklist!J153)</f>
        <v>0</v>
      </c>
      <c r="I153" s="285">
        <f>IF(Checklist!K153="",0,Checklist!K153)</f>
        <v>0</v>
      </c>
      <c r="J153" s="337"/>
      <c r="K153" s="337">
        <f>H153*AA153*J150</f>
        <v>0</v>
      </c>
      <c r="L153" s="338"/>
      <c r="M153" s="339">
        <f>I153*AA153*L150</f>
        <v>0</v>
      </c>
      <c r="N153" s="333"/>
      <c r="O153" s="333">
        <f t="shared" si="37"/>
        <v>0</v>
      </c>
      <c r="Q153" s="285">
        <f>IF(Checklist!M153="",0,Checklist!M153)</f>
        <v>0</v>
      </c>
      <c r="R153" s="22"/>
      <c r="S153" s="334"/>
      <c r="T153" s="333">
        <f>Q153*AA153*S150</f>
        <v>0</v>
      </c>
      <c r="V153" s="285">
        <f>IF(Checklist!P153="",0,Checklist!P153)</f>
        <v>0</v>
      </c>
      <c r="W153" s="22"/>
      <c r="X153" s="334"/>
      <c r="Y153" s="333">
        <f>V153*AA153*X150</f>
        <v>0</v>
      </c>
      <c r="AA153" s="335">
        <v>0.6</v>
      </c>
    </row>
    <row r="154" spans="1:28" outlineLevel="3" x14ac:dyDescent="0.25">
      <c r="D154" s="214"/>
      <c r="E154" s="281" t="s">
        <v>1118</v>
      </c>
      <c r="F154" s="281" t="s">
        <v>1119</v>
      </c>
      <c r="G154" s="281"/>
      <c r="H154" s="285">
        <f>IF(Checklist!J154="",0,Checklist!J154)</f>
        <v>0</v>
      </c>
      <c r="I154" s="285">
        <f>IF(Checklist!K154="",0,Checklist!K154)</f>
        <v>0</v>
      </c>
      <c r="J154" s="337"/>
      <c r="K154" s="337">
        <f>H154*AA154*J150</f>
        <v>0</v>
      </c>
      <c r="L154" s="338"/>
      <c r="M154" s="339">
        <f>I154*AA154*L150</f>
        <v>0</v>
      </c>
      <c r="N154" s="333"/>
      <c r="O154" s="333">
        <f t="shared" si="37"/>
        <v>0</v>
      </c>
      <c r="Q154" s="285">
        <f>IF(Checklist!M154="",0,Checklist!M154)</f>
        <v>0</v>
      </c>
      <c r="R154" s="22"/>
      <c r="S154" s="334"/>
      <c r="T154" s="333">
        <f>Q154*AA154*S150</f>
        <v>0</v>
      </c>
      <c r="V154" s="285">
        <f>IF(Checklist!P154="",0,Checklist!P154)</f>
        <v>0</v>
      </c>
      <c r="W154" s="22"/>
      <c r="X154" s="334"/>
      <c r="Y154" s="333">
        <f>V154*AA154*X150</f>
        <v>0</v>
      </c>
      <c r="AA154" s="335">
        <v>0.4</v>
      </c>
    </row>
    <row r="155" spans="1:28" outlineLevel="3" x14ac:dyDescent="0.25">
      <c r="D155" s="214"/>
      <c r="E155" s="281" t="s">
        <v>1120</v>
      </c>
      <c r="F155" s="281" t="s">
        <v>1121</v>
      </c>
      <c r="G155" s="281"/>
      <c r="H155" s="285">
        <f>IF(Checklist!J155="",0,Checklist!J155)</f>
        <v>0</v>
      </c>
      <c r="I155" s="285">
        <f>IF(Checklist!K155="",0,Checklist!K155)</f>
        <v>0</v>
      </c>
      <c r="J155" s="337"/>
      <c r="K155" s="337">
        <f>H155*AA155*J150</f>
        <v>0</v>
      </c>
      <c r="L155" s="338"/>
      <c r="M155" s="339">
        <f>I155*AA155*L150</f>
        <v>0</v>
      </c>
      <c r="N155" s="333"/>
      <c r="O155" s="333">
        <f t="shared" si="37"/>
        <v>0</v>
      </c>
      <c r="Q155" s="285">
        <f>IF(Checklist!M155="",0,Checklist!M155)</f>
        <v>0</v>
      </c>
      <c r="R155" s="22"/>
      <c r="S155" s="334"/>
      <c r="T155" s="333">
        <f>Q155*AA155*S150</f>
        <v>0</v>
      </c>
      <c r="V155" s="285">
        <f>IF(Checklist!P155="",0,Checklist!P155)</f>
        <v>0</v>
      </c>
      <c r="W155" s="22"/>
      <c r="X155" s="334"/>
      <c r="Y155" s="333">
        <f>V155*AA155*X150</f>
        <v>0</v>
      </c>
      <c r="AA155" s="335">
        <v>0.2</v>
      </c>
    </row>
    <row r="156" spans="1:28" outlineLevel="3" x14ac:dyDescent="0.25">
      <c r="D156" s="214"/>
      <c r="E156" s="281" t="s">
        <v>1122</v>
      </c>
      <c r="F156" s="281" t="s">
        <v>1123</v>
      </c>
      <c r="G156" s="281"/>
      <c r="H156" s="285">
        <f>IF(Checklist!J156="",0,Checklist!J156)</f>
        <v>0</v>
      </c>
      <c r="I156" s="285">
        <f>IF(Checklist!K156="",0,Checklist!K156)</f>
        <v>0</v>
      </c>
      <c r="J156" s="337"/>
      <c r="K156" s="337">
        <f>H156*AA156*J150</f>
        <v>0</v>
      </c>
      <c r="L156" s="338"/>
      <c r="M156" s="339">
        <f>I156*AA156*L150</f>
        <v>0</v>
      </c>
      <c r="N156" s="333"/>
      <c r="O156" s="333">
        <f t="shared" si="37"/>
        <v>0</v>
      </c>
      <c r="Q156" s="285">
        <f>IF(Checklist!M156="",0,Checklist!M156)</f>
        <v>0</v>
      </c>
      <c r="R156" s="22"/>
      <c r="S156" s="334"/>
      <c r="T156" s="333">
        <f>Q156*AA156*S150</f>
        <v>0</v>
      </c>
      <c r="V156" s="285">
        <f>IF(Checklist!P156="",0,Checklist!P156)</f>
        <v>0</v>
      </c>
      <c r="W156" s="22"/>
      <c r="X156" s="334"/>
      <c r="Y156" s="333">
        <f>V156*AA156*X150</f>
        <v>0</v>
      </c>
      <c r="AA156" s="335">
        <v>0</v>
      </c>
    </row>
    <row r="157" spans="1:28" outlineLevel="3" x14ac:dyDescent="0.25">
      <c r="D157" s="214"/>
      <c r="E157" s="281" t="s">
        <v>1124</v>
      </c>
      <c r="F157" s="281" t="s">
        <v>941</v>
      </c>
      <c r="G157" s="281"/>
      <c r="H157" s="285">
        <f>IF(Checklist!J157="",0,Checklist!J157)</f>
        <v>0</v>
      </c>
      <c r="I157" s="285">
        <f>IF(Checklist!K157="",0,Checklist!K157)</f>
        <v>0</v>
      </c>
      <c r="J157" s="337"/>
      <c r="K157" s="337">
        <f>H157*AA157*J150</f>
        <v>0</v>
      </c>
      <c r="L157" s="338"/>
      <c r="M157" s="339">
        <f>I157*AA157*L150</f>
        <v>0</v>
      </c>
      <c r="N157" s="333"/>
      <c r="O157" s="333">
        <f t="shared" si="37"/>
        <v>0</v>
      </c>
      <c r="Q157" s="285">
        <f>IF(Checklist!M157="",0,Checklist!M157)</f>
        <v>0</v>
      </c>
      <c r="R157" s="22"/>
      <c r="S157" s="334"/>
      <c r="T157" s="333">
        <f>Q157*AA157*S150</f>
        <v>0</v>
      </c>
      <c r="V157" s="285">
        <f>IF(Checklist!P157="",0,Checklist!P157)</f>
        <v>0</v>
      </c>
      <c r="W157" s="22"/>
      <c r="X157" s="334"/>
      <c r="Y157" s="333">
        <f>V157*AA157*X150</f>
        <v>0</v>
      </c>
      <c r="AA157" s="335">
        <v>0</v>
      </c>
    </row>
    <row r="158" spans="1:28" outlineLevel="3" x14ac:dyDescent="0.25">
      <c r="D158" s="214"/>
      <c r="E158" s="281" t="s">
        <v>1125</v>
      </c>
      <c r="F158" s="281" t="s">
        <v>943</v>
      </c>
      <c r="G158" s="281"/>
      <c r="H158" s="285">
        <f>IF(Checklist!J158="",0,Checklist!J158)</f>
        <v>0</v>
      </c>
      <c r="I158" s="285">
        <f>IF(Checklist!K158="",0,Checklist!K158)</f>
        <v>0</v>
      </c>
      <c r="J158" s="337"/>
      <c r="K158" s="337">
        <f>H158*AA158*J150</f>
        <v>0</v>
      </c>
      <c r="L158" s="338"/>
      <c r="M158" s="339">
        <f>I158*AA158*L150</f>
        <v>0</v>
      </c>
      <c r="N158" s="333"/>
      <c r="O158" s="333">
        <f t="shared" si="37"/>
        <v>0</v>
      </c>
      <c r="Q158" s="285">
        <f>IF(Checklist!M158="",0,Checklist!M158)</f>
        <v>0</v>
      </c>
      <c r="R158" s="22"/>
      <c r="S158" s="334"/>
      <c r="T158" s="333">
        <f>Q158*AA158*S150</f>
        <v>0</v>
      </c>
      <c r="V158" s="285">
        <f>IF(Checklist!P158="",0,Checklist!P158)</f>
        <v>0</v>
      </c>
      <c r="W158" s="22"/>
      <c r="X158" s="334"/>
      <c r="Y158" s="333">
        <f>V158*AA158*X150</f>
        <v>0</v>
      </c>
      <c r="AA158" s="335">
        <v>0</v>
      </c>
    </row>
    <row r="159" spans="1:28" ht="14.65" customHeight="1" outlineLevel="2" x14ac:dyDescent="0.25">
      <c r="C159" s="274"/>
      <c r="D159" s="278" t="s">
        <v>795</v>
      </c>
      <c r="E159" s="495" t="s">
        <v>1126</v>
      </c>
      <c r="F159" s="495"/>
      <c r="G159" s="495"/>
      <c r="H159" s="279" t="s">
        <v>731</v>
      </c>
      <c r="I159" s="280" t="s">
        <v>731</v>
      </c>
      <c r="J159" s="324">
        <f t="shared" ref="J159:J233" si="38">N159*0.8</f>
        <v>0</v>
      </c>
      <c r="K159" s="324">
        <f>IF(SUM(K160:K165)&gt;J159,J159,SUM(K160:K165))</f>
        <v>0</v>
      </c>
      <c r="L159" s="325">
        <f t="shared" ref="L159:L233" si="39">N159*0.2</f>
        <v>0</v>
      </c>
      <c r="M159" s="325">
        <f>IF(SUM(M160:M165)&gt;L159,L159,SUM(M160:M165))</f>
        <v>0</v>
      </c>
      <c r="N159" s="326">
        <f>Ponderações!P32*100</f>
        <v>0</v>
      </c>
      <c r="O159" s="326">
        <f>IF(SUM(O160:O165)&gt;N159,N159,SUM(O160:O165))</f>
        <v>0</v>
      </c>
      <c r="Q159" s="279" t="s">
        <v>731</v>
      </c>
      <c r="R159" s="22"/>
      <c r="S159" s="326">
        <f>N159</f>
        <v>0</v>
      </c>
      <c r="T159" s="326">
        <f>IF(SUM(T160:T165)&gt;S159,S159,SUM(T160:T165))</f>
        <v>0</v>
      </c>
      <c r="V159" s="279" t="s">
        <v>731</v>
      </c>
      <c r="W159" s="22"/>
      <c r="X159" s="326">
        <f>S159</f>
        <v>0</v>
      </c>
      <c r="Y159" s="326">
        <f>IF(SUM(Y160:Y165)&gt;X159,X159,SUM(Y160:Y165))</f>
        <v>0</v>
      </c>
      <c r="AA159" s="327"/>
      <c r="AB159" s="342"/>
    </row>
    <row r="160" spans="1:28" outlineLevel="3" x14ac:dyDescent="0.25">
      <c r="D160" s="214"/>
      <c r="E160" s="281" t="s">
        <v>1127</v>
      </c>
      <c r="F160" s="281" t="s">
        <v>1128</v>
      </c>
      <c r="G160" s="281"/>
      <c r="H160" s="285">
        <f>IF(Checklist!J160="",0,Checklist!J160)</f>
        <v>0</v>
      </c>
      <c r="I160" s="285">
        <f>IF(Checklist!K160="",0,Checklist!K160)</f>
        <v>0</v>
      </c>
      <c r="J160" s="337"/>
      <c r="K160" s="337">
        <f>H160*AA160*J159</f>
        <v>0</v>
      </c>
      <c r="L160" s="338"/>
      <c r="M160" s="339">
        <f>I160*AA160*L159</f>
        <v>0</v>
      </c>
      <c r="N160" s="333"/>
      <c r="O160" s="333">
        <f t="shared" ref="O160:O165" si="40">M160+K160</f>
        <v>0</v>
      </c>
      <c r="Q160" s="285">
        <f>IF(Checklist!M160="",0,Checklist!M160)</f>
        <v>0</v>
      </c>
      <c r="R160" s="22"/>
      <c r="S160" s="334"/>
      <c r="T160" s="333">
        <f>Q160*AA160*S159</f>
        <v>0</v>
      </c>
      <c r="V160" s="285">
        <f>IF(Checklist!P160="",0,Checklist!P160)</f>
        <v>0</v>
      </c>
      <c r="W160" s="22"/>
      <c r="X160" s="334"/>
      <c r="Y160" s="333">
        <f>V160*AA160*X159</f>
        <v>0</v>
      </c>
      <c r="AA160" s="335">
        <v>1</v>
      </c>
    </row>
    <row r="161" spans="3:28" outlineLevel="3" x14ac:dyDescent="0.25">
      <c r="D161" s="214"/>
      <c r="E161" s="281" t="s">
        <v>1129</v>
      </c>
      <c r="F161" s="281" t="s">
        <v>1130</v>
      </c>
      <c r="G161" s="281"/>
      <c r="H161" s="285">
        <f>IF(Checklist!J161="",0,Checklist!J161)</f>
        <v>0</v>
      </c>
      <c r="I161" s="285">
        <f>IF(Checklist!K161="",0,Checklist!K161)</f>
        <v>0</v>
      </c>
      <c r="J161" s="337"/>
      <c r="K161" s="337">
        <f>H161*AA161*J159</f>
        <v>0</v>
      </c>
      <c r="L161" s="338"/>
      <c r="M161" s="339">
        <f>I161*AA161*L159</f>
        <v>0</v>
      </c>
      <c r="N161" s="333"/>
      <c r="O161" s="333">
        <f t="shared" si="40"/>
        <v>0</v>
      </c>
      <c r="Q161" s="285">
        <f>IF(Checklist!M161="",0,Checklist!M161)</f>
        <v>0</v>
      </c>
      <c r="R161" s="22"/>
      <c r="S161" s="334"/>
      <c r="T161" s="333">
        <f>Q161*AA161*S159</f>
        <v>0</v>
      </c>
      <c r="V161" s="285">
        <f>IF(Checklist!P161="",0,Checklist!P161)</f>
        <v>0</v>
      </c>
      <c r="W161" s="22"/>
      <c r="X161" s="334"/>
      <c r="Y161" s="333">
        <f>V161*AA161*X159</f>
        <v>0</v>
      </c>
      <c r="AA161" s="335">
        <v>0.75</v>
      </c>
    </row>
    <row r="162" spans="3:28" outlineLevel="3" x14ac:dyDescent="0.25">
      <c r="D162" s="214"/>
      <c r="E162" s="281" t="s">
        <v>1131</v>
      </c>
      <c r="F162" s="281" t="s">
        <v>1132</v>
      </c>
      <c r="G162" s="281"/>
      <c r="H162" s="285">
        <f>IF(Checklist!J162="",0,Checklist!J162)</f>
        <v>0</v>
      </c>
      <c r="I162" s="285">
        <f>IF(Checklist!K162="",0,Checklist!K162)</f>
        <v>0</v>
      </c>
      <c r="J162" s="337"/>
      <c r="K162" s="337">
        <f>H162*AA162*J159</f>
        <v>0</v>
      </c>
      <c r="L162" s="338"/>
      <c r="M162" s="339">
        <f>I162*AA162*L159</f>
        <v>0</v>
      </c>
      <c r="N162" s="333"/>
      <c r="O162" s="333">
        <f t="shared" si="40"/>
        <v>0</v>
      </c>
      <c r="Q162" s="285">
        <f>IF(Checklist!M162="",0,Checklist!M162)</f>
        <v>0</v>
      </c>
      <c r="R162" s="22"/>
      <c r="S162" s="334"/>
      <c r="T162" s="333">
        <f>Q162*AA162*S159</f>
        <v>0</v>
      </c>
      <c r="V162" s="285">
        <f>IF(Checklist!P162="",0,Checklist!P162)</f>
        <v>0</v>
      </c>
      <c r="W162" s="22"/>
      <c r="X162" s="334"/>
      <c r="Y162" s="333">
        <f>V162*AA162*X159</f>
        <v>0</v>
      </c>
      <c r="AA162" s="335">
        <v>0.5</v>
      </c>
    </row>
    <row r="163" spans="3:28" outlineLevel="3" x14ac:dyDescent="0.25">
      <c r="D163" s="214"/>
      <c r="E163" s="281" t="s">
        <v>1133</v>
      </c>
      <c r="F163" s="281" t="s">
        <v>1134</v>
      </c>
      <c r="G163" s="281"/>
      <c r="H163" s="285">
        <f>IF(Checklist!J163="",0,Checklist!J163)</f>
        <v>0</v>
      </c>
      <c r="I163" s="285">
        <f>IF(Checklist!K163="",0,Checklist!K163)</f>
        <v>0</v>
      </c>
      <c r="J163" s="337"/>
      <c r="K163" s="337">
        <f>H163*AA163*J159</f>
        <v>0</v>
      </c>
      <c r="L163" s="338"/>
      <c r="M163" s="339">
        <f>I163*AA163*L159</f>
        <v>0</v>
      </c>
      <c r="N163" s="333"/>
      <c r="O163" s="333">
        <f t="shared" si="40"/>
        <v>0</v>
      </c>
      <c r="Q163" s="285">
        <f>IF(Checklist!M163="",0,Checklist!M163)</f>
        <v>0</v>
      </c>
      <c r="R163" s="22"/>
      <c r="S163" s="334"/>
      <c r="T163" s="333">
        <f>Q163*AA163*S159</f>
        <v>0</v>
      </c>
      <c r="V163" s="285">
        <f>IF(Checklist!P163="",0,Checklist!P163)</f>
        <v>0</v>
      </c>
      <c r="W163" s="22"/>
      <c r="X163" s="334"/>
      <c r="Y163" s="333">
        <f>V163*AA163*X159</f>
        <v>0</v>
      </c>
      <c r="AA163" s="335">
        <v>0.25</v>
      </c>
    </row>
    <row r="164" spans="3:28" outlineLevel="3" x14ac:dyDescent="0.25">
      <c r="D164" s="214"/>
      <c r="E164" s="281" t="s">
        <v>1135</v>
      </c>
      <c r="F164" s="281" t="s">
        <v>941</v>
      </c>
      <c r="G164" s="281"/>
      <c r="H164" s="285">
        <f>IF(Checklist!J164="",0,Checklist!J164)</f>
        <v>0</v>
      </c>
      <c r="I164" s="285">
        <f>IF(Checklist!K164="",0,Checklist!K164)</f>
        <v>0</v>
      </c>
      <c r="J164" s="337"/>
      <c r="K164" s="337">
        <f>H164*AA164*J159</f>
        <v>0</v>
      </c>
      <c r="L164" s="338"/>
      <c r="M164" s="339">
        <f>I164*AA164*L159</f>
        <v>0</v>
      </c>
      <c r="N164" s="333"/>
      <c r="O164" s="333">
        <f t="shared" si="40"/>
        <v>0</v>
      </c>
      <c r="Q164" s="285">
        <f>IF(Checklist!M164="",0,Checklist!M164)</f>
        <v>0</v>
      </c>
      <c r="R164" s="22"/>
      <c r="S164" s="334"/>
      <c r="T164" s="333">
        <f>Q164*AA164*S159</f>
        <v>0</v>
      </c>
      <c r="V164" s="285">
        <f>IF(Checklist!P164="",0,Checklist!P164)</f>
        <v>0</v>
      </c>
      <c r="W164" s="22"/>
      <c r="X164" s="334"/>
      <c r="Y164" s="333">
        <f>V164*AA164*X159</f>
        <v>0</v>
      </c>
      <c r="AA164" s="335">
        <v>0</v>
      </c>
    </row>
    <row r="165" spans="3:28" outlineLevel="3" x14ac:dyDescent="0.25">
      <c r="D165" s="214"/>
      <c r="E165" s="281" t="s">
        <v>1136</v>
      </c>
      <c r="F165" s="281" t="s">
        <v>943</v>
      </c>
      <c r="G165" s="281"/>
      <c r="H165" s="285">
        <f>IF(Checklist!J165="",0,Checklist!J165)</f>
        <v>0</v>
      </c>
      <c r="I165" s="285">
        <f>IF(Checklist!K165="",0,Checklist!K165)</f>
        <v>0</v>
      </c>
      <c r="J165" s="337"/>
      <c r="K165" s="337">
        <f>H165*AA165*J159</f>
        <v>0</v>
      </c>
      <c r="L165" s="338"/>
      <c r="M165" s="339">
        <f>I165*AA165*L158</f>
        <v>0</v>
      </c>
      <c r="N165" s="333"/>
      <c r="O165" s="333">
        <f t="shared" si="40"/>
        <v>0</v>
      </c>
      <c r="Q165" s="285">
        <f>IF(Checklist!M165="",0,Checklist!M165)</f>
        <v>0</v>
      </c>
      <c r="R165" s="22"/>
      <c r="S165" s="334"/>
      <c r="T165" s="333">
        <f>Q165*AA165*S159</f>
        <v>0</v>
      </c>
      <c r="V165" s="285">
        <f>IF(Checklist!P165="",0,Checklist!P165)</f>
        <v>0</v>
      </c>
      <c r="W165" s="22"/>
      <c r="X165" s="334"/>
      <c r="Y165" s="333">
        <f>V165*AA165*X159</f>
        <v>0</v>
      </c>
      <c r="AA165" s="335">
        <v>0</v>
      </c>
    </row>
    <row r="166" spans="3:28" ht="14.65" customHeight="1" outlineLevel="2" x14ac:dyDescent="0.25">
      <c r="C166" s="274"/>
      <c r="D166" s="278" t="s">
        <v>797</v>
      </c>
      <c r="E166" s="495" t="s">
        <v>1137</v>
      </c>
      <c r="F166" s="495"/>
      <c r="G166" s="495"/>
      <c r="H166" s="279" t="s">
        <v>731</v>
      </c>
      <c r="I166" s="280" t="s">
        <v>731</v>
      </c>
      <c r="J166" s="324">
        <f>N166*0.8</f>
        <v>0</v>
      </c>
      <c r="K166" s="324">
        <f>IF(SUM(K167:K172)&gt;J166,J166,SUM(K167:K172))</f>
        <v>0</v>
      </c>
      <c r="L166" s="325">
        <f>N166*0.2</f>
        <v>0</v>
      </c>
      <c r="M166" s="325">
        <f>IF(SUM(M167:M172)&gt;L166,L166,SUM(M167:M172))</f>
        <v>0</v>
      </c>
      <c r="N166" s="326">
        <f>Ponderações!P33*100</f>
        <v>0</v>
      </c>
      <c r="O166" s="326">
        <f>IF(SUM(O167:O172)&gt;N166,N166,SUM(O167:O172))</f>
        <v>0</v>
      </c>
      <c r="Q166" s="279" t="s">
        <v>731</v>
      </c>
      <c r="R166" s="22"/>
      <c r="S166" s="326">
        <f>N166</f>
        <v>0</v>
      </c>
      <c r="T166" s="326">
        <f>IF(SUM(T167:T172)&gt;S166,S166,SUM(T167:T172))</f>
        <v>0</v>
      </c>
      <c r="V166" s="279" t="s">
        <v>731</v>
      </c>
      <c r="W166" s="22"/>
      <c r="X166" s="326">
        <f>S166</f>
        <v>0</v>
      </c>
      <c r="Y166" s="326">
        <f>IF(SUM(Y167:Y172)&gt;X166,X166,SUM(Y167:Y172))</f>
        <v>0</v>
      </c>
      <c r="AA166" s="327"/>
      <c r="AB166" s="342"/>
    </row>
    <row r="167" spans="3:28" outlineLevel="3" x14ac:dyDescent="0.25">
      <c r="C167" s="274"/>
      <c r="D167" s="214"/>
      <c r="E167" s="281" t="s">
        <v>1138</v>
      </c>
      <c r="F167" s="281" t="s">
        <v>1139</v>
      </c>
      <c r="G167" s="281"/>
      <c r="H167" s="285">
        <f>IF(Checklist!J167="",0,Checklist!J167)</f>
        <v>0</v>
      </c>
      <c r="I167" s="285">
        <f>IF(Checklist!K167="",0,Checklist!K167)</f>
        <v>0</v>
      </c>
      <c r="J167" s="337"/>
      <c r="K167" s="337">
        <f>H167*AA167*J166</f>
        <v>0</v>
      </c>
      <c r="L167" s="338"/>
      <c r="M167" s="339">
        <f>I167*AA167*L166</f>
        <v>0</v>
      </c>
      <c r="N167" s="333"/>
      <c r="O167" s="333">
        <f t="shared" ref="O167:O172" si="41">M167+K167</f>
        <v>0</v>
      </c>
      <c r="Q167" s="285">
        <f>IF(Checklist!M167="",0,Checklist!M167)</f>
        <v>0</v>
      </c>
      <c r="R167" s="22"/>
      <c r="S167" s="334"/>
      <c r="T167" s="333">
        <f>Q167*AA167*S166</f>
        <v>0</v>
      </c>
      <c r="V167" s="285">
        <f>IF(Checklist!P167="",0,Checklist!P167)</f>
        <v>0</v>
      </c>
      <c r="W167" s="22"/>
      <c r="X167" s="334"/>
      <c r="Y167" s="333">
        <f>V167*AA167*X166</f>
        <v>0</v>
      </c>
      <c r="AA167" s="335">
        <v>1</v>
      </c>
    </row>
    <row r="168" spans="3:28" outlineLevel="3" x14ac:dyDescent="0.25">
      <c r="D168" s="214"/>
      <c r="E168" s="281" t="s">
        <v>1140</v>
      </c>
      <c r="F168" s="281" t="s">
        <v>1141</v>
      </c>
      <c r="G168" s="281"/>
      <c r="H168" s="285">
        <f>IF(Checklist!J168="",0,Checklist!J168)</f>
        <v>0</v>
      </c>
      <c r="I168" s="285">
        <f>IF(Checklist!K168="",0,Checklist!K168)</f>
        <v>0</v>
      </c>
      <c r="J168" s="337"/>
      <c r="K168" s="337">
        <f>H168*AA168*J166</f>
        <v>0</v>
      </c>
      <c r="L168" s="338"/>
      <c r="M168" s="339">
        <f>I168*AA168*L166</f>
        <v>0</v>
      </c>
      <c r="N168" s="333"/>
      <c r="O168" s="333">
        <f t="shared" si="41"/>
        <v>0</v>
      </c>
      <c r="Q168" s="285">
        <f>IF(Checklist!M168="",0,Checklist!M168)</f>
        <v>0</v>
      </c>
      <c r="R168" s="22"/>
      <c r="S168" s="334"/>
      <c r="T168" s="333">
        <f>Q168*AA168*S166</f>
        <v>0</v>
      </c>
      <c r="V168" s="285">
        <f>IF(Checklist!P168="",0,Checklist!P168)</f>
        <v>0</v>
      </c>
      <c r="W168" s="22"/>
      <c r="X168" s="334"/>
      <c r="Y168" s="333">
        <f>V168*AA168*X166</f>
        <v>0</v>
      </c>
      <c r="AA168" s="335">
        <v>0.75</v>
      </c>
    </row>
    <row r="169" spans="3:28" outlineLevel="3" x14ac:dyDescent="0.25">
      <c r="D169" s="214"/>
      <c r="E169" s="281" t="s">
        <v>1142</v>
      </c>
      <c r="F169" s="281" t="s">
        <v>1143</v>
      </c>
      <c r="G169" s="281"/>
      <c r="H169" s="285">
        <f>IF(Checklist!J169="",0,Checklist!J169)</f>
        <v>0</v>
      </c>
      <c r="I169" s="285">
        <f>IF(Checklist!K169="",0,Checklist!K169)</f>
        <v>0</v>
      </c>
      <c r="J169" s="337"/>
      <c r="K169" s="337">
        <f>H169*AA169*J166</f>
        <v>0</v>
      </c>
      <c r="L169" s="338"/>
      <c r="M169" s="339">
        <f>I169*AA169*L166</f>
        <v>0</v>
      </c>
      <c r="N169" s="333"/>
      <c r="O169" s="333">
        <f t="shared" si="41"/>
        <v>0</v>
      </c>
      <c r="Q169" s="285">
        <f>IF(Checklist!M169="",0,Checklist!M169)</f>
        <v>0</v>
      </c>
      <c r="R169" s="22"/>
      <c r="S169" s="334"/>
      <c r="T169" s="333">
        <f>Q169*AA169*S166</f>
        <v>0</v>
      </c>
      <c r="V169" s="285">
        <f>IF(Checklist!P169="",0,Checklist!P169)</f>
        <v>0</v>
      </c>
      <c r="W169" s="22"/>
      <c r="X169" s="334"/>
      <c r="Y169" s="333">
        <f>V169*AA169*X166</f>
        <v>0</v>
      </c>
      <c r="AA169" s="335">
        <v>0.25</v>
      </c>
    </row>
    <row r="170" spans="3:28" outlineLevel="3" x14ac:dyDescent="0.25">
      <c r="D170" s="214"/>
      <c r="E170" s="281" t="s">
        <v>1144</v>
      </c>
      <c r="F170" s="281" t="s">
        <v>1145</v>
      </c>
      <c r="G170" s="281"/>
      <c r="H170" s="285">
        <f>IF(Checklist!J170="",0,Checklist!J170)</f>
        <v>0</v>
      </c>
      <c r="I170" s="285">
        <f>IF(Checklist!K170="",0,Checklist!K170)</f>
        <v>0</v>
      </c>
      <c r="J170" s="337"/>
      <c r="K170" s="337">
        <f>H170*AA170*J166</f>
        <v>0</v>
      </c>
      <c r="L170" s="338"/>
      <c r="M170" s="339">
        <f>I170*AA170*L166</f>
        <v>0</v>
      </c>
      <c r="N170" s="333"/>
      <c r="O170" s="333">
        <f t="shared" si="41"/>
        <v>0</v>
      </c>
      <c r="Q170" s="285">
        <f>IF(Checklist!M170="",0,Checklist!M170)</f>
        <v>0</v>
      </c>
      <c r="R170" s="22"/>
      <c r="S170" s="334"/>
      <c r="T170" s="333">
        <f>Q170*AA170*S166</f>
        <v>0</v>
      </c>
      <c r="V170" s="285">
        <f>IF(Checklist!P170="",0,Checklist!P170)</f>
        <v>0</v>
      </c>
      <c r="W170" s="22"/>
      <c r="X170" s="334"/>
      <c r="Y170" s="333">
        <f>V170*AA170*X166</f>
        <v>0</v>
      </c>
      <c r="AA170" s="335">
        <v>0</v>
      </c>
    </row>
    <row r="171" spans="3:28" outlineLevel="3" x14ac:dyDescent="0.25">
      <c r="D171" s="214"/>
      <c r="E171" s="281" t="s">
        <v>1146</v>
      </c>
      <c r="F171" s="281" t="s">
        <v>941</v>
      </c>
      <c r="G171" s="281"/>
      <c r="H171" s="285">
        <f>IF(Checklist!J171="",0,Checklist!J171)</f>
        <v>0</v>
      </c>
      <c r="I171" s="285">
        <f>IF(Checklist!K171="",0,Checklist!K171)</f>
        <v>0</v>
      </c>
      <c r="J171" s="337"/>
      <c r="K171" s="337">
        <f>H171*AA171*J166</f>
        <v>0</v>
      </c>
      <c r="L171" s="338"/>
      <c r="M171" s="339">
        <f>I171*AA171*L166</f>
        <v>0</v>
      </c>
      <c r="N171" s="333"/>
      <c r="O171" s="333">
        <f t="shared" si="41"/>
        <v>0</v>
      </c>
      <c r="Q171" s="285">
        <f>IF(Checklist!M171="",0,Checklist!M171)</f>
        <v>0</v>
      </c>
      <c r="R171" s="22"/>
      <c r="S171" s="334"/>
      <c r="T171" s="333">
        <f>Q171*AA171*S166</f>
        <v>0</v>
      </c>
      <c r="V171" s="285">
        <f>IF(Checklist!P171="",0,Checklist!P171)</f>
        <v>0</v>
      </c>
      <c r="W171" s="22"/>
      <c r="X171" s="334"/>
      <c r="Y171" s="333">
        <f>V171*AA171*X166</f>
        <v>0</v>
      </c>
      <c r="AA171" s="335">
        <v>0</v>
      </c>
    </row>
    <row r="172" spans="3:28" outlineLevel="3" x14ac:dyDescent="0.25">
      <c r="D172" s="214"/>
      <c r="E172" s="281" t="s">
        <v>1147</v>
      </c>
      <c r="F172" s="281" t="s">
        <v>943</v>
      </c>
      <c r="G172" s="281"/>
      <c r="H172" s="285">
        <f>IF(Checklist!J172="",0,Checklist!J172)</f>
        <v>0</v>
      </c>
      <c r="I172" s="285">
        <f>IF(Checklist!K172="",0,Checklist!K172)</f>
        <v>0</v>
      </c>
      <c r="J172" s="337"/>
      <c r="K172" s="337">
        <f>H172*AA172*J166</f>
        <v>0</v>
      </c>
      <c r="L172" s="338"/>
      <c r="M172" s="339">
        <f>I172*AA172*L166</f>
        <v>0</v>
      </c>
      <c r="N172" s="333"/>
      <c r="O172" s="333">
        <f t="shared" si="41"/>
        <v>0</v>
      </c>
      <c r="Q172" s="285">
        <f>IF(Checklist!M172="",0,Checklist!M172)</f>
        <v>0</v>
      </c>
      <c r="R172" s="22"/>
      <c r="S172" s="334"/>
      <c r="T172" s="333">
        <f>Q172*AA172*S166</f>
        <v>0</v>
      </c>
      <c r="V172" s="285">
        <f>IF(Checklist!P172="",0,Checklist!P172)</f>
        <v>0</v>
      </c>
      <c r="W172" s="22"/>
      <c r="X172" s="334"/>
      <c r="Y172" s="333">
        <f>V172*AA172*X166</f>
        <v>0</v>
      </c>
      <c r="AA172" s="335">
        <v>0</v>
      </c>
    </row>
    <row r="173" spans="3:28" ht="14.65" customHeight="1" outlineLevel="2" x14ac:dyDescent="0.25">
      <c r="D173" s="278" t="s">
        <v>799</v>
      </c>
      <c r="E173" s="284" t="s">
        <v>1148</v>
      </c>
      <c r="F173" s="284"/>
      <c r="G173" s="284"/>
      <c r="H173" s="289" t="s">
        <v>731</v>
      </c>
      <c r="I173" s="288" t="s">
        <v>731</v>
      </c>
      <c r="J173" s="324">
        <f t="shared" ref="J173" si="42">N173*0.8</f>
        <v>0</v>
      </c>
      <c r="K173" s="324">
        <f>IF(SUM(K174:K178)&gt;J173,J173,SUM(K174:K178))</f>
        <v>0</v>
      </c>
      <c r="L173" s="325">
        <f t="shared" ref="L173" si="43">N173*0.2</f>
        <v>0</v>
      </c>
      <c r="M173" s="325">
        <f>IF(SUM(M174:M178)&gt;L173,L173,SUM(M174:M178))</f>
        <v>0</v>
      </c>
      <c r="N173" s="326">
        <f>Ponderações!P34*100</f>
        <v>0</v>
      </c>
      <c r="O173" s="326">
        <f>IF(SUM(O174:O178)&gt;N173,N173,SUM(O174:O178))</f>
        <v>0</v>
      </c>
      <c r="Q173" s="279" t="s">
        <v>731</v>
      </c>
      <c r="R173" s="22"/>
      <c r="S173" s="326">
        <f>N173</f>
        <v>0</v>
      </c>
      <c r="T173" s="326">
        <f>IF(SUM(T174:T178)&gt;S173,S173,SUM(T174:T178))</f>
        <v>0</v>
      </c>
      <c r="V173" s="279" t="s">
        <v>731</v>
      </c>
      <c r="W173" s="22"/>
      <c r="X173" s="326">
        <f>S173</f>
        <v>0</v>
      </c>
      <c r="Y173" s="326">
        <f>IF(SUM(Y174:Y178)&gt;X173,X173,SUM(Y174:Y178))</f>
        <v>0</v>
      </c>
      <c r="AA173" s="327"/>
      <c r="AB173" s="342"/>
    </row>
    <row r="174" spans="3:28" outlineLevel="3" x14ac:dyDescent="0.25">
      <c r="E174" s="281" t="s">
        <v>1149</v>
      </c>
      <c r="F174" s="35" t="s">
        <v>1150</v>
      </c>
      <c r="G174" s="35"/>
      <c r="H174" s="285">
        <f>IF(Checklist!J174="",0,Checklist!J174)</f>
        <v>0</v>
      </c>
      <c r="I174" s="285">
        <f>IF(Checklist!K174="",0,Checklist!K174)</f>
        <v>0</v>
      </c>
      <c r="J174" s="337"/>
      <c r="K174" s="337">
        <f>H174*AA174*J173</f>
        <v>0</v>
      </c>
      <c r="L174" s="338"/>
      <c r="M174" s="339">
        <f>I174*AA174*L173</f>
        <v>0</v>
      </c>
      <c r="N174" s="333"/>
      <c r="O174" s="333">
        <f>M174+K174</f>
        <v>0</v>
      </c>
      <c r="Q174" s="285">
        <f>IF(Checklist!M174="",0,Checklist!M174)</f>
        <v>0</v>
      </c>
      <c r="R174" s="22"/>
      <c r="S174" s="334"/>
      <c r="T174" s="333">
        <f>Q174*AA174*S173</f>
        <v>0</v>
      </c>
      <c r="V174" s="285">
        <f>IF(Checklist!P174="",0,Checklist!P174)</f>
        <v>0</v>
      </c>
      <c r="W174" s="22"/>
      <c r="X174" s="334"/>
      <c r="Y174" s="333">
        <f>V174*AA174*X173</f>
        <v>0</v>
      </c>
      <c r="AA174" s="335">
        <v>1</v>
      </c>
    </row>
    <row r="175" spans="3:28" outlineLevel="3" x14ac:dyDescent="0.25">
      <c r="E175" s="281" t="s">
        <v>1151</v>
      </c>
      <c r="F175" s="35" t="s">
        <v>1152</v>
      </c>
      <c r="G175" s="35"/>
      <c r="H175" s="285">
        <f>IF(Checklist!J175="",0,Checklist!J175)</f>
        <v>0</v>
      </c>
      <c r="I175" s="285">
        <f>IF(Checklist!K175="",0,Checklist!K175)</f>
        <v>0</v>
      </c>
      <c r="J175" s="337"/>
      <c r="K175" s="337">
        <f>H175*AA175*J173</f>
        <v>0</v>
      </c>
      <c r="L175" s="338"/>
      <c r="M175" s="339">
        <f>I175*AA175*L173</f>
        <v>0</v>
      </c>
      <c r="N175" s="333"/>
      <c r="O175" s="333">
        <f>M175+K175</f>
        <v>0</v>
      </c>
      <c r="Q175" s="285">
        <f>IF(Checklist!M175="",0,Checklist!M175)</f>
        <v>0</v>
      </c>
      <c r="R175" s="22"/>
      <c r="S175" s="334"/>
      <c r="T175" s="333">
        <f>Q175*AA175*S173</f>
        <v>0</v>
      </c>
      <c r="V175" s="285">
        <f>IF(Checklist!P175="",0,Checklist!P175)</f>
        <v>0</v>
      </c>
      <c r="W175" s="22"/>
      <c r="X175" s="334"/>
      <c r="Y175" s="333">
        <f>V175*AA175*X173</f>
        <v>0</v>
      </c>
      <c r="AA175" s="335">
        <v>0.5</v>
      </c>
    </row>
    <row r="176" spans="3:28" outlineLevel="3" x14ac:dyDescent="0.25">
      <c r="E176" s="281" t="s">
        <v>1153</v>
      </c>
      <c r="F176" s="35" t="s">
        <v>1154</v>
      </c>
      <c r="G176" s="35"/>
      <c r="H176" s="285">
        <f>IF(Checklist!J176="",0,Checklist!J176)</f>
        <v>0</v>
      </c>
      <c r="I176" s="285">
        <f>IF(Checklist!K176="",0,Checklist!K176)</f>
        <v>0</v>
      </c>
      <c r="J176" s="337"/>
      <c r="K176" s="337">
        <f>H176*AA176*J173</f>
        <v>0</v>
      </c>
      <c r="L176" s="338"/>
      <c r="M176" s="339">
        <f>I176*AA176*L173</f>
        <v>0</v>
      </c>
      <c r="N176" s="333"/>
      <c r="O176" s="333">
        <f>M176+K176</f>
        <v>0</v>
      </c>
      <c r="Q176" s="285">
        <f>IF(Checklist!M176="",0,Checklist!M176)</f>
        <v>0</v>
      </c>
      <c r="R176" s="22"/>
      <c r="S176" s="334"/>
      <c r="T176" s="333">
        <f>Q176*AA176*S173</f>
        <v>0</v>
      </c>
      <c r="V176" s="285">
        <f>IF(Checklist!P176="",0,Checklist!P176)</f>
        <v>0</v>
      </c>
      <c r="W176" s="22"/>
      <c r="X176" s="334"/>
      <c r="Y176" s="333">
        <f>V176*AA176*X173</f>
        <v>0</v>
      </c>
      <c r="AA176" s="335">
        <v>0</v>
      </c>
    </row>
    <row r="177" spans="2:28" outlineLevel="3" x14ac:dyDescent="0.25">
      <c r="E177" s="281" t="s">
        <v>1155</v>
      </c>
      <c r="F177" s="281" t="s">
        <v>941</v>
      </c>
      <c r="G177" s="35"/>
      <c r="H177" s="285">
        <f>IF(Checklist!J177="",0,Checklist!J177)</f>
        <v>0</v>
      </c>
      <c r="I177" s="285">
        <f>IF(Checklist!K177="",0,Checklist!K177)</f>
        <v>0</v>
      </c>
      <c r="J177" s="337"/>
      <c r="K177" s="337">
        <f>H177*AA177*J173</f>
        <v>0</v>
      </c>
      <c r="L177" s="338"/>
      <c r="M177" s="339">
        <f>I177*AA177*L173</f>
        <v>0</v>
      </c>
      <c r="N177" s="333"/>
      <c r="O177" s="333">
        <f>M177+K177</f>
        <v>0</v>
      </c>
      <c r="Q177" s="285">
        <f>IF(Checklist!M177="",0,Checklist!M177)</f>
        <v>0</v>
      </c>
      <c r="R177" s="22"/>
      <c r="S177" s="334"/>
      <c r="T177" s="333">
        <f>Q177*AA177*S173</f>
        <v>0</v>
      </c>
      <c r="V177" s="285">
        <f>IF(Checklist!P177="",0,Checklist!P177)</f>
        <v>0</v>
      </c>
      <c r="W177" s="22"/>
      <c r="X177" s="334"/>
      <c r="Y177" s="333">
        <f>V177*AA177*X173</f>
        <v>0</v>
      </c>
      <c r="AA177" s="335">
        <v>0</v>
      </c>
    </row>
    <row r="178" spans="2:28" outlineLevel="3" x14ac:dyDescent="0.25">
      <c r="E178" s="281" t="s">
        <v>1156</v>
      </c>
      <c r="F178" s="35" t="s">
        <v>943</v>
      </c>
      <c r="G178" s="35"/>
      <c r="H178" s="285">
        <f>IF(Checklist!J178="",0,Checklist!J178)</f>
        <v>0</v>
      </c>
      <c r="I178" s="285">
        <f>IF(Checklist!K178="",0,Checklist!K178)</f>
        <v>0</v>
      </c>
      <c r="J178" s="337"/>
      <c r="K178" s="337">
        <f>H178*AA178*J173</f>
        <v>0</v>
      </c>
      <c r="L178" s="338"/>
      <c r="M178" s="339">
        <f>I178*AA178*L173</f>
        <v>0</v>
      </c>
      <c r="N178" s="333"/>
      <c r="O178" s="333">
        <f>M178+K178</f>
        <v>0</v>
      </c>
      <c r="Q178" s="285">
        <f>IF(Checklist!M178="",0,Checklist!M178)</f>
        <v>0</v>
      </c>
      <c r="R178" s="22"/>
      <c r="S178" s="334"/>
      <c r="T178" s="333">
        <f>Q178*AA178*S173</f>
        <v>0</v>
      </c>
      <c r="V178" s="285">
        <f>IF(Checklist!P178="",0,Checklist!P178)</f>
        <v>0</v>
      </c>
      <c r="W178" s="22"/>
      <c r="X178" s="334"/>
      <c r="Y178" s="333">
        <f>V178*AA178*X173</f>
        <v>0</v>
      </c>
      <c r="AA178" s="335">
        <v>0</v>
      </c>
    </row>
    <row r="179" spans="2:28" ht="14.65" customHeight="1" outlineLevel="2" x14ac:dyDescent="0.25">
      <c r="C179" s="274"/>
      <c r="D179" s="278" t="s">
        <v>801</v>
      </c>
      <c r="E179" s="494" t="s">
        <v>1157</v>
      </c>
      <c r="F179" s="494"/>
      <c r="G179" s="494"/>
      <c r="H179" s="279" t="s">
        <v>732</v>
      </c>
      <c r="I179" s="280" t="s">
        <v>732</v>
      </c>
      <c r="J179" s="324">
        <f t="shared" si="38"/>
        <v>0</v>
      </c>
      <c r="K179" s="324">
        <f>IF(SUM(K180:K184)&gt;J179,J179,SUM(K180:K184))</f>
        <v>0</v>
      </c>
      <c r="L179" s="325">
        <f t="shared" si="39"/>
        <v>0</v>
      </c>
      <c r="M179" s="325">
        <f>IF(SUM(M180:M184)&gt;L179,L179,SUM(M180:M184))</f>
        <v>0</v>
      </c>
      <c r="N179" s="326">
        <f>Ponderações!P35*100</f>
        <v>0</v>
      </c>
      <c r="O179" s="326">
        <f>IF(SUM(O180:O184)&gt;N179,N179,SUM(O180:O184))</f>
        <v>0</v>
      </c>
      <c r="Q179" s="279" t="s">
        <v>732</v>
      </c>
      <c r="R179" s="22"/>
      <c r="S179" s="326">
        <f>N179</f>
        <v>0</v>
      </c>
      <c r="T179" s="326">
        <f>IF(SUM(T180:T184)&gt;S179,S179,SUM(T180:T184))</f>
        <v>0</v>
      </c>
      <c r="V179" s="279" t="s">
        <v>732</v>
      </c>
      <c r="W179" s="22"/>
      <c r="X179" s="326">
        <f>S179</f>
        <v>0</v>
      </c>
      <c r="Y179" s="326">
        <f>IF(SUM(Y180:Y184)&gt;X179,X179,SUM(Y180:Y184))</f>
        <v>0</v>
      </c>
      <c r="AA179" s="327"/>
      <c r="AB179" s="342"/>
    </row>
    <row r="180" spans="2:28" outlineLevel="3" x14ac:dyDescent="0.25">
      <c r="D180" s="214"/>
      <c r="E180" s="281" t="s">
        <v>1158</v>
      </c>
      <c r="F180" s="281" t="s">
        <v>1159</v>
      </c>
      <c r="G180" s="281"/>
      <c r="H180" s="285">
        <f>IF(Checklist!J180="",0,Checklist!J180)</f>
        <v>0</v>
      </c>
      <c r="I180" s="285">
        <f>IF(Checklist!K180="",0,Checklist!K180)</f>
        <v>0</v>
      </c>
      <c r="J180" s="337"/>
      <c r="K180" s="337">
        <f>H180*AA180*J179</f>
        <v>0</v>
      </c>
      <c r="L180" s="338"/>
      <c r="M180" s="339">
        <f>I180*AA180*L179</f>
        <v>0</v>
      </c>
      <c r="N180" s="333"/>
      <c r="O180" s="333">
        <f>M180+K180</f>
        <v>0</v>
      </c>
      <c r="Q180" s="285">
        <f>IF(Checklist!M180="",0,Checklist!M180)</f>
        <v>0</v>
      </c>
      <c r="R180" s="22"/>
      <c r="S180" s="334"/>
      <c r="T180" s="333">
        <f>Q180*AA180*S179</f>
        <v>0</v>
      </c>
      <c r="V180" s="285">
        <f>IF(Checklist!P180="",0,Checklist!P180)</f>
        <v>0</v>
      </c>
      <c r="W180" s="22"/>
      <c r="X180" s="334"/>
      <c r="Y180" s="333">
        <f>V180*AA180*X179</f>
        <v>0</v>
      </c>
      <c r="AA180" s="335">
        <v>0.4</v>
      </c>
    </row>
    <row r="181" spans="2:28" outlineLevel="3" x14ac:dyDescent="0.25">
      <c r="D181" s="214"/>
      <c r="E181" s="281" t="s">
        <v>1160</v>
      </c>
      <c r="F181" s="281" t="s">
        <v>1161</v>
      </c>
      <c r="G181" s="281"/>
      <c r="H181" s="285">
        <f>IF(Checklist!J181="",0,Checklist!J181)</f>
        <v>0</v>
      </c>
      <c r="I181" s="285">
        <f>IF(Checklist!K181="",0,Checklist!K181)</f>
        <v>0</v>
      </c>
      <c r="J181" s="337"/>
      <c r="K181" s="337">
        <f>H181*AA181*J179</f>
        <v>0</v>
      </c>
      <c r="L181" s="338"/>
      <c r="M181" s="339">
        <f>I181*AA181*L179</f>
        <v>0</v>
      </c>
      <c r="N181" s="333"/>
      <c r="O181" s="333">
        <f>M181+K181</f>
        <v>0</v>
      </c>
      <c r="Q181" s="285">
        <f>IF(Checklist!M181="",0,Checklist!M181)</f>
        <v>0</v>
      </c>
      <c r="R181" s="22"/>
      <c r="S181" s="334"/>
      <c r="T181" s="333">
        <f>Q181*AA181*S179</f>
        <v>0</v>
      </c>
      <c r="V181" s="285">
        <f>IF(Checklist!P181="",0,Checklist!P181)</f>
        <v>0</v>
      </c>
      <c r="W181" s="22"/>
      <c r="X181" s="334"/>
      <c r="Y181" s="333">
        <f>V181*AA181*X179</f>
        <v>0</v>
      </c>
      <c r="AA181" s="335">
        <v>0.4</v>
      </c>
    </row>
    <row r="182" spans="2:28" outlineLevel="3" x14ac:dyDescent="0.25">
      <c r="D182" s="214"/>
      <c r="E182" s="281" t="s">
        <v>1162</v>
      </c>
      <c r="F182" s="281" t="s">
        <v>1163</v>
      </c>
      <c r="G182" s="281"/>
      <c r="H182" s="285">
        <f>IF(Checklist!J182="",0,Checklist!J182)</f>
        <v>0</v>
      </c>
      <c r="I182" s="285">
        <f>IF(Checklist!K182="",0,Checklist!K182)</f>
        <v>0</v>
      </c>
      <c r="J182" s="337"/>
      <c r="K182" s="337">
        <f>H182*AA182*J179</f>
        <v>0</v>
      </c>
      <c r="L182" s="338"/>
      <c r="M182" s="339">
        <f>I182*AA182*L179</f>
        <v>0</v>
      </c>
      <c r="N182" s="333"/>
      <c r="O182" s="333">
        <f>M182+K182</f>
        <v>0</v>
      </c>
      <c r="Q182" s="285">
        <f>IF(Checklist!M182="",0,Checklist!M182)</f>
        <v>0</v>
      </c>
      <c r="R182" s="22"/>
      <c r="S182" s="334"/>
      <c r="T182" s="333">
        <f>Q182*AA182*S179</f>
        <v>0</v>
      </c>
      <c r="V182" s="285">
        <f>IF(Checklist!P182="",0,Checklist!P182)</f>
        <v>0</v>
      </c>
      <c r="W182" s="22"/>
      <c r="X182" s="334"/>
      <c r="Y182" s="333">
        <f>V182*AA182*X179</f>
        <v>0</v>
      </c>
      <c r="AA182" s="335">
        <v>0.2</v>
      </c>
    </row>
    <row r="183" spans="2:28" outlineLevel="3" x14ac:dyDescent="0.25">
      <c r="D183" s="214"/>
      <c r="E183" s="281" t="s">
        <v>1164</v>
      </c>
      <c r="F183" s="281" t="s">
        <v>941</v>
      </c>
      <c r="G183" s="281"/>
      <c r="H183" s="285">
        <f>IF(Checklist!J183="",0,Checklist!J183)</f>
        <v>0</v>
      </c>
      <c r="I183" s="285">
        <f>IF(Checklist!K183="",0,Checklist!K183)</f>
        <v>0</v>
      </c>
      <c r="J183" s="337"/>
      <c r="K183" s="337">
        <f>H183*AA183*J179</f>
        <v>0</v>
      </c>
      <c r="L183" s="338"/>
      <c r="M183" s="339">
        <f>I183*AA183*L179</f>
        <v>0</v>
      </c>
      <c r="N183" s="333"/>
      <c r="O183" s="333">
        <f>M183+K183</f>
        <v>0</v>
      </c>
      <c r="Q183" s="285">
        <f>IF(Checklist!M183="",0,Checklist!M183)</f>
        <v>0</v>
      </c>
      <c r="R183" s="22"/>
      <c r="S183" s="334"/>
      <c r="T183" s="333">
        <f>Q183*AA183*S179</f>
        <v>0</v>
      </c>
      <c r="V183" s="285">
        <f>IF(Checklist!P183="",0,Checklist!P183)</f>
        <v>0</v>
      </c>
      <c r="W183" s="22"/>
      <c r="X183" s="334"/>
      <c r="Y183" s="333">
        <f>V183*AA183*X179</f>
        <v>0</v>
      </c>
      <c r="AA183" s="335">
        <v>0</v>
      </c>
    </row>
    <row r="184" spans="2:28" outlineLevel="3" x14ac:dyDescent="0.25">
      <c r="D184" s="214"/>
      <c r="E184" s="281" t="s">
        <v>1835</v>
      </c>
      <c r="F184" s="281" t="s">
        <v>943</v>
      </c>
      <c r="G184" s="281"/>
      <c r="H184" s="285">
        <f>IF(Checklist!J184="",0,Checklist!J184)</f>
        <v>0</v>
      </c>
      <c r="I184" s="285">
        <f>IF(Checklist!K184="",0,Checklist!K184)</f>
        <v>0</v>
      </c>
      <c r="J184" s="337"/>
      <c r="K184" s="337">
        <f>H184*AA184*J179</f>
        <v>0</v>
      </c>
      <c r="L184" s="338"/>
      <c r="M184" s="339">
        <f>I184*AA184*L179</f>
        <v>0</v>
      </c>
      <c r="N184" s="333"/>
      <c r="O184" s="333">
        <f>M184+K184</f>
        <v>0</v>
      </c>
      <c r="Q184" s="285">
        <f>IF(Checklist!M184="",0,Checklist!M184)</f>
        <v>0</v>
      </c>
      <c r="R184" s="22"/>
      <c r="S184" s="334"/>
      <c r="T184" s="333">
        <f>Q184*AA184*S179</f>
        <v>0</v>
      </c>
      <c r="V184" s="285">
        <f>IF(Checklist!P184="",0,Checklist!P184)</f>
        <v>0</v>
      </c>
      <c r="W184" s="22"/>
      <c r="X184" s="334"/>
      <c r="Y184" s="333">
        <f>V184*AA184*X179</f>
        <v>0</v>
      </c>
      <c r="AA184" s="335">
        <v>0</v>
      </c>
    </row>
    <row r="185" spans="2:28" ht="14.65" customHeight="1" outlineLevel="2" x14ac:dyDescent="0.25">
      <c r="C185" s="274"/>
      <c r="D185" s="278" t="s">
        <v>803</v>
      </c>
      <c r="E185" s="494" t="s">
        <v>1861</v>
      </c>
      <c r="F185" s="494"/>
      <c r="G185" s="494"/>
      <c r="H185" s="279" t="s">
        <v>732</v>
      </c>
      <c r="I185" s="280" t="s">
        <v>732</v>
      </c>
      <c r="J185" s="324">
        <f t="shared" si="38"/>
        <v>0</v>
      </c>
      <c r="K185" s="324">
        <f>IF(SUM(K186:K190)&gt;J185,J185,SUM(K186:K190))</f>
        <v>0</v>
      </c>
      <c r="L185" s="325">
        <f t="shared" si="39"/>
        <v>0</v>
      </c>
      <c r="M185" s="325">
        <f>IF(SUM(M186:M190)&gt;L185,L185,SUM(M186:M190))</f>
        <v>0</v>
      </c>
      <c r="N185" s="326">
        <f>Ponderações!P36*100</f>
        <v>0</v>
      </c>
      <c r="O185" s="326">
        <f>IF(SUM(O186:O190)&gt;N185,N185,SUM(O186:O190))</f>
        <v>0</v>
      </c>
      <c r="Q185" s="279" t="s">
        <v>732</v>
      </c>
      <c r="R185" s="22"/>
      <c r="S185" s="326">
        <f>N185</f>
        <v>0</v>
      </c>
      <c r="T185" s="326">
        <f>IF(SUM(T186:T190)&gt;S185,S185,SUM(T186:T190))</f>
        <v>0</v>
      </c>
      <c r="V185" s="279" t="s">
        <v>732</v>
      </c>
      <c r="W185" s="22"/>
      <c r="X185" s="326">
        <f>S185</f>
        <v>0</v>
      </c>
      <c r="Y185" s="326">
        <f>IF(SUM(Y186:Y190)&gt;X185,X185,SUM(Y186:Y190))</f>
        <v>0</v>
      </c>
      <c r="AA185" s="327"/>
      <c r="AB185" s="342"/>
    </row>
    <row r="186" spans="2:28" outlineLevel="3" x14ac:dyDescent="0.25">
      <c r="E186" s="281" t="s">
        <v>1165</v>
      </c>
      <c r="F186" s="35" t="s">
        <v>1166</v>
      </c>
      <c r="G186" s="35"/>
      <c r="H186" s="285">
        <f>IF(Checklist!J186="",0,Checklist!J186)</f>
        <v>0</v>
      </c>
      <c r="I186" s="285">
        <f>IF(Checklist!K186="",0,Checklist!K186)</f>
        <v>0</v>
      </c>
      <c r="J186" s="337"/>
      <c r="K186" s="337">
        <f>H186*AA186*J185</f>
        <v>0</v>
      </c>
      <c r="L186" s="338"/>
      <c r="M186" s="339">
        <f>I186*AA186*L185</f>
        <v>0</v>
      </c>
      <c r="N186" s="333"/>
      <c r="O186" s="333">
        <f>M186+K186</f>
        <v>0</v>
      </c>
      <c r="Q186" s="285">
        <f>IF(Checklist!M186="",0,Checklist!M186)</f>
        <v>0</v>
      </c>
      <c r="R186" s="22"/>
      <c r="S186" s="334"/>
      <c r="T186" s="333">
        <f>Q186*AA186*S185</f>
        <v>0</v>
      </c>
      <c r="V186" s="285">
        <f>IF(Checklist!P186="",0,Checklist!P186)</f>
        <v>0</v>
      </c>
      <c r="W186" s="22"/>
      <c r="X186" s="334"/>
      <c r="Y186" s="333">
        <f>V186*AA186*X185</f>
        <v>0</v>
      </c>
      <c r="AA186" s="335">
        <v>0.6</v>
      </c>
    </row>
    <row r="187" spans="2:28" outlineLevel="3" x14ac:dyDescent="0.25">
      <c r="E187" s="281" t="s">
        <v>1167</v>
      </c>
      <c r="F187" s="35" t="s">
        <v>1168</v>
      </c>
      <c r="G187" s="35"/>
      <c r="H187" s="285">
        <f>IF(Checklist!J187="",0,Checklist!J187)</f>
        <v>0</v>
      </c>
      <c r="I187" s="285">
        <f>IF(Checklist!K187="",0,Checklist!K187)</f>
        <v>0</v>
      </c>
      <c r="J187" s="337"/>
      <c r="K187" s="337">
        <f>H187*AA187*J185</f>
        <v>0</v>
      </c>
      <c r="L187" s="338"/>
      <c r="M187" s="339">
        <f>I187*AA187*L185</f>
        <v>0</v>
      </c>
      <c r="N187" s="333"/>
      <c r="O187" s="333">
        <f>M187+K187</f>
        <v>0</v>
      </c>
      <c r="Q187" s="285">
        <f>IF(Checklist!M187="",0,Checklist!M187)</f>
        <v>0</v>
      </c>
      <c r="R187" s="22"/>
      <c r="S187" s="334"/>
      <c r="T187" s="333">
        <f>Q187*AA187*S185</f>
        <v>0</v>
      </c>
      <c r="V187" s="285">
        <f>IF(Checklist!P187="",0,Checklist!P187)</f>
        <v>0</v>
      </c>
      <c r="W187" s="22"/>
      <c r="X187" s="334"/>
      <c r="Y187" s="333">
        <f>V187*AA187*X185</f>
        <v>0</v>
      </c>
      <c r="AA187" s="335">
        <v>0.2</v>
      </c>
    </row>
    <row r="188" spans="2:28" outlineLevel="3" x14ac:dyDescent="0.25">
      <c r="E188" s="281" t="s">
        <v>1169</v>
      </c>
      <c r="F188" s="35" t="s">
        <v>1170</v>
      </c>
      <c r="G188" s="35"/>
      <c r="H188" s="285">
        <f>IF(Checklist!J188="",0,Checklist!J188)</f>
        <v>0</v>
      </c>
      <c r="I188" s="285">
        <f>IF(Checklist!K188="",0,Checklist!K188)</f>
        <v>0</v>
      </c>
      <c r="J188" s="337"/>
      <c r="K188" s="337">
        <f>H188*AA188*J185</f>
        <v>0</v>
      </c>
      <c r="L188" s="338"/>
      <c r="M188" s="339">
        <f>I188*AA188*L185</f>
        <v>0</v>
      </c>
      <c r="N188" s="333"/>
      <c r="O188" s="333">
        <f>M188+K188</f>
        <v>0</v>
      </c>
      <c r="Q188" s="285">
        <f>IF(Checklist!M188="",0,Checklist!M188)</f>
        <v>0</v>
      </c>
      <c r="R188" s="22"/>
      <c r="S188" s="334"/>
      <c r="T188" s="333">
        <f>Q188*AA188*S185</f>
        <v>0</v>
      </c>
      <c r="V188" s="285">
        <f>IF(Checklist!P188="",0,Checklist!P188)</f>
        <v>0</v>
      </c>
      <c r="W188" s="22"/>
      <c r="X188" s="334"/>
      <c r="Y188" s="333">
        <f>V188*AA188*X185</f>
        <v>0</v>
      </c>
      <c r="AA188" s="335">
        <v>0.2</v>
      </c>
    </row>
    <row r="189" spans="2:28" outlineLevel="3" x14ac:dyDescent="0.25">
      <c r="E189" s="281" t="s">
        <v>1171</v>
      </c>
      <c r="F189" s="35" t="s">
        <v>941</v>
      </c>
      <c r="G189" s="35"/>
      <c r="H189" s="285">
        <f>IF(Checklist!J189="",0,Checklist!J189)</f>
        <v>0</v>
      </c>
      <c r="I189" s="285">
        <f>IF(Checklist!K189="",0,Checklist!K189)</f>
        <v>0</v>
      </c>
      <c r="J189" s="337"/>
      <c r="K189" s="337">
        <f>H189*AA189*J185</f>
        <v>0</v>
      </c>
      <c r="L189" s="338"/>
      <c r="M189" s="339">
        <f>I189*AA189*L185</f>
        <v>0</v>
      </c>
      <c r="N189" s="333"/>
      <c r="O189" s="333">
        <f>M189+K189</f>
        <v>0</v>
      </c>
      <c r="Q189" s="285">
        <f>IF(Checklist!M189="",0,Checklist!M189)</f>
        <v>0</v>
      </c>
      <c r="R189" s="22"/>
      <c r="S189" s="334"/>
      <c r="T189" s="333">
        <f>Q189*AA189*S185</f>
        <v>0</v>
      </c>
      <c r="V189" s="285">
        <f>IF(Checklist!P189="",0,Checklist!P189)</f>
        <v>0</v>
      </c>
      <c r="W189" s="22"/>
      <c r="X189" s="334"/>
      <c r="Y189" s="333">
        <f>V189*AA189*X185</f>
        <v>0</v>
      </c>
      <c r="AA189" s="335">
        <v>0</v>
      </c>
    </row>
    <row r="190" spans="2:28" outlineLevel="3" x14ac:dyDescent="0.25">
      <c r="E190" s="281" t="s">
        <v>1836</v>
      </c>
      <c r="F190" s="35" t="s">
        <v>943</v>
      </c>
      <c r="G190" s="35"/>
      <c r="H190" s="285">
        <f>IF(Checklist!J190="",0,Checklist!J190)</f>
        <v>0</v>
      </c>
      <c r="I190" s="285">
        <f>IF(Checklist!K190="",0,Checklist!K190)</f>
        <v>0</v>
      </c>
      <c r="J190" s="337"/>
      <c r="K190" s="337">
        <f>H190*AA190*J185</f>
        <v>0</v>
      </c>
      <c r="L190" s="338"/>
      <c r="M190" s="339">
        <f>I190*AA190*L185</f>
        <v>0</v>
      </c>
      <c r="N190" s="333"/>
      <c r="O190" s="333">
        <f>M190+K190</f>
        <v>0</v>
      </c>
      <c r="Q190" s="285">
        <f>IF(Checklist!M190="",0,Checklist!M190)</f>
        <v>0</v>
      </c>
      <c r="R190" s="22"/>
      <c r="S190" s="334"/>
      <c r="T190" s="333">
        <f>Q190*AA190*S185</f>
        <v>0</v>
      </c>
      <c r="V190" s="285">
        <f>IF(Checklist!P190="",0,Checklist!P190)</f>
        <v>0</v>
      </c>
      <c r="W190" s="22"/>
      <c r="X190" s="334"/>
      <c r="Y190" s="333">
        <f>V190*AA190*X185</f>
        <v>0</v>
      </c>
      <c r="AA190" s="335">
        <v>0</v>
      </c>
    </row>
    <row r="191" spans="2:28" outlineLevel="1" x14ac:dyDescent="0.25">
      <c r="B191" s="22"/>
      <c r="H191" s="291"/>
      <c r="I191" s="291"/>
      <c r="J191" s="315"/>
      <c r="K191" s="315"/>
      <c r="L191" s="316"/>
      <c r="M191" s="315"/>
      <c r="N191" s="317"/>
      <c r="O191" s="317"/>
      <c r="Q191" s="291"/>
      <c r="R191" s="22"/>
      <c r="S191" s="315"/>
      <c r="T191" s="317"/>
      <c r="V191" s="291"/>
      <c r="W191" s="22"/>
      <c r="X191" s="315"/>
      <c r="Y191" s="317"/>
      <c r="AA191" s="318"/>
    </row>
    <row r="192" spans="2:28" outlineLevel="1" x14ac:dyDescent="0.25">
      <c r="C192" s="348" t="s">
        <v>805</v>
      </c>
      <c r="D192" s="275" t="s">
        <v>1172</v>
      </c>
      <c r="E192" s="275"/>
      <c r="F192" s="275"/>
      <c r="G192" s="275"/>
      <c r="H192" s="276"/>
      <c r="I192" s="277"/>
      <c r="J192" s="319">
        <f>N192*0.8</f>
        <v>0</v>
      </c>
      <c r="K192" s="319">
        <f>K193+K199</f>
        <v>0</v>
      </c>
      <c r="L192" s="320">
        <f>N192*0.2</f>
        <v>0</v>
      </c>
      <c r="M192" s="320">
        <f>M193+M199</f>
        <v>0</v>
      </c>
      <c r="N192" s="321">
        <f>N193+N199</f>
        <v>0</v>
      </c>
      <c r="O192" s="321">
        <f>O193+O199</f>
        <v>0</v>
      </c>
      <c r="Q192" s="276"/>
      <c r="R192" s="22"/>
      <c r="S192" s="321">
        <f>N192</f>
        <v>0</v>
      </c>
      <c r="T192" s="321">
        <f>T193+T199</f>
        <v>0</v>
      </c>
      <c r="V192" s="276"/>
      <c r="W192" s="22"/>
      <c r="X192" s="321">
        <f>S192</f>
        <v>0</v>
      </c>
      <c r="Y192" s="321">
        <f>Y193+Y199</f>
        <v>0</v>
      </c>
      <c r="AA192" s="322"/>
      <c r="AB192" s="344"/>
    </row>
    <row r="193" spans="1:30" ht="14.65" customHeight="1" outlineLevel="2" x14ac:dyDescent="0.25">
      <c r="A193" s="274"/>
      <c r="C193" s="274"/>
      <c r="D193" s="278" t="s">
        <v>806</v>
      </c>
      <c r="E193" s="278" t="s">
        <v>1173</v>
      </c>
      <c r="F193" s="278"/>
      <c r="G193" s="278"/>
      <c r="H193" s="279" t="s">
        <v>731</v>
      </c>
      <c r="I193" s="280" t="s">
        <v>731</v>
      </c>
      <c r="J193" s="324">
        <f t="shared" si="38"/>
        <v>0</v>
      </c>
      <c r="K193" s="324">
        <f>IF(SUM(K194:K198)&gt;J193,J193,SUM(K194:K198))</f>
        <v>0</v>
      </c>
      <c r="L193" s="325">
        <f t="shared" si="39"/>
        <v>0</v>
      </c>
      <c r="M193" s="325">
        <f>IF(SUM(M194:M198)&gt;L193,L193,SUM(M194:M198))</f>
        <v>0</v>
      </c>
      <c r="N193" s="326">
        <f>Ponderações!P38*100</f>
        <v>0</v>
      </c>
      <c r="O193" s="326">
        <f>IF(SUM(O194:O198)&gt;N193,N193,SUM(O194:O198))</f>
        <v>0</v>
      </c>
      <c r="Q193" s="279" t="s">
        <v>731</v>
      </c>
      <c r="R193" s="22"/>
      <c r="S193" s="326">
        <f>N193</f>
        <v>0</v>
      </c>
      <c r="T193" s="326">
        <f>IF(SUM(T194:T198)&gt;S193,S193,SUM(T194:T198))</f>
        <v>0</v>
      </c>
      <c r="V193" s="279" t="s">
        <v>731</v>
      </c>
      <c r="W193" s="22"/>
      <c r="X193" s="326">
        <f>S193</f>
        <v>0</v>
      </c>
      <c r="Y193" s="326">
        <f>IF(SUM(Y194:Y198)&gt;X193,X193,SUM(Y194:Y198))</f>
        <v>0</v>
      </c>
      <c r="AA193" s="327"/>
      <c r="AB193" s="342"/>
    </row>
    <row r="194" spans="1:30" outlineLevel="3" x14ac:dyDescent="0.25">
      <c r="D194" s="214"/>
      <c r="E194" s="281" t="s">
        <v>1174</v>
      </c>
      <c r="F194" s="281" t="s">
        <v>1175</v>
      </c>
      <c r="G194" s="281"/>
      <c r="H194" s="285">
        <f>IF(Checklist!J194="",0,Checklist!J194)</f>
        <v>0</v>
      </c>
      <c r="I194" s="285">
        <f>IF(Checklist!K194="",0,Checklist!K194)</f>
        <v>0</v>
      </c>
      <c r="J194" s="337"/>
      <c r="K194" s="337">
        <f>H194*AA194*$J$193</f>
        <v>0</v>
      </c>
      <c r="L194" s="338"/>
      <c r="M194" s="339">
        <f>I194*AA194*$L$193</f>
        <v>0</v>
      </c>
      <c r="N194" s="333"/>
      <c r="O194" s="333">
        <f>M194+K194</f>
        <v>0</v>
      </c>
      <c r="Q194" s="285">
        <f>IF(Checklist!M194="",0,Checklist!M194)</f>
        <v>0</v>
      </c>
      <c r="R194" s="22"/>
      <c r="S194" s="334"/>
      <c r="T194" s="333">
        <f>Q194*AA194*$S$193</f>
        <v>0</v>
      </c>
      <c r="V194" s="285">
        <f>IF(Checklist!P194="",0,Checklist!P194)</f>
        <v>0</v>
      </c>
      <c r="W194" s="22"/>
      <c r="X194" s="334"/>
      <c r="Y194" s="333">
        <f>V194*AA194*$X$193</f>
        <v>0</v>
      </c>
      <c r="AA194" s="335">
        <v>1</v>
      </c>
    </row>
    <row r="195" spans="1:30" outlineLevel="3" x14ac:dyDescent="0.25">
      <c r="C195" s="239"/>
      <c r="D195" s="214"/>
      <c r="E195" s="281" t="s">
        <v>1176</v>
      </c>
      <c r="F195" s="281" t="s">
        <v>1177</v>
      </c>
      <c r="G195" s="281"/>
      <c r="H195" s="285">
        <f>IF(Checklist!J195="",0,Checklist!J195)</f>
        <v>0</v>
      </c>
      <c r="I195" s="285">
        <f>IF(Checklist!K195="",0,Checklist!K195)</f>
        <v>0</v>
      </c>
      <c r="J195" s="337"/>
      <c r="K195" s="337">
        <f>H195*AA195*$J$193</f>
        <v>0</v>
      </c>
      <c r="L195" s="338"/>
      <c r="M195" s="339">
        <f>I195*AA195*$L$193</f>
        <v>0</v>
      </c>
      <c r="N195" s="333"/>
      <c r="O195" s="333">
        <f>M195+K195</f>
        <v>0</v>
      </c>
      <c r="Q195" s="285">
        <f>IF(Checklist!M195="",0,Checklist!M195)</f>
        <v>0</v>
      </c>
      <c r="R195" s="22"/>
      <c r="S195" s="334"/>
      <c r="T195" s="333">
        <f>Q195*AA195*$S$193</f>
        <v>0</v>
      </c>
      <c r="V195" s="285">
        <f>IF(Checklist!P195="",0,Checklist!P195)</f>
        <v>0</v>
      </c>
      <c r="W195" s="22"/>
      <c r="X195" s="334"/>
      <c r="Y195" s="333">
        <f t="shared" ref="Y195:Y197" si="44">V195*AA195*$X$193</f>
        <v>0</v>
      </c>
      <c r="AA195" s="335">
        <v>0.5</v>
      </c>
    </row>
    <row r="196" spans="1:30" outlineLevel="3" x14ac:dyDescent="0.25">
      <c r="C196" s="239"/>
      <c r="D196" s="214"/>
      <c r="E196" s="281" t="s">
        <v>1178</v>
      </c>
      <c r="F196" s="281" t="s">
        <v>1179</v>
      </c>
      <c r="G196" s="281"/>
      <c r="H196" s="285">
        <f>IF(Checklist!J196="",0,Checklist!J196)</f>
        <v>0</v>
      </c>
      <c r="I196" s="285">
        <f>IF(Checklist!K196="",0,Checklist!K196)</f>
        <v>0</v>
      </c>
      <c r="J196" s="337"/>
      <c r="K196" s="337">
        <f>H196*AA196*$J$193</f>
        <v>0</v>
      </c>
      <c r="L196" s="338"/>
      <c r="M196" s="339">
        <f>I196*AA196*$L$193</f>
        <v>0</v>
      </c>
      <c r="N196" s="333"/>
      <c r="O196" s="333">
        <f>M196+K196</f>
        <v>0</v>
      </c>
      <c r="Q196" s="285">
        <f>IF(Checklist!M196="",0,Checklist!M196)</f>
        <v>0</v>
      </c>
      <c r="R196" s="22"/>
      <c r="S196" s="334"/>
      <c r="T196" s="333">
        <f>Q196*AA196*$S$193</f>
        <v>0</v>
      </c>
      <c r="V196" s="285">
        <f>IF(Checklist!P196="",0,Checklist!P196)</f>
        <v>0</v>
      </c>
      <c r="W196" s="22"/>
      <c r="X196" s="334"/>
      <c r="Y196" s="333">
        <f>V196*AA196*$X$193</f>
        <v>0</v>
      </c>
      <c r="AA196" s="335">
        <v>0.25</v>
      </c>
    </row>
    <row r="197" spans="1:30" outlineLevel="3" x14ac:dyDescent="0.25">
      <c r="D197" s="214"/>
      <c r="E197" s="281" t="s">
        <v>1180</v>
      </c>
      <c r="F197" s="281" t="s">
        <v>1181</v>
      </c>
      <c r="G197" s="281"/>
      <c r="H197" s="285">
        <f>IF(Checklist!J197="",0,Checklist!J197)</f>
        <v>0</v>
      </c>
      <c r="I197" s="285">
        <f>IF(Checklist!K197="",0,Checklist!K197)</f>
        <v>0</v>
      </c>
      <c r="J197" s="337"/>
      <c r="K197" s="337">
        <f>H197*AA197*$J$193</f>
        <v>0</v>
      </c>
      <c r="L197" s="338"/>
      <c r="M197" s="339">
        <f>I197*AA197*$L$193</f>
        <v>0</v>
      </c>
      <c r="N197" s="333"/>
      <c r="O197" s="333">
        <f>M197+K197</f>
        <v>0</v>
      </c>
      <c r="Q197" s="285">
        <f>IF(Checklist!M197="",0,Checklist!M197)</f>
        <v>0</v>
      </c>
      <c r="R197" s="22"/>
      <c r="S197" s="334"/>
      <c r="T197" s="333">
        <f>Q197*AA197*$S$193</f>
        <v>0</v>
      </c>
      <c r="V197" s="285">
        <f>IF(Checklist!P197="",0,Checklist!P197)</f>
        <v>0</v>
      </c>
      <c r="W197" s="22"/>
      <c r="X197" s="334"/>
      <c r="Y197" s="333">
        <f t="shared" si="44"/>
        <v>0</v>
      </c>
      <c r="AA197" s="335">
        <v>0</v>
      </c>
    </row>
    <row r="198" spans="1:30" outlineLevel="3" x14ac:dyDescent="0.25">
      <c r="D198" s="214"/>
      <c r="E198" s="281" t="s">
        <v>1182</v>
      </c>
      <c r="F198" s="281" t="s">
        <v>943</v>
      </c>
      <c r="G198" s="281"/>
      <c r="H198" s="285">
        <f>IF(Checklist!J198="",0,Checklist!J198)</f>
        <v>0</v>
      </c>
      <c r="I198" s="285">
        <f>IF(Checklist!K198="",0,Checklist!K198)</f>
        <v>0</v>
      </c>
      <c r="J198" s="337"/>
      <c r="K198" s="337">
        <f>H198*AA198*$J$193</f>
        <v>0</v>
      </c>
      <c r="L198" s="338"/>
      <c r="M198" s="339">
        <f>I198*AA198*$L$193</f>
        <v>0</v>
      </c>
      <c r="N198" s="333"/>
      <c r="O198" s="333">
        <f>M198+K198</f>
        <v>0</v>
      </c>
      <c r="Q198" s="285">
        <f>IF(Checklist!M198="",0,Checklist!M198)</f>
        <v>0</v>
      </c>
      <c r="R198" s="22"/>
      <c r="S198" s="334"/>
      <c r="T198" s="333">
        <f>Q198*AA198*$S$193</f>
        <v>0</v>
      </c>
      <c r="V198" s="285">
        <f>IF(Checklist!P198="",0,Checklist!P198)</f>
        <v>0</v>
      </c>
      <c r="W198" s="22"/>
      <c r="X198" s="334"/>
      <c r="Y198" s="333">
        <f>V198*AA198*$X$193</f>
        <v>0</v>
      </c>
      <c r="AA198" s="335">
        <v>0</v>
      </c>
    </row>
    <row r="199" spans="1:30" outlineLevel="2" x14ac:dyDescent="0.25">
      <c r="D199" s="278" t="s">
        <v>808</v>
      </c>
      <c r="E199" s="278" t="s">
        <v>1183</v>
      </c>
      <c r="F199" s="278"/>
      <c r="G199" s="278"/>
      <c r="H199" s="279" t="s">
        <v>731</v>
      </c>
      <c r="I199" s="280" t="s">
        <v>731</v>
      </c>
      <c r="J199" s="324">
        <f t="shared" si="38"/>
        <v>0</v>
      </c>
      <c r="K199" s="324">
        <f>IF(SUM(K200:K204)&gt;J199,J199,SUM(K200:K204))</f>
        <v>0</v>
      </c>
      <c r="L199" s="325">
        <f>N199*0.2</f>
        <v>0</v>
      </c>
      <c r="M199" s="325">
        <f>IF(SUM(M200:M204)&gt;L199,L199,SUM(M200:M204))</f>
        <v>0</v>
      </c>
      <c r="N199" s="326">
        <f>Ponderações!P39*100</f>
        <v>0</v>
      </c>
      <c r="O199" s="326">
        <f>IF(SUM(O200:O204)&gt;N199,N199,SUM(O200:O204))</f>
        <v>0</v>
      </c>
      <c r="Q199" s="289" t="s">
        <v>731</v>
      </c>
      <c r="R199" s="22"/>
      <c r="S199" s="326">
        <f>N199</f>
        <v>0</v>
      </c>
      <c r="T199" s="326">
        <f>IF(SUM(T200:T204)&gt;S199,S199,SUM(T200:T204))</f>
        <v>0</v>
      </c>
      <c r="V199" s="289" t="s">
        <v>731</v>
      </c>
      <c r="W199" s="22"/>
      <c r="X199" s="326">
        <f>S199</f>
        <v>0</v>
      </c>
      <c r="Y199" s="326">
        <f>IF(SUM(Y200:Y204)&gt;X199,X199,SUM(Y200:Y204))</f>
        <v>0</v>
      </c>
      <c r="AA199" s="327"/>
      <c r="AB199" s="342"/>
    </row>
    <row r="200" spans="1:30" ht="14.65" customHeight="1" outlineLevel="3" x14ac:dyDescent="0.25">
      <c r="D200" s="214"/>
      <c r="E200" s="281" t="s">
        <v>1184</v>
      </c>
      <c r="F200" s="281" t="s">
        <v>1185</v>
      </c>
      <c r="G200" s="281"/>
      <c r="H200" s="285">
        <f>IF(Checklist!J200="",0,Checklist!J200)</f>
        <v>0</v>
      </c>
      <c r="I200" s="285">
        <f>IF(Checklist!K200="",0,Checklist!K200)</f>
        <v>0</v>
      </c>
      <c r="J200" s="337"/>
      <c r="K200" s="337">
        <f>H200*AA200*J199</f>
        <v>0</v>
      </c>
      <c r="L200" s="338"/>
      <c r="M200" s="339">
        <f>I200*AA200*L199</f>
        <v>0</v>
      </c>
      <c r="N200" s="333"/>
      <c r="O200" s="333">
        <f>M200+K200</f>
        <v>0</v>
      </c>
      <c r="Q200" s="285">
        <f>IF(Checklist!M200="",0,Checklist!M200)</f>
        <v>0</v>
      </c>
      <c r="R200" s="22"/>
      <c r="S200" s="334"/>
      <c r="T200" s="333">
        <f>Q200*AA200*S199</f>
        <v>0</v>
      </c>
      <c r="V200" s="285">
        <f>IF(Checklist!P200="",0,Checklist!P200)</f>
        <v>0</v>
      </c>
      <c r="W200" s="22"/>
      <c r="X200" s="334"/>
      <c r="Y200" s="333">
        <f>V200*AA200*X199</f>
        <v>0</v>
      </c>
      <c r="AA200" s="335">
        <v>1</v>
      </c>
    </row>
    <row r="201" spans="1:30" outlineLevel="3" x14ac:dyDescent="0.25">
      <c r="C201" s="239"/>
      <c r="D201" s="214"/>
      <c r="E201" s="281" t="s">
        <v>1186</v>
      </c>
      <c r="F201" s="281" t="s">
        <v>1187</v>
      </c>
      <c r="G201" s="281"/>
      <c r="H201" s="285">
        <f>IF(Checklist!J201="",0,Checklist!J201)</f>
        <v>0</v>
      </c>
      <c r="I201" s="285">
        <f>IF(Checklist!K201="",0,Checklist!K201)</f>
        <v>0</v>
      </c>
      <c r="J201" s="337"/>
      <c r="K201" s="337">
        <f>H201*AA201*J199</f>
        <v>0</v>
      </c>
      <c r="L201" s="338"/>
      <c r="M201" s="339">
        <f>I201*AA201*L199</f>
        <v>0</v>
      </c>
      <c r="N201" s="333"/>
      <c r="O201" s="333">
        <f>M201+K201</f>
        <v>0</v>
      </c>
      <c r="Q201" s="285">
        <f>IF(Checklist!M201="",0,Checklist!M201)</f>
        <v>0</v>
      </c>
      <c r="R201" s="22"/>
      <c r="S201" s="334"/>
      <c r="T201" s="333">
        <f>Q201*AA201*S199</f>
        <v>0</v>
      </c>
      <c r="V201" s="285">
        <f>IF(Checklist!P201="",0,Checklist!P201)</f>
        <v>0</v>
      </c>
      <c r="W201" s="22"/>
      <c r="X201" s="334"/>
      <c r="Y201" s="333">
        <f>V201*AA201*X199</f>
        <v>0</v>
      </c>
      <c r="AA201" s="335">
        <v>0.5</v>
      </c>
    </row>
    <row r="202" spans="1:30" outlineLevel="3" x14ac:dyDescent="0.25">
      <c r="C202" s="239"/>
      <c r="D202" s="214"/>
      <c r="E202" s="281" t="s">
        <v>1188</v>
      </c>
      <c r="F202" s="281" t="s">
        <v>1189</v>
      </c>
      <c r="G202" s="281"/>
      <c r="H202" s="285">
        <f>IF(Checklist!J202="",0,Checklist!J202)</f>
        <v>0</v>
      </c>
      <c r="I202" s="285">
        <f>IF(Checklist!K202="",0,Checklist!K202)</f>
        <v>0</v>
      </c>
      <c r="J202" s="337"/>
      <c r="K202" s="337">
        <f>H202*AA202*J199</f>
        <v>0</v>
      </c>
      <c r="L202" s="338"/>
      <c r="M202" s="339">
        <f>I202*AA202*L199</f>
        <v>0</v>
      </c>
      <c r="N202" s="333"/>
      <c r="O202" s="333">
        <f>M202+K202</f>
        <v>0</v>
      </c>
      <c r="Q202" s="285">
        <f>IF(Checklist!M202="",0,Checklist!M202)</f>
        <v>0</v>
      </c>
      <c r="R202" s="22"/>
      <c r="S202" s="334"/>
      <c r="T202" s="333">
        <f>Q202*AA202*S199</f>
        <v>0</v>
      </c>
      <c r="V202" s="285">
        <f>IF(Checklist!P202="",0,Checklist!P202)</f>
        <v>0</v>
      </c>
      <c r="W202" s="22"/>
      <c r="X202" s="334"/>
      <c r="Y202" s="333">
        <f>V202*AA202*X199</f>
        <v>0</v>
      </c>
      <c r="AA202" s="335">
        <v>0</v>
      </c>
    </row>
    <row r="203" spans="1:30" outlineLevel="3" x14ac:dyDescent="0.25">
      <c r="D203" s="214"/>
      <c r="E203" s="281" t="s">
        <v>1190</v>
      </c>
      <c r="F203" s="281" t="s">
        <v>941</v>
      </c>
      <c r="G203" s="281"/>
      <c r="H203" s="285">
        <f>IF(Checklist!J203="",0,Checklist!J203)</f>
        <v>0</v>
      </c>
      <c r="I203" s="285">
        <f>IF(Checklist!K203="",0,Checklist!K203)</f>
        <v>0</v>
      </c>
      <c r="J203" s="337"/>
      <c r="K203" s="337">
        <f>H203*AA203*J199</f>
        <v>0</v>
      </c>
      <c r="L203" s="338"/>
      <c r="M203" s="339">
        <f>I203*AA203*L199</f>
        <v>0</v>
      </c>
      <c r="N203" s="333"/>
      <c r="O203" s="333">
        <f>M203+K203</f>
        <v>0</v>
      </c>
      <c r="Q203" s="285">
        <f>IF(Checklist!M203="",0,Checklist!M203)</f>
        <v>0</v>
      </c>
      <c r="R203" s="22"/>
      <c r="S203" s="334"/>
      <c r="T203" s="333">
        <f>Q203*AA203*S199</f>
        <v>0</v>
      </c>
      <c r="V203" s="285">
        <f>IF(Checklist!P203="",0,Checklist!P203)</f>
        <v>0</v>
      </c>
      <c r="W203" s="22"/>
      <c r="X203" s="334"/>
      <c r="Y203" s="333">
        <f>V203*AA203*X199</f>
        <v>0</v>
      </c>
      <c r="AA203" s="335">
        <v>0</v>
      </c>
    </row>
    <row r="204" spans="1:30" outlineLevel="3" x14ac:dyDescent="0.25">
      <c r="D204" s="214"/>
      <c r="E204" s="281" t="s">
        <v>1191</v>
      </c>
      <c r="F204" s="281" t="s">
        <v>943</v>
      </c>
      <c r="G204" s="281"/>
      <c r="H204" s="285">
        <f>IF(Checklist!J204="",0,Checklist!J204)</f>
        <v>0</v>
      </c>
      <c r="I204" s="285">
        <f>IF(Checklist!K204="",0,Checklist!K204)</f>
        <v>0</v>
      </c>
      <c r="J204" s="337"/>
      <c r="K204" s="337">
        <f>H204*AA204*J199</f>
        <v>0</v>
      </c>
      <c r="L204" s="338"/>
      <c r="M204" s="339">
        <f>I204*AA204*L199</f>
        <v>0</v>
      </c>
      <c r="N204" s="333"/>
      <c r="O204" s="333">
        <f>M204+K204</f>
        <v>0</v>
      </c>
      <c r="Q204" s="285">
        <f>IF(Checklist!M204="",0,Checklist!M204)</f>
        <v>0</v>
      </c>
      <c r="R204" s="22"/>
      <c r="S204" s="334"/>
      <c r="T204" s="333">
        <f>Q204*AA204*S199</f>
        <v>0</v>
      </c>
      <c r="V204" s="285">
        <f>IF(Checklist!P204="",0,Checklist!P204)</f>
        <v>0</v>
      </c>
      <c r="W204" s="22"/>
      <c r="X204" s="334"/>
      <c r="Y204" s="333">
        <f>V204*AA204*X199</f>
        <v>0</v>
      </c>
      <c r="AA204" s="335">
        <v>0</v>
      </c>
    </row>
    <row r="205" spans="1:30" x14ac:dyDescent="0.25">
      <c r="L205" s="349"/>
      <c r="N205" s="350"/>
      <c r="O205" s="350"/>
      <c r="P205" s="351"/>
      <c r="R205" s="22"/>
      <c r="T205" s="350"/>
      <c r="U205" s="351"/>
      <c r="W205" s="22"/>
      <c r="Y205" s="350"/>
      <c r="Z205" s="351"/>
      <c r="AA205" s="352"/>
      <c r="AD205" s="353"/>
    </row>
    <row r="206" spans="1:30" s="346" customFormat="1" x14ac:dyDescent="0.25">
      <c r="B206" s="270">
        <v>4</v>
      </c>
      <c r="C206" s="271" t="s">
        <v>49</v>
      </c>
      <c r="D206" s="354"/>
      <c r="E206" s="354"/>
      <c r="F206" s="354"/>
      <c r="G206" s="354"/>
      <c r="H206" s="355"/>
      <c r="I206" s="355"/>
      <c r="J206" s="312">
        <f>N206*0.8</f>
        <v>61.197362308188353</v>
      </c>
      <c r="K206" s="312">
        <f>K208+K239+K265+K295+K318+K348+K368</f>
        <v>0</v>
      </c>
      <c r="L206" s="312">
        <f>N206*0.2</f>
        <v>15.299340577047088</v>
      </c>
      <c r="M206" s="312">
        <f>M208+M239+M265+M295+M318+M348+M368</f>
        <v>0</v>
      </c>
      <c r="N206" s="312">
        <f>N208+N239+N265+N295+N318+N348+N368</f>
        <v>76.496702885235436</v>
      </c>
      <c r="O206" s="312">
        <f>O208+O239+O265+O295+O318+O348+O368</f>
        <v>0</v>
      </c>
      <c r="Q206" s="355"/>
      <c r="R206" s="356"/>
      <c r="S206" s="312">
        <f>N206</f>
        <v>76.496702885235436</v>
      </c>
      <c r="T206" s="312">
        <f>T208+T239+T265+T295+T318+T348+T368</f>
        <v>0</v>
      </c>
      <c r="V206" s="355"/>
      <c r="W206" s="356"/>
      <c r="X206" s="312">
        <f>S206</f>
        <v>76.496702885235436</v>
      </c>
      <c r="Y206" s="312">
        <f>Y208+Y239+Y265+Y295+Y318+Y348+Y368</f>
        <v>0</v>
      </c>
      <c r="AA206" s="313"/>
    </row>
    <row r="207" spans="1:30" outlineLevel="1" x14ac:dyDescent="0.25">
      <c r="H207" s="273"/>
      <c r="I207" s="273"/>
      <c r="J207" s="315"/>
      <c r="K207" s="315"/>
      <c r="L207" s="316"/>
      <c r="M207" s="315"/>
      <c r="N207" s="317"/>
      <c r="O207" s="317"/>
      <c r="P207" s="353"/>
      <c r="Q207" s="273"/>
      <c r="R207" s="22"/>
      <c r="S207" s="315"/>
      <c r="T207" s="317"/>
      <c r="U207" s="353"/>
      <c r="V207" s="273"/>
      <c r="W207" s="22"/>
      <c r="X207" s="315"/>
      <c r="Y207" s="317"/>
      <c r="Z207" s="353"/>
      <c r="AA207" s="318"/>
      <c r="AD207" s="353"/>
    </row>
    <row r="208" spans="1:30" s="344" customFormat="1" outlineLevel="1" x14ac:dyDescent="0.25">
      <c r="A208" s="357"/>
      <c r="B208" s="358"/>
      <c r="C208" s="348" t="s">
        <v>811</v>
      </c>
      <c r="D208" s="275" t="s">
        <v>93</v>
      </c>
      <c r="E208" s="359"/>
      <c r="F208" s="359"/>
      <c r="G208" s="359"/>
      <c r="H208" s="360"/>
      <c r="I208" s="361"/>
      <c r="J208" s="319">
        <f t="shared" si="38"/>
        <v>20.981952791378863</v>
      </c>
      <c r="K208" s="319">
        <f>K209+K217+K223+K228+K233</f>
        <v>0</v>
      </c>
      <c r="L208" s="362">
        <f t="shared" si="39"/>
        <v>5.2454881978447156</v>
      </c>
      <c r="M208" s="362">
        <f>M209+M217+M223+M228+M233</f>
        <v>0</v>
      </c>
      <c r="N208" s="363">
        <f>N209+N217+N223+N228+N233</f>
        <v>26.227440989223577</v>
      </c>
      <c r="O208" s="363">
        <f>O209+O217+O223+O228+O233</f>
        <v>0</v>
      </c>
      <c r="P208" s="353"/>
      <c r="Q208" s="360"/>
      <c r="R208" s="323"/>
      <c r="S208" s="363">
        <f>N208</f>
        <v>26.227440989223577</v>
      </c>
      <c r="T208" s="363">
        <f>T209+T217+T223+T228+T233</f>
        <v>0</v>
      </c>
      <c r="U208" s="353"/>
      <c r="V208" s="364"/>
      <c r="W208" s="365"/>
      <c r="X208" s="363">
        <f>S208</f>
        <v>26.227440989223577</v>
      </c>
      <c r="Y208" s="363">
        <f>Y209+Y217+Y223+Y228+Y233</f>
        <v>0</v>
      </c>
      <c r="Z208" s="353"/>
      <c r="AA208" s="322"/>
      <c r="AD208" s="353"/>
    </row>
    <row r="209" spans="1:30" s="342" customFormat="1" ht="14.65" customHeight="1" outlineLevel="2" x14ac:dyDescent="0.25">
      <c r="A209" s="366"/>
      <c r="B209" s="366"/>
      <c r="C209" s="366"/>
      <c r="D209" s="367" t="s">
        <v>1208</v>
      </c>
      <c r="E209" s="36" t="s">
        <v>1209</v>
      </c>
      <c r="F209" s="36"/>
      <c r="G209" s="36"/>
      <c r="H209" s="298" t="s">
        <v>732</v>
      </c>
      <c r="I209" s="297" t="s">
        <v>732</v>
      </c>
      <c r="J209" s="368">
        <f t="shared" si="38"/>
        <v>6.9939842637929548</v>
      </c>
      <c r="K209" s="368">
        <f>IF(SUM(K210:K216)&gt;J209,J209,SUM(K210:K216))</f>
        <v>0</v>
      </c>
      <c r="L209" s="369">
        <f t="shared" si="39"/>
        <v>1.7484960659482387</v>
      </c>
      <c r="M209" s="369">
        <f>IF(SUM(M210:M216)&gt;L209,L209,SUM(M210:M216))</f>
        <v>0</v>
      </c>
      <c r="N209" s="370">
        <f>Ponderações!P42*100</f>
        <v>8.742480329741193</v>
      </c>
      <c r="O209" s="370">
        <f>IF(SUM(O210:O216)&gt;N209,N209,SUM(O210:O216))</f>
        <v>0</v>
      </c>
      <c r="P209" s="353"/>
      <c r="Q209" s="298" t="s">
        <v>732</v>
      </c>
      <c r="R209" s="366"/>
      <c r="S209" s="370">
        <f>N209</f>
        <v>8.742480329741193</v>
      </c>
      <c r="T209" s="370">
        <f>IF(SUM(T210:T216)&gt;S209,S209,SUM(T210:T216))</f>
        <v>0</v>
      </c>
      <c r="U209" s="353"/>
      <c r="V209" s="298" t="s">
        <v>732</v>
      </c>
      <c r="W209" s="366"/>
      <c r="X209" s="370">
        <f>S209</f>
        <v>8.742480329741193</v>
      </c>
      <c r="Y209" s="370">
        <f>IF(SUM(Y210:Y216)&gt;X209,X209,SUM(Y210:Y216))</f>
        <v>0</v>
      </c>
      <c r="Z209" s="353"/>
      <c r="AA209" s="327"/>
      <c r="AD209" s="353"/>
    </row>
    <row r="210" spans="1:30" outlineLevel="3" x14ac:dyDescent="0.25">
      <c r="B210" s="22"/>
      <c r="E210" s="35" t="s">
        <v>1210</v>
      </c>
      <c r="F210" s="35" t="s">
        <v>1211</v>
      </c>
      <c r="G210" s="35"/>
      <c r="H210" s="285">
        <f>IF(Checklist!J210="",0,Checklist!J210)</f>
        <v>0</v>
      </c>
      <c r="I210" s="285">
        <f>IF(Checklist!K210="",0,Checklist!K210)</f>
        <v>0</v>
      </c>
      <c r="J210" s="371"/>
      <c r="K210" s="371">
        <f>H210*AA210*$J$209</f>
        <v>0</v>
      </c>
      <c r="L210" s="331"/>
      <c r="M210" s="372">
        <f>I210*AA210*$L$209</f>
        <v>0</v>
      </c>
      <c r="N210" s="333"/>
      <c r="O210" s="333">
        <f t="shared" ref="O210:O216" si="45">M210+K210</f>
        <v>0</v>
      </c>
      <c r="P210" s="353"/>
      <c r="Q210" s="285">
        <f>IF(Checklist!M210="",0,Checklist!M210)</f>
        <v>0</v>
      </c>
      <c r="R210" s="22"/>
      <c r="S210" s="334"/>
      <c r="T210" s="333">
        <f>Q210*AA210*$S$209</f>
        <v>0</v>
      </c>
      <c r="U210" s="353"/>
      <c r="V210" s="373">
        <f>IF(Checklist!P210="",0,Checklist!P210)</f>
        <v>0</v>
      </c>
      <c r="W210" s="22"/>
      <c r="X210" s="334"/>
      <c r="Y210" s="333">
        <f>V210*AA210*$X$209</f>
        <v>0</v>
      </c>
      <c r="Z210" s="353"/>
      <c r="AA210" s="335">
        <v>1</v>
      </c>
      <c r="AD210" s="353"/>
    </row>
    <row r="211" spans="1:30" outlineLevel="3" x14ac:dyDescent="0.25">
      <c r="B211" s="22"/>
      <c r="E211" s="35" t="s">
        <v>1212</v>
      </c>
      <c r="F211" s="35" t="s">
        <v>1194</v>
      </c>
      <c r="G211" s="35"/>
      <c r="H211" s="285">
        <f>IF(Checklist!J211="",0,Checklist!J211)</f>
        <v>0</v>
      </c>
      <c r="I211" s="285">
        <f>IF(Checklist!K211="",0,Checklist!K211)</f>
        <v>0</v>
      </c>
      <c r="J211" s="371"/>
      <c r="K211" s="371">
        <f t="shared" ref="K211:K216" si="46">H211*AA211*$J$209</f>
        <v>0</v>
      </c>
      <c r="L211" s="331"/>
      <c r="M211" s="372">
        <f t="shared" ref="M211:M216" si="47">I211*AA211*$L$209</f>
        <v>0</v>
      </c>
      <c r="N211" s="333"/>
      <c r="O211" s="333">
        <f t="shared" si="45"/>
        <v>0</v>
      </c>
      <c r="P211" s="353"/>
      <c r="Q211" s="285">
        <f>IF(Checklist!M211="",0,Checklist!M211)</f>
        <v>0</v>
      </c>
      <c r="R211" s="22"/>
      <c r="S211" s="334"/>
      <c r="T211" s="333">
        <f t="shared" ref="T211:T216" si="48">Q211*AA211*$S$209</f>
        <v>0</v>
      </c>
      <c r="U211" s="353"/>
      <c r="V211" s="373">
        <f>IF(Checklist!P211="",0,Checklist!P211)</f>
        <v>0</v>
      </c>
      <c r="W211" s="22"/>
      <c r="X211" s="334"/>
      <c r="Y211" s="333">
        <f t="shared" ref="Y211:Y214" si="49">V211*AA211*$X$209</f>
        <v>0</v>
      </c>
      <c r="Z211" s="353"/>
      <c r="AA211" s="335">
        <v>0.45</v>
      </c>
      <c r="AD211" s="353"/>
    </row>
    <row r="212" spans="1:30" outlineLevel="3" x14ac:dyDescent="0.25">
      <c r="E212" s="35" t="s">
        <v>1213</v>
      </c>
      <c r="F212" s="35" t="s">
        <v>1195</v>
      </c>
      <c r="G212" s="35"/>
      <c r="H212" s="285">
        <f>IF(Checklist!J212="",0,Checklist!J212)</f>
        <v>0</v>
      </c>
      <c r="I212" s="285">
        <f>IF(Checklist!K212="",0,Checklist!K212)</f>
        <v>0</v>
      </c>
      <c r="J212" s="371"/>
      <c r="K212" s="371">
        <f t="shared" si="46"/>
        <v>0</v>
      </c>
      <c r="L212" s="331"/>
      <c r="M212" s="372">
        <f t="shared" si="47"/>
        <v>0</v>
      </c>
      <c r="N212" s="333"/>
      <c r="O212" s="333">
        <f t="shared" si="45"/>
        <v>0</v>
      </c>
      <c r="P212" s="353"/>
      <c r="Q212" s="285">
        <f>IF(Checklist!M212="",0,Checklist!M212)</f>
        <v>0</v>
      </c>
      <c r="R212" s="22"/>
      <c r="S212" s="334"/>
      <c r="T212" s="333">
        <f t="shared" si="48"/>
        <v>0</v>
      </c>
      <c r="U212" s="353"/>
      <c r="V212" s="373">
        <f>IF(Checklist!P212="",0,Checklist!P212)</f>
        <v>0</v>
      </c>
      <c r="W212" s="22"/>
      <c r="X212" s="334"/>
      <c r="Y212" s="333">
        <f t="shared" si="49"/>
        <v>0</v>
      </c>
      <c r="Z212" s="353"/>
      <c r="AA212" s="335">
        <v>0.1</v>
      </c>
      <c r="AD212" s="353"/>
    </row>
    <row r="213" spans="1:30" outlineLevel="3" x14ac:dyDescent="0.25">
      <c r="E213" s="35" t="s">
        <v>1214</v>
      </c>
      <c r="F213" s="35" t="s">
        <v>1196</v>
      </c>
      <c r="G213" s="35"/>
      <c r="H213" s="285">
        <f>IF(Checklist!J213="",0,Checklist!J213)</f>
        <v>0</v>
      </c>
      <c r="I213" s="285">
        <f>IF(Checklist!K213="",0,Checklist!K213)</f>
        <v>0</v>
      </c>
      <c r="J213" s="371"/>
      <c r="K213" s="371">
        <f t="shared" si="46"/>
        <v>0</v>
      </c>
      <c r="L213" s="331"/>
      <c r="M213" s="372">
        <f t="shared" si="47"/>
        <v>0</v>
      </c>
      <c r="N213" s="333"/>
      <c r="O213" s="333">
        <f t="shared" si="45"/>
        <v>0</v>
      </c>
      <c r="P213" s="353"/>
      <c r="Q213" s="285">
        <f>IF(Checklist!M213="",0,Checklist!M213)</f>
        <v>0</v>
      </c>
      <c r="R213" s="22"/>
      <c r="S213" s="334"/>
      <c r="T213" s="333">
        <f t="shared" si="48"/>
        <v>0</v>
      </c>
      <c r="U213" s="353"/>
      <c r="V213" s="373">
        <f>IF(Checklist!P213="",0,Checklist!P213)</f>
        <v>0</v>
      </c>
      <c r="W213" s="22"/>
      <c r="X213" s="334"/>
      <c r="Y213" s="333">
        <f>V213*AA213*$X$209</f>
        <v>0</v>
      </c>
      <c r="Z213" s="353"/>
      <c r="AA213" s="335">
        <v>0.45</v>
      </c>
      <c r="AD213" s="353"/>
    </row>
    <row r="214" spans="1:30" outlineLevel="3" x14ac:dyDescent="0.25">
      <c r="E214" s="35" t="s">
        <v>1215</v>
      </c>
      <c r="F214" s="287" t="s">
        <v>1197</v>
      </c>
      <c r="G214" s="35"/>
      <c r="H214" s="285">
        <f>IF(Checklist!J214="",0,Checklist!J214)</f>
        <v>0</v>
      </c>
      <c r="I214" s="285">
        <f>IF(Checklist!K214="",0,Checklist!K214)</f>
        <v>0</v>
      </c>
      <c r="J214" s="371"/>
      <c r="K214" s="371">
        <f t="shared" si="46"/>
        <v>0</v>
      </c>
      <c r="L214" s="331"/>
      <c r="M214" s="372">
        <f t="shared" si="47"/>
        <v>0</v>
      </c>
      <c r="N214" s="333"/>
      <c r="O214" s="333">
        <f>M214+K214</f>
        <v>0</v>
      </c>
      <c r="P214" s="353"/>
      <c r="Q214" s="285">
        <f>IF(Checklist!M214="",0,Checklist!M214)</f>
        <v>0</v>
      </c>
      <c r="R214" s="22"/>
      <c r="S214" s="334"/>
      <c r="T214" s="333">
        <f t="shared" si="48"/>
        <v>0</v>
      </c>
      <c r="U214" s="353"/>
      <c r="V214" s="373">
        <f>IF(Checklist!P214="",0,Checklist!P214)</f>
        <v>0</v>
      </c>
      <c r="W214" s="22"/>
      <c r="X214" s="334"/>
      <c r="Y214" s="333">
        <f t="shared" si="49"/>
        <v>0</v>
      </c>
      <c r="Z214" s="353"/>
      <c r="AA214" s="335">
        <v>0.1</v>
      </c>
      <c r="AD214" s="353"/>
    </row>
    <row r="215" spans="1:30" outlineLevel="3" x14ac:dyDescent="0.25">
      <c r="E215" s="35" t="s">
        <v>1216</v>
      </c>
      <c r="F215" s="35" t="s">
        <v>941</v>
      </c>
      <c r="G215" s="35"/>
      <c r="H215" s="285">
        <f>IF(Checklist!J215="",0,Checklist!J215)</f>
        <v>0</v>
      </c>
      <c r="I215" s="285">
        <f>IF(Checklist!K215="",0,Checklist!K215)</f>
        <v>0</v>
      </c>
      <c r="J215" s="371"/>
      <c r="K215" s="371">
        <f t="shared" si="46"/>
        <v>0</v>
      </c>
      <c r="L215" s="331"/>
      <c r="M215" s="372">
        <f t="shared" si="47"/>
        <v>0</v>
      </c>
      <c r="N215" s="333"/>
      <c r="O215" s="333">
        <f t="shared" si="45"/>
        <v>0</v>
      </c>
      <c r="P215" s="353"/>
      <c r="Q215" s="285">
        <f>IF(Checklist!M215="",0,Checklist!M215)</f>
        <v>0</v>
      </c>
      <c r="R215" s="22"/>
      <c r="S215" s="334"/>
      <c r="T215" s="333">
        <f t="shared" si="48"/>
        <v>0</v>
      </c>
      <c r="U215" s="353"/>
      <c r="V215" s="373">
        <f>IF(Checklist!P215="",0,Checklist!P215)</f>
        <v>0</v>
      </c>
      <c r="W215" s="22"/>
      <c r="X215" s="334"/>
      <c r="Y215" s="333">
        <f>V215*AA215*$X$209</f>
        <v>0</v>
      </c>
      <c r="Z215" s="353"/>
      <c r="AA215" s="335">
        <v>0</v>
      </c>
      <c r="AD215" s="353"/>
    </row>
    <row r="216" spans="1:30" outlineLevel="3" x14ac:dyDescent="0.25">
      <c r="E216" s="35" t="s">
        <v>1217</v>
      </c>
      <c r="F216" s="35" t="s">
        <v>943</v>
      </c>
      <c r="G216" s="35"/>
      <c r="H216" s="285">
        <f>IF(Checklist!J216="",0,Checklist!J216)</f>
        <v>0</v>
      </c>
      <c r="I216" s="285">
        <f>IF(Checklist!K216="",0,Checklist!K216)</f>
        <v>0</v>
      </c>
      <c r="J216" s="371"/>
      <c r="K216" s="371">
        <f t="shared" si="46"/>
        <v>0</v>
      </c>
      <c r="L216" s="331"/>
      <c r="M216" s="372">
        <f t="shared" si="47"/>
        <v>0</v>
      </c>
      <c r="N216" s="333"/>
      <c r="O216" s="333">
        <f t="shared" si="45"/>
        <v>0</v>
      </c>
      <c r="P216" s="353"/>
      <c r="Q216" s="285">
        <f>IF(Checklist!M216="",0,Checklist!M216)</f>
        <v>0</v>
      </c>
      <c r="R216" s="22"/>
      <c r="S216" s="334"/>
      <c r="T216" s="333">
        <f t="shared" si="48"/>
        <v>0</v>
      </c>
      <c r="U216" s="353"/>
      <c r="V216" s="373">
        <f>IF(Checklist!P216="",0,Checklist!P216)</f>
        <v>0</v>
      </c>
      <c r="W216" s="22"/>
      <c r="X216" s="334"/>
      <c r="Y216" s="333">
        <f>V216*AA216*$X$209</f>
        <v>0</v>
      </c>
      <c r="Z216" s="353"/>
      <c r="AA216" s="335">
        <v>0</v>
      </c>
      <c r="AD216" s="353"/>
    </row>
    <row r="217" spans="1:30" s="342" customFormat="1" ht="14.65" customHeight="1" outlineLevel="2" x14ac:dyDescent="0.25">
      <c r="B217" s="374"/>
      <c r="C217" s="374"/>
      <c r="D217" s="36" t="s">
        <v>1218</v>
      </c>
      <c r="E217" s="36" t="s">
        <v>1219</v>
      </c>
      <c r="F217" s="36"/>
      <c r="G217" s="36"/>
      <c r="H217" s="298" t="s">
        <v>731</v>
      </c>
      <c r="I217" s="297" t="s">
        <v>731</v>
      </c>
      <c r="J217" s="368">
        <f t="shared" si="38"/>
        <v>6.9939842637929548</v>
      </c>
      <c r="K217" s="368">
        <f>IF(SUM(K218:K222)&gt;J217,J217,SUM(K218:K222))</f>
        <v>0</v>
      </c>
      <c r="L217" s="369">
        <f t="shared" si="39"/>
        <v>1.7484960659482387</v>
      </c>
      <c r="M217" s="369">
        <f>IF(SUM(M218:M222)&gt;L217,L217,SUM(M218:M222))</f>
        <v>0</v>
      </c>
      <c r="N217" s="370">
        <f>Ponderações!P43*100</f>
        <v>8.742480329741193</v>
      </c>
      <c r="O217" s="370">
        <f>IF(SUM(O218:O222)&gt;N217,N217,SUM(O218:O222))</f>
        <v>0</v>
      </c>
      <c r="P217" s="353"/>
      <c r="Q217" s="298" t="s">
        <v>731</v>
      </c>
      <c r="R217" s="366"/>
      <c r="S217" s="370">
        <f>N217</f>
        <v>8.742480329741193</v>
      </c>
      <c r="T217" s="370">
        <f>IF(SUM(T218:T222)&gt;S217,S217,SUM(T218:T222))</f>
        <v>0</v>
      </c>
      <c r="U217" s="353"/>
      <c r="V217" s="298" t="s">
        <v>731</v>
      </c>
      <c r="W217" s="366"/>
      <c r="X217" s="370">
        <f>S217</f>
        <v>8.742480329741193</v>
      </c>
      <c r="Y217" s="370">
        <f>IF(SUM(Y218:Y222)&gt;X217,X217,SUM(Y218:Y222))</f>
        <v>0</v>
      </c>
      <c r="Z217" s="353"/>
      <c r="AA217" s="327"/>
      <c r="AD217" s="353"/>
    </row>
    <row r="218" spans="1:30" outlineLevel="3" x14ac:dyDescent="0.25">
      <c r="E218" s="35" t="s">
        <v>1220</v>
      </c>
      <c r="F218" s="35" t="s">
        <v>1765</v>
      </c>
      <c r="G218" s="35"/>
      <c r="H218" s="285">
        <f>IF(Checklist!J218="",0,Checklist!J218)</f>
        <v>0</v>
      </c>
      <c r="I218" s="285">
        <f>IF(Checklist!K218="",0,Checklist!K218)</f>
        <v>0</v>
      </c>
      <c r="J218" s="371"/>
      <c r="K218" s="371">
        <f>H218*AA218*J217</f>
        <v>0</v>
      </c>
      <c r="L218" s="331"/>
      <c r="M218" s="372">
        <f>I218*AA218*L217</f>
        <v>0</v>
      </c>
      <c r="N218" s="333"/>
      <c r="O218" s="333">
        <f t="shared" ref="O218:O222" si="50">M218+K218</f>
        <v>0</v>
      </c>
      <c r="P218" s="353"/>
      <c r="Q218" s="285">
        <f>IF(Checklist!M218="",0,Checklist!M218)</f>
        <v>0</v>
      </c>
      <c r="R218" s="22"/>
      <c r="S218" s="334"/>
      <c r="T218" s="333">
        <f>Q218*AA218*S217</f>
        <v>0</v>
      </c>
      <c r="U218" s="353"/>
      <c r="V218" s="373">
        <f>IF(Checklist!P218="",0,Checklist!P218)</f>
        <v>0</v>
      </c>
      <c r="W218" s="22"/>
      <c r="X218" s="334"/>
      <c r="Y218" s="333">
        <f>V218*AA218*X217</f>
        <v>0</v>
      </c>
      <c r="Z218" s="353"/>
      <c r="AA218" s="335">
        <v>1</v>
      </c>
      <c r="AD218" s="353"/>
    </row>
    <row r="219" spans="1:30" outlineLevel="3" x14ac:dyDescent="0.25">
      <c r="E219" s="35" t="s">
        <v>1221</v>
      </c>
      <c r="F219" s="35" t="s">
        <v>1199</v>
      </c>
      <c r="G219" s="35"/>
      <c r="H219" s="285">
        <f>IF(Checklist!J219="",0,Checklist!J219)</f>
        <v>0</v>
      </c>
      <c r="I219" s="285">
        <f>IF(Checklist!K219="",0,Checklist!K219)</f>
        <v>0</v>
      </c>
      <c r="J219" s="371"/>
      <c r="K219" s="371">
        <f>H219*AA219*J217</f>
        <v>0</v>
      </c>
      <c r="L219" s="331"/>
      <c r="M219" s="372">
        <f>I219*AA219*L217</f>
        <v>0</v>
      </c>
      <c r="N219" s="333"/>
      <c r="O219" s="333">
        <f t="shared" si="50"/>
        <v>0</v>
      </c>
      <c r="P219" s="353"/>
      <c r="Q219" s="285">
        <f>IF(Checklist!M219="",0,Checklist!M219)</f>
        <v>0</v>
      </c>
      <c r="R219" s="22"/>
      <c r="S219" s="334"/>
      <c r="T219" s="333">
        <f>Q219*AA219*S217</f>
        <v>0</v>
      </c>
      <c r="U219" s="353"/>
      <c r="V219" s="373">
        <f>IF(Checklist!P219="",0,Checklist!P219)</f>
        <v>0</v>
      </c>
      <c r="W219" s="22"/>
      <c r="X219" s="334"/>
      <c r="Y219" s="333">
        <f>V219*AA219*X217</f>
        <v>0</v>
      </c>
      <c r="Z219" s="353"/>
      <c r="AA219" s="335">
        <v>0.75</v>
      </c>
      <c r="AD219" s="353"/>
    </row>
    <row r="220" spans="1:30" outlineLevel="3" x14ac:dyDescent="0.25">
      <c r="E220" s="35" t="s">
        <v>1222</v>
      </c>
      <c r="F220" s="35" t="s">
        <v>1200</v>
      </c>
      <c r="G220" s="35"/>
      <c r="H220" s="285">
        <f>IF(Checklist!J220="",0,Checklist!J220)</f>
        <v>0</v>
      </c>
      <c r="I220" s="285">
        <f>IF(Checklist!K220="",0,Checklist!K220)</f>
        <v>0</v>
      </c>
      <c r="J220" s="371"/>
      <c r="K220" s="371">
        <f>H220*AA220*J217</f>
        <v>0</v>
      </c>
      <c r="L220" s="331"/>
      <c r="M220" s="372">
        <f>I220*AA220*L217</f>
        <v>0</v>
      </c>
      <c r="N220" s="333"/>
      <c r="O220" s="333">
        <f t="shared" si="50"/>
        <v>0</v>
      </c>
      <c r="P220" s="353"/>
      <c r="Q220" s="285">
        <f>IF(Checklist!M220="",0,Checklist!M220)</f>
        <v>0</v>
      </c>
      <c r="R220" s="22"/>
      <c r="S220" s="334"/>
      <c r="T220" s="333">
        <f>Q220*AA220*S217</f>
        <v>0</v>
      </c>
      <c r="U220" s="353"/>
      <c r="V220" s="373">
        <f>IF(Checklist!P220="",0,Checklist!P220)</f>
        <v>0</v>
      </c>
      <c r="W220" s="22"/>
      <c r="X220" s="334"/>
      <c r="Y220" s="333">
        <f>V220*AA220*X217</f>
        <v>0</v>
      </c>
      <c r="Z220" s="353"/>
      <c r="AA220" s="335">
        <v>0.25</v>
      </c>
      <c r="AD220" s="353"/>
    </row>
    <row r="221" spans="1:30" outlineLevel="3" x14ac:dyDescent="0.25">
      <c r="C221" s="296"/>
      <c r="E221" s="35" t="s">
        <v>1223</v>
      </c>
      <c r="F221" s="35" t="s">
        <v>1201</v>
      </c>
      <c r="G221" s="35"/>
      <c r="H221" s="285">
        <f>IF(Checklist!J221="",0,Checklist!J221)</f>
        <v>0</v>
      </c>
      <c r="I221" s="285">
        <f>IF(Checklist!K221="",0,Checklist!K221)</f>
        <v>0</v>
      </c>
      <c r="J221" s="371"/>
      <c r="K221" s="371">
        <f>H221*AA221*J217</f>
        <v>0</v>
      </c>
      <c r="L221" s="331"/>
      <c r="M221" s="372">
        <f>I221*AA221*L217</f>
        <v>0</v>
      </c>
      <c r="N221" s="333"/>
      <c r="O221" s="333">
        <f t="shared" si="50"/>
        <v>0</v>
      </c>
      <c r="P221" s="353"/>
      <c r="Q221" s="285">
        <f>IF(Checklist!M221="",0,Checklist!M221)</f>
        <v>0</v>
      </c>
      <c r="R221" s="22"/>
      <c r="S221" s="334"/>
      <c r="T221" s="333">
        <f>Q221*AA221*S217</f>
        <v>0</v>
      </c>
      <c r="U221" s="353"/>
      <c r="V221" s="373">
        <f>IF(Checklist!P221="",0,Checklist!P221)</f>
        <v>0</v>
      </c>
      <c r="W221" s="22"/>
      <c r="X221" s="334"/>
      <c r="Y221" s="333">
        <f>V221*AA221*X217</f>
        <v>0</v>
      </c>
      <c r="Z221" s="353"/>
      <c r="AA221" s="335">
        <v>0</v>
      </c>
      <c r="AD221" s="353"/>
    </row>
    <row r="222" spans="1:30" outlineLevel="3" x14ac:dyDescent="0.25">
      <c r="E222" s="35" t="s">
        <v>1224</v>
      </c>
      <c r="F222" s="35" t="s">
        <v>943</v>
      </c>
      <c r="G222" s="35"/>
      <c r="H222" s="285">
        <f>IF(Checklist!J222="",0,Checklist!J222)</f>
        <v>1</v>
      </c>
      <c r="I222" s="285">
        <f>IF(Checklist!K222="",0,Checklist!K222)</f>
        <v>1</v>
      </c>
      <c r="J222" s="371"/>
      <c r="K222" s="371">
        <f>H222*AA222*J217</f>
        <v>0</v>
      </c>
      <c r="L222" s="331"/>
      <c r="M222" s="372">
        <f>I222*AA222*L217</f>
        <v>0</v>
      </c>
      <c r="N222" s="333"/>
      <c r="O222" s="333">
        <f t="shared" si="50"/>
        <v>0</v>
      </c>
      <c r="P222" s="353"/>
      <c r="Q222" s="285">
        <f>IF(Checklist!M222="",0,Checklist!M222)</f>
        <v>1</v>
      </c>
      <c r="R222" s="22"/>
      <c r="S222" s="334"/>
      <c r="T222" s="333">
        <f>Q222*AA222*S217</f>
        <v>0</v>
      </c>
      <c r="U222" s="353"/>
      <c r="V222" s="373">
        <f>IF(Checklist!P222="",0,Checklist!P222)</f>
        <v>1</v>
      </c>
      <c r="W222" s="22"/>
      <c r="X222" s="334"/>
      <c r="Y222" s="333">
        <f>V222*AA222*X217</f>
        <v>0</v>
      </c>
      <c r="Z222" s="353"/>
      <c r="AA222" s="335">
        <v>0</v>
      </c>
      <c r="AD222" s="353"/>
    </row>
    <row r="223" spans="1:30" s="342" customFormat="1" outlineLevel="2" x14ac:dyDescent="0.25">
      <c r="B223" s="374"/>
      <c r="C223" s="366"/>
      <c r="D223" s="36" t="s">
        <v>1225</v>
      </c>
      <c r="E223" s="36" t="s">
        <v>1202</v>
      </c>
      <c r="F223" s="36"/>
      <c r="G223" s="36"/>
      <c r="H223" s="298" t="s">
        <v>731</v>
      </c>
      <c r="I223" s="297" t="s">
        <v>731</v>
      </c>
      <c r="J223" s="368">
        <f t="shared" si="38"/>
        <v>3.4969921318964774</v>
      </c>
      <c r="K223" s="368">
        <f>IF(SUM(K224:K227)&gt;J223,J223,SUM(K224:K227))</f>
        <v>0</v>
      </c>
      <c r="L223" s="369">
        <f t="shared" si="39"/>
        <v>0.87424803297411935</v>
      </c>
      <c r="M223" s="369">
        <f>IF(SUM(M224:M227)&gt;L223,L223,SUM(M224:M227))</f>
        <v>0</v>
      </c>
      <c r="N223" s="370">
        <f>Ponderações!P44*100</f>
        <v>4.3712401648705965</v>
      </c>
      <c r="O223" s="370">
        <f>IF(SUM(O224:O227)&gt;N223,N223,SUM(O224:O227))</f>
        <v>0</v>
      </c>
      <c r="P223" s="353"/>
      <c r="Q223" s="298" t="s">
        <v>731</v>
      </c>
      <c r="R223" s="366"/>
      <c r="S223" s="370">
        <f>N223</f>
        <v>4.3712401648705965</v>
      </c>
      <c r="T223" s="370">
        <f>IF(SUM(T224:T227)&gt;S223,S223,SUM(T224:T227))</f>
        <v>0</v>
      </c>
      <c r="U223" s="353"/>
      <c r="V223" s="298" t="s">
        <v>731</v>
      </c>
      <c r="W223" s="366"/>
      <c r="X223" s="370">
        <f>S223</f>
        <v>4.3712401648705965</v>
      </c>
      <c r="Y223" s="370">
        <f>IF(SUM(Y224:Y227)&gt;X223,X223,SUM(Y224:Y227))</f>
        <v>0</v>
      </c>
      <c r="Z223" s="353"/>
      <c r="AA223" s="327"/>
      <c r="AD223" s="353"/>
    </row>
    <row r="224" spans="1:30" ht="14.65" customHeight="1" outlineLevel="3" x14ac:dyDescent="0.25">
      <c r="E224" s="35" t="s">
        <v>1226</v>
      </c>
      <c r="F224" s="35" t="s">
        <v>92</v>
      </c>
      <c r="G224" s="35"/>
      <c r="H224" s="285">
        <f>IF(Checklist!J224="",0,Checklist!J224)</f>
        <v>0</v>
      </c>
      <c r="I224" s="285">
        <f>IF(Checklist!K224="",0,Checklist!K224)</f>
        <v>0</v>
      </c>
      <c r="J224" s="371"/>
      <c r="K224" s="371">
        <f>H224*AA224*J223</f>
        <v>0</v>
      </c>
      <c r="L224" s="331"/>
      <c r="M224" s="372">
        <f>I224*AA224*L223</f>
        <v>0</v>
      </c>
      <c r="N224" s="333"/>
      <c r="O224" s="333">
        <f>M224+K224</f>
        <v>0</v>
      </c>
      <c r="P224" s="353"/>
      <c r="Q224" s="285">
        <f>IF(Checklist!M224="",0,Checklist!M224)</f>
        <v>0</v>
      </c>
      <c r="R224" s="22"/>
      <c r="S224" s="334"/>
      <c r="T224" s="333">
        <f>Q224*AA224*S223</f>
        <v>0</v>
      </c>
      <c r="U224" s="353"/>
      <c r="V224" s="373">
        <f>IF(Checklist!P224="",0,Checklist!P224)</f>
        <v>0</v>
      </c>
      <c r="W224" s="22"/>
      <c r="X224" s="334"/>
      <c r="Y224" s="333">
        <f>V224*AA224*X223</f>
        <v>0</v>
      </c>
      <c r="Z224" s="353"/>
      <c r="AA224" s="335">
        <v>1</v>
      </c>
      <c r="AD224" s="353"/>
    </row>
    <row r="225" spans="1:30" outlineLevel="3" x14ac:dyDescent="0.25">
      <c r="E225" s="35" t="s">
        <v>1227</v>
      </c>
      <c r="F225" s="35" t="s">
        <v>1203</v>
      </c>
      <c r="G225" s="35"/>
      <c r="H225" s="285">
        <f>IF(Checklist!J225="",0,Checklist!J225)</f>
        <v>0</v>
      </c>
      <c r="I225" s="285">
        <f>IF(Checklist!K225="",0,Checklist!K225)</f>
        <v>0</v>
      </c>
      <c r="J225" s="371"/>
      <c r="K225" s="371">
        <f>H225*AA225*J223</f>
        <v>0</v>
      </c>
      <c r="L225" s="331"/>
      <c r="M225" s="372">
        <f>I225*AA225*L223</f>
        <v>0</v>
      </c>
      <c r="N225" s="333"/>
      <c r="O225" s="333">
        <f>M225+K225</f>
        <v>0</v>
      </c>
      <c r="P225" s="353"/>
      <c r="Q225" s="285">
        <f>IF(Checklist!M225="",0,Checklist!M225)</f>
        <v>0</v>
      </c>
      <c r="R225" s="22"/>
      <c r="S225" s="334"/>
      <c r="T225" s="333">
        <f>Q225*AA225*S223</f>
        <v>0</v>
      </c>
      <c r="U225" s="353"/>
      <c r="V225" s="373">
        <f>IF(Checklist!P225="",0,Checklist!P225)</f>
        <v>0</v>
      </c>
      <c r="W225" s="22"/>
      <c r="X225" s="334"/>
      <c r="Y225" s="333">
        <f>V225*AA225*X223</f>
        <v>0</v>
      </c>
      <c r="Z225" s="353"/>
      <c r="AA225" s="335">
        <v>0</v>
      </c>
      <c r="AD225" s="353"/>
    </row>
    <row r="226" spans="1:30" outlineLevel="3" x14ac:dyDescent="0.25">
      <c r="E226" s="35" t="s">
        <v>1228</v>
      </c>
      <c r="F226" s="35" t="s">
        <v>107</v>
      </c>
      <c r="G226" s="35"/>
      <c r="H226" s="285">
        <f>IF(Checklist!J226="",0,Checklist!J226)</f>
        <v>0</v>
      </c>
      <c r="I226" s="285">
        <f>IF(Checklist!K226="",0,Checklist!K226)</f>
        <v>0</v>
      </c>
      <c r="J226" s="371"/>
      <c r="K226" s="371">
        <f>H226*AA226*J223</f>
        <v>0</v>
      </c>
      <c r="L226" s="331"/>
      <c r="M226" s="372">
        <f>I226*AA226*L223</f>
        <v>0</v>
      </c>
      <c r="N226" s="333"/>
      <c r="O226" s="333">
        <f>M226+K226</f>
        <v>0</v>
      </c>
      <c r="P226" s="353"/>
      <c r="Q226" s="285">
        <f>IF(Checklist!M226="",0,Checklist!M226)</f>
        <v>0</v>
      </c>
      <c r="R226" s="22"/>
      <c r="S226" s="334"/>
      <c r="T226" s="333">
        <f>Q226*AA226*S223</f>
        <v>0</v>
      </c>
      <c r="U226" s="353"/>
      <c r="V226" s="373">
        <f>IF(Checklist!P226="",0,Checklist!P226)</f>
        <v>0</v>
      </c>
      <c r="W226" s="22"/>
      <c r="X226" s="334"/>
      <c r="Y226" s="333">
        <f>V226*AA226*X223</f>
        <v>0</v>
      </c>
      <c r="Z226" s="353"/>
      <c r="AA226" s="335">
        <v>0</v>
      </c>
      <c r="AD226" s="353"/>
    </row>
    <row r="227" spans="1:30" outlineLevel="3" x14ac:dyDescent="0.25">
      <c r="E227" s="35" t="s">
        <v>1229</v>
      </c>
      <c r="F227" s="35" t="s">
        <v>943</v>
      </c>
      <c r="G227" s="35"/>
      <c r="H227" s="285">
        <f>IF(Checklist!J227="",0,Checklist!J227)</f>
        <v>1</v>
      </c>
      <c r="I227" s="285">
        <f>IF(Checklist!K227="",0,Checklist!K227)</f>
        <v>1</v>
      </c>
      <c r="J227" s="371"/>
      <c r="K227" s="371">
        <f>H227*AA227*J223</f>
        <v>0</v>
      </c>
      <c r="L227" s="331"/>
      <c r="M227" s="372">
        <f>I227*AA227*L223</f>
        <v>0</v>
      </c>
      <c r="N227" s="333"/>
      <c r="O227" s="333">
        <f>M227+K227</f>
        <v>0</v>
      </c>
      <c r="P227" s="353"/>
      <c r="Q227" s="285">
        <f>IF(Checklist!M227="",0,Checklist!M227)</f>
        <v>1</v>
      </c>
      <c r="R227" s="22"/>
      <c r="S227" s="334"/>
      <c r="T227" s="333">
        <f>Q227*AA227*S223</f>
        <v>0</v>
      </c>
      <c r="U227" s="353"/>
      <c r="V227" s="373">
        <f>IF(Checklist!P227="",0,Checklist!P227)</f>
        <v>1</v>
      </c>
      <c r="W227" s="22"/>
      <c r="X227" s="334"/>
      <c r="Y227" s="333">
        <f>V227*AA227*X223</f>
        <v>0</v>
      </c>
      <c r="Z227" s="353"/>
      <c r="AA227" s="335">
        <v>0</v>
      </c>
      <c r="AD227" s="353"/>
    </row>
    <row r="228" spans="1:30" s="342" customFormat="1" ht="14.65" customHeight="1" outlineLevel="2" x14ac:dyDescent="0.25">
      <c r="B228" s="374"/>
      <c r="C228" s="366"/>
      <c r="D228" s="36" t="s">
        <v>1230</v>
      </c>
      <c r="E228" s="36" t="s">
        <v>1204</v>
      </c>
      <c r="F228" s="36"/>
      <c r="G228" s="36"/>
      <c r="H228" s="298" t="s">
        <v>731</v>
      </c>
      <c r="I228" s="297" t="s">
        <v>731</v>
      </c>
      <c r="J228" s="368">
        <f t="shared" si="38"/>
        <v>1.1656640439654922</v>
      </c>
      <c r="K228" s="368">
        <f>IF(SUM(K229:K232)&gt;J228,J228,SUM(K229:K232))</f>
        <v>0</v>
      </c>
      <c r="L228" s="369">
        <f t="shared" si="39"/>
        <v>0.29141601099137304</v>
      </c>
      <c r="M228" s="369">
        <f>IF(SUM(M229:M232)&gt;L228,L228,SUM(M229:M232))</f>
        <v>0</v>
      </c>
      <c r="N228" s="370">
        <f>Ponderações!P45*100</f>
        <v>1.4570800549568652</v>
      </c>
      <c r="O228" s="370">
        <f>IF(SUM(O229:O232)&gt;N228,N228,SUM(O229:O232))</f>
        <v>0</v>
      </c>
      <c r="P228" s="353"/>
      <c r="Q228" s="298" t="s">
        <v>731</v>
      </c>
      <c r="R228" s="366"/>
      <c r="S228" s="370">
        <f>N228</f>
        <v>1.4570800549568652</v>
      </c>
      <c r="T228" s="370">
        <f>IF(SUM(T229:T232)&gt;S228,S228,SUM(T229:T232))</f>
        <v>0</v>
      </c>
      <c r="U228" s="353"/>
      <c r="V228" s="298" t="s">
        <v>731</v>
      </c>
      <c r="W228" s="366"/>
      <c r="X228" s="370">
        <f>S228</f>
        <v>1.4570800549568652</v>
      </c>
      <c r="Y228" s="370">
        <f>IF(SUM(Y229:Y232)&gt;X228,X228,SUM(Y229:Y232))</f>
        <v>0</v>
      </c>
      <c r="Z228" s="353"/>
      <c r="AA228" s="327"/>
      <c r="AD228" s="353"/>
    </row>
    <row r="229" spans="1:30" outlineLevel="3" x14ac:dyDescent="0.25">
      <c r="E229" s="35" t="s">
        <v>1231</v>
      </c>
      <c r="F229" s="35" t="s">
        <v>1205</v>
      </c>
      <c r="G229" s="35"/>
      <c r="H229" s="285">
        <f>IF(Checklist!J229="",0,Checklist!J229)</f>
        <v>0</v>
      </c>
      <c r="I229" s="285">
        <f>IF(Checklist!K229="",0,Checklist!K229)</f>
        <v>0</v>
      </c>
      <c r="J229" s="371"/>
      <c r="K229" s="371">
        <f>H229*AA229*J228</f>
        <v>0</v>
      </c>
      <c r="L229" s="331"/>
      <c r="M229" s="372">
        <f>I229*AA229*L228</f>
        <v>0</v>
      </c>
      <c r="N229" s="333"/>
      <c r="O229" s="333">
        <f>M229+K229</f>
        <v>0</v>
      </c>
      <c r="P229" s="353"/>
      <c r="Q229" s="285">
        <f>IF(Checklist!M229="",0,Checklist!M229)</f>
        <v>0</v>
      </c>
      <c r="R229" s="22"/>
      <c r="S229" s="334"/>
      <c r="T229" s="333">
        <f>Q229*AA229*S228</f>
        <v>0</v>
      </c>
      <c r="U229" s="353"/>
      <c r="V229" s="373">
        <f>IF(Checklist!P229="",0,Checklist!P229)</f>
        <v>0</v>
      </c>
      <c r="W229" s="22"/>
      <c r="X229" s="334"/>
      <c r="Y229" s="333">
        <f>V229*AA229*X228</f>
        <v>0</v>
      </c>
      <c r="Z229" s="353"/>
      <c r="AA229" s="335">
        <v>1</v>
      </c>
      <c r="AD229" s="353"/>
    </row>
    <row r="230" spans="1:30" outlineLevel="3" x14ac:dyDescent="0.25">
      <c r="E230" s="35" t="s">
        <v>1232</v>
      </c>
      <c r="F230" s="35" t="s">
        <v>1206</v>
      </c>
      <c r="G230" s="35"/>
      <c r="H230" s="285">
        <f>IF(Checklist!J230="",0,Checklist!J230)</f>
        <v>0</v>
      </c>
      <c r="I230" s="285">
        <f>IF(Checklist!K230="",0,Checklist!K230)</f>
        <v>0</v>
      </c>
      <c r="J230" s="371"/>
      <c r="K230" s="371">
        <f>H230*AA230*J228</f>
        <v>0</v>
      </c>
      <c r="L230" s="331"/>
      <c r="M230" s="372">
        <f>I230*AA230*L228</f>
        <v>0</v>
      </c>
      <c r="N230" s="333"/>
      <c r="O230" s="333">
        <f>M230+K230</f>
        <v>0</v>
      </c>
      <c r="P230" s="353"/>
      <c r="Q230" s="285">
        <f>IF(Checklist!M230="",0,Checklist!M230)</f>
        <v>0</v>
      </c>
      <c r="R230" s="22"/>
      <c r="S230" s="334"/>
      <c r="T230" s="333">
        <f>Q230*AA230*S228</f>
        <v>0</v>
      </c>
      <c r="U230" s="353"/>
      <c r="V230" s="373">
        <f>IF(Checklist!P230="",0,Checklist!P230)</f>
        <v>0</v>
      </c>
      <c r="W230" s="22"/>
      <c r="X230" s="334"/>
      <c r="Y230" s="333">
        <f>V230*AA230*X228</f>
        <v>0</v>
      </c>
      <c r="Z230" s="353"/>
      <c r="AA230" s="335">
        <v>0.5</v>
      </c>
      <c r="AD230" s="353"/>
    </row>
    <row r="231" spans="1:30" outlineLevel="3" x14ac:dyDescent="0.25">
      <c r="E231" s="35" t="s">
        <v>1233</v>
      </c>
      <c r="F231" s="35" t="s">
        <v>1234</v>
      </c>
      <c r="G231" s="35"/>
      <c r="H231" s="285">
        <f>IF(Checklist!J231="",0,Checklist!J231)</f>
        <v>0</v>
      </c>
      <c r="I231" s="285">
        <f>IF(Checklist!K231="",0,Checklist!K231)</f>
        <v>0</v>
      </c>
      <c r="J231" s="371"/>
      <c r="K231" s="371">
        <f>H231*AA231*J228</f>
        <v>0</v>
      </c>
      <c r="L231" s="331"/>
      <c r="M231" s="372">
        <f>I231*AA231*L228</f>
        <v>0</v>
      </c>
      <c r="N231" s="333"/>
      <c r="O231" s="333">
        <f>M231+K231</f>
        <v>0</v>
      </c>
      <c r="P231" s="353"/>
      <c r="Q231" s="285">
        <f>IF(Checklist!M231="",0,Checklist!M231)</f>
        <v>0</v>
      </c>
      <c r="R231" s="22"/>
      <c r="S231" s="334"/>
      <c r="T231" s="333">
        <f>Q231*AA231*S228</f>
        <v>0</v>
      </c>
      <c r="U231" s="353"/>
      <c r="V231" s="373">
        <f>IF(Checklist!P231="",0,Checklist!P231)</f>
        <v>0</v>
      </c>
      <c r="W231" s="22"/>
      <c r="X231" s="334"/>
      <c r="Y231" s="333">
        <f>V231*AA231*X228</f>
        <v>0</v>
      </c>
      <c r="Z231" s="353"/>
      <c r="AA231" s="335">
        <v>0</v>
      </c>
      <c r="AD231" s="353"/>
    </row>
    <row r="232" spans="1:30" outlineLevel="3" x14ac:dyDescent="0.25">
      <c r="B232" s="22"/>
      <c r="E232" s="35" t="s">
        <v>1235</v>
      </c>
      <c r="F232" s="35" t="s">
        <v>943</v>
      </c>
      <c r="G232" s="35"/>
      <c r="H232" s="285">
        <f>IF(Checklist!J232="",0,Checklist!J232)</f>
        <v>1</v>
      </c>
      <c r="I232" s="285">
        <f>IF(Checklist!K232="",0,Checklist!K232)</f>
        <v>1</v>
      </c>
      <c r="J232" s="371"/>
      <c r="K232" s="371">
        <f>H232*AA232*J228</f>
        <v>0</v>
      </c>
      <c r="L232" s="331"/>
      <c r="M232" s="372">
        <f>I232*AA232*L228</f>
        <v>0</v>
      </c>
      <c r="N232" s="333"/>
      <c r="O232" s="333">
        <f>M232+K232</f>
        <v>0</v>
      </c>
      <c r="P232" s="353"/>
      <c r="Q232" s="285">
        <f>IF(Checklist!M232="",0,Checklist!M232)</f>
        <v>1</v>
      </c>
      <c r="R232" s="22"/>
      <c r="S232" s="334"/>
      <c r="T232" s="333">
        <f>Q232*AA232*S228</f>
        <v>0</v>
      </c>
      <c r="U232" s="353"/>
      <c r="V232" s="373">
        <f>IF(Checklist!P232="",0,Checklist!P232)</f>
        <v>1</v>
      </c>
      <c r="W232" s="22"/>
      <c r="X232" s="334"/>
      <c r="Y232" s="333">
        <f>V232*AA232*X228</f>
        <v>0</v>
      </c>
      <c r="Z232" s="353"/>
      <c r="AA232" s="335">
        <v>0</v>
      </c>
      <c r="AD232" s="353"/>
    </row>
    <row r="233" spans="1:30" s="342" customFormat="1" outlineLevel="2" x14ac:dyDescent="0.25">
      <c r="A233" s="366"/>
      <c r="B233" s="366"/>
      <c r="C233" s="366"/>
      <c r="D233" s="36" t="s">
        <v>1236</v>
      </c>
      <c r="E233" s="36" t="s">
        <v>1237</v>
      </c>
      <c r="F233" s="36"/>
      <c r="G233" s="36"/>
      <c r="H233" s="298" t="s">
        <v>731</v>
      </c>
      <c r="I233" s="297" t="s">
        <v>731</v>
      </c>
      <c r="J233" s="368">
        <f t="shared" si="38"/>
        <v>2.3313280879309843</v>
      </c>
      <c r="K233" s="368">
        <f>IF(SUM(K234:K237)&gt;J233,J233,SUM(K234:K237))</f>
        <v>0</v>
      </c>
      <c r="L233" s="369">
        <f t="shared" si="39"/>
        <v>0.58283202198274608</v>
      </c>
      <c r="M233" s="369">
        <f>IF(SUM(M234:M237)&gt;L233,L233,SUM(M234:M237))</f>
        <v>0</v>
      </c>
      <c r="N233" s="370">
        <f>Ponderações!P46*100</f>
        <v>2.9141601099137304</v>
      </c>
      <c r="O233" s="370">
        <f>IF(SUM(O234:O237)&gt;N233,N233,SUM(O234:O237))</f>
        <v>0</v>
      </c>
      <c r="P233" s="353"/>
      <c r="Q233" s="298" t="s">
        <v>731</v>
      </c>
      <c r="R233" s="366"/>
      <c r="S233" s="370">
        <f>N233</f>
        <v>2.9141601099137304</v>
      </c>
      <c r="T233" s="370">
        <f>IF(SUM(T234:T237)&gt;S233,S233,SUM(T234:T237))</f>
        <v>0</v>
      </c>
      <c r="U233" s="353"/>
      <c r="V233" s="298" t="s">
        <v>731</v>
      </c>
      <c r="W233" s="366"/>
      <c r="X233" s="370">
        <f>S233</f>
        <v>2.9141601099137304</v>
      </c>
      <c r="Y233" s="370">
        <f>IF(SUM(Y234:Y237)&gt;X233,X233,SUM(Y234:Y237))</f>
        <v>0</v>
      </c>
      <c r="Z233" s="353"/>
      <c r="AA233" s="327"/>
      <c r="AD233" s="353"/>
    </row>
    <row r="234" spans="1:30" outlineLevel="3" x14ac:dyDescent="0.25">
      <c r="B234" s="22"/>
      <c r="E234" s="35" t="s">
        <v>1238</v>
      </c>
      <c r="F234" s="35" t="s">
        <v>1239</v>
      </c>
      <c r="G234" s="35"/>
      <c r="H234" s="285">
        <f>IF(Checklist!J234="",0,Checklist!J234)</f>
        <v>0</v>
      </c>
      <c r="I234" s="285">
        <f>IF(Checklist!K234="",0,Checklist!K234)</f>
        <v>0</v>
      </c>
      <c r="J234" s="337"/>
      <c r="K234" s="337">
        <f>H234*AA234*J233</f>
        <v>0</v>
      </c>
      <c r="L234" s="338"/>
      <c r="M234" s="339">
        <f>I234*AA234*L233</f>
        <v>0</v>
      </c>
      <c r="N234" s="333"/>
      <c r="O234" s="333">
        <f>M234+K234</f>
        <v>0</v>
      </c>
      <c r="P234" s="353"/>
      <c r="Q234" s="285">
        <f>IF(Checklist!M234="",0,Checklist!M234)</f>
        <v>0</v>
      </c>
      <c r="R234" s="22"/>
      <c r="S234" s="334"/>
      <c r="T234" s="333">
        <f>Q234*AA234*S233</f>
        <v>0</v>
      </c>
      <c r="U234" s="353"/>
      <c r="V234" s="373">
        <f>IF(Checklist!P234="",0,Checklist!P234)</f>
        <v>0</v>
      </c>
      <c r="W234" s="22"/>
      <c r="X234" s="334"/>
      <c r="Y234" s="333">
        <f>V234*AA234*X233</f>
        <v>0</v>
      </c>
      <c r="Z234" s="353"/>
      <c r="AA234" s="335">
        <v>1</v>
      </c>
      <c r="AD234" s="353"/>
    </row>
    <row r="235" spans="1:30" outlineLevel="3" x14ac:dyDescent="0.25">
      <c r="E235" s="35" t="s">
        <v>1240</v>
      </c>
      <c r="F235" s="35" t="s">
        <v>1241</v>
      </c>
      <c r="G235" s="35"/>
      <c r="H235" s="285">
        <f>IF(Checklist!J235="",0,Checklist!J235)</f>
        <v>0</v>
      </c>
      <c r="I235" s="285">
        <f>IF(Checklist!K235="",0,Checklist!K235)</f>
        <v>0</v>
      </c>
      <c r="J235" s="337"/>
      <c r="K235" s="337">
        <f>H235*AA235*J233</f>
        <v>0</v>
      </c>
      <c r="L235" s="338"/>
      <c r="M235" s="339">
        <f>I235*AA235*L233</f>
        <v>0</v>
      </c>
      <c r="N235" s="333"/>
      <c r="O235" s="333">
        <f>M235+K235</f>
        <v>0</v>
      </c>
      <c r="P235" s="353"/>
      <c r="Q235" s="285">
        <f>IF(Checklist!M235="",0,Checklist!M235)</f>
        <v>0</v>
      </c>
      <c r="R235" s="22"/>
      <c r="S235" s="334"/>
      <c r="T235" s="333">
        <f>Q235*AA235*S233</f>
        <v>0</v>
      </c>
      <c r="U235" s="353"/>
      <c r="V235" s="373">
        <f>IF(Checklist!P235="",0,Checklist!P235)</f>
        <v>0</v>
      </c>
      <c r="W235" s="22"/>
      <c r="X235" s="334"/>
      <c r="Y235" s="333">
        <f>V235*AA235*X233</f>
        <v>0</v>
      </c>
      <c r="Z235" s="353"/>
      <c r="AA235" s="335">
        <v>0</v>
      </c>
      <c r="AD235" s="353"/>
    </row>
    <row r="236" spans="1:30" outlineLevel="3" x14ac:dyDescent="0.25">
      <c r="E236" s="35" t="s">
        <v>1242</v>
      </c>
      <c r="F236" s="35" t="s">
        <v>941</v>
      </c>
      <c r="G236" s="35"/>
      <c r="H236" s="285">
        <f>IF(Checklist!J236="",0,Checklist!J236)</f>
        <v>1</v>
      </c>
      <c r="I236" s="285">
        <f>IF(Checklist!K236="",0,Checklist!K236)</f>
        <v>1</v>
      </c>
      <c r="J236" s="337"/>
      <c r="K236" s="337">
        <f>H236*AA236*J233</f>
        <v>0</v>
      </c>
      <c r="L236" s="338"/>
      <c r="M236" s="339">
        <f>I236*AA236*L233</f>
        <v>0</v>
      </c>
      <c r="N236" s="333"/>
      <c r="O236" s="333">
        <f>M236+K236</f>
        <v>0</v>
      </c>
      <c r="P236" s="353"/>
      <c r="Q236" s="285">
        <f>IF(Checklist!M236="",0,Checklist!M236)</f>
        <v>1</v>
      </c>
      <c r="R236" s="22"/>
      <c r="S236" s="334"/>
      <c r="T236" s="333">
        <f>Q236*AA236*S233</f>
        <v>0</v>
      </c>
      <c r="U236" s="353"/>
      <c r="V236" s="373">
        <f>IF(Checklist!P236="",0,Checklist!P236)</f>
        <v>1</v>
      </c>
      <c r="W236" s="22"/>
      <c r="X236" s="334"/>
      <c r="Y236" s="333">
        <f>V236*AA236*X233</f>
        <v>0</v>
      </c>
      <c r="Z236" s="353"/>
      <c r="AA236" s="335">
        <v>0</v>
      </c>
      <c r="AD236" s="353"/>
    </row>
    <row r="237" spans="1:30" outlineLevel="3" x14ac:dyDescent="0.25">
      <c r="E237" s="35" t="s">
        <v>1243</v>
      </c>
      <c r="F237" s="35" t="s">
        <v>943</v>
      </c>
      <c r="G237" s="35"/>
      <c r="H237" s="285">
        <f>IF(Checklist!J237="",0,Checklist!J237)</f>
        <v>0</v>
      </c>
      <c r="I237" s="285">
        <f>IF(Checklist!K237="",0,Checklist!K237)</f>
        <v>0</v>
      </c>
      <c r="J237" s="337"/>
      <c r="K237" s="337">
        <f>H237*AA237*J233</f>
        <v>0</v>
      </c>
      <c r="L237" s="338"/>
      <c r="M237" s="339">
        <f>I237*AA237*L233</f>
        <v>0</v>
      </c>
      <c r="N237" s="333"/>
      <c r="O237" s="333">
        <f>M237+K237</f>
        <v>0</v>
      </c>
      <c r="P237" s="353"/>
      <c r="Q237" s="285">
        <f>IF(Checklist!M237="",0,Checklist!M237)</f>
        <v>0</v>
      </c>
      <c r="R237" s="22"/>
      <c r="S237" s="334"/>
      <c r="T237" s="333">
        <f>Q237*AA237*S233</f>
        <v>0</v>
      </c>
      <c r="U237" s="353"/>
      <c r="V237" s="373">
        <f>IF(Checklist!P237="",0,Checklist!P237)</f>
        <v>0</v>
      </c>
      <c r="W237" s="22"/>
      <c r="X237" s="334"/>
      <c r="Y237" s="333">
        <f>V237*AA237*X233</f>
        <v>0</v>
      </c>
      <c r="Z237" s="353"/>
      <c r="AA237" s="335">
        <v>0</v>
      </c>
      <c r="AD237" s="353"/>
    </row>
    <row r="238" spans="1:30" outlineLevel="1" x14ac:dyDescent="0.25">
      <c r="H238" s="273"/>
      <c r="I238" s="273"/>
      <c r="J238" s="315"/>
      <c r="K238" s="315"/>
      <c r="L238" s="315"/>
      <c r="M238" s="315"/>
      <c r="N238" s="317"/>
      <c r="O238" s="317"/>
      <c r="P238" s="353"/>
      <c r="Q238" s="273"/>
      <c r="R238" s="22"/>
      <c r="S238" s="315"/>
      <c r="T238" s="317"/>
      <c r="U238" s="353"/>
      <c r="V238" s="273"/>
      <c r="W238" s="22"/>
      <c r="X238" s="315"/>
      <c r="Y238" s="317"/>
      <c r="Z238" s="353"/>
      <c r="AA238" s="375"/>
      <c r="AD238" s="353"/>
    </row>
    <row r="239" spans="1:30" s="344" customFormat="1" outlineLevel="1" x14ac:dyDescent="0.25">
      <c r="C239" s="348" t="s">
        <v>814</v>
      </c>
      <c r="D239" s="275" t="s">
        <v>41</v>
      </c>
      <c r="E239" s="359"/>
      <c r="F239" s="359"/>
      <c r="G239" s="359"/>
      <c r="H239" s="360"/>
      <c r="I239" s="361"/>
      <c r="J239" s="376">
        <f t="shared" ref="J239:J307" si="51">N239*0.8</f>
        <v>18.650624703447878</v>
      </c>
      <c r="K239" s="376">
        <f>K240+K248+K254+K259</f>
        <v>0</v>
      </c>
      <c r="L239" s="362">
        <f t="shared" ref="L239:L307" si="52">N239*0.2</f>
        <v>4.6626561758619696</v>
      </c>
      <c r="M239" s="362">
        <f>M240+M248+M254+M259</f>
        <v>0</v>
      </c>
      <c r="N239" s="363">
        <f>N240+N248+N254+N259</f>
        <v>23.313280879309847</v>
      </c>
      <c r="O239" s="363">
        <f>O240+O248+O254+O259</f>
        <v>0</v>
      </c>
      <c r="P239" s="353"/>
      <c r="Q239" s="360"/>
      <c r="R239" s="323"/>
      <c r="S239" s="363">
        <f>N239</f>
        <v>23.313280879309847</v>
      </c>
      <c r="T239" s="363">
        <f>T240+T248+T254+T259</f>
        <v>0</v>
      </c>
      <c r="U239" s="353"/>
      <c r="V239" s="364"/>
      <c r="W239" s="365"/>
      <c r="X239" s="363">
        <f>S239</f>
        <v>23.313280879309847</v>
      </c>
      <c r="Y239" s="363">
        <f>Y240+Y248+Y254+Y259</f>
        <v>0</v>
      </c>
      <c r="Z239" s="353"/>
      <c r="AA239" s="322"/>
      <c r="AD239" s="353"/>
    </row>
    <row r="240" spans="1:30" s="342" customFormat="1" outlineLevel="2" x14ac:dyDescent="0.25">
      <c r="D240" s="36" t="s">
        <v>1244</v>
      </c>
      <c r="E240" s="36" t="s">
        <v>1192</v>
      </c>
      <c r="F240" s="36"/>
      <c r="G240" s="36"/>
      <c r="H240" s="298" t="s">
        <v>732</v>
      </c>
      <c r="I240" s="297" t="s">
        <v>732</v>
      </c>
      <c r="J240" s="368">
        <f t="shared" si="51"/>
        <v>6.9939842637929548</v>
      </c>
      <c r="K240" s="368">
        <f>IF(SUM(K241:K247)&gt;J240,J240,SUM(K241:K247))</f>
        <v>0</v>
      </c>
      <c r="L240" s="369">
        <f t="shared" si="52"/>
        <v>1.7484960659482387</v>
      </c>
      <c r="M240" s="369">
        <f>IF(SUM(M241:M247)&gt;L240,L240,SUM(M241:M247))</f>
        <v>0</v>
      </c>
      <c r="N240" s="370">
        <f>Ponderações!P48*100</f>
        <v>8.742480329741193</v>
      </c>
      <c r="O240" s="370">
        <f>IF(SUM(O241:O247)&gt;N240,N240,SUM(O241:O247))</f>
        <v>0</v>
      </c>
      <c r="P240" s="353"/>
      <c r="Q240" s="298" t="s">
        <v>732</v>
      </c>
      <c r="R240" s="366"/>
      <c r="S240" s="370">
        <f>N240</f>
        <v>8.742480329741193</v>
      </c>
      <c r="T240" s="370">
        <f>IF(SUM(T241:T247)&gt;S240,S240,SUM(T241:T247))</f>
        <v>0</v>
      </c>
      <c r="U240" s="353"/>
      <c r="V240" s="298" t="s">
        <v>732</v>
      </c>
      <c r="W240" s="366"/>
      <c r="X240" s="370">
        <f>S240</f>
        <v>8.742480329741193</v>
      </c>
      <c r="Y240" s="370">
        <f>IF(SUM(Y241:Y247)&gt;X240,X240,SUM(Y241:Y247))</f>
        <v>0</v>
      </c>
      <c r="Z240" s="353"/>
      <c r="AA240" s="327"/>
      <c r="AD240" s="353"/>
    </row>
    <row r="241" spans="1:30" outlineLevel="3" x14ac:dyDescent="0.25">
      <c r="B241" s="22"/>
      <c r="E241" s="35" t="s">
        <v>1245</v>
      </c>
      <c r="F241" s="35" t="s">
        <v>1193</v>
      </c>
      <c r="G241" s="35"/>
      <c r="H241" s="285">
        <f>IF(Checklist!J241="",0,Checklist!J241)</f>
        <v>0</v>
      </c>
      <c r="I241" s="285">
        <f>IF(Checklist!K241="",0,Checklist!K241)</f>
        <v>0</v>
      </c>
      <c r="J241" s="371"/>
      <c r="K241" s="371">
        <f>H241*AA241*$J$240</f>
        <v>0</v>
      </c>
      <c r="L241" s="331"/>
      <c r="M241" s="372">
        <f t="shared" ref="M241:M247" si="53">I241*AA241*$L$240</f>
        <v>0</v>
      </c>
      <c r="N241" s="333"/>
      <c r="O241" s="333">
        <f t="shared" ref="O241:O247" si="54">M241+K241</f>
        <v>0</v>
      </c>
      <c r="P241" s="353"/>
      <c r="Q241" s="285">
        <f>IF(Checklist!M241="",0,Checklist!M241)</f>
        <v>0</v>
      </c>
      <c r="R241" s="22"/>
      <c r="S241" s="334"/>
      <c r="T241" s="333">
        <f t="shared" ref="T241:T247" si="55">Q241*AA241*$S$240</f>
        <v>0</v>
      </c>
      <c r="U241" s="353"/>
      <c r="V241" s="373">
        <f>IF(Checklist!P241="",0,Checklist!P241)</f>
        <v>0</v>
      </c>
      <c r="W241" s="22"/>
      <c r="X241" s="334"/>
      <c r="Y241" s="333">
        <f>V241*AA241*$X$240</f>
        <v>0</v>
      </c>
      <c r="Z241" s="353"/>
      <c r="AA241" s="335">
        <v>1</v>
      </c>
      <c r="AD241" s="353"/>
    </row>
    <row r="242" spans="1:30" outlineLevel="3" x14ac:dyDescent="0.25">
      <c r="B242" s="22"/>
      <c r="E242" s="35" t="s">
        <v>1246</v>
      </c>
      <c r="F242" s="35" t="s">
        <v>1247</v>
      </c>
      <c r="G242" s="35"/>
      <c r="H242" s="285">
        <f>IF(Checklist!J242="",0,Checklist!J242)</f>
        <v>0</v>
      </c>
      <c r="I242" s="285">
        <f>IF(Checklist!K242="",0,Checklist!K242)</f>
        <v>0</v>
      </c>
      <c r="J242" s="371"/>
      <c r="K242" s="371">
        <f>H242*AA242*$J$240</f>
        <v>0</v>
      </c>
      <c r="L242" s="331"/>
      <c r="M242" s="372">
        <f t="shared" si="53"/>
        <v>0</v>
      </c>
      <c r="N242" s="333"/>
      <c r="O242" s="333">
        <f t="shared" si="54"/>
        <v>0</v>
      </c>
      <c r="P242" s="353"/>
      <c r="Q242" s="285">
        <f>IF(Checklist!M242="",0,Checklist!M242)</f>
        <v>0</v>
      </c>
      <c r="R242" s="22"/>
      <c r="S242" s="334"/>
      <c r="T242" s="333">
        <f t="shared" si="55"/>
        <v>0</v>
      </c>
      <c r="U242" s="353"/>
      <c r="V242" s="373">
        <f>IF(Checklist!P242="",0,Checklist!P242)</f>
        <v>0</v>
      </c>
      <c r="W242" s="22"/>
      <c r="X242" s="334"/>
      <c r="Y242" s="333">
        <f t="shared" ref="Y242" si="56">V242*AA242*$X$240</f>
        <v>0</v>
      </c>
      <c r="Z242" s="353"/>
      <c r="AA242" s="335">
        <v>1</v>
      </c>
      <c r="AD242" s="353"/>
    </row>
    <row r="243" spans="1:30" outlineLevel="3" x14ac:dyDescent="0.25">
      <c r="B243" s="22"/>
      <c r="E243" s="35" t="s">
        <v>1248</v>
      </c>
      <c r="F243" s="35" t="s">
        <v>273</v>
      </c>
      <c r="G243" s="35"/>
      <c r="H243" s="285">
        <f>IF(Checklist!J243="",0,Checklist!J243)</f>
        <v>0</v>
      </c>
      <c r="I243" s="285">
        <f>IF(Checklist!K243="",0,Checklist!K243)</f>
        <v>0</v>
      </c>
      <c r="J243" s="371"/>
      <c r="K243" s="371">
        <f>H243*AA243*$J$240</f>
        <v>0</v>
      </c>
      <c r="L243" s="331"/>
      <c r="M243" s="372">
        <f t="shared" si="53"/>
        <v>0</v>
      </c>
      <c r="N243" s="333"/>
      <c r="O243" s="333">
        <f t="shared" si="54"/>
        <v>0</v>
      </c>
      <c r="P243" s="353"/>
      <c r="Q243" s="285">
        <f>IF(Checklist!M243="",0,Checklist!M243)</f>
        <v>0</v>
      </c>
      <c r="R243" s="22"/>
      <c r="S243" s="334"/>
      <c r="T243" s="333">
        <f t="shared" si="55"/>
        <v>0</v>
      </c>
      <c r="U243" s="353"/>
      <c r="V243" s="373">
        <f>IF(Checklist!P243="",0,Checklist!P243)</f>
        <v>0</v>
      </c>
      <c r="W243" s="22"/>
      <c r="X243" s="334"/>
      <c r="Y243" s="333">
        <f>V243*AA243*$X$240</f>
        <v>0</v>
      </c>
      <c r="Z243" s="353"/>
      <c r="AA243" s="335">
        <v>0.9</v>
      </c>
      <c r="AD243" s="353"/>
    </row>
    <row r="244" spans="1:30" outlineLevel="3" x14ac:dyDescent="0.25">
      <c r="B244" s="22"/>
      <c r="E244" s="35" t="s">
        <v>1249</v>
      </c>
      <c r="F244" s="35" t="s">
        <v>276</v>
      </c>
      <c r="G244" s="35"/>
      <c r="H244" s="285">
        <f>IF(Checklist!J244="",0,Checklist!J244)</f>
        <v>0</v>
      </c>
      <c r="I244" s="285">
        <f>IF(Checklist!K244="",0,Checklist!K244)</f>
        <v>0</v>
      </c>
      <c r="J244" s="371"/>
      <c r="K244" s="371">
        <f>H244*AA244*$J$240</f>
        <v>0</v>
      </c>
      <c r="L244" s="331"/>
      <c r="M244" s="372">
        <f t="shared" si="53"/>
        <v>0</v>
      </c>
      <c r="N244" s="333"/>
      <c r="O244" s="333">
        <f t="shared" si="54"/>
        <v>0</v>
      </c>
      <c r="P244" s="353"/>
      <c r="Q244" s="285">
        <f>IF(Checklist!M244="",0,Checklist!M244)</f>
        <v>0</v>
      </c>
      <c r="R244" s="22"/>
      <c r="S244" s="334"/>
      <c r="T244" s="333">
        <f t="shared" si="55"/>
        <v>0</v>
      </c>
      <c r="U244" s="353"/>
      <c r="V244" s="373">
        <f>IF(Checklist!P244="",0,Checklist!P244)</f>
        <v>0</v>
      </c>
      <c r="W244" s="22"/>
      <c r="X244" s="334"/>
      <c r="Y244" s="333">
        <f>V244*AA244*$X$240</f>
        <v>0</v>
      </c>
      <c r="Z244" s="353"/>
      <c r="AA244" s="335">
        <v>0.6</v>
      </c>
      <c r="AD244" s="353"/>
    </row>
    <row r="245" spans="1:30" outlineLevel="3" x14ac:dyDescent="0.25">
      <c r="E245" s="35" t="s">
        <v>1250</v>
      </c>
      <c r="F245" s="35" t="s">
        <v>280</v>
      </c>
      <c r="G245" s="35"/>
      <c r="H245" s="285">
        <f>IF(Checklist!J245="",0,Checklist!J245)</f>
        <v>0</v>
      </c>
      <c r="I245" s="285">
        <f>IF(Checklist!K245="",0,Checklist!K245)</f>
        <v>0</v>
      </c>
      <c r="J245" s="371"/>
      <c r="K245" s="371">
        <f>H245*AA245*$J$240</f>
        <v>0</v>
      </c>
      <c r="L245" s="331"/>
      <c r="M245" s="372">
        <f t="shared" si="53"/>
        <v>0</v>
      </c>
      <c r="N245" s="333"/>
      <c r="O245" s="333">
        <f t="shared" si="54"/>
        <v>0</v>
      </c>
      <c r="P245" s="353"/>
      <c r="Q245" s="285">
        <f>IF(Checklist!M245="",0,Checklist!M245)</f>
        <v>0</v>
      </c>
      <c r="R245" s="22"/>
      <c r="S245" s="334"/>
      <c r="T245" s="333">
        <f t="shared" si="55"/>
        <v>0</v>
      </c>
      <c r="U245" s="353"/>
      <c r="V245" s="373">
        <f>IF(Checklist!P245="",0,Checklist!P245)</f>
        <v>0</v>
      </c>
      <c r="W245" s="22"/>
      <c r="X245" s="334"/>
      <c r="Y245" s="333">
        <f>V245*AA245*$X$240</f>
        <v>0</v>
      </c>
      <c r="Z245" s="353"/>
      <c r="AA245" s="335">
        <v>0.4</v>
      </c>
      <c r="AD245" s="353"/>
    </row>
    <row r="246" spans="1:30" outlineLevel="3" x14ac:dyDescent="0.25">
      <c r="B246" s="22"/>
      <c r="E246" s="35" t="s">
        <v>1251</v>
      </c>
      <c r="F246" s="35" t="s">
        <v>941</v>
      </c>
      <c r="G246" s="35"/>
      <c r="H246" s="285">
        <f>IF(Checklist!J246="",0,Checklist!J246)</f>
        <v>0</v>
      </c>
      <c r="I246" s="285">
        <f>IF(Checklist!K246="",0,Checklist!K246)</f>
        <v>0</v>
      </c>
      <c r="J246" s="371"/>
      <c r="K246" s="371">
        <f t="shared" ref="K246:K247" si="57">H246*AA246*$J$240</f>
        <v>0</v>
      </c>
      <c r="L246" s="331"/>
      <c r="M246" s="372">
        <f t="shared" si="53"/>
        <v>0</v>
      </c>
      <c r="N246" s="333"/>
      <c r="O246" s="333">
        <f t="shared" si="54"/>
        <v>0</v>
      </c>
      <c r="P246" s="353"/>
      <c r="Q246" s="285">
        <f>IF(Checklist!M246="",0,Checklist!M246)</f>
        <v>0</v>
      </c>
      <c r="R246" s="22"/>
      <c r="S246" s="334"/>
      <c r="T246" s="333">
        <f t="shared" si="55"/>
        <v>0</v>
      </c>
      <c r="U246" s="353"/>
      <c r="V246" s="373">
        <f>IF(Checklist!P246="",0,Checklist!P246)</f>
        <v>0</v>
      </c>
      <c r="W246" s="22"/>
      <c r="X246" s="334"/>
      <c r="Y246" s="333">
        <f>V246*AA246*$X$240</f>
        <v>0</v>
      </c>
      <c r="Z246" s="353"/>
      <c r="AA246" s="335">
        <v>0</v>
      </c>
      <c r="AD246" s="353"/>
    </row>
    <row r="247" spans="1:30" outlineLevel="3" x14ac:dyDescent="0.25">
      <c r="B247" s="22"/>
      <c r="E247" s="35" t="s">
        <v>1252</v>
      </c>
      <c r="F247" s="35" t="s">
        <v>943</v>
      </c>
      <c r="G247" s="35"/>
      <c r="H247" s="285">
        <f>IF(Checklist!J247="",0,Checklist!J247)</f>
        <v>0</v>
      </c>
      <c r="I247" s="285">
        <f>IF(Checklist!K247="",0,Checklist!K247)</f>
        <v>0</v>
      </c>
      <c r="J247" s="371"/>
      <c r="K247" s="371">
        <f t="shared" si="57"/>
        <v>0</v>
      </c>
      <c r="L247" s="331"/>
      <c r="M247" s="372">
        <f t="shared" si="53"/>
        <v>0</v>
      </c>
      <c r="N247" s="333"/>
      <c r="O247" s="333">
        <f t="shared" si="54"/>
        <v>0</v>
      </c>
      <c r="P247" s="353"/>
      <c r="Q247" s="285">
        <f>IF(Checklist!M247="",0,Checklist!M247)</f>
        <v>0</v>
      </c>
      <c r="R247" s="22"/>
      <c r="S247" s="334"/>
      <c r="T247" s="333">
        <f t="shared" si="55"/>
        <v>0</v>
      </c>
      <c r="U247" s="353"/>
      <c r="V247" s="373">
        <f>IF(Checklist!P247="",0,Checklist!P247)</f>
        <v>0</v>
      </c>
      <c r="W247" s="22"/>
      <c r="X247" s="334"/>
      <c r="Y247" s="333">
        <f>V247*AA247*$X$240</f>
        <v>0</v>
      </c>
      <c r="Z247" s="353"/>
      <c r="AA247" s="335">
        <v>0</v>
      </c>
      <c r="AD247" s="353"/>
    </row>
    <row r="248" spans="1:30" s="342" customFormat="1" outlineLevel="2" x14ac:dyDescent="0.25">
      <c r="A248" s="366"/>
      <c r="B248" s="366"/>
      <c r="C248" s="366"/>
      <c r="D248" s="36" t="s">
        <v>1253</v>
      </c>
      <c r="E248" s="36" t="s">
        <v>1254</v>
      </c>
      <c r="F248" s="36"/>
      <c r="G248" s="36"/>
      <c r="H248" s="298" t="s">
        <v>731</v>
      </c>
      <c r="I248" s="297" t="s">
        <v>731</v>
      </c>
      <c r="J248" s="368">
        <f t="shared" si="51"/>
        <v>6.9939842637929548</v>
      </c>
      <c r="K248" s="368">
        <f>IF(SUM(K249:K253)&gt;J248,J248,SUM(K249:K253))</f>
        <v>0</v>
      </c>
      <c r="L248" s="369">
        <f t="shared" si="52"/>
        <v>1.7484960659482387</v>
      </c>
      <c r="M248" s="369">
        <f>IF(SUM(M249:M253)&gt;L248,L248,SUM(M249:M253))</f>
        <v>0</v>
      </c>
      <c r="N248" s="370">
        <f>Ponderações!P49*100</f>
        <v>8.742480329741193</v>
      </c>
      <c r="O248" s="370">
        <f>IF(SUM(O249:O253)&gt;N248,N248,SUM(O249:O253))</f>
        <v>0</v>
      </c>
      <c r="P248" s="353"/>
      <c r="Q248" s="298" t="s">
        <v>731</v>
      </c>
      <c r="R248" s="366"/>
      <c r="S248" s="370">
        <f>N248</f>
        <v>8.742480329741193</v>
      </c>
      <c r="T248" s="370">
        <f>IF(SUM(T249:T253)&gt;S248,S248,SUM(T249:T253))</f>
        <v>0</v>
      </c>
      <c r="U248" s="353"/>
      <c r="V248" s="298" t="s">
        <v>731</v>
      </c>
      <c r="W248" s="366"/>
      <c r="X248" s="370">
        <f>S248</f>
        <v>8.742480329741193</v>
      </c>
      <c r="Y248" s="370">
        <f>IF(SUM(Y249:Y253)&gt;X248,X248,SUM(Y249:Y253))</f>
        <v>0</v>
      </c>
      <c r="Z248" s="353"/>
      <c r="AA248" s="327"/>
      <c r="AD248" s="353"/>
    </row>
    <row r="249" spans="1:30" outlineLevel="3" x14ac:dyDescent="0.25">
      <c r="B249" s="22"/>
      <c r="E249" s="35" t="s">
        <v>1255</v>
      </c>
      <c r="F249" s="35" t="s">
        <v>1256</v>
      </c>
      <c r="G249" s="35"/>
      <c r="H249" s="285">
        <f>IF(Checklist!J249="",0,Checklist!J249)</f>
        <v>0</v>
      </c>
      <c r="I249" s="285">
        <f>IF(Checklist!K249="",0,Checklist!K249)</f>
        <v>0</v>
      </c>
      <c r="J249" s="371"/>
      <c r="K249" s="371">
        <f>H249*AA249*J248</f>
        <v>0</v>
      </c>
      <c r="L249" s="331"/>
      <c r="M249" s="372">
        <f>I249*AA249*L248</f>
        <v>0</v>
      </c>
      <c r="N249" s="333"/>
      <c r="O249" s="333">
        <f t="shared" ref="O249:O253" si="58">M249+K249</f>
        <v>0</v>
      </c>
      <c r="P249" s="353"/>
      <c r="Q249" s="285">
        <f>IF(Checklist!M249="",0,Checklist!M249)</f>
        <v>0</v>
      </c>
      <c r="R249" s="22"/>
      <c r="S249" s="334"/>
      <c r="T249" s="333">
        <f>Q249*AA249*S248</f>
        <v>0</v>
      </c>
      <c r="U249" s="353"/>
      <c r="V249" s="373">
        <f>IF(Checklist!P249="",0,Checklist!P249)</f>
        <v>0</v>
      </c>
      <c r="W249" s="22"/>
      <c r="X249" s="334"/>
      <c r="Y249" s="333">
        <f>V249*AA249*X248</f>
        <v>0</v>
      </c>
      <c r="Z249" s="353"/>
      <c r="AA249" s="335">
        <v>1</v>
      </c>
      <c r="AD249" s="353"/>
    </row>
    <row r="250" spans="1:30" outlineLevel="3" x14ac:dyDescent="0.25">
      <c r="B250" s="22"/>
      <c r="E250" s="35" t="s">
        <v>1257</v>
      </c>
      <c r="F250" s="35" t="s">
        <v>1258</v>
      </c>
      <c r="G250" s="35"/>
      <c r="H250" s="285">
        <f>IF(Checklist!J250="",0,Checklist!J250)</f>
        <v>0</v>
      </c>
      <c r="I250" s="285">
        <f>IF(Checklist!K250="",0,Checklist!K250)</f>
        <v>0</v>
      </c>
      <c r="J250" s="371"/>
      <c r="K250" s="371">
        <f>H250*AA250*J248</f>
        <v>0</v>
      </c>
      <c r="L250" s="331"/>
      <c r="M250" s="372">
        <f>I250*AA250*L248</f>
        <v>0</v>
      </c>
      <c r="N250" s="333"/>
      <c r="O250" s="333">
        <f t="shared" si="58"/>
        <v>0</v>
      </c>
      <c r="P250" s="353"/>
      <c r="Q250" s="285">
        <f>IF(Checklist!M250="",0,Checklist!M250)</f>
        <v>0</v>
      </c>
      <c r="R250" s="22"/>
      <c r="S250" s="334"/>
      <c r="T250" s="333">
        <f>Q250*AA250*S248</f>
        <v>0</v>
      </c>
      <c r="U250" s="353"/>
      <c r="V250" s="373">
        <f>IF(Checklist!P250="",0,Checklist!P250)</f>
        <v>0</v>
      </c>
      <c r="W250" s="22"/>
      <c r="X250" s="334"/>
      <c r="Y250" s="333">
        <f>V250*AA250*X248</f>
        <v>0</v>
      </c>
      <c r="Z250" s="353"/>
      <c r="AA250" s="335">
        <v>0.75</v>
      </c>
      <c r="AD250" s="353"/>
    </row>
    <row r="251" spans="1:30" outlineLevel="3" x14ac:dyDescent="0.25">
      <c r="B251" s="22"/>
      <c r="E251" s="35" t="s">
        <v>1259</v>
      </c>
      <c r="F251" s="35" t="s">
        <v>1260</v>
      </c>
      <c r="G251" s="35"/>
      <c r="H251" s="285">
        <f>IF(Checklist!J251="",0,Checklist!J251)</f>
        <v>0</v>
      </c>
      <c r="I251" s="285">
        <f>IF(Checklist!K251="",0,Checklist!K251)</f>
        <v>0</v>
      </c>
      <c r="J251" s="371"/>
      <c r="K251" s="371">
        <f>H251*AA251*J248</f>
        <v>0</v>
      </c>
      <c r="L251" s="331"/>
      <c r="M251" s="372">
        <f>I251*AA251*L248</f>
        <v>0</v>
      </c>
      <c r="N251" s="333"/>
      <c r="O251" s="333">
        <f t="shared" si="58"/>
        <v>0</v>
      </c>
      <c r="P251" s="353"/>
      <c r="Q251" s="285">
        <f>IF(Checklist!M251="",0,Checklist!M251)</f>
        <v>0</v>
      </c>
      <c r="R251" s="22"/>
      <c r="S251" s="334"/>
      <c r="T251" s="333">
        <f>Q251*AA251*S248</f>
        <v>0</v>
      </c>
      <c r="U251" s="353"/>
      <c r="V251" s="373">
        <f>IF(Checklist!P251="",0,Checklist!P251)</f>
        <v>0</v>
      </c>
      <c r="W251" s="22"/>
      <c r="X251" s="334"/>
      <c r="Y251" s="333">
        <f>V251*AA251*X248</f>
        <v>0</v>
      </c>
      <c r="Z251" s="353"/>
      <c r="AA251" s="335">
        <v>0.25</v>
      </c>
      <c r="AD251" s="353"/>
    </row>
    <row r="252" spans="1:30" outlineLevel="3" x14ac:dyDescent="0.25">
      <c r="B252" s="22"/>
      <c r="E252" s="35" t="s">
        <v>1261</v>
      </c>
      <c r="F252" s="35" t="s">
        <v>1262</v>
      </c>
      <c r="G252" s="35"/>
      <c r="H252" s="285">
        <f>IF(Checklist!J252="",0,Checklist!J252)</f>
        <v>0</v>
      </c>
      <c r="I252" s="285">
        <f>IF(Checklist!K252="",0,Checklist!K252)</f>
        <v>0</v>
      </c>
      <c r="J252" s="371"/>
      <c r="K252" s="371">
        <f>H252*AA252*J248</f>
        <v>0</v>
      </c>
      <c r="L252" s="331"/>
      <c r="M252" s="372">
        <f>I252*AA252*L248</f>
        <v>0</v>
      </c>
      <c r="N252" s="333"/>
      <c r="O252" s="333">
        <f t="shared" si="58"/>
        <v>0</v>
      </c>
      <c r="P252" s="353"/>
      <c r="Q252" s="285">
        <f>IF(Checklist!M252="",0,Checklist!M252)</f>
        <v>0</v>
      </c>
      <c r="R252" s="22"/>
      <c r="S252" s="334"/>
      <c r="T252" s="333">
        <f>Q252*AA252*S248</f>
        <v>0</v>
      </c>
      <c r="U252" s="353"/>
      <c r="V252" s="373">
        <f>IF(Checklist!P252="",0,Checklist!P252)</f>
        <v>0</v>
      </c>
      <c r="W252" s="22"/>
      <c r="X252" s="334"/>
      <c r="Y252" s="333">
        <f>V252*AA252*X248</f>
        <v>0</v>
      </c>
      <c r="Z252" s="353"/>
      <c r="AA252" s="335">
        <v>0</v>
      </c>
      <c r="AD252" s="353"/>
    </row>
    <row r="253" spans="1:30" outlineLevel="3" x14ac:dyDescent="0.25">
      <c r="B253" s="22"/>
      <c r="E253" s="35" t="s">
        <v>1263</v>
      </c>
      <c r="F253" s="35" t="s">
        <v>943</v>
      </c>
      <c r="G253" s="35"/>
      <c r="H253" s="285">
        <f>IF(Checklist!J253="",0,Checklist!J253)</f>
        <v>1</v>
      </c>
      <c r="I253" s="285">
        <f>IF(Checklist!K253="",0,Checklist!K253)</f>
        <v>1</v>
      </c>
      <c r="J253" s="371"/>
      <c r="K253" s="371">
        <f>H253*AA253*J248</f>
        <v>0</v>
      </c>
      <c r="L253" s="331"/>
      <c r="M253" s="372">
        <f>I253*AA253*L248</f>
        <v>0</v>
      </c>
      <c r="N253" s="333"/>
      <c r="O253" s="333">
        <f t="shared" si="58"/>
        <v>0</v>
      </c>
      <c r="P253" s="353"/>
      <c r="Q253" s="285">
        <f>IF(Checklist!M253="",0,Checklist!M253)</f>
        <v>1</v>
      </c>
      <c r="R253" s="22"/>
      <c r="S253" s="334"/>
      <c r="T253" s="333">
        <f>Q253*AA253*S248</f>
        <v>0</v>
      </c>
      <c r="U253" s="353"/>
      <c r="V253" s="373">
        <f>IF(Checklist!P253="",0,Checklist!P253)</f>
        <v>1</v>
      </c>
      <c r="W253" s="22"/>
      <c r="X253" s="334"/>
      <c r="Y253" s="333">
        <f>V253*AA253*X248</f>
        <v>0</v>
      </c>
      <c r="Z253" s="353"/>
      <c r="AA253" s="335">
        <v>0</v>
      </c>
      <c r="AD253" s="353"/>
    </row>
    <row r="254" spans="1:30" s="342" customFormat="1" outlineLevel="2" x14ac:dyDescent="0.25">
      <c r="A254" s="366"/>
      <c r="B254" s="366"/>
      <c r="C254" s="366"/>
      <c r="D254" s="36" t="s">
        <v>1264</v>
      </c>
      <c r="E254" s="36" t="s">
        <v>1202</v>
      </c>
      <c r="F254" s="36"/>
      <c r="G254" s="36"/>
      <c r="H254" s="298" t="s">
        <v>731</v>
      </c>
      <c r="I254" s="297" t="s">
        <v>731</v>
      </c>
      <c r="J254" s="368">
        <f t="shared" si="51"/>
        <v>3.4969921318964774</v>
      </c>
      <c r="K254" s="368">
        <f>IF(SUM(K255:K258)&gt;J254,J254,SUM(K255:K258))</f>
        <v>0</v>
      </c>
      <c r="L254" s="369">
        <f t="shared" si="52"/>
        <v>0.87424803297411935</v>
      </c>
      <c r="M254" s="369">
        <f>IF(SUM(M255:M258)&gt;L254,L254,SUM(M255:M258))</f>
        <v>0</v>
      </c>
      <c r="N254" s="370">
        <f>Ponderações!P50*100</f>
        <v>4.3712401648705965</v>
      </c>
      <c r="O254" s="370">
        <f>IF(SUM(O255:O258)&gt;N254,N254,SUM(O255:O258))</f>
        <v>0</v>
      </c>
      <c r="P254" s="353"/>
      <c r="Q254" s="298" t="s">
        <v>731</v>
      </c>
      <c r="R254" s="366"/>
      <c r="S254" s="370">
        <f>N254</f>
        <v>4.3712401648705965</v>
      </c>
      <c r="T254" s="370">
        <f>IF(SUM(T255:T258)&gt;S254,S254,SUM(T255:T258))</f>
        <v>0</v>
      </c>
      <c r="U254" s="353"/>
      <c r="V254" s="298" t="s">
        <v>731</v>
      </c>
      <c r="W254" s="366"/>
      <c r="X254" s="370">
        <f>S254</f>
        <v>4.3712401648705965</v>
      </c>
      <c r="Y254" s="370">
        <f>IF(SUM(Y255:Y258)&gt;X254,X254,SUM(Y255:Y258))</f>
        <v>0</v>
      </c>
      <c r="Z254" s="353"/>
      <c r="AA254" s="327"/>
      <c r="AD254" s="353"/>
    </row>
    <row r="255" spans="1:30" outlineLevel="3" x14ac:dyDescent="0.25">
      <c r="B255" s="22"/>
      <c r="E255" s="35" t="s">
        <v>1265</v>
      </c>
      <c r="F255" s="35" t="s">
        <v>92</v>
      </c>
      <c r="G255" s="35"/>
      <c r="H255" s="285">
        <f>IF(Checklist!J255="",0,Checklist!J255)</f>
        <v>0</v>
      </c>
      <c r="I255" s="285">
        <f>IF(Checklist!K255="",0,Checklist!K255)</f>
        <v>0</v>
      </c>
      <c r="J255" s="371"/>
      <c r="K255" s="371">
        <f>H255*AA255*J254</f>
        <v>0</v>
      </c>
      <c r="L255" s="331"/>
      <c r="M255" s="372">
        <f>I255*AA255*L254</f>
        <v>0</v>
      </c>
      <c r="N255" s="333"/>
      <c r="O255" s="333">
        <f>M255+K255</f>
        <v>0</v>
      </c>
      <c r="P255" s="353"/>
      <c r="Q255" s="285">
        <f>IF(Checklist!M255="",0,Checklist!M255)</f>
        <v>0</v>
      </c>
      <c r="R255" s="22"/>
      <c r="S255" s="334"/>
      <c r="T255" s="333">
        <f>Q255*AA255*S254</f>
        <v>0</v>
      </c>
      <c r="U255" s="353"/>
      <c r="V255" s="373">
        <f>IF(Checklist!P255="",0,Checklist!P255)</f>
        <v>0</v>
      </c>
      <c r="W255" s="22"/>
      <c r="X255" s="334"/>
      <c r="Y255" s="333">
        <f>V255*AA255*X254</f>
        <v>0</v>
      </c>
      <c r="Z255" s="353"/>
      <c r="AA255" s="335">
        <v>1</v>
      </c>
      <c r="AD255" s="353"/>
    </row>
    <row r="256" spans="1:30" outlineLevel="3" x14ac:dyDescent="0.25">
      <c r="B256" s="22"/>
      <c r="E256" s="35" t="s">
        <v>1266</v>
      </c>
      <c r="F256" s="35" t="s">
        <v>1203</v>
      </c>
      <c r="G256" s="35"/>
      <c r="H256" s="285">
        <f>IF(Checklist!J256="",0,Checklist!J256)</f>
        <v>0</v>
      </c>
      <c r="I256" s="285">
        <f>IF(Checklist!K256="",0,Checklist!K256)</f>
        <v>0</v>
      </c>
      <c r="J256" s="371"/>
      <c r="K256" s="371">
        <f>H256*AA256*J254</f>
        <v>0</v>
      </c>
      <c r="L256" s="331"/>
      <c r="M256" s="372">
        <f>I256*AA256*L254</f>
        <v>0</v>
      </c>
      <c r="N256" s="333"/>
      <c r="O256" s="333">
        <f>M256+K256</f>
        <v>0</v>
      </c>
      <c r="P256" s="353"/>
      <c r="Q256" s="285">
        <f>IF(Checklist!M256="",0,Checklist!M256)</f>
        <v>0</v>
      </c>
      <c r="R256" s="22"/>
      <c r="S256" s="334"/>
      <c r="T256" s="333">
        <f>Q256*AA256*S254</f>
        <v>0</v>
      </c>
      <c r="U256" s="353"/>
      <c r="V256" s="373">
        <f>IF(Checklist!P256="",0,Checklist!P256)</f>
        <v>0</v>
      </c>
      <c r="W256" s="22"/>
      <c r="X256" s="334"/>
      <c r="Y256" s="333">
        <f>V256*AA256*X254</f>
        <v>0</v>
      </c>
      <c r="Z256" s="353"/>
      <c r="AA256" s="335">
        <v>0</v>
      </c>
      <c r="AD256" s="353"/>
    </row>
    <row r="257" spans="1:30" outlineLevel="3" x14ac:dyDescent="0.25">
      <c r="E257" s="35" t="s">
        <v>1267</v>
      </c>
      <c r="F257" s="35" t="s">
        <v>107</v>
      </c>
      <c r="G257" s="35"/>
      <c r="H257" s="285">
        <f>IF(Checklist!J257="",0,Checklist!J257)</f>
        <v>0</v>
      </c>
      <c r="I257" s="285">
        <f>IF(Checklist!K257="",0,Checklist!K257)</f>
        <v>0</v>
      </c>
      <c r="J257" s="371"/>
      <c r="K257" s="371">
        <f>H257*AA257*J254</f>
        <v>0</v>
      </c>
      <c r="L257" s="331"/>
      <c r="M257" s="372">
        <f>I257*AA257*L254</f>
        <v>0</v>
      </c>
      <c r="N257" s="333"/>
      <c r="O257" s="333">
        <f>M257+K257</f>
        <v>0</v>
      </c>
      <c r="P257" s="353"/>
      <c r="Q257" s="285">
        <f>IF(Checklist!M257="",0,Checklist!M257)</f>
        <v>0</v>
      </c>
      <c r="R257" s="22"/>
      <c r="S257" s="334"/>
      <c r="T257" s="333">
        <f>Q257*AA257*S254</f>
        <v>0</v>
      </c>
      <c r="U257" s="353"/>
      <c r="V257" s="373">
        <f>IF(Checklist!P257="",0,Checklist!P257)</f>
        <v>0</v>
      </c>
      <c r="W257" s="22"/>
      <c r="X257" s="334"/>
      <c r="Y257" s="333">
        <f>V257*AA257*X254</f>
        <v>0</v>
      </c>
      <c r="Z257" s="353"/>
      <c r="AA257" s="335">
        <v>0</v>
      </c>
      <c r="AD257" s="353"/>
    </row>
    <row r="258" spans="1:30" outlineLevel="3" x14ac:dyDescent="0.25">
      <c r="E258" s="35" t="s">
        <v>1268</v>
      </c>
      <c r="F258" s="35" t="s">
        <v>943</v>
      </c>
      <c r="G258" s="35"/>
      <c r="H258" s="285">
        <f>IF(Checklist!J258="",0,Checklist!J258)</f>
        <v>1</v>
      </c>
      <c r="I258" s="285">
        <f>IF(Checklist!K258="",0,Checklist!K258)</f>
        <v>1</v>
      </c>
      <c r="J258" s="371"/>
      <c r="K258" s="371">
        <f>H258*AA258*J254</f>
        <v>0</v>
      </c>
      <c r="L258" s="331"/>
      <c r="M258" s="372">
        <f>I258*AA258*L254</f>
        <v>0</v>
      </c>
      <c r="N258" s="333"/>
      <c r="O258" s="333">
        <f>M258+K258</f>
        <v>0</v>
      </c>
      <c r="P258" s="353"/>
      <c r="Q258" s="285">
        <f>IF(Checklist!M258="",0,Checklist!M258)</f>
        <v>1</v>
      </c>
      <c r="R258" s="22"/>
      <c r="S258" s="334"/>
      <c r="T258" s="333">
        <f>Q258*AA258*S254</f>
        <v>0</v>
      </c>
      <c r="U258" s="353"/>
      <c r="V258" s="373">
        <f>IF(Checklist!P258="",0,Checklist!P258)</f>
        <v>1</v>
      </c>
      <c r="W258" s="22"/>
      <c r="X258" s="334"/>
      <c r="Y258" s="333">
        <f>V258*AA258*X254</f>
        <v>0</v>
      </c>
      <c r="Z258" s="353"/>
      <c r="AA258" s="335">
        <v>0</v>
      </c>
      <c r="AD258" s="353"/>
    </row>
    <row r="259" spans="1:30" s="342" customFormat="1" outlineLevel="2" x14ac:dyDescent="0.25">
      <c r="B259" s="374"/>
      <c r="C259" s="366"/>
      <c r="D259" s="36" t="s">
        <v>1269</v>
      </c>
      <c r="E259" s="36" t="s">
        <v>1204</v>
      </c>
      <c r="F259" s="36"/>
      <c r="G259" s="36"/>
      <c r="H259" s="298" t="s">
        <v>731</v>
      </c>
      <c r="I259" s="297" t="s">
        <v>731</v>
      </c>
      <c r="J259" s="368">
        <f t="shared" si="51"/>
        <v>1.1656640439654922</v>
      </c>
      <c r="K259" s="368">
        <f>IF(SUM(K260:K263)&gt;J259,J259,SUM(K260:K263))</f>
        <v>0</v>
      </c>
      <c r="L259" s="369">
        <f t="shared" si="52"/>
        <v>0.29141601099137304</v>
      </c>
      <c r="M259" s="369">
        <f>IF(SUM(M260:M263)&gt;L259,L259,SUM(M260:M263))</f>
        <v>0</v>
      </c>
      <c r="N259" s="370">
        <f>Ponderações!P51*100</f>
        <v>1.4570800549568652</v>
      </c>
      <c r="O259" s="370">
        <f>IF(SUM(O260:O263)&gt;N259,N259,SUM(O260:O263))</f>
        <v>0</v>
      </c>
      <c r="P259" s="353"/>
      <c r="Q259" s="298" t="s">
        <v>731</v>
      </c>
      <c r="R259" s="366"/>
      <c r="S259" s="370">
        <f>N259</f>
        <v>1.4570800549568652</v>
      </c>
      <c r="T259" s="370">
        <f>IF(SUM(T260:T263)&gt;S259,S259,SUM(T260:T263))</f>
        <v>0</v>
      </c>
      <c r="U259" s="353"/>
      <c r="V259" s="298" t="s">
        <v>731</v>
      </c>
      <c r="W259" s="366"/>
      <c r="X259" s="370">
        <f>S259</f>
        <v>1.4570800549568652</v>
      </c>
      <c r="Y259" s="370">
        <f>IF(SUM(Y260:Y263)&gt;X259,X259,SUM(Y260:Y263))</f>
        <v>0</v>
      </c>
      <c r="Z259" s="353"/>
      <c r="AA259" s="327"/>
      <c r="AD259" s="353"/>
    </row>
    <row r="260" spans="1:30" outlineLevel="3" x14ac:dyDescent="0.25">
      <c r="E260" s="35" t="s">
        <v>1270</v>
      </c>
      <c r="F260" s="35" t="s">
        <v>1205</v>
      </c>
      <c r="G260" s="35"/>
      <c r="H260" s="285">
        <f>IF(Checklist!J260="",0,Checklist!J260)</f>
        <v>0</v>
      </c>
      <c r="I260" s="285">
        <f>IF(Checklist!K260="",0,Checklist!K260)</f>
        <v>0</v>
      </c>
      <c r="J260" s="337"/>
      <c r="K260" s="337">
        <f>H260*AA260*J259</f>
        <v>0</v>
      </c>
      <c r="L260" s="338"/>
      <c r="M260" s="339">
        <f>I260*AA260*L259</f>
        <v>0</v>
      </c>
      <c r="N260" s="333"/>
      <c r="O260" s="333">
        <f>M260+K260</f>
        <v>0</v>
      </c>
      <c r="P260" s="353"/>
      <c r="Q260" s="285">
        <f>IF(Checklist!M260="",0,Checklist!M260)</f>
        <v>0</v>
      </c>
      <c r="R260" s="22"/>
      <c r="S260" s="334"/>
      <c r="T260" s="333">
        <f>Q260*AA260*S259</f>
        <v>0</v>
      </c>
      <c r="U260" s="353"/>
      <c r="V260" s="373">
        <f>IF(Checklist!P260="",0,Checklist!P260)</f>
        <v>0</v>
      </c>
      <c r="W260" s="22"/>
      <c r="X260" s="334"/>
      <c r="Y260" s="333">
        <f>V260*AA260*X259</f>
        <v>0</v>
      </c>
      <c r="Z260" s="353"/>
      <c r="AA260" s="335">
        <v>1</v>
      </c>
      <c r="AD260" s="353"/>
    </row>
    <row r="261" spans="1:30" outlineLevel="3" x14ac:dyDescent="0.25">
      <c r="E261" s="35" t="s">
        <v>1271</v>
      </c>
      <c r="F261" s="35" t="s">
        <v>1206</v>
      </c>
      <c r="G261" s="35"/>
      <c r="H261" s="285">
        <f>IF(Checklist!J261="",0,Checklist!J261)</f>
        <v>0</v>
      </c>
      <c r="I261" s="285">
        <f>IF(Checklist!K261="",0,Checklist!K261)</f>
        <v>0</v>
      </c>
      <c r="J261" s="337"/>
      <c r="K261" s="337">
        <f>H261*AA261*J259</f>
        <v>0</v>
      </c>
      <c r="L261" s="338"/>
      <c r="M261" s="339">
        <f>I261*AA261*L259</f>
        <v>0</v>
      </c>
      <c r="N261" s="333"/>
      <c r="O261" s="333">
        <f>M261+K261</f>
        <v>0</v>
      </c>
      <c r="P261" s="353"/>
      <c r="Q261" s="285">
        <f>IF(Checklist!M261="",0,Checklist!M261)</f>
        <v>0</v>
      </c>
      <c r="R261" s="22"/>
      <c r="S261" s="334"/>
      <c r="T261" s="333">
        <f>Q261*AA261*S259</f>
        <v>0</v>
      </c>
      <c r="U261" s="353"/>
      <c r="V261" s="373">
        <f>IF(Checklist!P261="",0,Checklist!P261)</f>
        <v>0</v>
      </c>
      <c r="W261" s="22"/>
      <c r="X261" s="334"/>
      <c r="Y261" s="333">
        <f>V261*AA261*X259</f>
        <v>0</v>
      </c>
      <c r="Z261" s="353"/>
      <c r="AA261" s="335">
        <v>0.5</v>
      </c>
      <c r="AD261" s="353"/>
    </row>
    <row r="262" spans="1:30" outlineLevel="3" x14ac:dyDescent="0.25">
      <c r="E262" s="35" t="s">
        <v>1272</v>
      </c>
      <c r="F262" s="35" t="s">
        <v>1207</v>
      </c>
      <c r="G262" s="35"/>
      <c r="H262" s="285">
        <f>IF(Checklist!J262="",0,Checklist!J262)</f>
        <v>0</v>
      </c>
      <c r="I262" s="285">
        <f>IF(Checklist!K262="",0,Checklist!K262)</f>
        <v>0</v>
      </c>
      <c r="J262" s="337"/>
      <c r="K262" s="337">
        <f>H262*AA262*J259</f>
        <v>0</v>
      </c>
      <c r="L262" s="338"/>
      <c r="M262" s="339">
        <f>I262*AA262*L259</f>
        <v>0</v>
      </c>
      <c r="N262" s="333"/>
      <c r="O262" s="333">
        <f>M262+K262</f>
        <v>0</v>
      </c>
      <c r="P262" s="353"/>
      <c r="Q262" s="285">
        <f>IF(Checklist!M262="",0,Checklist!M262)</f>
        <v>0</v>
      </c>
      <c r="R262" s="22"/>
      <c r="S262" s="334"/>
      <c r="T262" s="333">
        <f>Q262*AA262*S259</f>
        <v>0</v>
      </c>
      <c r="U262" s="353"/>
      <c r="V262" s="373">
        <f>IF(Checklist!P262="",0,Checklist!P262)</f>
        <v>0</v>
      </c>
      <c r="W262" s="22"/>
      <c r="X262" s="334"/>
      <c r="Y262" s="333">
        <f>V262*AA262*X259</f>
        <v>0</v>
      </c>
      <c r="Z262" s="353"/>
      <c r="AA262" s="335">
        <v>0</v>
      </c>
      <c r="AD262" s="353"/>
    </row>
    <row r="263" spans="1:30" outlineLevel="3" x14ac:dyDescent="0.25">
      <c r="E263" s="35" t="s">
        <v>1273</v>
      </c>
      <c r="F263" s="35" t="s">
        <v>943</v>
      </c>
      <c r="G263" s="35"/>
      <c r="H263" s="285">
        <f>IF(Checklist!J263="",0,Checklist!J263)</f>
        <v>1</v>
      </c>
      <c r="I263" s="285">
        <f>IF(Checklist!K263="",0,Checklist!K263)</f>
        <v>1</v>
      </c>
      <c r="J263" s="337"/>
      <c r="K263" s="337">
        <f>H263*AA263*J259</f>
        <v>0</v>
      </c>
      <c r="L263" s="338"/>
      <c r="M263" s="339">
        <f>I263*AA263*L259</f>
        <v>0</v>
      </c>
      <c r="N263" s="333"/>
      <c r="O263" s="333">
        <f>M263+K263</f>
        <v>0</v>
      </c>
      <c r="P263" s="353"/>
      <c r="Q263" s="285">
        <f>IF(Checklist!M263="",0,Checklist!M263)</f>
        <v>1</v>
      </c>
      <c r="R263" s="22"/>
      <c r="S263" s="334"/>
      <c r="T263" s="333">
        <f>Q263*AA263*S259</f>
        <v>0</v>
      </c>
      <c r="U263" s="353"/>
      <c r="V263" s="373">
        <f>IF(Checklist!P263="",0,Checklist!P263)</f>
        <v>1</v>
      </c>
      <c r="W263" s="22"/>
      <c r="X263" s="334"/>
      <c r="Y263" s="333">
        <f>V263*AA263*X259</f>
        <v>0</v>
      </c>
      <c r="Z263" s="353"/>
      <c r="AA263" s="335">
        <v>0</v>
      </c>
      <c r="AD263" s="353"/>
    </row>
    <row r="264" spans="1:30" outlineLevel="1" x14ac:dyDescent="0.25">
      <c r="H264" s="273"/>
      <c r="I264" s="273"/>
      <c r="J264" s="315"/>
      <c r="K264" s="315"/>
      <c r="L264" s="316"/>
      <c r="M264" s="315"/>
      <c r="N264" s="317"/>
      <c r="O264" s="317"/>
      <c r="P264" s="353"/>
      <c r="Q264" s="273"/>
      <c r="R264" s="22"/>
      <c r="S264" s="315"/>
      <c r="T264" s="317"/>
      <c r="U264" s="353"/>
      <c r="V264" s="273"/>
      <c r="W264" s="22"/>
      <c r="X264" s="315"/>
      <c r="Y264" s="317"/>
      <c r="Z264" s="353"/>
      <c r="AA264" s="318"/>
      <c r="AD264" s="353"/>
    </row>
    <row r="265" spans="1:30" s="344" customFormat="1" ht="14.65" customHeight="1" outlineLevel="1" x14ac:dyDescent="0.25">
      <c r="A265" s="357"/>
      <c r="B265" s="358"/>
      <c r="C265" s="348" t="s">
        <v>816</v>
      </c>
      <c r="D265" s="275" t="s">
        <v>100</v>
      </c>
      <c r="E265" s="359"/>
      <c r="F265" s="359"/>
      <c r="G265" s="359"/>
      <c r="H265" s="360"/>
      <c r="I265" s="361"/>
      <c r="J265" s="376">
        <f>N265*0.8</f>
        <v>13.405136505603162</v>
      </c>
      <c r="K265" s="376">
        <f>K266+K274+K279+K284</f>
        <v>0</v>
      </c>
      <c r="L265" s="362">
        <f t="shared" si="52"/>
        <v>3.3512841264007904</v>
      </c>
      <c r="M265" s="362">
        <f>M266+M274+M279+M284</f>
        <v>0</v>
      </c>
      <c r="N265" s="363">
        <f>N266+N274+N279+N284+N289</f>
        <v>16.756420632003952</v>
      </c>
      <c r="O265" s="363">
        <f>O266+O274+O279+O284+O289</f>
        <v>0</v>
      </c>
      <c r="P265" s="353"/>
      <c r="Q265" s="360"/>
      <c r="R265" s="323"/>
      <c r="S265" s="363">
        <f>N265</f>
        <v>16.756420632003952</v>
      </c>
      <c r="T265" s="363">
        <f>T266+T274+T279+T284+T289</f>
        <v>0</v>
      </c>
      <c r="U265" s="353"/>
      <c r="V265" s="364"/>
      <c r="W265" s="365"/>
      <c r="X265" s="363">
        <f>S265</f>
        <v>16.756420632003952</v>
      </c>
      <c r="Y265" s="363">
        <f>Y266+Y274+Y279+Y284+Y289</f>
        <v>0</v>
      </c>
      <c r="Z265" s="353"/>
      <c r="AA265" s="322"/>
      <c r="AD265" s="353"/>
    </row>
    <row r="266" spans="1:30" s="342" customFormat="1" ht="14.65" customHeight="1" outlineLevel="2" x14ac:dyDescent="0.25">
      <c r="A266" s="366"/>
      <c r="B266" s="366"/>
      <c r="C266" s="366"/>
      <c r="D266" s="36" t="s">
        <v>1274</v>
      </c>
      <c r="E266" s="36" t="s">
        <v>1192</v>
      </c>
      <c r="F266" s="36"/>
      <c r="G266" s="36"/>
      <c r="H266" s="298" t="s">
        <v>732</v>
      </c>
      <c r="I266" s="297" t="s">
        <v>732</v>
      </c>
      <c r="J266" s="368">
        <f t="shared" si="51"/>
        <v>4.0798241538792235</v>
      </c>
      <c r="K266" s="368">
        <f>IF(SUM(K267:K273)&gt;J266,J266,SUM(K267:K273))</f>
        <v>0</v>
      </c>
      <c r="L266" s="369">
        <f t="shared" si="52"/>
        <v>1.0199560384698059</v>
      </c>
      <c r="M266" s="369">
        <f>IF(SUM(M267:M273)&gt;L266,L266,SUM(M267:M273))</f>
        <v>0</v>
      </c>
      <c r="N266" s="370">
        <f>Ponderações!P53*100</f>
        <v>5.0997801923490291</v>
      </c>
      <c r="O266" s="370">
        <f>IF(SUM(O267:O273)&gt;N266,N266,SUM(O267:O273))</f>
        <v>0</v>
      </c>
      <c r="P266" s="353"/>
      <c r="Q266" s="298" t="s">
        <v>732</v>
      </c>
      <c r="R266" s="366"/>
      <c r="S266" s="370">
        <f>N266</f>
        <v>5.0997801923490291</v>
      </c>
      <c r="T266" s="370">
        <f>IF(SUM(T267:T273)&gt;S266,S266,SUM(T267:T273))</f>
        <v>0</v>
      </c>
      <c r="U266" s="353"/>
      <c r="V266" s="298" t="s">
        <v>732</v>
      </c>
      <c r="W266" s="366"/>
      <c r="X266" s="370">
        <f>S266</f>
        <v>5.0997801923490291</v>
      </c>
      <c r="Y266" s="370">
        <f>IF(SUM(Y267:Y273)&gt;X266,X266,SUM(Y267:Y273))</f>
        <v>0</v>
      </c>
      <c r="Z266" s="353"/>
      <c r="AA266" s="327"/>
      <c r="AD266" s="353"/>
    </row>
    <row r="267" spans="1:30" outlineLevel="3" x14ac:dyDescent="0.25">
      <c r="B267" s="22"/>
      <c r="D267" s="343"/>
      <c r="E267" s="35" t="s">
        <v>1275</v>
      </c>
      <c r="F267" s="35" t="s">
        <v>1193</v>
      </c>
      <c r="G267" s="35"/>
      <c r="H267" s="285">
        <f>IF(Checklist!J267="",0,Checklist!J267)</f>
        <v>0</v>
      </c>
      <c r="I267" s="285">
        <f>IF(Checklist!K267="",0,Checklist!K267)</f>
        <v>0</v>
      </c>
      <c r="J267" s="371"/>
      <c r="K267" s="371">
        <f>H267*AA267*$J$266</f>
        <v>0</v>
      </c>
      <c r="L267" s="331"/>
      <c r="M267" s="372">
        <f>I267*AA267*$L$266</f>
        <v>0</v>
      </c>
      <c r="N267" s="333"/>
      <c r="O267" s="333">
        <f t="shared" ref="O267:O273" si="59">M267+K267</f>
        <v>0</v>
      </c>
      <c r="P267" s="353"/>
      <c r="Q267" s="285">
        <f>IF(Checklist!M267="",0,Checklist!M267)</f>
        <v>0</v>
      </c>
      <c r="R267" s="22"/>
      <c r="S267" s="334"/>
      <c r="T267" s="333">
        <f>Q267*AA267*$S$266</f>
        <v>0</v>
      </c>
      <c r="U267" s="353"/>
      <c r="V267" s="373">
        <f>IF(Checklist!P267="",0,Checklist!P267)</f>
        <v>0</v>
      </c>
      <c r="W267" s="22"/>
      <c r="X267" s="334"/>
      <c r="Y267" s="333">
        <f>V267*AA267*$X$266</f>
        <v>0</v>
      </c>
      <c r="Z267" s="353"/>
      <c r="AA267" s="335">
        <v>1</v>
      </c>
      <c r="AD267" s="353"/>
    </row>
    <row r="268" spans="1:30" outlineLevel="3" x14ac:dyDescent="0.25">
      <c r="B268" s="22"/>
      <c r="D268" s="343"/>
      <c r="E268" s="35" t="s">
        <v>1276</v>
      </c>
      <c r="F268" s="35" t="s">
        <v>1194</v>
      </c>
      <c r="G268" s="35"/>
      <c r="H268" s="285">
        <f>IF(Checklist!J268="",0,Checklist!J268)</f>
        <v>0</v>
      </c>
      <c r="I268" s="285">
        <f>IF(Checklist!K268="",0,Checklist!K268)</f>
        <v>0</v>
      </c>
      <c r="J268" s="371"/>
      <c r="K268" s="371">
        <f t="shared" ref="K268:K273" si="60">H268*AA268*$J$266</f>
        <v>0</v>
      </c>
      <c r="L268" s="331"/>
      <c r="M268" s="372">
        <f t="shared" ref="M268:M273" si="61">I268*AA268*$L$266</f>
        <v>0</v>
      </c>
      <c r="N268" s="333"/>
      <c r="O268" s="333">
        <f t="shared" si="59"/>
        <v>0</v>
      </c>
      <c r="P268" s="353"/>
      <c r="Q268" s="285">
        <f>IF(Checklist!M268="",0,Checklist!M268)</f>
        <v>0</v>
      </c>
      <c r="R268" s="22"/>
      <c r="S268" s="334"/>
      <c r="T268" s="333">
        <f t="shared" ref="T268:T273" si="62">Q268*AA268*$S$266</f>
        <v>0</v>
      </c>
      <c r="U268" s="353"/>
      <c r="V268" s="373">
        <f>IF(Checklist!P268="",0,Checklist!P268)</f>
        <v>0</v>
      </c>
      <c r="W268" s="22"/>
      <c r="X268" s="334"/>
      <c r="Y268" s="333">
        <f t="shared" ref="Y268:Y270" si="63">V268*AA268*$X$266</f>
        <v>0</v>
      </c>
      <c r="Z268" s="353"/>
      <c r="AA268" s="335">
        <v>0.45</v>
      </c>
      <c r="AD268" s="353"/>
    </row>
    <row r="269" spans="1:30" outlineLevel="3" x14ac:dyDescent="0.25">
      <c r="B269" s="22"/>
      <c r="D269" s="343"/>
      <c r="E269" s="35" t="s">
        <v>1277</v>
      </c>
      <c r="F269" s="35" t="s">
        <v>1195</v>
      </c>
      <c r="G269" s="35"/>
      <c r="H269" s="285">
        <f>IF(Checklist!J269="",0,Checklist!J269)</f>
        <v>0</v>
      </c>
      <c r="I269" s="285">
        <f>IF(Checklist!K269="",0,Checklist!K269)</f>
        <v>0</v>
      </c>
      <c r="J269" s="371"/>
      <c r="K269" s="371">
        <f t="shared" si="60"/>
        <v>0</v>
      </c>
      <c r="L269" s="331"/>
      <c r="M269" s="372">
        <f t="shared" si="61"/>
        <v>0</v>
      </c>
      <c r="N269" s="333"/>
      <c r="O269" s="333">
        <f t="shared" si="59"/>
        <v>0</v>
      </c>
      <c r="P269" s="353"/>
      <c r="Q269" s="285">
        <f>IF(Checklist!M269="",0,Checklist!M269)</f>
        <v>0</v>
      </c>
      <c r="R269" s="22"/>
      <c r="S269" s="334"/>
      <c r="T269" s="333">
        <f t="shared" si="62"/>
        <v>0</v>
      </c>
      <c r="U269" s="353"/>
      <c r="V269" s="373">
        <f>IF(Checklist!P269="",0,Checklist!P269)</f>
        <v>0</v>
      </c>
      <c r="W269" s="22"/>
      <c r="X269" s="334"/>
      <c r="Y269" s="333">
        <f>V269*AA269*$X$266</f>
        <v>0</v>
      </c>
      <c r="Z269" s="353"/>
      <c r="AA269" s="335">
        <v>0.45</v>
      </c>
      <c r="AD269" s="353"/>
    </row>
    <row r="270" spans="1:30" outlineLevel="3" x14ac:dyDescent="0.25">
      <c r="B270" s="22"/>
      <c r="D270" s="343"/>
      <c r="E270" s="35" t="s">
        <v>1278</v>
      </c>
      <c r="F270" s="35" t="s">
        <v>1196</v>
      </c>
      <c r="G270" s="35"/>
      <c r="H270" s="285">
        <f>IF(Checklist!J270="",0,Checklist!J270)</f>
        <v>0</v>
      </c>
      <c r="I270" s="285">
        <f>IF(Checklist!K270="",0,Checklist!K270)</f>
        <v>0</v>
      </c>
      <c r="J270" s="371"/>
      <c r="K270" s="371">
        <f t="shared" si="60"/>
        <v>0</v>
      </c>
      <c r="L270" s="331"/>
      <c r="M270" s="372">
        <f t="shared" si="61"/>
        <v>0</v>
      </c>
      <c r="N270" s="333"/>
      <c r="O270" s="333">
        <f t="shared" si="59"/>
        <v>0</v>
      </c>
      <c r="P270" s="353"/>
      <c r="Q270" s="285">
        <f>IF(Checklist!M270="",0,Checklist!M270)</f>
        <v>0</v>
      </c>
      <c r="R270" s="22"/>
      <c r="S270" s="334"/>
      <c r="T270" s="333">
        <f t="shared" si="62"/>
        <v>0</v>
      </c>
      <c r="U270" s="353"/>
      <c r="V270" s="373">
        <f>IF(Checklist!P270="",0,Checklist!P270)</f>
        <v>0</v>
      </c>
      <c r="W270" s="22"/>
      <c r="X270" s="334"/>
      <c r="Y270" s="333">
        <f t="shared" si="63"/>
        <v>0</v>
      </c>
      <c r="Z270" s="353"/>
      <c r="AA270" s="335">
        <v>0.05</v>
      </c>
      <c r="AD270" s="353"/>
    </row>
    <row r="271" spans="1:30" outlineLevel="3" x14ac:dyDescent="0.25">
      <c r="C271" s="296"/>
      <c r="E271" s="35" t="s">
        <v>1279</v>
      </c>
      <c r="F271" s="287" t="s">
        <v>1197</v>
      </c>
      <c r="G271" s="35"/>
      <c r="H271" s="285">
        <f>IF(Checklist!J271="",0,Checklist!J271)</f>
        <v>0</v>
      </c>
      <c r="I271" s="285">
        <f>IF(Checklist!K271="",0,Checklist!K271)</f>
        <v>0</v>
      </c>
      <c r="J271" s="371"/>
      <c r="K271" s="371">
        <f t="shared" si="60"/>
        <v>0</v>
      </c>
      <c r="L271" s="331"/>
      <c r="M271" s="372">
        <f t="shared" si="61"/>
        <v>0</v>
      </c>
      <c r="N271" s="333"/>
      <c r="O271" s="333">
        <f>M271+K271</f>
        <v>0</v>
      </c>
      <c r="P271" s="353"/>
      <c r="Q271" s="285">
        <f>IF(Checklist!M271="",0,Checklist!M271)</f>
        <v>0</v>
      </c>
      <c r="R271" s="22"/>
      <c r="S271" s="334"/>
      <c r="T271" s="333">
        <f t="shared" si="62"/>
        <v>0</v>
      </c>
      <c r="U271" s="353"/>
      <c r="V271" s="373">
        <f>IF(Checklist!P271="",0,Checklist!P271)</f>
        <v>0</v>
      </c>
      <c r="W271" s="22"/>
      <c r="X271" s="334"/>
      <c r="Y271" s="333">
        <f>V271*AA271*$X$266</f>
        <v>0</v>
      </c>
      <c r="Z271" s="353"/>
      <c r="AA271" s="335">
        <v>0.4</v>
      </c>
      <c r="AD271" s="353"/>
    </row>
    <row r="272" spans="1:30" outlineLevel="3" x14ac:dyDescent="0.25">
      <c r="B272" s="22"/>
      <c r="E272" s="35" t="s">
        <v>1280</v>
      </c>
      <c r="F272" s="35" t="s">
        <v>941</v>
      </c>
      <c r="G272" s="35"/>
      <c r="H272" s="285">
        <f>IF(Checklist!J272="",0,Checklist!J272)</f>
        <v>0</v>
      </c>
      <c r="I272" s="285">
        <f>IF(Checklist!K272="",0,Checklist!K272)</f>
        <v>0</v>
      </c>
      <c r="J272" s="371"/>
      <c r="K272" s="371">
        <f t="shared" si="60"/>
        <v>0</v>
      </c>
      <c r="L272" s="331"/>
      <c r="M272" s="372">
        <f t="shared" si="61"/>
        <v>0</v>
      </c>
      <c r="N272" s="333"/>
      <c r="O272" s="333">
        <f t="shared" si="59"/>
        <v>0</v>
      </c>
      <c r="P272" s="353"/>
      <c r="Q272" s="285">
        <f>IF(Checklist!M272="",0,Checklist!M272)</f>
        <v>0</v>
      </c>
      <c r="R272" s="22"/>
      <c r="S272" s="334"/>
      <c r="T272" s="333">
        <f t="shared" si="62"/>
        <v>0</v>
      </c>
      <c r="U272" s="353"/>
      <c r="V272" s="373">
        <f>IF(Checklist!P272="",0,Checklist!P272)</f>
        <v>0</v>
      </c>
      <c r="W272" s="22"/>
      <c r="X272" s="334"/>
      <c r="Y272" s="333">
        <f>V272*AA272*$X$266</f>
        <v>0</v>
      </c>
      <c r="Z272" s="353"/>
      <c r="AA272" s="335">
        <v>0</v>
      </c>
      <c r="AD272" s="353"/>
    </row>
    <row r="273" spans="1:30" outlineLevel="3" x14ac:dyDescent="0.25">
      <c r="B273" s="22"/>
      <c r="E273" s="35" t="s">
        <v>1281</v>
      </c>
      <c r="F273" s="35" t="s">
        <v>943</v>
      </c>
      <c r="G273" s="35"/>
      <c r="H273" s="285">
        <f>IF(Checklist!J273="",0,Checklist!J273)</f>
        <v>0</v>
      </c>
      <c r="I273" s="285">
        <f>IF(Checklist!K273="",0,Checklist!K273)</f>
        <v>0</v>
      </c>
      <c r="J273" s="371"/>
      <c r="K273" s="371">
        <f t="shared" si="60"/>
        <v>0</v>
      </c>
      <c r="L273" s="331"/>
      <c r="M273" s="372">
        <f t="shared" si="61"/>
        <v>0</v>
      </c>
      <c r="N273" s="333"/>
      <c r="O273" s="333">
        <f t="shared" si="59"/>
        <v>0</v>
      </c>
      <c r="P273" s="353"/>
      <c r="Q273" s="285">
        <f>IF(Checklist!M273="",0,Checklist!M273)</f>
        <v>0</v>
      </c>
      <c r="R273" s="22"/>
      <c r="S273" s="334"/>
      <c r="T273" s="333">
        <f t="shared" si="62"/>
        <v>0</v>
      </c>
      <c r="U273" s="353"/>
      <c r="V273" s="373">
        <f>IF(Checklist!P273="",0,Checklist!P273)</f>
        <v>0</v>
      </c>
      <c r="W273" s="22"/>
      <c r="X273" s="334"/>
      <c r="Y273" s="333">
        <f>V273*AA273*$X$266</f>
        <v>0</v>
      </c>
      <c r="Z273" s="353"/>
      <c r="AA273" s="335">
        <v>0</v>
      </c>
      <c r="AD273" s="353"/>
    </row>
    <row r="274" spans="1:30" s="342" customFormat="1" ht="14.65" customHeight="1" outlineLevel="2" x14ac:dyDescent="0.25">
      <c r="A274" s="366"/>
      <c r="B274" s="366"/>
      <c r="C274" s="366"/>
      <c r="D274" s="36" t="s">
        <v>1282</v>
      </c>
      <c r="E274" s="36" t="s">
        <v>1198</v>
      </c>
      <c r="F274" s="36"/>
      <c r="G274" s="36"/>
      <c r="H274" s="298" t="s">
        <v>731</v>
      </c>
      <c r="I274" s="297" t="s">
        <v>731</v>
      </c>
      <c r="J274" s="368">
        <f t="shared" si="51"/>
        <v>4.0798241538792235</v>
      </c>
      <c r="K274" s="368">
        <f>IF(SUM(K275:K278)&gt;J274,J274,SUM(K275:K278))</f>
        <v>0</v>
      </c>
      <c r="L274" s="369">
        <f t="shared" si="52"/>
        <v>1.0199560384698059</v>
      </c>
      <c r="M274" s="369">
        <f>IF(SUM(M275:M278)&gt;L274,L274,SUM(M275:M278))</f>
        <v>0</v>
      </c>
      <c r="N274" s="370">
        <f>Ponderações!P54*100</f>
        <v>5.0997801923490291</v>
      </c>
      <c r="O274" s="370">
        <f>IF(SUM(O275:O278)&gt;N274,N274,SUM(O275:O278))</f>
        <v>0</v>
      </c>
      <c r="P274" s="353"/>
      <c r="Q274" s="298" t="s">
        <v>731</v>
      </c>
      <c r="R274" s="366"/>
      <c r="S274" s="370">
        <f>N274</f>
        <v>5.0997801923490291</v>
      </c>
      <c r="T274" s="370">
        <f>IF(SUM(T275:T278)&gt;S274,S274,SUM(T275:T278))</f>
        <v>0</v>
      </c>
      <c r="U274" s="353"/>
      <c r="V274" s="298" t="s">
        <v>731</v>
      </c>
      <c r="W274" s="366"/>
      <c r="X274" s="370">
        <f>S274</f>
        <v>5.0997801923490291</v>
      </c>
      <c r="Y274" s="370">
        <f>IF(SUM(Y275:Y278)&gt;X274,X274,SUM(Y275:Y278))</f>
        <v>0</v>
      </c>
      <c r="Z274" s="353"/>
      <c r="AA274" s="327"/>
      <c r="AD274" s="353"/>
    </row>
    <row r="275" spans="1:30" outlineLevel="3" x14ac:dyDescent="0.25">
      <c r="B275" s="22"/>
      <c r="E275" s="35" t="s">
        <v>1283</v>
      </c>
      <c r="F275" s="35" t="s">
        <v>1766</v>
      </c>
      <c r="G275" s="35"/>
      <c r="H275" s="285">
        <f>IF(Checklist!J275="",0,Checklist!J275)</f>
        <v>0</v>
      </c>
      <c r="I275" s="285">
        <f>IF(Checklist!K275="",0,Checklist!K275)</f>
        <v>0</v>
      </c>
      <c r="J275" s="371"/>
      <c r="K275" s="371">
        <f>H275*AA275*J274</f>
        <v>0</v>
      </c>
      <c r="L275" s="331"/>
      <c r="M275" s="372">
        <f>I275*AA275*L274</f>
        <v>0</v>
      </c>
      <c r="N275" s="333"/>
      <c r="O275" s="333">
        <f>M275+K275</f>
        <v>0</v>
      </c>
      <c r="P275" s="353"/>
      <c r="Q275" s="285">
        <f>IF(Checklist!M275="",0,Checklist!M275)</f>
        <v>0</v>
      </c>
      <c r="R275" s="22"/>
      <c r="S275" s="334"/>
      <c r="T275" s="333">
        <f>Q275*AA275*S274</f>
        <v>0</v>
      </c>
      <c r="U275" s="353"/>
      <c r="V275" s="373">
        <f>IF(Checklist!P275="",0,Checklist!P275)</f>
        <v>0</v>
      </c>
      <c r="W275" s="22"/>
      <c r="X275" s="334"/>
      <c r="Y275" s="333">
        <f>V275*AA275*X274</f>
        <v>0</v>
      </c>
      <c r="Z275" s="353"/>
      <c r="AA275" s="335">
        <v>1</v>
      </c>
      <c r="AD275" s="353"/>
    </row>
    <row r="276" spans="1:30" outlineLevel="3" x14ac:dyDescent="0.25">
      <c r="B276" s="22"/>
      <c r="E276" s="35" t="s">
        <v>1284</v>
      </c>
      <c r="F276" s="35" t="s">
        <v>1285</v>
      </c>
      <c r="G276" s="35"/>
      <c r="H276" s="285">
        <f>IF(Checklist!J276="",0,Checklist!J276)</f>
        <v>0</v>
      </c>
      <c r="I276" s="285">
        <f>IF(Checklist!K276="",0,Checklist!K276)</f>
        <v>0</v>
      </c>
      <c r="J276" s="371"/>
      <c r="K276" s="371">
        <f>H276*AA276*J274</f>
        <v>0</v>
      </c>
      <c r="L276" s="331"/>
      <c r="M276" s="372">
        <f>I276*AA276*L274</f>
        <v>0</v>
      </c>
      <c r="N276" s="333"/>
      <c r="O276" s="333">
        <f>M276+K276</f>
        <v>0</v>
      </c>
      <c r="P276" s="353"/>
      <c r="Q276" s="285">
        <f>IF(Checklist!M276="",0,Checklist!M276)</f>
        <v>0</v>
      </c>
      <c r="R276" s="22"/>
      <c r="S276" s="334"/>
      <c r="T276" s="333">
        <f>Q276*AA276*S274</f>
        <v>0</v>
      </c>
      <c r="U276" s="353"/>
      <c r="V276" s="373">
        <f>IF(Checklist!P276="",0,Checklist!P276)</f>
        <v>0</v>
      </c>
      <c r="W276" s="22"/>
      <c r="X276" s="334"/>
      <c r="Y276" s="333">
        <f>V276*AA276*X274</f>
        <v>0</v>
      </c>
      <c r="Z276" s="353"/>
      <c r="AA276" s="335">
        <v>0.5</v>
      </c>
      <c r="AD276" s="353"/>
    </row>
    <row r="277" spans="1:30" outlineLevel="3" x14ac:dyDescent="0.25">
      <c r="B277" s="22"/>
      <c r="E277" s="35" t="s">
        <v>1286</v>
      </c>
      <c r="F277" s="35" t="s">
        <v>1287</v>
      </c>
      <c r="G277" s="35"/>
      <c r="H277" s="285">
        <f>IF(Checklist!J277="",0,Checklist!J277)</f>
        <v>0</v>
      </c>
      <c r="I277" s="285">
        <f>IF(Checklist!K277="",0,Checklist!K277)</f>
        <v>0</v>
      </c>
      <c r="J277" s="371"/>
      <c r="K277" s="371">
        <f>H277*AA277*J274</f>
        <v>0</v>
      </c>
      <c r="L277" s="331"/>
      <c r="M277" s="372">
        <f>I277*AA277*L274</f>
        <v>0</v>
      </c>
      <c r="N277" s="333"/>
      <c r="O277" s="333">
        <f>M277+K277</f>
        <v>0</v>
      </c>
      <c r="P277" s="353"/>
      <c r="Q277" s="285">
        <f>IF(Checklist!M277="",0,Checklist!M277)</f>
        <v>0</v>
      </c>
      <c r="R277" s="22"/>
      <c r="S277" s="334"/>
      <c r="T277" s="333">
        <f>Q277*AA277*S274</f>
        <v>0</v>
      </c>
      <c r="U277" s="353"/>
      <c r="V277" s="373">
        <f>IF(Checklist!P277="",0,Checklist!P277)</f>
        <v>0</v>
      </c>
      <c r="W277" s="22"/>
      <c r="X277" s="334"/>
      <c r="Y277" s="333">
        <f>V277*AA277*X274</f>
        <v>0</v>
      </c>
      <c r="Z277" s="353"/>
      <c r="AA277" s="335">
        <v>0</v>
      </c>
      <c r="AD277" s="353"/>
    </row>
    <row r="278" spans="1:30" outlineLevel="3" x14ac:dyDescent="0.25">
      <c r="B278" s="22"/>
      <c r="E278" s="35" t="s">
        <v>1288</v>
      </c>
      <c r="F278" s="35" t="s">
        <v>943</v>
      </c>
      <c r="G278" s="35"/>
      <c r="H278" s="285">
        <f>IF(Checklist!J278="",0,Checklist!J278)</f>
        <v>1</v>
      </c>
      <c r="I278" s="285">
        <f>IF(Checklist!K278="",0,Checklist!K278)</f>
        <v>1</v>
      </c>
      <c r="J278" s="371"/>
      <c r="K278" s="371">
        <f>H278*AA278*J274</f>
        <v>0</v>
      </c>
      <c r="L278" s="331"/>
      <c r="M278" s="372">
        <f>I278*AA278*L274</f>
        <v>0</v>
      </c>
      <c r="N278" s="333"/>
      <c r="O278" s="333">
        <f>M278+K278</f>
        <v>0</v>
      </c>
      <c r="P278" s="353"/>
      <c r="Q278" s="285">
        <f>IF(Checklist!M278="",0,Checklist!M278)</f>
        <v>1</v>
      </c>
      <c r="R278" s="22"/>
      <c r="S278" s="334"/>
      <c r="T278" s="333">
        <f>Q278*AA278*S274</f>
        <v>0</v>
      </c>
      <c r="U278" s="353"/>
      <c r="V278" s="373">
        <f>IF(Checklist!P278="",0,Checklist!P278)</f>
        <v>1</v>
      </c>
      <c r="W278" s="22"/>
      <c r="X278" s="334"/>
      <c r="Y278" s="333">
        <f>V278*AA278*X274</f>
        <v>0</v>
      </c>
      <c r="Z278" s="353"/>
      <c r="AA278" s="335">
        <v>0</v>
      </c>
      <c r="AD278" s="353"/>
    </row>
    <row r="279" spans="1:30" s="342" customFormat="1" outlineLevel="2" x14ac:dyDescent="0.25">
      <c r="A279" s="366"/>
      <c r="B279" s="366"/>
      <c r="C279" s="366"/>
      <c r="D279" s="36" t="s">
        <v>1289</v>
      </c>
      <c r="E279" s="36" t="s">
        <v>1202</v>
      </c>
      <c r="F279" s="36"/>
      <c r="G279" s="36"/>
      <c r="H279" s="298" t="s">
        <v>731</v>
      </c>
      <c r="I279" s="297" t="s">
        <v>731</v>
      </c>
      <c r="J279" s="368">
        <f t="shared" si="51"/>
        <v>2.3313280879309843</v>
      </c>
      <c r="K279" s="368">
        <f>IF(SUM(K280:K283)&gt;J279,J279,SUM(K280:K283))</f>
        <v>0</v>
      </c>
      <c r="L279" s="369">
        <f t="shared" si="52"/>
        <v>0.58283202198274608</v>
      </c>
      <c r="M279" s="369">
        <f>IF(SUM(M280:M283)&gt;L279,L279,SUM(M280:M283))</f>
        <v>0</v>
      </c>
      <c r="N279" s="370">
        <f>Ponderações!P55*100</f>
        <v>2.9141601099137304</v>
      </c>
      <c r="O279" s="370">
        <f>IF(SUM(O280:O283)&gt;N279,N279,SUM(O280:O283))</f>
        <v>0</v>
      </c>
      <c r="P279" s="353"/>
      <c r="Q279" s="298" t="s">
        <v>731</v>
      </c>
      <c r="R279" s="366"/>
      <c r="S279" s="370">
        <f>N279</f>
        <v>2.9141601099137304</v>
      </c>
      <c r="T279" s="370">
        <f>IF(SUM(T280:T283)&gt;S279,S279,SUM(T280:T283))</f>
        <v>0</v>
      </c>
      <c r="U279" s="353"/>
      <c r="V279" s="298" t="s">
        <v>731</v>
      </c>
      <c r="W279" s="366"/>
      <c r="X279" s="370">
        <f>S279</f>
        <v>2.9141601099137304</v>
      </c>
      <c r="Y279" s="370">
        <f>IF(SUM(Y280:Y283)&gt;X279,X279,SUM(Y280:Y283))</f>
        <v>0</v>
      </c>
      <c r="Z279" s="353"/>
      <c r="AA279" s="327"/>
      <c r="AD279" s="353"/>
    </row>
    <row r="280" spans="1:30" ht="14.65" customHeight="1" outlineLevel="3" x14ac:dyDescent="0.25">
      <c r="B280" s="22"/>
      <c r="E280" s="35" t="s">
        <v>1290</v>
      </c>
      <c r="F280" s="35" t="s">
        <v>92</v>
      </c>
      <c r="G280" s="35"/>
      <c r="H280" s="285">
        <f>IF(Checklist!J280="",0,Checklist!J280)</f>
        <v>0</v>
      </c>
      <c r="I280" s="285">
        <f>IF(Checklist!K280="",0,Checklist!K280)</f>
        <v>0</v>
      </c>
      <c r="J280" s="371"/>
      <c r="K280" s="371">
        <f>H280*AA280*J279</f>
        <v>0</v>
      </c>
      <c r="L280" s="331"/>
      <c r="M280" s="372">
        <f>I280*AA280*L279</f>
        <v>0</v>
      </c>
      <c r="N280" s="333"/>
      <c r="O280" s="333">
        <f>M280+K280</f>
        <v>0</v>
      </c>
      <c r="P280" s="353"/>
      <c r="Q280" s="285">
        <f>IF(Checklist!M280="",0,Checklist!M280)</f>
        <v>0</v>
      </c>
      <c r="R280" s="22"/>
      <c r="S280" s="334"/>
      <c r="T280" s="333">
        <f>Q280*AA280*S279</f>
        <v>0</v>
      </c>
      <c r="U280" s="353"/>
      <c r="V280" s="373">
        <f>IF(Checklist!P280="",0,Checklist!P280)</f>
        <v>0</v>
      </c>
      <c r="W280" s="22"/>
      <c r="X280" s="334"/>
      <c r="Y280" s="333">
        <f>V280*AA280*X279</f>
        <v>0</v>
      </c>
      <c r="Z280" s="353"/>
      <c r="AA280" s="335">
        <v>1</v>
      </c>
      <c r="AD280" s="353"/>
    </row>
    <row r="281" spans="1:30" outlineLevel="3" x14ac:dyDescent="0.25">
      <c r="B281" s="22"/>
      <c r="E281" s="35" t="s">
        <v>1291</v>
      </c>
      <c r="F281" s="35" t="s">
        <v>1203</v>
      </c>
      <c r="G281" s="35"/>
      <c r="H281" s="285">
        <f>IF(Checklist!J281="",0,Checklist!J281)</f>
        <v>0</v>
      </c>
      <c r="I281" s="285">
        <f>IF(Checklist!K281="",0,Checklist!K281)</f>
        <v>0</v>
      </c>
      <c r="J281" s="371"/>
      <c r="K281" s="371">
        <f>H281*AA281*J279</f>
        <v>0</v>
      </c>
      <c r="L281" s="331"/>
      <c r="M281" s="372">
        <f>I281*AA281*L279</f>
        <v>0</v>
      </c>
      <c r="N281" s="333"/>
      <c r="O281" s="333">
        <f>M281+K281</f>
        <v>0</v>
      </c>
      <c r="P281" s="353"/>
      <c r="Q281" s="285">
        <f>IF(Checklist!M281="",0,Checklist!M281)</f>
        <v>0</v>
      </c>
      <c r="R281" s="22"/>
      <c r="S281" s="334"/>
      <c r="T281" s="333">
        <f>Q281*AA281*S279</f>
        <v>0</v>
      </c>
      <c r="U281" s="353"/>
      <c r="V281" s="373">
        <f>IF(Checklist!P281="",0,Checklist!P281)</f>
        <v>0</v>
      </c>
      <c r="W281" s="22"/>
      <c r="X281" s="334"/>
      <c r="Y281" s="333">
        <f>V281*AA281*X279</f>
        <v>0</v>
      </c>
      <c r="Z281" s="353"/>
      <c r="AA281" s="335">
        <v>0</v>
      </c>
      <c r="AD281" s="353"/>
    </row>
    <row r="282" spans="1:30" outlineLevel="3" x14ac:dyDescent="0.25">
      <c r="B282" s="22"/>
      <c r="E282" s="35" t="s">
        <v>1292</v>
      </c>
      <c r="F282" s="35" t="s">
        <v>107</v>
      </c>
      <c r="G282" s="35"/>
      <c r="H282" s="285">
        <f>IF(Checklist!J282="",0,Checklist!J282)</f>
        <v>0</v>
      </c>
      <c r="I282" s="285">
        <f>IF(Checklist!K282="",0,Checklist!K282)</f>
        <v>0</v>
      </c>
      <c r="J282" s="371"/>
      <c r="K282" s="371">
        <f>H282*AA282*J279</f>
        <v>0</v>
      </c>
      <c r="L282" s="331"/>
      <c r="M282" s="372">
        <f>I282*AA282*L279</f>
        <v>0</v>
      </c>
      <c r="N282" s="333"/>
      <c r="O282" s="333">
        <f>M282+K282</f>
        <v>0</v>
      </c>
      <c r="P282" s="353"/>
      <c r="Q282" s="285">
        <f>IF(Checklist!M282="",0,Checklist!M282)</f>
        <v>0</v>
      </c>
      <c r="R282" s="22"/>
      <c r="S282" s="334"/>
      <c r="T282" s="333">
        <f>Q282*AA282*S279</f>
        <v>0</v>
      </c>
      <c r="U282" s="353"/>
      <c r="V282" s="373">
        <f>IF(Checklist!P282="",0,Checklist!P282)</f>
        <v>0</v>
      </c>
      <c r="W282" s="22"/>
      <c r="X282" s="334"/>
      <c r="Y282" s="333">
        <f>V282*AA282*X279</f>
        <v>0</v>
      </c>
      <c r="Z282" s="353"/>
      <c r="AA282" s="335">
        <v>0</v>
      </c>
      <c r="AD282" s="353"/>
    </row>
    <row r="283" spans="1:30" outlineLevel="3" x14ac:dyDescent="0.25">
      <c r="B283" s="22"/>
      <c r="E283" s="35" t="s">
        <v>1293</v>
      </c>
      <c r="F283" s="35" t="s">
        <v>943</v>
      </c>
      <c r="G283" s="35"/>
      <c r="H283" s="285">
        <f>IF(Checklist!J283="",0,Checklist!J283)</f>
        <v>1</v>
      </c>
      <c r="I283" s="285">
        <f>IF(Checklist!K283="",0,Checklist!K283)</f>
        <v>1</v>
      </c>
      <c r="J283" s="371"/>
      <c r="K283" s="371">
        <f>H283*AA283*J279</f>
        <v>0</v>
      </c>
      <c r="L283" s="331"/>
      <c r="M283" s="372">
        <f>I283*AA283*L279</f>
        <v>0</v>
      </c>
      <c r="N283" s="333"/>
      <c r="O283" s="333">
        <f>M283+K283</f>
        <v>0</v>
      </c>
      <c r="P283" s="353"/>
      <c r="Q283" s="285">
        <f>IF(Checklist!M283="",0,Checklist!M283)</f>
        <v>1</v>
      </c>
      <c r="R283" s="22"/>
      <c r="S283" s="334"/>
      <c r="T283" s="333">
        <f>Q283*AA283*S279</f>
        <v>0</v>
      </c>
      <c r="U283" s="353"/>
      <c r="V283" s="373">
        <f>IF(Checklist!P283="",0,Checklist!P283)</f>
        <v>1</v>
      </c>
      <c r="W283" s="22"/>
      <c r="X283" s="334"/>
      <c r="Y283" s="333">
        <f>V283*AA283*X279</f>
        <v>0</v>
      </c>
      <c r="Z283" s="353"/>
      <c r="AA283" s="335">
        <v>0</v>
      </c>
      <c r="AD283" s="353"/>
    </row>
    <row r="284" spans="1:30" s="342" customFormat="1" outlineLevel="2" x14ac:dyDescent="0.25">
      <c r="A284" s="366"/>
      <c r="B284" s="366"/>
      <c r="C284" s="366"/>
      <c r="D284" s="36" t="s">
        <v>1294</v>
      </c>
      <c r="E284" s="36" t="s">
        <v>1204</v>
      </c>
      <c r="F284" s="36"/>
      <c r="G284" s="36"/>
      <c r="H284" s="298" t="s">
        <v>731</v>
      </c>
      <c r="I284" s="297" t="s">
        <v>731</v>
      </c>
      <c r="J284" s="368">
        <f t="shared" si="51"/>
        <v>1.1656640439654922</v>
      </c>
      <c r="K284" s="368">
        <f>IF(SUM(K285:K288)&gt;J284,J284,SUM(K285:K288))</f>
        <v>0</v>
      </c>
      <c r="L284" s="369">
        <f t="shared" si="52"/>
        <v>0.29141601099137304</v>
      </c>
      <c r="M284" s="369">
        <f>IF(SUM(M285:M288)&gt;L284,L284,SUM(M285:M288))</f>
        <v>0</v>
      </c>
      <c r="N284" s="370">
        <f>Ponderações!P56*100</f>
        <v>1.4570800549568652</v>
      </c>
      <c r="O284" s="370">
        <f>IF(SUM(O285:O288)&gt;N284,N284,SUM(O285:O288))</f>
        <v>0</v>
      </c>
      <c r="P284" s="353"/>
      <c r="Q284" s="298" t="s">
        <v>731</v>
      </c>
      <c r="R284" s="366"/>
      <c r="S284" s="370">
        <f>N284</f>
        <v>1.4570800549568652</v>
      </c>
      <c r="T284" s="370">
        <f>IF(SUM(T285:T288)&gt;S284,S284,SUM(T285:T288))</f>
        <v>0</v>
      </c>
      <c r="U284" s="353"/>
      <c r="V284" s="298" t="s">
        <v>731</v>
      </c>
      <c r="W284" s="366"/>
      <c r="X284" s="370">
        <f>S284</f>
        <v>1.4570800549568652</v>
      </c>
      <c r="Y284" s="370">
        <f>IF(SUM(Y285:Y288)&gt;X284,X284,SUM(Y285:Y288))</f>
        <v>0</v>
      </c>
      <c r="Z284" s="353"/>
      <c r="AA284" s="327"/>
      <c r="AD284" s="353"/>
    </row>
    <row r="285" spans="1:30" ht="14.65" customHeight="1" outlineLevel="3" x14ac:dyDescent="0.25">
      <c r="B285" s="22"/>
      <c r="E285" s="35" t="s">
        <v>1295</v>
      </c>
      <c r="F285" s="35" t="s">
        <v>1205</v>
      </c>
      <c r="G285" s="35"/>
      <c r="H285" s="285">
        <f>IF(Checklist!J285="",0,Checklist!J285)</f>
        <v>0</v>
      </c>
      <c r="I285" s="285">
        <f>IF(Checklist!K285="",0,Checklist!K285)</f>
        <v>0</v>
      </c>
      <c r="J285" s="371"/>
      <c r="K285" s="371">
        <f>H285*AA285*J284</f>
        <v>0</v>
      </c>
      <c r="L285" s="331"/>
      <c r="M285" s="372">
        <f>I285*AA285*L284</f>
        <v>0</v>
      </c>
      <c r="N285" s="333"/>
      <c r="O285" s="333">
        <f>M285+K285</f>
        <v>0</v>
      </c>
      <c r="P285" s="353"/>
      <c r="Q285" s="285">
        <f>IF(Checklist!M285="",0,Checklist!M285)</f>
        <v>0</v>
      </c>
      <c r="R285" s="22"/>
      <c r="S285" s="334"/>
      <c r="T285" s="333">
        <f>Q285*AA285*S284</f>
        <v>0</v>
      </c>
      <c r="U285" s="353"/>
      <c r="V285" s="373">
        <f>IF(Checklist!P285="",0,Checklist!P285)</f>
        <v>0</v>
      </c>
      <c r="W285" s="22"/>
      <c r="X285" s="334"/>
      <c r="Y285" s="333">
        <f>V285*AA285*X284</f>
        <v>0</v>
      </c>
      <c r="Z285" s="353"/>
      <c r="AA285" s="335">
        <v>1</v>
      </c>
      <c r="AD285" s="353"/>
    </row>
    <row r="286" spans="1:30" outlineLevel="3" x14ac:dyDescent="0.25">
      <c r="B286" s="22"/>
      <c r="E286" s="35" t="s">
        <v>1296</v>
      </c>
      <c r="F286" s="35" t="s">
        <v>1206</v>
      </c>
      <c r="G286" s="35"/>
      <c r="H286" s="285">
        <f>IF(Checklist!J286="",0,Checklist!J286)</f>
        <v>0</v>
      </c>
      <c r="I286" s="285">
        <f>IF(Checklist!K286="",0,Checklist!K286)</f>
        <v>0</v>
      </c>
      <c r="J286" s="371"/>
      <c r="K286" s="371">
        <f>H286*AA286*J284</f>
        <v>0</v>
      </c>
      <c r="L286" s="331"/>
      <c r="M286" s="372">
        <f>I286*AA286*L284</f>
        <v>0</v>
      </c>
      <c r="N286" s="333"/>
      <c r="O286" s="333">
        <f>M286+K286</f>
        <v>0</v>
      </c>
      <c r="P286" s="353"/>
      <c r="Q286" s="285">
        <f>IF(Checklist!M286="",0,Checklist!M286)</f>
        <v>0</v>
      </c>
      <c r="R286" s="22"/>
      <c r="S286" s="334"/>
      <c r="T286" s="333">
        <f>Q286*AA286*S284</f>
        <v>0</v>
      </c>
      <c r="U286" s="353"/>
      <c r="V286" s="373">
        <f>IF(Checklist!P286="",0,Checklist!P286)</f>
        <v>0</v>
      </c>
      <c r="W286" s="22"/>
      <c r="X286" s="334"/>
      <c r="Y286" s="333">
        <f>V286*AA286*X284</f>
        <v>0</v>
      </c>
      <c r="Z286" s="353"/>
      <c r="AA286" s="335">
        <v>0.5</v>
      </c>
      <c r="AD286" s="353"/>
    </row>
    <row r="287" spans="1:30" outlineLevel="3" x14ac:dyDescent="0.25">
      <c r="B287" s="22"/>
      <c r="E287" s="35" t="s">
        <v>1297</v>
      </c>
      <c r="F287" s="35" t="s">
        <v>1234</v>
      </c>
      <c r="G287" s="35"/>
      <c r="H287" s="285">
        <f>IF(Checklist!J287="",0,Checklist!J287)</f>
        <v>0</v>
      </c>
      <c r="I287" s="285">
        <f>IF(Checklist!K287="",0,Checklist!K287)</f>
        <v>0</v>
      </c>
      <c r="J287" s="371"/>
      <c r="K287" s="371">
        <f>H287*AA287*J284</f>
        <v>0</v>
      </c>
      <c r="L287" s="331"/>
      <c r="M287" s="372">
        <f>I287*AA287*L284</f>
        <v>0</v>
      </c>
      <c r="N287" s="333"/>
      <c r="O287" s="333">
        <f>M287+K287</f>
        <v>0</v>
      </c>
      <c r="P287" s="353"/>
      <c r="Q287" s="285">
        <f>IF(Checklist!M287="",0,Checklist!M287)</f>
        <v>0</v>
      </c>
      <c r="R287" s="22"/>
      <c r="S287" s="334"/>
      <c r="T287" s="333">
        <f>Q287*AA287*S284</f>
        <v>0</v>
      </c>
      <c r="U287" s="353"/>
      <c r="V287" s="373">
        <f>IF(Checklist!P287="",0,Checklist!P287)</f>
        <v>0</v>
      </c>
      <c r="W287" s="22"/>
      <c r="X287" s="334"/>
      <c r="Y287" s="333">
        <f>V287*AA287*X284</f>
        <v>0</v>
      </c>
      <c r="Z287" s="353"/>
      <c r="AA287" s="335">
        <v>0</v>
      </c>
      <c r="AD287" s="353"/>
    </row>
    <row r="288" spans="1:30" outlineLevel="3" x14ac:dyDescent="0.25">
      <c r="B288" s="22"/>
      <c r="E288" s="35" t="s">
        <v>1298</v>
      </c>
      <c r="F288" s="35" t="s">
        <v>943</v>
      </c>
      <c r="G288" s="35"/>
      <c r="H288" s="285">
        <f>IF(Checklist!J288="",0,Checklist!J288)</f>
        <v>1</v>
      </c>
      <c r="I288" s="285">
        <f>IF(Checklist!K288="",0,Checklist!K288)</f>
        <v>1</v>
      </c>
      <c r="J288" s="371"/>
      <c r="K288" s="371">
        <f>H288*AA288*J284</f>
        <v>0</v>
      </c>
      <c r="L288" s="331"/>
      <c r="M288" s="372">
        <f>I288*AA288*L284</f>
        <v>0</v>
      </c>
      <c r="N288" s="333"/>
      <c r="O288" s="333">
        <f>M288+K288</f>
        <v>0</v>
      </c>
      <c r="P288" s="353"/>
      <c r="Q288" s="285">
        <f>IF(Checklist!M288="",0,Checklist!M288)</f>
        <v>1</v>
      </c>
      <c r="R288" s="22"/>
      <c r="S288" s="334"/>
      <c r="T288" s="333">
        <f>Q288*AA288*S284</f>
        <v>0</v>
      </c>
      <c r="U288" s="353"/>
      <c r="V288" s="373">
        <f>IF(Checklist!P288="",0,Checklist!P288)</f>
        <v>1</v>
      </c>
      <c r="W288" s="22"/>
      <c r="X288" s="334"/>
      <c r="Y288" s="333">
        <f>V288*AA288*X284</f>
        <v>0</v>
      </c>
      <c r="Z288" s="353"/>
      <c r="AA288" s="335">
        <v>0</v>
      </c>
      <c r="AD288" s="353"/>
    </row>
    <row r="289" spans="1:30" s="342" customFormat="1" outlineLevel="2" x14ac:dyDescent="0.25">
      <c r="A289" s="366"/>
      <c r="B289" s="366"/>
      <c r="C289" s="366"/>
      <c r="D289" s="36" t="s">
        <v>1299</v>
      </c>
      <c r="E289" s="36" t="s">
        <v>1300</v>
      </c>
      <c r="F289" s="36"/>
      <c r="G289" s="36"/>
      <c r="H289" s="298" t="s">
        <v>731</v>
      </c>
      <c r="I289" s="297" t="s">
        <v>731</v>
      </c>
      <c r="J289" s="368">
        <f t="shared" ref="J289" si="64">N289*0.8</f>
        <v>1.7484960659482387</v>
      </c>
      <c r="K289" s="368">
        <f>IF(SUM(K290:K293)&gt;J289,J289,SUM(K290:K293))</f>
        <v>0</v>
      </c>
      <c r="L289" s="369">
        <f t="shared" ref="L289" si="65">N289*0.2</f>
        <v>0.43712401648705967</v>
      </c>
      <c r="M289" s="369">
        <f>IF(SUM(M290:M293)&gt;L289,L289,SUM(M290:M293))</f>
        <v>0</v>
      </c>
      <c r="N289" s="370">
        <f>Ponderações!P57*100</f>
        <v>2.1856200824352983</v>
      </c>
      <c r="O289" s="370">
        <f>IF(SUM(O290:O293)&gt;N289,N289,SUM(O290:O293))</f>
        <v>0</v>
      </c>
      <c r="P289" s="353"/>
      <c r="Q289" s="298" t="s">
        <v>731</v>
      </c>
      <c r="R289" s="366"/>
      <c r="S289" s="370">
        <f>N289</f>
        <v>2.1856200824352983</v>
      </c>
      <c r="T289" s="370">
        <f>IF(SUM(T290:T293)&gt;S289,S289,SUM(T290:T293))</f>
        <v>0</v>
      </c>
      <c r="U289" s="353"/>
      <c r="V289" s="298" t="s">
        <v>731</v>
      </c>
      <c r="W289" s="366"/>
      <c r="X289" s="370">
        <f>S289</f>
        <v>2.1856200824352983</v>
      </c>
      <c r="Y289" s="370">
        <f>IF(SUM(Y290:Y293)&gt;X289,X289,SUM(Y290:Y293))</f>
        <v>0</v>
      </c>
      <c r="Z289" s="353"/>
      <c r="AA289" s="327"/>
      <c r="AD289" s="353"/>
    </row>
    <row r="290" spans="1:30" ht="14.65" customHeight="1" outlineLevel="3" x14ac:dyDescent="0.25">
      <c r="B290" s="22"/>
      <c r="E290" s="35" t="s">
        <v>1301</v>
      </c>
      <c r="F290" s="35" t="s">
        <v>1302</v>
      </c>
      <c r="G290" s="35"/>
      <c r="H290" s="285">
        <f>IF(Checklist!J290="",0,Checklist!J290)</f>
        <v>0</v>
      </c>
      <c r="I290" s="285">
        <f>IF(Checklist!K290="",0,Checklist!K290)</f>
        <v>0</v>
      </c>
      <c r="J290" s="337"/>
      <c r="K290" s="337">
        <f>H290*AA290*J289</f>
        <v>0</v>
      </c>
      <c r="L290" s="338"/>
      <c r="M290" s="339">
        <f>I290*AA290*L289</f>
        <v>0</v>
      </c>
      <c r="N290" s="333"/>
      <c r="O290" s="333">
        <f>M290+K290</f>
        <v>0</v>
      </c>
      <c r="P290" s="353"/>
      <c r="Q290" s="285">
        <f>IF(Checklist!M290="",0,Checklist!M290)</f>
        <v>0</v>
      </c>
      <c r="R290" s="22"/>
      <c r="S290" s="334"/>
      <c r="T290" s="333">
        <f>Q290*AA290*S289</f>
        <v>0</v>
      </c>
      <c r="U290" s="353"/>
      <c r="V290" s="373">
        <f>IF(Checklist!P290="",0,Checklist!P290)</f>
        <v>0</v>
      </c>
      <c r="W290" s="22"/>
      <c r="X290" s="334"/>
      <c r="Y290" s="333">
        <f>V290*AA290*X289</f>
        <v>0</v>
      </c>
      <c r="Z290" s="353"/>
      <c r="AA290" s="335">
        <v>1</v>
      </c>
      <c r="AD290" s="353"/>
    </row>
    <row r="291" spans="1:30" outlineLevel="3" x14ac:dyDescent="0.25">
      <c r="B291" s="22"/>
      <c r="E291" s="35" t="s">
        <v>1303</v>
      </c>
      <c r="F291" s="35" t="s">
        <v>1304</v>
      </c>
      <c r="G291" s="35"/>
      <c r="H291" s="285">
        <f>IF(Checklist!J291="",0,Checklist!J291)</f>
        <v>0</v>
      </c>
      <c r="I291" s="285">
        <f>IF(Checklist!K291="",0,Checklist!K291)</f>
        <v>0</v>
      </c>
      <c r="J291" s="337"/>
      <c r="K291" s="337">
        <f>H291*AA291*J289</f>
        <v>0</v>
      </c>
      <c r="L291" s="338"/>
      <c r="M291" s="339">
        <f>I291*AA291*L289</f>
        <v>0</v>
      </c>
      <c r="N291" s="333"/>
      <c r="O291" s="333">
        <f>M291+K291</f>
        <v>0</v>
      </c>
      <c r="P291" s="353"/>
      <c r="Q291" s="285">
        <f>IF(Checklist!M291="",0,Checklist!M291)</f>
        <v>0</v>
      </c>
      <c r="R291" s="22"/>
      <c r="S291" s="334"/>
      <c r="T291" s="333">
        <f>Q291*AA291*S289</f>
        <v>0</v>
      </c>
      <c r="U291" s="353"/>
      <c r="V291" s="373">
        <f>IF(Checklist!P291="",0,Checklist!P291)</f>
        <v>0</v>
      </c>
      <c r="W291" s="22"/>
      <c r="X291" s="334"/>
      <c r="Y291" s="333">
        <f>V291*AA291*X289</f>
        <v>0</v>
      </c>
      <c r="Z291" s="353"/>
      <c r="AA291" s="335">
        <v>0</v>
      </c>
      <c r="AD291" s="353"/>
    </row>
    <row r="292" spans="1:30" outlineLevel="3" x14ac:dyDescent="0.25">
      <c r="B292" s="22"/>
      <c r="E292" s="35" t="s">
        <v>1305</v>
      </c>
      <c r="F292" s="35" t="s">
        <v>1306</v>
      </c>
      <c r="G292" s="35"/>
      <c r="H292" s="285">
        <f>IF(Checklist!J292="",0,Checklist!J292)</f>
        <v>0</v>
      </c>
      <c r="I292" s="285">
        <f>IF(Checklist!K292="",0,Checklist!K292)</f>
        <v>0</v>
      </c>
      <c r="J292" s="337"/>
      <c r="K292" s="337">
        <f>H292*AA292*J289</f>
        <v>0</v>
      </c>
      <c r="L292" s="338"/>
      <c r="M292" s="339">
        <f>I292*AA292*L289</f>
        <v>0</v>
      </c>
      <c r="N292" s="333"/>
      <c r="O292" s="333">
        <f>M292+K292</f>
        <v>0</v>
      </c>
      <c r="P292" s="353"/>
      <c r="Q292" s="285">
        <f>IF(Checklist!M292="",0,Checklist!M292)</f>
        <v>0</v>
      </c>
      <c r="R292" s="22"/>
      <c r="S292" s="334"/>
      <c r="T292" s="333">
        <f>Q292*AA292*S289</f>
        <v>0</v>
      </c>
      <c r="U292" s="353"/>
      <c r="V292" s="373">
        <f>IF(Checklist!P292="",0,Checklist!P292)</f>
        <v>0</v>
      </c>
      <c r="W292" s="22"/>
      <c r="X292" s="334"/>
      <c r="Y292" s="333">
        <f>V292*AA292*X289</f>
        <v>0</v>
      </c>
      <c r="Z292" s="353"/>
      <c r="AA292" s="335">
        <v>0</v>
      </c>
      <c r="AD292" s="353"/>
    </row>
    <row r="293" spans="1:30" outlineLevel="3" x14ac:dyDescent="0.25">
      <c r="B293" s="22"/>
      <c r="E293" s="35" t="s">
        <v>1307</v>
      </c>
      <c r="F293" s="35" t="s">
        <v>943</v>
      </c>
      <c r="G293" s="35"/>
      <c r="H293" s="285">
        <f>IF(Checklist!J293="",0,Checklist!J293)</f>
        <v>0</v>
      </c>
      <c r="I293" s="285">
        <f>IF(Checklist!K293="",0,Checklist!K293)</f>
        <v>0</v>
      </c>
      <c r="J293" s="337"/>
      <c r="K293" s="337">
        <f>H293*AA293*J289</f>
        <v>0</v>
      </c>
      <c r="L293" s="338"/>
      <c r="M293" s="339">
        <f>I293*AA293*L289</f>
        <v>0</v>
      </c>
      <c r="N293" s="333"/>
      <c r="O293" s="333">
        <f>M293+K293</f>
        <v>0</v>
      </c>
      <c r="P293" s="353"/>
      <c r="Q293" s="285">
        <f>IF(Checklist!M293="",0,Checklist!M293)</f>
        <v>0</v>
      </c>
      <c r="R293" s="22"/>
      <c r="S293" s="334"/>
      <c r="T293" s="333">
        <f>Q293*AA293*S289</f>
        <v>0</v>
      </c>
      <c r="U293" s="353"/>
      <c r="V293" s="373">
        <f>IF(Checklist!P293="",0,Checklist!P293)</f>
        <v>0</v>
      </c>
      <c r="W293" s="22"/>
      <c r="X293" s="334"/>
      <c r="Y293" s="333">
        <f>V293*AA293*X289</f>
        <v>0</v>
      </c>
      <c r="Z293" s="353"/>
      <c r="AA293" s="335">
        <v>0</v>
      </c>
      <c r="AD293" s="353"/>
    </row>
    <row r="294" spans="1:30" outlineLevel="1" x14ac:dyDescent="0.25">
      <c r="H294" s="273"/>
      <c r="I294" s="273"/>
      <c r="J294" s="315"/>
      <c r="K294" s="315"/>
      <c r="L294" s="316"/>
      <c r="M294" s="315"/>
      <c r="N294" s="317"/>
      <c r="O294" s="317"/>
      <c r="P294" s="353"/>
      <c r="Q294" s="273"/>
      <c r="R294" s="22"/>
      <c r="S294" s="315"/>
      <c r="T294" s="317"/>
      <c r="U294" s="353"/>
      <c r="V294" s="273"/>
      <c r="W294" s="22"/>
      <c r="X294" s="315"/>
      <c r="Y294" s="317"/>
      <c r="Z294" s="353"/>
      <c r="AA294" s="318"/>
      <c r="AD294" s="353"/>
    </row>
    <row r="295" spans="1:30" s="344" customFormat="1" outlineLevel="1" x14ac:dyDescent="0.25">
      <c r="B295" s="358"/>
      <c r="C295" s="348" t="s">
        <v>819</v>
      </c>
      <c r="D295" s="275" t="s">
        <v>108</v>
      </c>
      <c r="E295" s="359"/>
      <c r="F295" s="359"/>
      <c r="G295" s="359"/>
      <c r="H295" s="360"/>
      <c r="I295" s="361"/>
      <c r="J295" s="376">
        <f t="shared" si="51"/>
        <v>8.1596483077584452</v>
      </c>
      <c r="K295" s="376">
        <f>K296+K302+K307+K312</f>
        <v>0</v>
      </c>
      <c r="L295" s="362">
        <f>N295*0.2</f>
        <v>2.0399120769396113</v>
      </c>
      <c r="M295" s="362">
        <f>M296+M302+M307+M312</f>
        <v>0</v>
      </c>
      <c r="N295" s="363">
        <f>N296+N302+N307+N312</f>
        <v>10.199560384698056</v>
      </c>
      <c r="O295" s="363">
        <f>O296+O302+O307+O312</f>
        <v>0</v>
      </c>
      <c r="P295" s="353"/>
      <c r="Q295" s="360"/>
      <c r="R295" s="323"/>
      <c r="S295" s="363">
        <f>N295</f>
        <v>10.199560384698056</v>
      </c>
      <c r="T295" s="363">
        <f>T296+T302+T307+T312</f>
        <v>0</v>
      </c>
      <c r="U295" s="353"/>
      <c r="V295" s="364"/>
      <c r="W295" s="365"/>
      <c r="X295" s="363">
        <f>S295</f>
        <v>10.199560384698056</v>
      </c>
      <c r="Y295" s="363">
        <f>Y296+Y302+Y307+Y312</f>
        <v>0</v>
      </c>
      <c r="Z295" s="353"/>
      <c r="AA295" s="322"/>
      <c r="AD295" s="353"/>
    </row>
    <row r="296" spans="1:30" s="342" customFormat="1" ht="14.65" customHeight="1" outlineLevel="2" x14ac:dyDescent="0.25">
      <c r="A296" s="366"/>
      <c r="B296" s="366"/>
      <c r="C296" s="366"/>
      <c r="D296" s="36" t="s">
        <v>1308</v>
      </c>
      <c r="E296" s="36" t="s">
        <v>1192</v>
      </c>
      <c r="F296" s="36"/>
      <c r="G296" s="36"/>
      <c r="H296" s="298" t="s">
        <v>732</v>
      </c>
      <c r="I296" s="297" t="s">
        <v>732</v>
      </c>
      <c r="J296" s="368">
        <f t="shared" si="51"/>
        <v>2.3313280879309843</v>
      </c>
      <c r="K296" s="368">
        <f>IF(SUM(K297:K301)&gt;J296,J296,SUM(K297:K301))</f>
        <v>0</v>
      </c>
      <c r="L296" s="369">
        <f t="shared" si="52"/>
        <v>0.58283202198274608</v>
      </c>
      <c r="M296" s="369">
        <f>IF(SUM(M297:M301)&gt;L296,L296,SUM(M297:M301))</f>
        <v>0</v>
      </c>
      <c r="N296" s="370">
        <f>Ponderações!P59*100</f>
        <v>2.9141601099137304</v>
      </c>
      <c r="O296" s="370">
        <f>IF(SUM(O297:O301)&gt;N296,N296,SUM(O297:O301))</f>
        <v>0</v>
      </c>
      <c r="P296" s="353"/>
      <c r="Q296" s="298" t="s">
        <v>732</v>
      </c>
      <c r="R296" s="366"/>
      <c r="S296" s="370">
        <f>N296</f>
        <v>2.9141601099137304</v>
      </c>
      <c r="T296" s="370">
        <f>IF(SUM(T297:T301)&gt;S296,S296,SUM(T297:T301))</f>
        <v>0</v>
      </c>
      <c r="U296" s="353"/>
      <c r="V296" s="298" t="s">
        <v>732</v>
      </c>
      <c r="W296" s="366"/>
      <c r="X296" s="370">
        <f>S296</f>
        <v>2.9141601099137304</v>
      </c>
      <c r="Y296" s="370">
        <f>IF(SUM(Y297:Y301)&gt;X296,X296,SUM(Y297:Y301))</f>
        <v>0</v>
      </c>
      <c r="Z296" s="353"/>
      <c r="AA296" s="327"/>
      <c r="AD296" s="353"/>
    </row>
    <row r="297" spans="1:30" outlineLevel="3" x14ac:dyDescent="0.25">
      <c r="B297" s="22"/>
      <c r="E297" s="35" t="s">
        <v>1309</v>
      </c>
      <c r="F297" s="35" t="s">
        <v>1193</v>
      </c>
      <c r="G297" s="35"/>
      <c r="H297" s="285">
        <f>IF(Checklist!J297="",0,Checklist!J297)</f>
        <v>0</v>
      </c>
      <c r="I297" s="285">
        <f>IF(Checklist!K297="",0,Checklist!K297)</f>
        <v>0</v>
      </c>
      <c r="J297" s="371"/>
      <c r="K297" s="371">
        <f>H297*AA297*$J$296</f>
        <v>0</v>
      </c>
      <c r="L297" s="331"/>
      <c r="M297" s="372">
        <f>I297*AA297*$L$296</f>
        <v>0</v>
      </c>
      <c r="N297" s="333"/>
      <c r="O297" s="333">
        <f>M297+K297</f>
        <v>0</v>
      </c>
      <c r="P297" s="353"/>
      <c r="Q297" s="285">
        <f>IF(Checklist!M297="",0,Checklist!M297)</f>
        <v>0</v>
      </c>
      <c r="R297" s="22"/>
      <c r="S297" s="377"/>
      <c r="T297" s="333">
        <f>Q297*AA297*$S$296</f>
        <v>0</v>
      </c>
      <c r="U297" s="353"/>
      <c r="V297" s="373">
        <f>IF(Checklist!P297="",0,Checklist!P297)</f>
        <v>0</v>
      </c>
      <c r="W297" s="22"/>
      <c r="X297" s="377"/>
      <c r="Y297" s="333">
        <f>V297*AA297*$X$296</f>
        <v>0</v>
      </c>
      <c r="Z297" s="353"/>
      <c r="AA297" s="335">
        <v>1</v>
      </c>
      <c r="AD297" s="353"/>
    </row>
    <row r="298" spans="1:30" outlineLevel="3" x14ac:dyDescent="0.25">
      <c r="B298" s="22"/>
      <c r="E298" s="35" t="s">
        <v>1310</v>
      </c>
      <c r="F298" s="35" t="s">
        <v>1194</v>
      </c>
      <c r="G298" s="35"/>
      <c r="H298" s="285">
        <f>IF(Checklist!J298="",0,Checklist!J298)</f>
        <v>0</v>
      </c>
      <c r="I298" s="285">
        <f>IF(Checklist!K298="",0,Checklist!K298)</f>
        <v>0</v>
      </c>
      <c r="J298" s="371"/>
      <c r="K298" s="371">
        <f t="shared" ref="K298:K299" si="66">H298*AA298*$J$296</f>
        <v>0</v>
      </c>
      <c r="L298" s="331"/>
      <c r="M298" s="372">
        <f t="shared" ref="M298:M299" si="67">I298*AA298*$L$296</f>
        <v>0</v>
      </c>
      <c r="N298" s="333"/>
      <c r="O298" s="333">
        <f>M298+K298</f>
        <v>0</v>
      </c>
      <c r="P298" s="353"/>
      <c r="Q298" s="285">
        <f>IF(Checklist!M298="",0,Checklist!M298)</f>
        <v>0</v>
      </c>
      <c r="R298" s="22"/>
      <c r="S298" s="377"/>
      <c r="T298" s="333">
        <f t="shared" ref="T298:T299" si="68">Q298*AA298*$S$296</f>
        <v>0</v>
      </c>
      <c r="U298" s="353"/>
      <c r="V298" s="373">
        <f>IF(Checklist!P298="",0,Checklist!P298)</f>
        <v>0</v>
      </c>
      <c r="W298" s="22"/>
      <c r="X298" s="377"/>
      <c r="Y298" s="333">
        <f t="shared" ref="Y298" si="69">V298*AA298*$X$296</f>
        <v>0</v>
      </c>
      <c r="Z298" s="353"/>
      <c r="AA298" s="335">
        <v>0.75</v>
      </c>
      <c r="AD298" s="353"/>
    </row>
    <row r="299" spans="1:30" outlineLevel="3" x14ac:dyDescent="0.25">
      <c r="B299" s="22"/>
      <c r="E299" s="35" t="s">
        <v>1311</v>
      </c>
      <c r="F299" s="35" t="s">
        <v>1195</v>
      </c>
      <c r="G299" s="35"/>
      <c r="H299" s="285">
        <f>IF(Checklist!J299="",0,Checklist!J299)</f>
        <v>0</v>
      </c>
      <c r="I299" s="285">
        <f>IF(Checklist!K299="",0,Checklist!K299)</f>
        <v>0</v>
      </c>
      <c r="J299" s="371"/>
      <c r="K299" s="371">
        <f t="shared" si="66"/>
        <v>0</v>
      </c>
      <c r="L299" s="331"/>
      <c r="M299" s="372">
        <f t="shared" si="67"/>
        <v>0</v>
      </c>
      <c r="N299" s="333"/>
      <c r="O299" s="333">
        <f>M299+K299</f>
        <v>0</v>
      </c>
      <c r="P299" s="353"/>
      <c r="Q299" s="285">
        <f>IF(Checklist!M299="",0,Checklist!M299)</f>
        <v>0</v>
      </c>
      <c r="R299" s="22"/>
      <c r="S299" s="377"/>
      <c r="T299" s="333">
        <f t="shared" si="68"/>
        <v>0</v>
      </c>
      <c r="U299" s="353"/>
      <c r="V299" s="373">
        <f>IF(Checklist!P299="",0,Checklist!P299)</f>
        <v>0</v>
      </c>
      <c r="W299" s="22"/>
      <c r="X299" s="377"/>
      <c r="Y299" s="333">
        <f>V299*AA299*$X$296</f>
        <v>0</v>
      </c>
      <c r="Z299" s="353"/>
      <c r="AA299" s="335">
        <v>0.5</v>
      </c>
      <c r="AD299" s="353"/>
    </row>
    <row r="300" spans="1:30" outlineLevel="3" x14ac:dyDescent="0.25">
      <c r="B300" s="22"/>
      <c r="E300" s="35" t="s">
        <v>1312</v>
      </c>
      <c r="F300" s="35" t="s">
        <v>941</v>
      </c>
      <c r="G300" s="35"/>
      <c r="H300" s="285">
        <f>IF(Checklist!J300="",0,Checklist!J300)</f>
        <v>0</v>
      </c>
      <c r="I300" s="285">
        <f>IF(Checklist!K300="",0,Checklist!K300)</f>
        <v>0</v>
      </c>
      <c r="J300" s="371"/>
      <c r="K300" s="371">
        <f>H300*AA300*$J$296</f>
        <v>0</v>
      </c>
      <c r="L300" s="331"/>
      <c r="M300" s="372">
        <f>I300*AA300*$L$296</f>
        <v>0</v>
      </c>
      <c r="N300" s="333"/>
      <c r="O300" s="333">
        <f>M300+K300</f>
        <v>0</v>
      </c>
      <c r="P300" s="353"/>
      <c r="Q300" s="285">
        <f>IF(Checklist!M300="",0,Checklist!M300)</f>
        <v>0</v>
      </c>
      <c r="R300" s="22"/>
      <c r="S300" s="377"/>
      <c r="T300" s="333">
        <f>Q300*AA300*$S$296</f>
        <v>0</v>
      </c>
      <c r="U300" s="353"/>
      <c r="V300" s="373">
        <f>IF(Checklist!P300="",0,Checklist!P300)</f>
        <v>0</v>
      </c>
      <c r="W300" s="22"/>
      <c r="X300" s="377"/>
      <c r="Y300" s="333">
        <f>V300*AA300*$X$296</f>
        <v>0</v>
      </c>
      <c r="Z300" s="353"/>
      <c r="AA300" s="335">
        <v>0</v>
      </c>
      <c r="AD300" s="353"/>
    </row>
    <row r="301" spans="1:30" outlineLevel="3" x14ac:dyDescent="0.25">
      <c r="B301" s="22"/>
      <c r="E301" s="35" t="s">
        <v>1313</v>
      </c>
      <c r="F301" s="35" t="s">
        <v>943</v>
      </c>
      <c r="G301" s="35"/>
      <c r="H301" s="285">
        <f>IF(Checklist!J301="",0,Checklist!J301)</f>
        <v>0</v>
      </c>
      <c r="I301" s="285">
        <f>IF(Checklist!K301="",0,Checklist!K301)</f>
        <v>0</v>
      </c>
      <c r="J301" s="371"/>
      <c r="K301" s="371">
        <f>H301*AA301*$J$296</f>
        <v>0</v>
      </c>
      <c r="L301" s="331"/>
      <c r="M301" s="372">
        <f>I301*AA301*$L$296</f>
        <v>0</v>
      </c>
      <c r="N301" s="333"/>
      <c r="O301" s="333">
        <f>M301+K301</f>
        <v>0</v>
      </c>
      <c r="P301" s="353"/>
      <c r="Q301" s="285">
        <f>IF(Checklist!M301="",0,Checklist!M301)</f>
        <v>0</v>
      </c>
      <c r="R301" s="22"/>
      <c r="S301" s="377"/>
      <c r="T301" s="333">
        <f>Q301*AA301*$S$296</f>
        <v>0</v>
      </c>
      <c r="U301" s="353"/>
      <c r="V301" s="373">
        <f>IF(Checklist!P301="",0,Checklist!P301)</f>
        <v>0</v>
      </c>
      <c r="W301" s="22"/>
      <c r="X301" s="377"/>
      <c r="Y301" s="333">
        <f>V301*AA301*$X$296</f>
        <v>0</v>
      </c>
      <c r="Z301" s="353"/>
      <c r="AA301" s="335">
        <v>0</v>
      </c>
      <c r="AD301" s="353"/>
    </row>
    <row r="302" spans="1:30" s="342" customFormat="1" outlineLevel="2" x14ac:dyDescent="0.25">
      <c r="A302" s="366"/>
      <c r="B302" s="366"/>
      <c r="C302" s="366"/>
      <c r="D302" s="36" t="s">
        <v>1314</v>
      </c>
      <c r="E302" s="36" t="s">
        <v>1198</v>
      </c>
      <c r="F302" s="36"/>
      <c r="G302" s="36"/>
      <c r="H302" s="298" t="s">
        <v>731</v>
      </c>
      <c r="I302" s="297" t="s">
        <v>731</v>
      </c>
      <c r="J302" s="368">
        <f>N302*0.8</f>
        <v>2.3313280879309843</v>
      </c>
      <c r="K302" s="368">
        <f>IF(SUM(K303:K306)&gt;J302,J302,SUM(K303:K306))</f>
        <v>0</v>
      </c>
      <c r="L302" s="369">
        <f>N302*0.2</f>
        <v>0.58283202198274608</v>
      </c>
      <c r="M302" s="369">
        <f>IF(SUM(M303:M306)&gt;L302,L302,SUM(M303:M306))</f>
        <v>0</v>
      </c>
      <c r="N302" s="370">
        <f>Ponderações!P60*100</f>
        <v>2.9141601099137304</v>
      </c>
      <c r="O302" s="370">
        <f>IF(SUM(O303:O306)&gt;N302,N302,SUM(O303:O306))</f>
        <v>0</v>
      </c>
      <c r="P302" s="353"/>
      <c r="Q302" s="298" t="s">
        <v>731</v>
      </c>
      <c r="R302" s="366"/>
      <c r="S302" s="370">
        <f>N302</f>
        <v>2.9141601099137304</v>
      </c>
      <c r="T302" s="370">
        <f>IF(SUM(T303:T306)&gt;S302,S302,SUM(T303:T306))</f>
        <v>0</v>
      </c>
      <c r="U302" s="353"/>
      <c r="V302" s="298" t="s">
        <v>731</v>
      </c>
      <c r="W302" s="366"/>
      <c r="X302" s="370">
        <f>S302</f>
        <v>2.9141601099137304</v>
      </c>
      <c r="Y302" s="370">
        <f>IF(SUM(Y303:Y306)&gt;X302,X302,SUM(Y303:Y306))</f>
        <v>0</v>
      </c>
      <c r="Z302" s="353"/>
      <c r="AA302" s="327"/>
      <c r="AD302" s="353"/>
    </row>
    <row r="303" spans="1:30" ht="14.65" customHeight="1" outlineLevel="3" x14ac:dyDescent="0.25">
      <c r="B303" s="22"/>
      <c r="E303" s="35" t="s">
        <v>1315</v>
      </c>
      <c r="F303" s="35" t="s">
        <v>1766</v>
      </c>
      <c r="G303" s="35"/>
      <c r="H303" s="285">
        <f>IF(Checklist!J303="",0,Checklist!J303)</f>
        <v>0</v>
      </c>
      <c r="I303" s="285">
        <f>IF(Checklist!K303="",0,Checklist!K303)</f>
        <v>0</v>
      </c>
      <c r="J303" s="371"/>
      <c r="K303" s="371">
        <f>H303*AA303*$J$302</f>
        <v>0</v>
      </c>
      <c r="L303" s="331"/>
      <c r="M303" s="372">
        <f>I303*AA303*$L$302</f>
        <v>0</v>
      </c>
      <c r="N303" s="333"/>
      <c r="O303" s="333">
        <f>M303+K303</f>
        <v>0</v>
      </c>
      <c r="P303" s="353"/>
      <c r="Q303" s="285">
        <f>IF(Checklist!M303="",0,Checklist!M303)</f>
        <v>0</v>
      </c>
      <c r="R303" s="22"/>
      <c r="S303" s="377"/>
      <c r="T303" s="333">
        <f>Q303*AA303*$S$302</f>
        <v>0</v>
      </c>
      <c r="U303" s="353"/>
      <c r="V303" s="373">
        <f>IF(Checklist!P303="",0,Checklist!P303)</f>
        <v>0</v>
      </c>
      <c r="W303" s="22"/>
      <c r="X303" s="377"/>
      <c r="Y303" s="333">
        <f>V303*AA303*$X$302</f>
        <v>0</v>
      </c>
      <c r="Z303" s="353"/>
      <c r="AA303" s="335">
        <v>1</v>
      </c>
      <c r="AD303" s="353"/>
    </row>
    <row r="304" spans="1:30" outlineLevel="3" x14ac:dyDescent="0.25">
      <c r="B304" s="22"/>
      <c r="E304" s="35" t="s">
        <v>1316</v>
      </c>
      <c r="F304" s="35" t="s">
        <v>1285</v>
      </c>
      <c r="G304" s="35"/>
      <c r="H304" s="285">
        <f>IF(Checklist!J304="",0,Checklist!J304)</f>
        <v>0</v>
      </c>
      <c r="I304" s="285">
        <f>IF(Checklist!K304="",0,Checklist!K304)</f>
        <v>0</v>
      </c>
      <c r="J304" s="371"/>
      <c r="K304" s="371">
        <f t="shared" ref="K304:K306" si="70">H304*AA304*$J$302</f>
        <v>0</v>
      </c>
      <c r="L304" s="331"/>
      <c r="M304" s="372">
        <f t="shared" ref="M304:M306" si="71">I304*AA304*$L$302</f>
        <v>0</v>
      </c>
      <c r="N304" s="333"/>
      <c r="O304" s="333">
        <f>M304+K304</f>
        <v>0</v>
      </c>
      <c r="P304" s="353"/>
      <c r="Q304" s="285">
        <f>IF(Checklist!M304="",0,Checklist!M304)</f>
        <v>0</v>
      </c>
      <c r="R304" s="22"/>
      <c r="S304" s="377"/>
      <c r="T304" s="333">
        <f t="shared" ref="T304:T306" si="72">Q304*AA304*$S$302</f>
        <v>0</v>
      </c>
      <c r="U304" s="353"/>
      <c r="V304" s="373">
        <f>IF(Checklist!P304="",0,Checklist!P304)</f>
        <v>0</v>
      </c>
      <c r="W304" s="22"/>
      <c r="X304" s="377"/>
      <c r="Y304" s="333">
        <f t="shared" ref="Y304:Y305" si="73">V304*AA304*$X$302</f>
        <v>0</v>
      </c>
      <c r="Z304" s="353"/>
      <c r="AA304" s="335">
        <v>0.5</v>
      </c>
      <c r="AD304" s="353"/>
    </row>
    <row r="305" spans="1:30" outlineLevel="3" x14ac:dyDescent="0.25">
      <c r="B305" s="22"/>
      <c r="E305" s="35" t="s">
        <v>1317</v>
      </c>
      <c r="F305" s="35" t="s">
        <v>1287</v>
      </c>
      <c r="G305" s="35"/>
      <c r="H305" s="285">
        <f>IF(Checklist!J305="",0,Checklist!J305)</f>
        <v>0</v>
      </c>
      <c r="I305" s="285">
        <f>IF(Checklist!K305="",0,Checklist!K305)</f>
        <v>0</v>
      </c>
      <c r="J305" s="371"/>
      <c r="K305" s="371">
        <f t="shared" si="70"/>
        <v>0</v>
      </c>
      <c r="L305" s="331"/>
      <c r="M305" s="372">
        <f t="shared" si="71"/>
        <v>0</v>
      </c>
      <c r="N305" s="333"/>
      <c r="O305" s="333">
        <f>M305+K305</f>
        <v>0</v>
      </c>
      <c r="P305" s="353"/>
      <c r="Q305" s="285">
        <f>IF(Checklist!M305="",0,Checklist!M305)</f>
        <v>0</v>
      </c>
      <c r="R305" s="22"/>
      <c r="S305" s="377"/>
      <c r="T305" s="333">
        <f t="shared" si="72"/>
        <v>0</v>
      </c>
      <c r="U305" s="353"/>
      <c r="V305" s="373">
        <f>IF(Checklist!P305="",0,Checklist!P305)</f>
        <v>0</v>
      </c>
      <c r="W305" s="22"/>
      <c r="X305" s="377"/>
      <c r="Y305" s="333">
        <f t="shared" si="73"/>
        <v>0</v>
      </c>
      <c r="Z305" s="353"/>
      <c r="AA305" s="335">
        <v>0</v>
      </c>
      <c r="AD305" s="353"/>
    </row>
    <row r="306" spans="1:30" outlineLevel="3" x14ac:dyDescent="0.25">
      <c r="B306" s="22"/>
      <c r="E306" s="35" t="s">
        <v>1318</v>
      </c>
      <c r="F306" s="35" t="s">
        <v>943</v>
      </c>
      <c r="G306" s="35"/>
      <c r="H306" s="285">
        <f>IF(Checklist!J306="",0,Checklist!J306)</f>
        <v>1</v>
      </c>
      <c r="I306" s="285">
        <f>IF(Checklist!K306="",0,Checklist!K306)</f>
        <v>1</v>
      </c>
      <c r="J306" s="371"/>
      <c r="K306" s="371">
        <f t="shared" si="70"/>
        <v>0</v>
      </c>
      <c r="L306" s="331"/>
      <c r="M306" s="372">
        <f t="shared" si="71"/>
        <v>0</v>
      </c>
      <c r="N306" s="333"/>
      <c r="O306" s="333">
        <f>M306+K306</f>
        <v>0</v>
      </c>
      <c r="P306" s="353"/>
      <c r="Q306" s="285">
        <f>IF(Checklist!M306="",0,Checklist!M306)</f>
        <v>1</v>
      </c>
      <c r="R306" s="22"/>
      <c r="S306" s="377"/>
      <c r="T306" s="333">
        <f t="shared" si="72"/>
        <v>0</v>
      </c>
      <c r="U306" s="353"/>
      <c r="V306" s="373">
        <f>IF(Checklist!P306="",0,Checklist!P306)</f>
        <v>1</v>
      </c>
      <c r="W306" s="22"/>
      <c r="X306" s="377"/>
      <c r="Y306" s="333">
        <f>V306*AA306*$X$302</f>
        <v>0</v>
      </c>
      <c r="Z306" s="353"/>
      <c r="AA306" s="335">
        <v>0</v>
      </c>
      <c r="AD306" s="353"/>
    </row>
    <row r="307" spans="1:30" s="342" customFormat="1" outlineLevel="2" x14ac:dyDescent="0.25">
      <c r="A307" s="366"/>
      <c r="B307" s="366"/>
      <c r="C307" s="366"/>
      <c r="D307" s="36" t="s">
        <v>1319</v>
      </c>
      <c r="E307" s="36" t="s">
        <v>1202</v>
      </c>
      <c r="F307" s="36"/>
      <c r="G307" s="36"/>
      <c r="H307" s="298" t="s">
        <v>731</v>
      </c>
      <c r="I307" s="297" t="s">
        <v>731</v>
      </c>
      <c r="J307" s="368">
        <f t="shared" si="51"/>
        <v>2.3313280879309843</v>
      </c>
      <c r="K307" s="368">
        <f>IF(SUM(K308:K311)&gt;J307,J307,SUM(K308:K311))</f>
        <v>0</v>
      </c>
      <c r="L307" s="369">
        <f t="shared" si="52"/>
        <v>0.58283202198274608</v>
      </c>
      <c r="M307" s="369">
        <f>IF(SUM(M308:M311)&gt;L307,L307,SUM(M308:M311))</f>
        <v>0</v>
      </c>
      <c r="N307" s="370">
        <f>Ponderações!P61*100</f>
        <v>2.9141601099137304</v>
      </c>
      <c r="O307" s="370">
        <f>IF(SUM(O308:O311)&gt;N307,N307,SUM(O308:O311))</f>
        <v>0</v>
      </c>
      <c r="P307" s="353"/>
      <c r="Q307" s="298" t="s">
        <v>731</v>
      </c>
      <c r="R307" s="366"/>
      <c r="S307" s="370">
        <f>N307</f>
        <v>2.9141601099137304</v>
      </c>
      <c r="T307" s="370">
        <f>IF(SUM(T308:T311)&gt;S307,S307,SUM(T308:T311))</f>
        <v>0</v>
      </c>
      <c r="U307" s="353"/>
      <c r="V307" s="298" t="s">
        <v>731</v>
      </c>
      <c r="W307" s="366"/>
      <c r="X307" s="370">
        <f>S307</f>
        <v>2.9141601099137304</v>
      </c>
      <c r="Y307" s="370">
        <f>IF(SUM(Y308:Y311)&gt;X307,X307,SUM(Y308:Y311))</f>
        <v>0</v>
      </c>
      <c r="Z307" s="353"/>
      <c r="AA307" s="327"/>
      <c r="AD307" s="353"/>
    </row>
    <row r="308" spans="1:30" outlineLevel="3" x14ac:dyDescent="0.25">
      <c r="B308" s="22"/>
      <c r="E308" s="35" t="s">
        <v>1320</v>
      </c>
      <c r="F308" s="35" t="s">
        <v>92</v>
      </c>
      <c r="G308" s="35"/>
      <c r="H308" s="285">
        <f>IF(Checklist!J308="",0,Checklist!J308)</f>
        <v>0</v>
      </c>
      <c r="I308" s="285">
        <f>IF(Checklist!K308="",0,Checklist!K308)</f>
        <v>0</v>
      </c>
      <c r="J308" s="371"/>
      <c r="K308" s="371">
        <f>H308*AA308*J307</f>
        <v>0</v>
      </c>
      <c r="L308" s="331"/>
      <c r="M308" s="372">
        <f>I308*AA308*L307</f>
        <v>0</v>
      </c>
      <c r="N308" s="333"/>
      <c r="O308" s="333">
        <f>M308+K308</f>
        <v>0</v>
      </c>
      <c r="P308" s="353"/>
      <c r="Q308" s="285">
        <f>IF(Checklist!M308="",0,Checklist!M308)</f>
        <v>0</v>
      </c>
      <c r="R308" s="22"/>
      <c r="S308" s="377"/>
      <c r="T308" s="333">
        <f>Q308*AA308*S307</f>
        <v>0</v>
      </c>
      <c r="U308" s="353"/>
      <c r="V308" s="373">
        <f>IF(Checklist!P308="",0,Checklist!P308)</f>
        <v>0</v>
      </c>
      <c r="W308" s="22"/>
      <c r="X308" s="377"/>
      <c r="Y308" s="333">
        <f>V308*AA308*X307</f>
        <v>0</v>
      </c>
      <c r="Z308" s="353"/>
      <c r="AA308" s="335">
        <v>1</v>
      </c>
      <c r="AD308" s="353"/>
    </row>
    <row r="309" spans="1:30" outlineLevel="3" x14ac:dyDescent="0.25">
      <c r="B309" s="22"/>
      <c r="E309" s="35" t="s">
        <v>1321</v>
      </c>
      <c r="F309" s="35" t="s">
        <v>1203</v>
      </c>
      <c r="G309" s="35"/>
      <c r="H309" s="285">
        <f>IF(Checklist!J309="",0,Checklist!J309)</f>
        <v>0</v>
      </c>
      <c r="I309" s="285">
        <f>IF(Checklist!K309="",0,Checklist!K309)</f>
        <v>0</v>
      </c>
      <c r="J309" s="371"/>
      <c r="K309" s="371">
        <f>H309*AA309*J307</f>
        <v>0</v>
      </c>
      <c r="L309" s="331"/>
      <c r="M309" s="372">
        <f>I309*AA309*L307</f>
        <v>0</v>
      </c>
      <c r="N309" s="333"/>
      <c r="O309" s="333">
        <f>M309+K309</f>
        <v>0</v>
      </c>
      <c r="P309" s="353"/>
      <c r="Q309" s="285">
        <f>IF(Checklist!M309="",0,Checklist!M309)</f>
        <v>0</v>
      </c>
      <c r="R309" s="22"/>
      <c r="S309" s="377"/>
      <c r="T309" s="333">
        <f>Q309*AA309*S307</f>
        <v>0</v>
      </c>
      <c r="U309" s="353"/>
      <c r="V309" s="373">
        <f>IF(Checklist!P309="",0,Checklist!P309)</f>
        <v>0</v>
      </c>
      <c r="W309" s="22"/>
      <c r="X309" s="377"/>
      <c r="Y309" s="333">
        <f>V309*AA309*X307</f>
        <v>0</v>
      </c>
      <c r="Z309" s="353"/>
      <c r="AA309" s="335">
        <v>0</v>
      </c>
      <c r="AD309" s="353"/>
    </row>
    <row r="310" spans="1:30" ht="14.65" customHeight="1" outlineLevel="3" x14ac:dyDescent="0.25">
      <c r="B310" s="22"/>
      <c r="E310" s="35" t="s">
        <v>1322</v>
      </c>
      <c r="F310" s="35" t="s">
        <v>107</v>
      </c>
      <c r="G310" s="35"/>
      <c r="H310" s="285">
        <f>IF(Checklist!J310="",0,Checklist!J310)</f>
        <v>0</v>
      </c>
      <c r="I310" s="285">
        <f>IF(Checklist!K310="",0,Checklist!K310)</f>
        <v>0</v>
      </c>
      <c r="J310" s="371"/>
      <c r="K310" s="371">
        <f>H310*AA310*J307</f>
        <v>0</v>
      </c>
      <c r="L310" s="331"/>
      <c r="M310" s="372">
        <f>I310*AA310*L307</f>
        <v>0</v>
      </c>
      <c r="N310" s="333"/>
      <c r="O310" s="333">
        <f>M310+K310</f>
        <v>0</v>
      </c>
      <c r="P310" s="353"/>
      <c r="Q310" s="285">
        <f>IF(Checklist!M310="",0,Checklist!M310)</f>
        <v>0</v>
      </c>
      <c r="R310" s="22"/>
      <c r="S310" s="377"/>
      <c r="T310" s="333">
        <f>Q310*AA310*S307</f>
        <v>0</v>
      </c>
      <c r="U310" s="353"/>
      <c r="V310" s="373">
        <f>IF(Checklist!P310="",0,Checklist!P310)</f>
        <v>0</v>
      </c>
      <c r="W310" s="22"/>
      <c r="X310" s="377"/>
      <c r="Y310" s="333">
        <f>V310*AA310*X307</f>
        <v>0</v>
      </c>
      <c r="Z310" s="353"/>
      <c r="AA310" s="335">
        <v>0</v>
      </c>
      <c r="AD310" s="353"/>
    </row>
    <row r="311" spans="1:30" outlineLevel="3" x14ac:dyDescent="0.25">
      <c r="B311" s="22"/>
      <c r="E311" s="35" t="s">
        <v>1323</v>
      </c>
      <c r="F311" s="35" t="s">
        <v>943</v>
      </c>
      <c r="G311" s="35"/>
      <c r="H311" s="285">
        <f>IF(Checklist!J311="",0,Checklist!J311)</f>
        <v>1</v>
      </c>
      <c r="I311" s="285">
        <f>IF(Checklist!K311="",0,Checklist!K311)</f>
        <v>1</v>
      </c>
      <c r="J311" s="371"/>
      <c r="K311" s="371">
        <f>H311*AA311*J307</f>
        <v>0</v>
      </c>
      <c r="L311" s="331"/>
      <c r="M311" s="372">
        <f>I311*AA311*L307</f>
        <v>0</v>
      </c>
      <c r="N311" s="333"/>
      <c r="O311" s="333">
        <f>M311+K311</f>
        <v>0</v>
      </c>
      <c r="P311" s="353"/>
      <c r="Q311" s="285">
        <f>IF(Checklist!M311="",0,Checklist!M311)</f>
        <v>1</v>
      </c>
      <c r="R311" s="22"/>
      <c r="S311" s="377"/>
      <c r="T311" s="333">
        <f>Q311*AA311*S307</f>
        <v>0</v>
      </c>
      <c r="U311" s="353"/>
      <c r="V311" s="373">
        <f>IF(Checklist!P311="",0,Checklist!P311)</f>
        <v>1</v>
      </c>
      <c r="W311" s="22"/>
      <c r="X311" s="377"/>
      <c r="Y311" s="333">
        <f>V311*AA311*X307</f>
        <v>0</v>
      </c>
      <c r="Z311" s="353"/>
      <c r="AA311" s="335">
        <v>0</v>
      </c>
      <c r="AD311" s="353"/>
    </row>
    <row r="312" spans="1:30" s="342" customFormat="1" outlineLevel="2" x14ac:dyDescent="0.25">
      <c r="A312" s="366"/>
      <c r="B312" s="366"/>
      <c r="C312" s="366"/>
      <c r="D312" s="36" t="s">
        <v>1324</v>
      </c>
      <c r="E312" s="36" t="s">
        <v>1204</v>
      </c>
      <c r="F312" s="36"/>
      <c r="G312" s="36"/>
      <c r="H312" s="298" t="s">
        <v>731</v>
      </c>
      <c r="I312" s="297" t="s">
        <v>731</v>
      </c>
      <c r="J312" s="368">
        <f>N312*0.8</f>
        <v>1.1656640439654922</v>
      </c>
      <c r="K312" s="368">
        <f>IF(SUM(K313:K316)&gt;J312,J312,SUM(K313:K316))</f>
        <v>0</v>
      </c>
      <c r="L312" s="369">
        <f>N312*0.2</f>
        <v>0.29141601099137304</v>
      </c>
      <c r="M312" s="369">
        <f>IF(SUM(M313:M316)&gt;L312,L312,SUM(M313:M316))</f>
        <v>0</v>
      </c>
      <c r="N312" s="370">
        <f>Ponderações!P62*100</f>
        <v>1.4570800549568652</v>
      </c>
      <c r="O312" s="370">
        <f>IF(SUM(O313:O316)&gt;N312,N312,SUM(O313:O316))</f>
        <v>0</v>
      </c>
      <c r="P312" s="353"/>
      <c r="Q312" s="298" t="s">
        <v>731</v>
      </c>
      <c r="R312" s="366"/>
      <c r="S312" s="370">
        <f>N312</f>
        <v>1.4570800549568652</v>
      </c>
      <c r="T312" s="370">
        <f>IF(SUM(T313:T316)&gt;S312,S312,SUM(T313:T316))</f>
        <v>0</v>
      </c>
      <c r="U312" s="353"/>
      <c r="V312" s="298" t="s">
        <v>731</v>
      </c>
      <c r="W312" s="366"/>
      <c r="X312" s="370">
        <f>S312</f>
        <v>1.4570800549568652</v>
      </c>
      <c r="Y312" s="370">
        <f>IF(SUM(Y313:Y316)&gt;X312,X312,SUM(Y313:Y316))</f>
        <v>0</v>
      </c>
      <c r="Z312" s="353"/>
      <c r="AA312" s="327"/>
      <c r="AD312" s="353"/>
    </row>
    <row r="313" spans="1:30" outlineLevel="3" x14ac:dyDescent="0.25">
      <c r="B313" s="22"/>
      <c r="E313" s="35" t="s">
        <v>1325</v>
      </c>
      <c r="F313" s="35" t="s">
        <v>1205</v>
      </c>
      <c r="G313" s="35"/>
      <c r="H313" s="285">
        <f>IF(Checklist!J313="",0,Checklist!J313)</f>
        <v>0</v>
      </c>
      <c r="I313" s="285">
        <f>IF(Checklist!K313="",0,Checklist!K313)</f>
        <v>0</v>
      </c>
      <c r="J313" s="337"/>
      <c r="K313" s="337">
        <f>H313*AA313*J312</f>
        <v>0</v>
      </c>
      <c r="L313" s="338"/>
      <c r="M313" s="339">
        <f>I313*AA313*L312</f>
        <v>0</v>
      </c>
      <c r="N313" s="333"/>
      <c r="O313" s="333">
        <f>M313+K313</f>
        <v>0</v>
      </c>
      <c r="P313" s="353"/>
      <c r="Q313" s="285">
        <f>IF(Checklist!M313="",0,Checklist!M313)</f>
        <v>0</v>
      </c>
      <c r="R313" s="22"/>
      <c r="S313" s="334"/>
      <c r="T313" s="333">
        <f>Q313*AA313*S312</f>
        <v>0</v>
      </c>
      <c r="U313" s="353"/>
      <c r="V313" s="373">
        <f>IF(Checklist!P313="",0,Checklist!P313)</f>
        <v>0</v>
      </c>
      <c r="W313" s="22"/>
      <c r="X313" s="334"/>
      <c r="Y313" s="333">
        <f>V313*AA313*X312</f>
        <v>0</v>
      </c>
      <c r="Z313" s="353"/>
      <c r="AA313" s="335">
        <v>1</v>
      </c>
      <c r="AD313" s="353"/>
    </row>
    <row r="314" spans="1:30" outlineLevel="3" x14ac:dyDescent="0.25">
      <c r="B314" s="22"/>
      <c r="E314" s="35" t="s">
        <v>1326</v>
      </c>
      <c r="F314" s="35" t="s">
        <v>1206</v>
      </c>
      <c r="G314" s="35"/>
      <c r="H314" s="285">
        <f>IF(Checklist!J314="",0,Checklist!J314)</f>
        <v>0</v>
      </c>
      <c r="I314" s="285">
        <f>IF(Checklist!K314="",0,Checklist!K314)</f>
        <v>0</v>
      </c>
      <c r="J314" s="337"/>
      <c r="K314" s="337">
        <f>H314*AA314*J312</f>
        <v>0</v>
      </c>
      <c r="L314" s="338"/>
      <c r="M314" s="339">
        <f>I314*AA314*L312</f>
        <v>0</v>
      </c>
      <c r="N314" s="333"/>
      <c r="O314" s="333">
        <f>M314+K314</f>
        <v>0</v>
      </c>
      <c r="P314" s="353"/>
      <c r="Q314" s="285">
        <f>IF(Checklist!M314="",0,Checklist!M314)</f>
        <v>0</v>
      </c>
      <c r="R314" s="22"/>
      <c r="S314" s="334"/>
      <c r="T314" s="333">
        <f>Q314*AA314*S312</f>
        <v>0</v>
      </c>
      <c r="U314" s="353"/>
      <c r="V314" s="373">
        <f>IF(Checklist!P314="",0,Checklist!P314)</f>
        <v>0</v>
      </c>
      <c r="W314" s="22"/>
      <c r="X314" s="334"/>
      <c r="Y314" s="333">
        <f>V314*AA314*X312</f>
        <v>0</v>
      </c>
      <c r="Z314" s="353"/>
      <c r="AA314" s="335">
        <v>0.5</v>
      </c>
      <c r="AD314" s="353"/>
    </row>
    <row r="315" spans="1:30" ht="14.65" customHeight="1" outlineLevel="3" x14ac:dyDescent="0.25">
      <c r="B315" s="22"/>
      <c r="E315" s="35" t="s">
        <v>1327</v>
      </c>
      <c r="F315" s="35" t="s">
        <v>1207</v>
      </c>
      <c r="G315" s="35"/>
      <c r="H315" s="285">
        <f>IF(Checklist!J315="",0,Checklist!J315)</f>
        <v>0</v>
      </c>
      <c r="I315" s="285">
        <f>IF(Checklist!K315="",0,Checklist!K315)</f>
        <v>0</v>
      </c>
      <c r="J315" s="337"/>
      <c r="K315" s="337">
        <f>H315*AA315*J312</f>
        <v>0</v>
      </c>
      <c r="L315" s="338"/>
      <c r="M315" s="339">
        <f>I315*AA315*L312</f>
        <v>0</v>
      </c>
      <c r="N315" s="333"/>
      <c r="O315" s="333">
        <f>M315+K315</f>
        <v>0</v>
      </c>
      <c r="P315" s="353"/>
      <c r="Q315" s="285">
        <f>IF(Checklist!M315="",0,Checklist!M315)</f>
        <v>0</v>
      </c>
      <c r="R315" s="22"/>
      <c r="S315" s="334"/>
      <c r="T315" s="333">
        <f>Q315*AA315*S312</f>
        <v>0</v>
      </c>
      <c r="U315" s="353"/>
      <c r="V315" s="373">
        <f>IF(Checklist!P315="",0,Checklist!P315)</f>
        <v>0</v>
      </c>
      <c r="W315" s="22"/>
      <c r="X315" s="334"/>
      <c r="Y315" s="333">
        <f>V315*AA315*X312</f>
        <v>0</v>
      </c>
      <c r="Z315" s="353"/>
      <c r="AA315" s="335">
        <v>0</v>
      </c>
      <c r="AD315" s="353"/>
    </row>
    <row r="316" spans="1:30" ht="14.65" customHeight="1" outlineLevel="3" x14ac:dyDescent="0.25">
      <c r="B316" s="22"/>
      <c r="E316" s="35" t="s">
        <v>1840</v>
      </c>
      <c r="F316" s="35" t="s">
        <v>943</v>
      </c>
      <c r="G316" s="35"/>
      <c r="H316" s="285">
        <f>IF(Checklist!J316="",0,Checklist!J316)</f>
        <v>0</v>
      </c>
      <c r="I316" s="285">
        <f>IF(Checklist!K316="",0,Checklist!K316)</f>
        <v>0</v>
      </c>
      <c r="J316" s="337"/>
      <c r="K316" s="337">
        <f>H316*AA316*J312</f>
        <v>0</v>
      </c>
      <c r="L316" s="338"/>
      <c r="M316" s="339">
        <f>I316*AA316*L312</f>
        <v>0</v>
      </c>
      <c r="N316" s="333"/>
      <c r="O316" s="333">
        <f>M316+K316</f>
        <v>0</v>
      </c>
      <c r="P316" s="353"/>
      <c r="Q316" s="285">
        <f>IF(Checklist!M316="",0,Checklist!M316)</f>
        <v>0</v>
      </c>
      <c r="R316" s="22"/>
      <c r="S316" s="334"/>
      <c r="T316" s="333">
        <f>Q316*AA316*S312</f>
        <v>0</v>
      </c>
      <c r="U316" s="353"/>
      <c r="V316" s="373">
        <f>IF(Checklist!P316="",0,Checklist!P316)</f>
        <v>0</v>
      </c>
      <c r="W316" s="22"/>
      <c r="X316" s="334"/>
      <c r="Y316" s="333">
        <f>V316*AA316*X312</f>
        <v>0</v>
      </c>
      <c r="Z316" s="353"/>
      <c r="AA316" s="335">
        <v>0</v>
      </c>
      <c r="AD316" s="353"/>
    </row>
    <row r="317" spans="1:30" ht="14.65" customHeight="1" outlineLevel="1" x14ac:dyDescent="0.25">
      <c r="H317" s="291"/>
      <c r="I317" s="291"/>
      <c r="J317" s="315"/>
      <c r="K317" s="315"/>
      <c r="L317" s="316"/>
      <c r="M317" s="315"/>
      <c r="N317" s="317"/>
      <c r="O317" s="317"/>
      <c r="P317" s="353"/>
      <c r="Q317" s="291"/>
      <c r="R317" s="22"/>
      <c r="S317" s="315"/>
      <c r="T317" s="317"/>
      <c r="U317" s="353"/>
      <c r="V317" s="291"/>
      <c r="W317" s="22"/>
      <c r="X317" s="315"/>
      <c r="Y317" s="317"/>
      <c r="Z317" s="353"/>
      <c r="AA317" s="318"/>
      <c r="AD317" s="353"/>
    </row>
    <row r="318" spans="1:30" s="344" customFormat="1" outlineLevel="1" x14ac:dyDescent="0.25">
      <c r="B318" s="358"/>
      <c r="C318" s="348" t="s">
        <v>820</v>
      </c>
      <c r="D318" s="275" t="s">
        <v>45</v>
      </c>
      <c r="E318" s="359"/>
      <c r="F318" s="359"/>
      <c r="G318" s="359"/>
      <c r="H318" s="360"/>
      <c r="I318" s="361"/>
      <c r="J318" s="376">
        <f>N318*0.8</f>
        <v>0</v>
      </c>
      <c r="K318" s="376">
        <f>K319+K327+K332+K337+K342</f>
        <v>0</v>
      </c>
      <c r="L318" s="362">
        <f>N318*0.2</f>
        <v>0</v>
      </c>
      <c r="M318" s="362">
        <f>M319+M327+M332+M337+M342</f>
        <v>0</v>
      </c>
      <c r="N318" s="363">
        <f>N319+N327+N332+N337+N342</f>
        <v>0</v>
      </c>
      <c r="O318" s="363">
        <f>O319+O327+O332+O337+O342</f>
        <v>0</v>
      </c>
      <c r="P318" s="353"/>
      <c r="Q318" s="360"/>
      <c r="R318" s="323"/>
      <c r="S318" s="363">
        <f>N318</f>
        <v>0</v>
      </c>
      <c r="T318" s="363">
        <f>T319+T327+T332+T337+T342</f>
        <v>0</v>
      </c>
      <c r="U318" s="353"/>
      <c r="V318" s="360"/>
      <c r="W318" s="323"/>
      <c r="X318" s="363">
        <f>S318</f>
        <v>0</v>
      </c>
      <c r="Y318" s="363">
        <f>Y319+Y327+Y332+Y337+Y342</f>
        <v>0</v>
      </c>
      <c r="Z318" s="353"/>
      <c r="AA318" s="322"/>
      <c r="AD318" s="353"/>
    </row>
    <row r="319" spans="1:30" s="342" customFormat="1" ht="14.65" customHeight="1" outlineLevel="2" x14ac:dyDescent="0.25">
      <c r="A319" s="366"/>
      <c r="B319" s="366"/>
      <c r="C319" s="366"/>
      <c r="D319" s="36" t="s">
        <v>821</v>
      </c>
      <c r="E319" s="36" t="s">
        <v>1192</v>
      </c>
      <c r="F319" s="36"/>
      <c r="G319" s="36"/>
      <c r="H319" s="298" t="s">
        <v>732</v>
      </c>
      <c r="I319" s="297" t="s">
        <v>732</v>
      </c>
      <c r="J319" s="368">
        <f>N319*0.8</f>
        <v>0</v>
      </c>
      <c r="K319" s="368">
        <f>IF(SUM(K320:K326)&gt;J319,J319,SUM(K320:K326))</f>
        <v>0</v>
      </c>
      <c r="L319" s="369">
        <f>N319*0.2</f>
        <v>0</v>
      </c>
      <c r="M319" s="369">
        <f>IF(SUM(M320:M326)&gt;L319,L319,SUM(M320:M326))</f>
        <v>0</v>
      </c>
      <c r="N319" s="370">
        <f>Ponderações!P64*100</f>
        <v>0</v>
      </c>
      <c r="O319" s="370">
        <f>IF(SUM(O320:O326)&gt;N319,N319,SUM(O320:O326))</f>
        <v>0</v>
      </c>
      <c r="P319" s="353"/>
      <c r="Q319" s="298" t="s">
        <v>732</v>
      </c>
      <c r="R319" s="366"/>
      <c r="S319" s="370">
        <f>N319</f>
        <v>0</v>
      </c>
      <c r="T319" s="370">
        <f>IF(SUM(T320:T326)&gt;S319,S319,SUM(T320:T326))</f>
        <v>0</v>
      </c>
      <c r="U319" s="353"/>
      <c r="V319" s="298" t="s">
        <v>732</v>
      </c>
      <c r="W319" s="366"/>
      <c r="X319" s="370">
        <f>S319</f>
        <v>0</v>
      </c>
      <c r="Y319" s="370">
        <f>IF(SUM(Y320:Y326)&gt;X319,X319,SUM(Y320:Y326))</f>
        <v>0</v>
      </c>
      <c r="Z319" s="353"/>
      <c r="AA319" s="327"/>
      <c r="AD319" s="353"/>
    </row>
    <row r="320" spans="1:30" outlineLevel="3" x14ac:dyDescent="0.25">
      <c r="B320" s="22"/>
      <c r="E320" s="35" t="s">
        <v>1328</v>
      </c>
      <c r="F320" s="35" t="s">
        <v>1193</v>
      </c>
      <c r="G320" s="35"/>
      <c r="H320" s="285">
        <f>IF(Checklist!J320="",0,Checklist!J320)</f>
        <v>0</v>
      </c>
      <c r="I320" s="285">
        <f>IF(Checklist!K320="",0,Checklist!K320)</f>
        <v>0</v>
      </c>
      <c r="J320" s="337"/>
      <c r="K320" s="337">
        <f>H320*AA320*$J$319</f>
        <v>0</v>
      </c>
      <c r="L320" s="338"/>
      <c r="M320" s="339">
        <f>I320*AA320*$L$319</f>
        <v>0</v>
      </c>
      <c r="N320" s="333"/>
      <c r="O320" s="333">
        <f>M320+K320</f>
        <v>0</v>
      </c>
      <c r="P320" s="353"/>
      <c r="Q320" s="285">
        <f>IF(Checklist!M320="",0,Checklist!M320)</f>
        <v>0</v>
      </c>
      <c r="R320" s="22"/>
      <c r="S320" s="334"/>
      <c r="T320" s="333">
        <f>Q320*AA320*$S$319</f>
        <v>0</v>
      </c>
      <c r="U320" s="353"/>
      <c r="V320" s="373">
        <f>IF(Checklist!P320="",0,Checklist!P320)</f>
        <v>0</v>
      </c>
      <c r="W320" s="22"/>
      <c r="X320" s="334"/>
      <c r="Y320" s="333">
        <f>V320*AA320*$X$319</f>
        <v>0</v>
      </c>
      <c r="Z320" s="353"/>
      <c r="AA320" s="335">
        <v>1</v>
      </c>
      <c r="AD320" s="353"/>
    </row>
    <row r="321" spans="2:30" outlineLevel="3" x14ac:dyDescent="0.25">
      <c r="B321" s="22"/>
      <c r="E321" s="35" t="s">
        <v>1329</v>
      </c>
      <c r="F321" s="35" t="s">
        <v>1194</v>
      </c>
      <c r="G321" s="35"/>
      <c r="H321" s="285">
        <f>IF(Checklist!J321="",0,Checklist!J321)</f>
        <v>0</v>
      </c>
      <c r="I321" s="285">
        <f>IF(Checklist!K321="",0,Checklist!K321)</f>
        <v>0</v>
      </c>
      <c r="J321" s="337"/>
      <c r="K321" s="337">
        <f>H321*AA321*$J$319</f>
        <v>0</v>
      </c>
      <c r="L321" s="338"/>
      <c r="M321" s="339">
        <f>I321*AA321*$L$319</f>
        <v>0</v>
      </c>
      <c r="N321" s="333"/>
      <c r="O321" s="333">
        <f>M321+K321</f>
        <v>0</v>
      </c>
      <c r="P321" s="353"/>
      <c r="Q321" s="285">
        <f>IF(Checklist!M321="",0,Checklist!M321)</f>
        <v>0</v>
      </c>
      <c r="R321" s="22"/>
      <c r="S321" s="334"/>
      <c r="T321" s="333">
        <f>Q321*AA321*$S$319</f>
        <v>0</v>
      </c>
      <c r="U321" s="353"/>
      <c r="V321" s="373">
        <f>IF(Checklist!P321="",0,Checklist!P321)</f>
        <v>0</v>
      </c>
      <c r="W321" s="22"/>
      <c r="X321" s="334"/>
      <c r="Y321" s="333">
        <f>V321*AA321*$X$319</f>
        <v>0</v>
      </c>
      <c r="Z321" s="353"/>
      <c r="AA321" s="335">
        <v>0.45</v>
      </c>
      <c r="AD321" s="353"/>
    </row>
    <row r="322" spans="2:30" outlineLevel="3" x14ac:dyDescent="0.25">
      <c r="B322" s="22"/>
      <c r="E322" s="35" t="s">
        <v>1330</v>
      </c>
      <c r="F322" s="35" t="s">
        <v>1195</v>
      </c>
      <c r="G322" s="35"/>
      <c r="H322" s="285">
        <f>IF(Checklist!J322="",0,Checklist!J322)</f>
        <v>0</v>
      </c>
      <c r="I322" s="285">
        <f>IF(Checklist!K322="",0,Checklist!K322)</f>
        <v>0</v>
      </c>
      <c r="J322" s="337"/>
      <c r="K322" s="337">
        <f t="shared" ref="K322:K326" si="74">H322*AA322*$J$319</f>
        <v>0</v>
      </c>
      <c r="L322" s="338"/>
      <c r="M322" s="339">
        <f t="shared" ref="M322:M326" si="75">I322*AA322*$L$319</f>
        <v>0</v>
      </c>
      <c r="N322" s="333"/>
      <c r="O322" s="333">
        <f t="shared" ref="O322:O326" si="76">M322+K322</f>
        <v>0</v>
      </c>
      <c r="P322" s="353"/>
      <c r="Q322" s="285">
        <f>IF(Checklist!M322="",0,Checklist!M322)</f>
        <v>0</v>
      </c>
      <c r="R322" s="22"/>
      <c r="S322" s="334"/>
      <c r="T322" s="333">
        <f t="shared" ref="T322:T326" si="77">Q322*AA322*$S$319</f>
        <v>0</v>
      </c>
      <c r="U322" s="353"/>
      <c r="V322" s="373">
        <f>IF(Checklist!P322="",0,Checklist!P322)</f>
        <v>0</v>
      </c>
      <c r="W322" s="22"/>
      <c r="X322" s="334"/>
      <c r="Y322" s="333">
        <f t="shared" ref="Y322:Y326" si="78">V322*AA322*$X$319</f>
        <v>0</v>
      </c>
      <c r="Z322" s="353"/>
      <c r="AA322" s="335">
        <v>0.45</v>
      </c>
      <c r="AD322" s="353"/>
    </row>
    <row r="323" spans="2:30" outlineLevel="3" x14ac:dyDescent="0.25">
      <c r="B323" s="22"/>
      <c r="E323" s="35" t="s">
        <v>1331</v>
      </c>
      <c r="F323" s="35" t="s">
        <v>1196</v>
      </c>
      <c r="G323" s="35"/>
      <c r="H323" s="285">
        <f>IF(Checklist!J323="",0,Checklist!J323)</f>
        <v>0</v>
      </c>
      <c r="I323" s="285">
        <f>IF(Checklist!K323="",0,Checklist!K323)</f>
        <v>0</v>
      </c>
      <c r="J323" s="337"/>
      <c r="K323" s="337">
        <f t="shared" si="74"/>
        <v>0</v>
      </c>
      <c r="L323" s="338"/>
      <c r="M323" s="339">
        <f t="shared" si="75"/>
        <v>0</v>
      </c>
      <c r="N323" s="333"/>
      <c r="O323" s="333">
        <f t="shared" si="76"/>
        <v>0</v>
      </c>
      <c r="P323" s="353"/>
      <c r="Q323" s="285">
        <f>IF(Checklist!M323="",0,Checklist!M323)</f>
        <v>0</v>
      </c>
      <c r="R323" s="22"/>
      <c r="S323" s="334"/>
      <c r="T323" s="333">
        <f t="shared" si="77"/>
        <v>0</v>
      </c>
      <c r="U323" s="353"/>
      <c r="V323" s="373">
        <f>IF(Checklist!P323="",0,Checklist!P323)</f>
        <v>0</v>
      </c>
      <c r="W323" s="22"/>
      <c r="X323" s="334"/>
      <c r="Y323" s="333">
        <f>V323*AA323*$X$319</f>
        <v>0</v>
      </c>
      <c r="Z323" s="353"/>
      <c r="AA323" s="335">
        <v>0.1</v>
      </c>
      <c r="AD323" s="353"/>
    </row>
    <row r="324" spans="2:30" outlineLevel="3" x14ac:dyDescent="0.25">
      <c r="B324" s="22"/>
      <c r="E324" s="35" t="s">
        <v>1332</v>
      </c>
      <c r="F324" s="35" t="s">
        <v>1197</v>
      </c>
      <c r="G324" s="35"/>
      <c r="H324" s="285">
        <f>IF(Checklist!J324="",0,Checklist!J324)</f>
        <v>0</v>
      </c>
      <c r="I324" s="285">
        <f>IF(Checklist!K324="",0,Checklist!K324)</f>
        <v>0</v>
      </c>
      <c r="J324" s="337"/>
      <c r="K324" s="337">
        <f>H324*AA324*$J$319</f>
        <v>0</v>
      </c>
      <c r="L324" s="338"/>
      <c r="M324" s="339">
        <f>I324*AA324*$L$319</f>
        <v>0</v>
      </c>
      <c r="N324" s="333"/>
      <c r="O324" s="333">
        <f>M324+K324</f>
        <v>0</v>
      </c>
      <c r="P324" s="353"/>
      <c r="Q324" s="285">
        <f>IF(Checklist!M324="",0,Checklist!M324)</f>
        <v>0</v>
      </c>
      <c r="R324" s="22"/>
      <c r="S324" s="334"/>
      <c r="T324" s="333">
        <f>Q324*AA324*$S$319</f>
        <v>0</v>
      </c>
      <c r="U324" s="353"/>
      <c r="V324" s="373">
        <f>IF(Checklist!P324="",0,Checklist!P324)</f>
        <v>0</v>
      </c>
      <c r="W324" s="22"/>
      <c r="X324" s="334"/>
      <c r="Y324" s="333">
        <f>V324*AA324*$X$319</f>
        <v>0</v>
      </c>
      <c r="Z324" s="353"/>
      <c r="AA324" s="335">
        <v>0.1</v>
      </c>
      <c r="AD324" s="353"/>
    </row>
    <row r="325" spans="2:30" outlineLevel="3" x14ac:dyDescent="0.25">
      <c r="B325" s="22"/>
      <c r="E325" s="35" t="s">
        <v>1333</v>
      </c>
      <c r="F325" s="35" t="s">
        <v>941</v>
      </c>
      <c r="G325" s="35"/>
      <c r="H325" s="285">
        <f>IF(Checklist!J325="",0,Checklist!J325)</f>
        <v>0</v>
      </c>
      <c r="I325" s="285">
        <f>IF(Checklist!K325="",0,Checklist!K325)</f>
        <v>0</v>
      </c>
      <c r="J325" s="337"/>
      <c r="K325" s="337">
        <f t="shared" si="74"/>
        <v>0</v>
      </c>
      <c r="L325" s="338"/>
      <c r="M325" s="339">
        <f t="shared" si="75"/>
        <v>0</v>
      </c>
      <c r="N325" s="333"/>
      <c r="O325" s="333">
        <f t="shared" si="76"/>
        <v>0</v>
      </c>
      <c r="P325" s="353"/>
      <c r="Q325" s="285">
        <f>IF(Checklist!M325="",0,Checklist!M325)</f>
        <v>0</v>
      </c>
      <c r="R325" s="22"/>
      <c r="S325" s="334"/>
      <c r="T325" s="333">
        <f t="shared" si="77"/>
        <v>0</v>
      </c>
      <c r="U325" s="353"/>
      <c r="V325" s="373">
        <f>IF(Checklist!P325="",0,Checklist!P325)</f>
        <v>0</v>
      </c>
      <c r="W325" s="22"/>
      <c r="X325" s="334"/>
      <c r="Y325" s="333">
        <f>V325*AA325*$X$319</f>
        <v>0</v>
      </c>
      <c r="Z325" s="353"/>
      <c r="AA325" s="335">
        <v>0</v>
      </c>
      <c r="AD325" s="353"/>
    </row>
    <row r="326" spans="2:30" outlineLevel="3" x14ac:dyDescent="0.25">
      <c r="B326" s="22"/>
      <c r="E326" s="35" t="s">
        <v>1334</v>
      </c>
      <c r="F326" s="35" t="s">
        <v>943</v>
      </c>
      <c r="G326" s="35"/>
      <c r="H326" s="285">
        <f>IF(Checklist!J326="",0,Checklist!J326)</f>
        <v>0</v>
      </c>
      <c r="I326" s="285">
        <f>IF(Checklist!K326="",0,Checklist!K326)</f>
        <v>0</v>
      </c>
      <c r="J326" s="337"/>
      <c r="K326" s="337">
        <f t="shared" si="74"/>
        <v>0</v>
      </c>
      <c r="L326" s="338"/>
      <c r="M326" s="339">
        <f t="shared" si="75"/>
        <v>0</v>
      </c>
      <c r="N326" s="333"/>
      <c r="O326" s="333">
        <f t="shared" si="76"/>
        <v>0</v>
      </c>
      <c r="P326" s="353"/>
      <c r="Q326" s="285">
        <f>IF(Checklist!M326="",0,Checklist!M326)</f>
        <v>0</v>
      </c>
      <c r="R326" s="22"/>
      <c r="S326" s="334"/>
      <c r="T326" s="333">
        <f t="shared" si="77"/>
        <v>0</v>
      </c>
      <c r="U326" s="353"/>
      <c r="V326" s="373">
        <f>IF(Checklist!P326="",0,Checklist!P326)</f>
        <v>0</v>
      </c>
      <c r="W326" s="22"/>
      <c r="X326" s="334"/>
      <c r="Y326" s="333">
        <f t="shared" si="78"/>
        <v>0</v>
      </c>
      <c r="Z326" s="353"/>
      <c r="AA326" s="335">
        <v>0</v>
      </c>
      <c r="AD326" s="353"/>
    </row>
    <row r="327" spans="2:30" s="342" customFormat="1" ht="14.65" customHeight="1" outlineLevel="2" x14ac:dyDescent="0.25">
      <c r="B327" s="374"/>
      <c r="D327" s="36" t="s">
        <v>822</v>
      </c>
      <c r="E327" s="36" t="s">
        <v>1198</v>
      </c>
      <c r="F327" s="36"/>
      <c r="G327" s="36"/>
      <c r="H327" s="298" t="s">
        <v>731</v>
      </c>
      <c r="I327" s="297" t="s">
        <v>731</v>
      </c>
      <c r="J327" s="368">
        <f>N327*0.8</f>
        <v>0</v>
      </c>
      <c r="K327" s="368">
        <f>IF(SUM(K328:K331)&gt;J327,J327,SUM(K328:K331))</f>
        <v>0</v>
      </c>
      <c r="L327" s="369">
        <f>N327*0.2</f>
        <v>0</v>
      </c>
      <c r="M327" s="369">
        <f>IF(SUM(M328:M331)&gt;L327,L327,SUM(M328:M331))</f>
        <v>0</v>
      </c>
      <c r="N327" s="370">
        <f>Ponderações!P65*100</f>
        <v>0</v>
      </c>
      <c r="O327" s="370">
        <f>IF(SUM(O328:O331)&gt;N327,N327,SUM(O328:O331))</f>
        <v>0</v>
      </c>
      <c r="P327" s="353"/>
      <c r="Q327" s="298" t="s">
        <v>731</v>
      </c>
      <c r="R327" s="366"/>
      <c r="S327" s="370">
        <f>N327</f>
        <v>0</v>
      </c>
      <c r="T327" s="370">
        <f>IF(SUM(T328:T331)&gt;S327,S327,SUM(T328:T331))</f>
        <v>0</v>
      </c>
      <c r="U327" s="353"/>
      <c r="V327" s="298" t="s">
        <v>731</v>
      </c>
      <c r="W327" s="366"/>
      <c r="X327" s="370">
        <f>S327</f>
        <v>0</v>
      </c>
      <c r="Y327" s="370">
        <f>IF(SUM(Y328:Y331)&gt;X327,X327,SUM(Y328:Y331))</f>
        <v>0</v>
      </c>
      <c r="Z327" s="353"/>
      <c r="AA327" s="327"/>
      <c r="AD327" s="353"/>
    </row>
    <row r="328" spans="2:30" ht="14.65" customHeight="1" outlineLevel="3" x14ac:dyDescent="0.25">
      <c r="E328" s="35" t="s">
        <v>1335</v>
      </c>
      <c r="F328" s="35" t="s">
        <v>1767</v>
      </c>
      <c r="G328" s="35"/>
      <c r="H328" s="285">
        <f>IF(Checklist!J328="",0,Checklist!J328)</f>
        <v>0</v>
      </c>
      <c r="I328" s="285">
        <f>IF(Checklist!K328="",0,Checklist!K328)</f>
        <v>0</v>
      </c>
      <c r="J328" s="337"/>
      <c r="K328" s="337">
        <f>H328*AA328*$J$327</f>
        <v>0</v>
      </c>
      <c r="L328" s="338"/>
      <c r="M328" s="339">
        <f>I328*AA328*$L$327</f>
        <v>0</v>
      </c>
      <c r="N328" s="333"/>
      <c r="O328" s="333">
        <f>M328+K328</f>
        <v>0</v>
      </c>
      <c r="P328" s="353"/>
      <c r="Q328" s="285">
        <f>IF(Checklist!M328="",0,Checklist!M328)</f>
        <v>0</v>
      </c>
      <c r="R328" s="22"/>
      <c r="S328" s="334"/>
      <c r="T328" s="333">
        <f>Q328*AA328*$S$327</f>
        <v>0</v>
      </c>
      <c r="U328" s="353"/>
      <c r="V328" s="373">
        <f>IF(Checklist!P328="",0,Checklist!P328)</f>
        <v>0</v>
      </c>
      <c r="W328" s="22"/>
      <c r="X328" s="334"/>
      <c r="Y328" s="333">
        <f>V328*AA328*$X$327</f>
        <v>0</v>
      </c>
      <c r="Z328" s="353"/>
      <c r="AA328" s="335">
        <v>1</v>
      </c>
      <c r="AD328" s="353"/>
    </row>
    <row r="329" spans="2:30" ht="14.65" customHeight="1" outlineLevel="3" x14ac:dyDescent="0.25">
      <c r="E329" s="35" t="s">
        <v>1336</v>
      </c>
      <c r="F329" s="35" t="s">
        <v>1337</v>
      </c>
      <c r="G329" s="35"/>
      <c r="H329" s="285">
        <f>IF(Checklist!J329="",0,Checklist!J329)</f>
        <v>0</v>
      </c>
      <c r="I329" s="285">
        <f>IF(Checklist!K329="",0,Checklist!K329)</f>
        <v>0</v>
      </c>
      <c r="J329" s="337"/>
      <c r="K329" s="337">
        <f t="shared" ref="K329:K331" si="79">H329*AA329*$J$327</f>
        <v>0</v>
      </c>
      <c r="L329" s="338"/>
      <c r="M329" s="339">
        <f t="shared" ref="M329:M331" si="80">I329*AA329*$L$327</f>
        <v>0</v>
      </c>
      <c r="N329" s="333"/>
      <c r="O329" s="333">
        <f>M329+K329</f>
        <v>0</v>
      </c>
      <c r="P329" s="353"/>
      <c r="Q329" s="285">
        <f>IF(Checklist!M329="",0,Checklist!M329)</f>
        <v>0</v>
      </c>
      <c r="R329" s="22"/>
      <c r="S329" s="334"/>
      <c r="T329" s="333">
        <f t="shared" ref="T329:T331" si="81">Q329*AA329*$S$327</f>
        <v>0</v>
      </c>
      <c r="U329" s="353"/>
      <c r="V329" s="373">
        <f>IF(Checklist!P329="",0,Checklist!P329)</f>
        <v>0</v>
      </c>
      <c r="W329" s="22"/>
      <c r="X329" s="334"/>
      <c r="Y329" s="333">
        <f t="shared" ref="Y329" si="82">V329*AA329*$X$327</f>
        <v>0</v>
      </c>
      <c r="Z329" s="353"/>
      <c r="AA329" s="335">
        <v>0.5</v>
      </c>
      <c r="AD329" s="353"/>
    </row>
    <row r="330" spans="2:30" ht="14.65" customHeight="1" outlineLevel="3" x14ac:dyDescent="0.25">
      <c r="E330" s="35" t="s">
        <v>1338</v>
      </c>
      <c r="F330" s="35" t="s">
        <v>1339</v>
      </c>
      <c r="G330" s="35"/>
      <c r="H330" s="285">
        <f>IF(Checklist!J330="",0,Checklist!J330)</f>
        <v>0</v>
      </c>
      <c r="I330" s="285">
        <f>IF(Checklist!K330="",0,Checklist!K330)</f>
        <v>0</v>
      </c>
      <c r="J330" s="337"/>
      <c r="K330" s="337">
        <f t="shared" si="79"/>
        <v>0</v>
      </c>
      <c r="L330" s="338"/>
      <c r="M330" s="339">
        <f t="shared" si="80"/>
        <v>0</v>
      </c>
      <c r="N330" s="333"/>
      <c r="O330" s="333">
        <f>M330+K330</f>
        <v>0</v>
      </c>
      <c r="P330" s="353"/>
      <c r="Q330" s="285">
        <f>IF(Checklist!M330="",0,Checklist!M330)</f>
        <v>0</v>
      </c>
      <c r="R330" s="22"/>
      <c r="S330" s="334"/>
      <c r="T330" s="333">
        <f t="shared" si="81"/>
        <v>0</v>
      </c>
      <c r="U330" s="353"/>
      <c r="V330" s="373">
        <f>IF(Checklist!P330="",0,Checklist!P330)</f>
        <v>0</v>
      </c>
      <c r="W330" s="22"/>
      <c r="X330" s="334"/>
      <c r="Y330" s="333">
        <f>V330*AA330*$X$327</f>
        <v>0</v>
      </c>
      <c r="Z330" s="353"/>
      <c r="AA330" s="335">
        <v>0</v>
      </c>
      <c r="AD330" s="353"/>
    </row>
    <row r="331" spans="2:30" ht="14.65" customHeight="1" outlineLevel="3" x14ac:dyDescent="0.25">
      <c r="E331" s="35" t="s">
        <v>1340</v>
      </c>
      <c r="F331" s="35" t="s">
        <v>943</v>
      </c>
      <c r="G331" s="35"/>
      <c r="H331" s="285">
        <f>IF(Checklist!J331="",0,Checklist!J331)</f>
        <v>1</v>
      </c>
      <c r="I331" s="285">
        <f>IF(Checklist!K331="",0,Checklist!K331)</f>
        <v>1</v>
      </c>
      <c r="J331" s="337"/>
      <c r="K331" s="337">
        <f t="shared" si="79"/>
        <v>0</v>
      </c>
      <c r="L331" s="338"/>
      <c r="M331" s="339">
        <f t="shared" si="80"/>
        <v>0</v>
      </c>
      <c r="N331" s="333"/>
      <c r="O331" s="333">
        <f>M331+K331</f>
        <v>0</v>
      </c>
      <c r="P331" s="353"/>
      <c r="Q331" s="285">
        <f>IF(Checklist!M331="",0,Checklist!M331)</f>
        <v>1</v>
      </c>
      <c r="R331" s="22"/>
      <c r="S331" s="334"/>
      <c r="T331" s="333">
        <f t="shared" si="81"/>
        <v>0</v>
      </c>
      <c r="U331" s="353"/>
      <c r="V331" s="373">
        <f>IF(Checklist!P331="",0,Checklist!P331)</f>
        <v>1</v>
      </c>
      <c r="W331" s="22"/>
      <c r="X331" s="334"/>
      <c r="Y331" s="333">
        <f>V331*AA331*$X$327</f>
        <v>0</v>
      </c>
      <c r="Z331" s="353"/>
      <c r="AA331" s="335">
        <v>0</v>
      </c>
      <c r="AD331" s="353"/>
    </row>
    <row r="332" spans="2:30" s="342" customFormat="1" ht="14.65" customHeight="1" outlineLevel="2" x14ac:dyDescent="0.25">
      <c r="B332" s="374"/>
      <c r="D332" s="36" t="s">
        <v>823</v>
      </c>
      <c r="E332" s="36" t="s">
        <v>1202</v>
      </c>
      <c r="F332" s="36"/>
      <c r="G332" s="36"/>
      <c r="H332" s="298" t="s">
        <v>731</v>
      </c>
      <c r="I332" s="297" t="s">
        <v>731</v>
      </c>
      <c r="J332" s="368">
        <f>N332*0.8</f>
        <v>0</v>
      </c>
      <c r="K332" s="368">
        <f>IF(SUM(K333:K336)&gt;J332,J332,SUM(K333:K336))</f>
        <v>0</v>
      </c>
      <c r="L332" s="369">
        <f>N332*0.2</f>
        <v>0</v>
      </c>
      <c r="M332" s="369">
        <f>IF(SUM(M333:M336)&gt;L332,L332,SUM(M333:M336))</f>
        <v>0</v>
      </c>
      <c r="N332" s="370">
        <f>Ponderações!P66*100</f>
        <v>0</v>
      </c>
      <c r="O332" s="370">
        <f>IF(SUM(O333:O336)&gt;N332,N332,SUM(O333:O336))</f>
        <v>0</v>
      </c>
      <c r="P332" s="353"/>
      <c r="Q332" s="298" t="s">
        <v>731</v>
      </c>
      <c r="R332" s="366"/>
      <c r="S332" s="370">
        <f>N332</f>
        <v>0</v>
      </c>
      <c r="T332" s="370">
        <f>IF(SUM(T333:T336)&gt;S332,S332,SUM(T333:T336))</f>
        <v>0</v>
      </c>
      <c r="U332" s="353"/>
      <c r="V332" s="298" t="s">
        <v>731</v>
      </c>
      <c r="W332" s="366"/>
      <c r="X332" s="370">
        <f>S332</f>
        <v>0</v>
      </c>
      <c r="Y332" s="370">
        <f>IF(SUM(Y333:Y336)&gt;X332,X332,SUM(Y333:Y336))</f>
        <v>0</v>
      </c>
      <c r="Z332" s="353"/>
      <c r="AA332" s="327"/>
      <c r="AD332" s="353"/>
    </row>
    <row r="333" spans="2:30" ht="14.65" customHeight="1" outlineLevel="3" x14ac:dyDescent="0.25">
      <c r="E333" s="35" t="s">
        <v>1341</v>
      </c>
      <c r="F333" s="35" t="s">
        <v>92</v>
      </c>
      <c r="G333" s="35"/>
      <c r="H333" s="285">
        <f>IF(Checklist!J333="",0,Checklist!J333)</f>
        <v>0</v>
      </c>
      <c r="I333" s="285">
        <f>IF(Checklist!K333="",0,Checklist!K333)</f>
        <v>0</v>
      </c>
      <c r="J333" s="337"/>
      <c r="K333" s="337">
        <f>H333*AA333*$J$332</f>
        <v>0</v>
      </c>
      <c r="L333" s="338"/>
      <c r="M333" s="339">
        <f>I333*AA333*$L$332</f>
        <v>0</v>
      </c>
      <c r="N333" s="333"/>
      <c r="O333" s="333">
        <f t="shared" ref="O333:O346" si="83">M333+K333</f>
        <v>0</v>
      </c>
      <c r="P333" s="353"/>
      <c r="Q333" s="285">
        <f>IF(Checklist!M333="",0,Checklist!M333)</f>
        <v>0</v>
      </c>
      <c r="R333" s="22"/>
      <c r="S333" s="334"/>
      <c r="T333" s="333">
        <f>Q333*AA333*$S$332</f>
        <v>0</v>
      </c>
      <c r="U333" s="353"/>
      <c r="V333" s="373">
        <f>IF(Checklist!P333="",0,Checklist!P333)</f>
        <v>0</v>
      </c>
      <c r="W333" s="22"/>
      <c r="X333" s="334"/>
      <c r="Y333" s="333">
        <f>V333*AA333*$X$332</f>
        <v>0</v>
      </c>
      <c r="Z333" s="353"/>
      <c r="AA333" s="335">
        <v>1</v>
      </c>
      <c r="AD333" s="353"/>
    </row>
    <row r="334" spans="2:30" ht="14.65" customHeight="1" outlineLevel="3" x14ac:dyDescent="0.25">
      <c r="E334" s="35" t="s">
        <v>1342</v>
      </c>
      <c r="F334" s="35" t="s">
        <v>1203</v>
      </c>
      <c r="G334" s="35"/>
      <c r="H334" s="285">
        <f>IF(Checklist!J334="",0,Checklist!J334)</f>
        <v>0</v>
      </c>
      <c r="I334" s="285">
        <f>IF(Checklist!K334="",0,Checklist!K334)</f>
        <v>0</v>
      </c>
      <c r="J334" s="337"/>
      <c r="K334" s="337">
        <f t="shared" ref="K334:K336" si="84">H334*AA334*$J$332</f>
        <v>0</v>
      </c>
      <c r="L334" s="338"/>
      <c r="M334" s="339">
        <f t="shared" ref="M334:M336" si="85">I334*AA334*$L$332</f>
        <v>0</v>
      </c>
      <c r="N334" s="333"/>
      <c r="O334" s="333">
        <f t="shared" si="83"/>
        <v>0</v>
      </c>
      <c r="P334" s="353"/>
      <c r="Q334" s="285">
        <f>IF(Checklist!M334="",0,Checklist!M334)</f>
        <v>0</v>
      </c>
      <c r="R334" s="22"/>
      <c r="S334" s="334"/>
      <c r="T334" s="333">
        <f t="shared" ref="T334:T336" si="86">Q334*AA334*$S$332</f>
        <v>0</v>
      </c>
      <c r="U334" s="353"/>
      <c r="V334" s="373">
        <f>IF(Checklist!P334="",0,Checklist!P334)</f>
        <v>0</v>
      </c>
      <c r="W334" s="22"/>
      <c r="X334" s="334"/>
      <c r="Y334" s="333">
        <f t="shared" ref="Y334" si="87">V334*AA334*$X$332</f>
        <v>0</v>
      </c>
      <c r="Z334" s="353"/>
      <c r="AA334" s="335">
        <v>0</v>
      </c>
      <c r="AD334" s="353"/>
    </row>
    <row r="335" spans="2:30" ht="14.65" customHeight="1" outlineLevel="3" x14ac:dyDescent="0.25">
      <c r="E335" s="35" t="s">
        <v>1343</v>
      </c>
      <c r="F335" s="35" t="s">
        <v>107</v>
      </c>
      <c r="G335" s="35"/>
      <c r="H335" s="285">
        <f>IF(Checklist!J335="",0,Checklist!J335)</f>
        <v>0</v>
      </c>
      <c r="I335" s="285">
        <f>IF(Checklist!K335="",0,Checklist!K335)</f>
        <v>0</v>
      </c>
      <c r="J335" s="337"/>
      <c r="K335" s="337">
        <f t="shared" si="84"/>
        <v>0</v>
      </c>
      <c r="L335" s="338"/>
      <c r="M335" s="339">
        <f t="shared" si="85"/>
        <v>0</v>
      </c>
      <c r="N335" s="333"/>
      <c r="O335" s="333">
        <f>M335+K335</f>
        <v>0</v>
      </c>
      <c r="P335" s="353"/>
      <c r="Q335" s="285">
        <f>IF(Checklist!M335="",0,Checklist!M335)</f>
        <v>0</v>
      </c>
      <c r="R335" s="22"/>
      <c r="S335" s="334"/>
      <c r="T335" s="333">
        <f t="shared" si="86"/>
        <v>0</v>
      </c>
      <c r="U335" s="353"/>
      <c r="V335" s="373">
        <f>IF(Checklist!P335="",0,Checklist!P335)</f>
        <v>0</v>
      </c>
      <c r="W335" s="22"/>
      <c r="X335" s="334"/>
      <c r="Y335" s="333">
        <f>V335*AA335*$X$332</f>
        <v>0</v>
      </c>
      <c r="Z335" s="353"/>
      <c r="AA335" s="335">
        <v>0</v>
      </c>
      <c r="AD335" s="353"/>
    </row>
    <row r="336" spans="2:30" ht="14.65" customHeight="1" outlineLevel="3" x14ac:dyDescent="0.25">
      <c r="E336" s="35" t="s">
        <v>1344</v>
      </c>
      <c r="F336" s="35" t="s">
        <v>943</v>
      </c>
      <c r="G336" s="35"/>
      <c r="H336" s="285">
        <f>IF(Checklist!J336="",0,Checklist!J336)</f>
        <v>1</v>
      </c>
      <c r="I336" s="285">
        <f>IF(Checklist!K336="",0,Checklist!K336)</f>
        <v>1</v>
      </c>
      <c r="J336" s="337"/>
      <c r="K336" s="337">
        <f t="shared" si="84"/>
        <v>0</v>
      </c>
      <c r="L336" s="338"/>
      <c r="M336" s="339">
        <f t="shared" si="85"/>
        <v>0</v>
      </c>
      <c r="N336" s="333"/>
      <c r="O336" s="333">
        <f>M336+K336</f>
        <v>0</v>
      </c>
      <c r="P336" s="353"/>
      <c r="Q336" s="285">
        <f>IF(Checklist!M336="",0,Checklist!M336)</f>
        <v>1</v>
      </c>
      <c r="R336" s="22"/>
      <c r="S336" s="334"/>
      <c r="T336" s="333">
        <f t="shared" si="86"/>
        <v>0</v>
      </c>
      <c r="U336" s="353"/>
      <c r="V336" s="373">
        <f>IF(Checklist!P336="",0,Checklist!P336)</f>
        <v>1</v>
      </c>
      <c r="W336" s="22"/>
      <c r="X336" s="334"/>
      <c r="Y336" s="333">
        <f>V336*AA336*$X$332</f>
        <v>0</v>
      </c>
      <c r="Z336" s="353"/>
      <c r="AA336" s="335">
        <v>0</v>
      </c>
      <c r="AD336" s="353"/>
    </row>
    <row r="337" spans="2:30" s="342" customFormat="1" ht="14.65" customHeight="1" outlineLevel="2" x14ac:dyDescent="0.25">
      <c r="B337" s="374"/>
      <c r="D337" s="36" t="s">
        <v>824</v>
      </c>
      <c r="E337" s="36" t="s">
        <v>1204</v>
      </c>
      <c r="F337" s="36"/>
      <c r="G337" s="36"/>
      <c r="H337" s="298" t="s">
        <v>731</v>
      </c>
      <c r="I337" s="297" t="s">
        <v>731</v>
      </c>
      <c r="J337" s="368">
        <f>N337*0.8</f>
        <v>0</v>
      </c>
      <c r="K337" s="368">
        <f>IF(SUM(K338:K341)&gt;J337,J337,SUM(K338:K341))</f>
        <v>0</v>
      </c>
      <c r="L337" s="369">
        <f>N337*0.2</f>
        <v>0</v>
      </c>
      <c r="M337" s="369">
        <f>IF(SUM(M338:M341)&gt;L337,L337,SUM(M338:M341))</f>
        <v>0</v>
      </c>
      <c r="N337" s="370">
        <f>Ponderações!P67*100</f>
        <v>0</v>
      </c>
      <c r="O337" s="370">
        <f>IF(SUM(O338:O341)&gt;N337,N337,SUM(O338:O341))</f>
        <v>0</v>
      </c>
      <c r="P337" s="353"/>
      <c r="Q337" s="298" t="s">
        <v>731</v>
      </c>
      <c r="R337" s="366"/>
      <c r="S337" s="370">
        <f>N337</f>
        <v>0</v>
      </c>
      <c r="T337" s="370">
        <f>IF(SUM(T338:T341)&gt;S337,S337,SUM(T338:T341))</f>
        <v>0</v>
      </c>
      <c r="U337" s="353"/>
      <c r="V337" s="298" t="s">
        <v>731</v>
      </c>
      <c r="W337" s="366"/>
      <c r="X337" s="370">
        <f>S337</f>
        <v>0</v>
      </c>
      <c r="Y337" s="370">
        <f>IF(SUM(Y338:Y341)&gt;X337,X337,SUM(Y338:Y341))</f>
        <v>0</v>
      </c>
      <c r="Z337" s="353"/>
      <c r="AA337" s="327"/>
      <c r="AD337" s="353"/>
    </row>
    <row r="338" spans="2:30" ht="14.65" customHeight="1" outlineLevel="3" x14ac:dyDescent="0.25">
      <c r="E338" s="35" t="s">
        <v>1345</v>
      </c>
      <c r="F338" s="35" t="s">
        <v>1205</v>
      </c>
      <c r="G338" s="35"/>
      <c r="H338" s="285">
        <f>IF(Checklist!J338="",0,Checklist!J338)</f>
        <v>0</v>
      </c>
      <c r="I338" s="285">
        <f>IF(Checklist!K338="",0,Checklist!K338)</f>
        <v>0</v>
      </c>
      <c r="J338" s="337"/>
      <c r="K338" s="337">
        <f>H338*AA338*$J$337</f>
        <v>0</v>
      </c>
      <c r="L338" s="338"/>
      <c r="M338" s="339">
        <f>I338*AA338*$L$337</f>
        <v>0</v>
      </c>
      <c r="N338" s="333"/>
      <c r="O338" s="333">
        <f t="shared" si="83"/>
        <v>0</v>
      </c>
      <c r="P338" s="353"/>
      <c r="Q338" s="285">
        <f>IF(Checklist!M338="",0,Checklist!M338)</f>
        <v>0</v>
      </c>
      <c r="R338" s="22"/>
      <c r="S338" s="334"/>
      <c r="T338" s="333">
        <f>Q338*AA338*$S$337</f>
        <v>0</v>
      </c>
      <c r="U338" s="353"/>
      <c r="V338" s="373">
        <f>IF(Checklist!P338="",0,Checklist!P338)</f>
        <v>0</v>
      </c>
      <c r="W338" s="22"/>
      <c r="X338" s="334"/>
      <c r="Y338" s="333">
        <f>V338*AA338*$X$337</f>
        <v>0</v>
      </c>
      <c r="Z338" s="353"/>
      <c r="AA338" s="335">
        <v>1</v>
      </c>
      <c r="AD338" s="353"/>
    </row>
    <row r="339" spans="2:30" ht="14.65" customHeight="1" outlineLevel="3" x14ac:dyDescent="0.25">
      <c r="E339" s="35" t="s">
        <v>1346</v>
      </c>
      <c r="F339" s="35" t="s">
        <v>1206</v>
      </c>
      <c r="G339" s="35"/>
      <c r="H339" s="285">
        <f>IF(Checklist!J339="",0,Checklist!J339)</f>
        <v>0</v>
      </c>
      <c r="I339" s="285">
        <f>IF(Checklist!K339="",0,Checklist!K339)</f>
        <v>0</v>
      </c>
      <c r="J339" s="337"/>
      <c r="K339" s="337">
        <f t="shared" ref="K339:K340" si="88">H339*AA339*$J$337</f>
        <v>0</v>
      </c>
      <c r="L339" s="338"/>
      <c r="M339" s="339">
        <f t="shared" ref="M339:M340" si="89">I339*AA339*$L$337</f>
        <v>0</v>
      </c>
      <c r="N339" s="333"/>
      <c r="O339" s="333">
        <f>M339+K339</f>
        <v>0</v>
      </c>
      <c r="P339" s="353"/>
      <c r="Q339" s="285">
        <f>IF(Checklist!M339="",0,Checklist!M339)</f>
        <v>0</v>
      </c>
      <c r="R339" s="22"/>
      <c r="S339" s="334"/>
      <c r="T339" s="333">
        <f t="shared" ref="T339:T340" si="90">Q339*AA339*$S$337</f>
        <v>0</v>
      </c>
      <c r="U339" s="353"/>
      <c r="V339" s="373">
        <f>IF(Checklist!P339="",0,Checklist!P339)</f>
        <v>0</v>
      </c>
      <c r="W339" s="22"/>
      <c r="X339" s="334"/>
      <c r="Y339" s="333">
        <f t="shared" ref="Y339:Y340" si="91">V339*AA339*$X$337</f>
        <v>0</v>
      </c>
      <c r="Z339" s="353"/>
      <c r="AA339" s="335">
        <v>0.5</v>
      </c>
      <c r="AD339" s="353"/>
    </row>
    <row r="340" spans="2:30" ht="14.65" customHeight="1" outlineLevel="3" x14ac:dyDescent="0.25">
      <c r="E340" s="35" t="s">
        <v>1347</v>
      </c>
      <c r="F340" s="35" t="s">
        <v>1207</v>
      </c>
      <c r="G340" s="35"/>
      <c r="H340" s="285">
        <f>IF(Checklist!J340="",0,Checklist!J340)</f>
        <v>0</v>
      </c>
      <c r="I340" s="285">
        <f>IF(Checklist!K340="",0,Checklist!K340)</f>
        <v>0</v>
      </c>
      <c r="J340" s="337"/>
      <c r="K340" s="337">
        <f t="shared" si="88"/>
        <v>0</v>
      </c>
      <c r="L340" s="338"/>
      <c r="M340" s="339">
        <f t="shared" si="89"/>
        <v>0</v>
      </c>
      <c r="N340" s="333"/>
      <c r="O340" s="333">
        <f t="shared" si="83"/>
        <v>0</v>
      </c>
      <c r="P340" s="353"/>
      <c r="Q340" s="285">
        <f>IF(Checklist!M340="",0,Checklist!M340)</f>
        <v>0</v>
      </c>
      <c r="R340" s="22"/>
      <c r="S340" s="334"/>
      <c r="T340" s="333">
        <f t="shared" si="90"/>
        <v>0</v>
      </c>
      <c r="U340" s="353"/>
      <c r="V340" s="373">
        <f>IF(Checklist!P340="",0,Checklist!P340)</f>
        <v>0</v>
      </c>
      <c r="W340" s="22"/>
      <c r="X340" s="334"/>
      <c r="Y340" s="333">
        <f t="shared" si="91"/>
        <v>0</v>
      </c>
      <c r="Z340" s="353"/>
      <c r="AA340" s="335">
        <v>0</v>
      </c>
      <c r="AD340" s="353"/>
    </row>
    <row r="341" spans="2:30" ht="14.65" customHeight="1" outlineLevel="3" x14ac:dyDescent="0.25">
      <c r="E341" s="35" t="s">
        <v>1348</v>
      </c>
      <c r="F341" s="35" t="s">
        <v>943</v>
      </c>
      <c r="G341" s="35"/>
      <c r="H341" s="285">
        <f>IF(Checklist!J341="",0,Checklist!J341)</f>
        <v>1</v>
      </c>
      <c r="I341" s="285">
        <f>IF(Checklist!K341="",0,Checklist!K341)</f>
        <v>1</v>
      </c>
      <c r="J341" s="337"/>
      <c r="K341" s="337">
        <f>H341*AA341*$J$337</f>
        <v>0</v>
      </c>
      <c r="L341" s="338"/>
      <c r="M341" s="339">
        <f>I341*AA341*$L$337</f>
        <v>0</v>
      </c>
      <c r="N341" s="333"/>
      <c r="O341" s="333">
        <f>M341+K341</f>
        <v>0</v>
      </c>
      <c r="P341" s="353"/>
      <c r="Q341" s="285">
        <f>IF(Checklist!M341="",0,Checklist!M341)</f>
        <v>1</v>
      </c>
      <c r="R341" s="22"/>
      <c r="S341" s="334"/>
      <c r="T341" s="333">
        <f>Q341*AA341*$S$337</f>
        <v>0</v>
      </c>
      <c r="U341" s="353"/>
      <c r="V341" s="373">
        <f>IF(Checklist!P341="",0,Checklist!P341)</f>
        <v>1</v>
      </c>
      <c r="W341" s="22"/>
      <c r="X341" s="334"/>
      <c r="Y341" s="333">
        <f>V341*AA341*$X$337</f>
        <v>0</v>
      </c>
      <c r="Z341" s="353"/>
      <c r="AA341" s="335">
        <v>0</v>
      </c>
      <c r="AD341" s="353"/>
    </row>
    <row r="342" spans="2:30" s="342" customFormat="1" ht="14.65" customHeight="1" outlineLevel="2" x14ac:dyDescent="0.25">
      <c r="B342" s="374"/>
      <c r="D342" s="36" t="s">
        <v>825</v>
      </c>
      <c r="E342" s="36" t="s">
        <v>1300</v>
      </c>
      <c r="F342" s="36"/>
      <c r="G342" s="36"/>
      <c r="H342" s="298" t="s">
        <v>731</v>
      </c>
      <c r="I342" s="297" t="s">
        <v>731</v>
      </c>
      <c r="J342" s="368">
        <f>N342*0.8</f>
        <v>0</v>
      </c>
      <c r="K342" s="368">
        <f>IF(SUM(K343:K346)&gt;J342,J342,SUM(K343:K346))</f>
        <v>0</v>
      </c>
      <c r="L342" s="369">
        <f>N342*0.2</f>
        <v>0</v>
      </c>
      <c r="M342" s="369">
        <f>IF(SUM(M343:M346)&gt;L342,L342,SUM(M343:M346))</f>
        <v>0</v>
      </c>
      <c r="N342" s="370">
        <f>Ponderações!P68*100</f>
        <v>0</v>
      </c>
      <c r="O342" s="370">
        <f>IF(SUM(O343:O346)&gt;N342,N342,SUM(O343:O346))</f>
        <v>0</v>
      </c>
      <c r="P342" s="353"/>
      <c r="Q342" s="298" t="s">
        <v>731</v>
      </c>
      <c r="R342" s="366"/>
      <c r="S342" s="370">
        <f>N342</f>
        <v>0</v>
      </c>
      <c r="T342" s="370">
        <f>IF(SUM(T343:T346)&gt;S342,S342,SUM(T343:T346))</f>
        <v>0</v>
      </c>
      <c r="U342" s="353"/>
      <c r="V342" s="298" t="s">
        <v>731</v>
      </c>
      <c r="W342" s="366"/>
      <c r="X342" s="370">
        <f>S342</f>
        <v>0</v>
      </c>
      <c r="Y342" s="370">
        <f>IF(SUM(Y343:Y346)&gt;X342,X342,SUM(Y343:Y346))</f>
        <v>0</v>
      </c>
      <c r="Z342" s="353"/>
      <c r="AA342" s="327"/>
      <c r="AD342" s="353"/>
    </row>
    <row r="343" spans="2:30" ht="14.65" customHeight="1" outlineLevel="3" x14ac:dyDescent="0.25">
      <c r="E343" s="35" t="s">
        <v>1349</v>
      </c>
      <c r="F343" s="35" t="s">
        <v>1302</v>
      </c>
      <c r="G343" s="35"/>
      <c r="H343" s="285">
        <f>IF(Checklist!J343="",0,Checklist!J343)</f>
        <v>0</v>
      </c>
      <c r="I343" s="285">
        <f>IF(Checklist!K343="",0,Checklist!K343)</f>
        <v>0</v>
      </c>
      <c r="J343" s="337"/>
      <c r="K343" s="337">
        <f>H343*AA343*$J$342</f>
        <v>0</v>
      </c>
      <c r="L343" s="338"/>
      <c r="M343" s="339">
        <f>I343*AA343*$L$342</f>
        <v>0</v>
      </c>
      <c r="N343" s="333"/>
      <c r="O343" s="333">
        <f t="shared" si="83"/>
        <v>0</v>
      </c>
      <c r="P343" s="353"/>
      <c r="Q343" s="285">
        <f>IF(Checklist!M343="",0,Checklist!M343)</f>
        <v>0</v>
      </c>
      <c r="R343" s="22"/>
      <c r="S343" s="334"/>
      <c r="T343" s="333">
        <f>Q343*AA343*$S$342</f>
        <v>0</v>
      </c>
      <c r="U343" s="353"/>
      <c r="V343" s="373">
        <f>IF(Checklist!P343="",0,Checklist!P343)</f>
        <v>0</v>
      </c>
      <c r="W343" s="22"/>
      <c r="X343" s="334"/>
      <c r="Y343" s="333">
        <f>V343*AA343*$X$342</f>
        <v>0</v>
      </c>
      <c r="Z343" s="353"/>
      <c r="AA343" s="335">
        <v>1</v>
      </c>
      <c r="AD343" s="353"/>
    </row>
    <row r="344" spans="2:30" ht="14.65" customHeight="1" outlineLevel="3" x14ac:dyDescent="0.25">
      <c r="E344" s="35" t="s">
        <v>1350</v>
      </c>
      <c r="F344" s="35" t="s">
        <v>1304</v>
      </c>
      <c r="G344" s="35"/>
      <c r="H344" s="285">
        <f>IF(Checklist!J344="",0,Checklist!J344)</f>
        <v>0</v>
      </c>
      <c r="I344" s="285">
        <f>IF(Checklist!K344="",0,Checklist!K344)</f>
        <v>0</v>
      </c>
      <c r="J344" s="337"/>
      <c r="K344" s="337">
        <f t="shared" ref="K344:K346" si="92">H344*AA344*$J$342</f>
        <v>0</v>
      </c>
      <c r="L344" s="338"/>
      <c r="M344" s="339">
        <f t="shared" ref="M344:M346" si="93">I344*AA344*$L$342</f>
        <v>0</v>
      </c>
      <c r="N344" s="333"/>
      <c r="O344" s="333">
        <f t="shared" si="83"/>
        <v>0</v>
      </c>
      <c r="P344" s="353"/>
      <c r="Q344" s="285">
        <f>IF(Checklist!M344="",0,Checklist!M344)</f>
        <v>0</v>
      </c>
      <c r="R344" s="22"/>
      <c r="S344" s="334"/>
      <c r="T344" s="333">
        <f t="shared" ref="T344:T346" si="94">Q344*AA344*$S$342</f>
        <v>0</v>
      </c>
      <c r="U344" s="353"/>
      <c r="V344" s="373">
        <f>IF(Checklist!P344="",0,Checklist!P344)</f>
        <v>0</v>
      </c>
      <c r="W344" s="22"/>
      <c r="X344" s="334"/>
      <c r="Y344" s="333">
        <f t="shared" ref="Y344:Y346" si="95">V344*AA344*$X$342</f>
        <v>0</v>
      </c>
      <c r="Z344" s="353"/>
      <c r="AA344" s="335">
        <v>0</v>
      </c>
      <c r="AD344" s="353"/>
    </row>
    <row r="345" spans="2:30" ht="14.65" customHeight="1" outlineLevel="3" x14ac:dyDescent="0.25">
      <c r="E345" s="35" t="s">
        <v>1351</v>
      </c>
      <c r="F345" s="35" t="s">
        <v>1306</v>
      </c>
      <c r="G345" s="35"/>
      <c r="H345" s="285">
        <f>IF(Checklist!J345="",0,Checklist!J345)</f>
        <v>0</v>
      </c>
      <c r="I345" s="285">
        <f>IF(Checklist!K345="",0,Checklist!K345)</f>
        <v>0</v>
      </c>
      <c r="J345" s="337"/>
      <c r="K345" s="337">
        <f t="shared" si="92"/>
        <v>0</v>
      </c>
      <c r="L345" s="338"/>
      <c r="M345" s="339">
        <f t="shared" si="93"/>
        <v>0</v>
      </c>
      <c r="N345" s="333"/>
      <c r="O345" s="333">
        <f>M345+K345</f>
        <v>0</v>
      </c>
      <c r="P345" s="353"/>
      <c r="Q345" s="285">
        <f>IF(Checklist!M345="",0,Checklist!M345)</f>
        <v>0</v>
      </c>
      <c r="R345" s="22"/>
      <c r="S345" s="334"/>
      <c r="T345" s="333">
        <f>Q345*AA345*$S$342</f>
        <v>0</v>
      </c>
      <c r="U345" s="353"/>
      <c r="V345" s="373">
        <f>IF(Checklist!P345="",0,Checklist!P345)</f>
        <v>0</v>
      </c>
      <c r="W345" s="22"/>
      <c r="X345" s="334"/>
      <c r="Y345" s="333">
        <f t="shared" si="95"/>
        <v>0</v>
      </c>
      <c r="Z345" s="353"/>
      <c r="AA345" s="335">
        <v>0</v>
      </c>
      <c r="AD345" s="353"/>
    </row>
    <row r="346" spans="2:30" ht="14.65" customHeight="1" outlineLevel="3" x14ac:dyDescent="0.25">
      <c r="E346" s="35" t="s">
        <v>1352</v>
      </c>
      <c r="F346" s="35" t="s">
        <v>943</v>
      </c>
      <c r="G346" s="35"/>
      <c r="H346" s="285">
        <f>IF(Checklist!J346="",0,Checklist!J346)</f>
        <v>0</v>
      </c>
      <c r="I346" s="285">
        <f>IF(Checklist!K346="",0,Checklist!K346)</f>
        <v>0</v>
      </c>
      <c r="J346" s="337"/>
      <c r="K346" s="337">
        <f t="shared" si="92"/>
        <v>0</v>
      </c>
      <c r="L346" s="338"/>
      <c r="M346" s="339">
        <f t="shared" si="93"/>
        <v>0</v>
      </c>
      <c r="N346" s="333"/>
      <c r="O346" s="333">
        <f t="shared" si="83"/>
        <v>0</v>
      </c>
      <c r="P346" s="353"/>
      <c r="Q346" s="285">
        <f>IF(Checklist!M346="",0,Checklist!M346)</f>
        <v>0</v>
      </c>
      <c r="R346" s="22"/>
      <c r="S346" s="334"/>
      <c r="T346" s="333">
        <f t="shared" si="94"/>
        <v>0</v>
      </c>
      <c r="U346" s="353"/>
      <c r="V346" s="373">
        <f>IF(Checklist!P346="",0,Checklist!P346)</f>
        <v>0</v>
      </c>
      <c r="W346" s="22"/>
      <c r="X346" s="334"/>
      <c r="Y346" s="333">
        <f t="shared" si="95"/>
        <v>0</v>
      </c>
      <c r="Z346" s="353"/>
      <c r="AA346" s="335">
        <v>0</v>
      </c>
      <c r="AD346" s="353"/>
    </row>
    <row r="347" spans="2:30" ht="14.65" customHeight="1" outlineLevel="1" x14ac:dyDescent="0.25">
      <c r="H347" s="291"/>
      <c r="I347" s="291"/>
      <c r="J347" s="315"/>
      <c r="K347" s="315"/>
      <c r="L347" s="316"/>
      <c r="M347" s="315"/>
      <c r="N347" s="317"/>
      <c r="O347" s="317"/>
      <c r="P347" s="353"/>
      <c r="Q347" s="291"/>
      <c r="R347" s="22"/>
      <c r="S347" s="315"/>
      <c r="T347" s="317"/>
      <c r="U347" s="353"/>
      <c r="V347" s="291"/>
      <c r="W347" s="22"/>
      <c r="X347" s="315"/>
      <c r="Y347" s="317"/>
      <c r="Z347" s="353"/>
      <c r="AA347" s="318"/>
      <c r="AD347" s="353"/>
    </row>
    <row r="348" spans="2:30" s="344" customFormat="1" outlineLevel="1" x14ac:dyDescent="0.25">
      <c r="B348" s="358"/>
      <c r="C348" s="348" t="s">
        <v>826</v>
      </c>
      <c r="D348" s="275" t="s">
        <v>827</v>
      </c>
      <c r="E348" s="359"/>
      <c r="F348" s="359"/>
      <c r="G348" s="359"/>
      <c r="H348" s="360"/>
      <c r="I348" s="361"/>
      <c r="J348" s="376">
        <f>N348*0.8</f>
        <v>0</v>
      </c>
      <c r="K348" s="376">
        <f>K349+K356+K362</f>
        <v>0</v>
      </c>
      <c r="L348" s="362">
        <f>N348*0.2</f>
        <v>0</v>
      </c>
      <c r="M348" s="362">
        <f>M349+M356+M362</f>
        <v>0</v>
      </c>
      <c r="N348" s="363">
        <f>N349+N356+N362</f>
        <v>0</v>
      </c>
      <c r="O348" s="363">
        <f>O349+O356+O362</f>
        <v>0</v>
      </c>
      <c r="P348" s="353"/>
      <c r="Q348" s="360"/>
      <c r="R348" s="323"/>
      <c r="S348" s="363">
        <f>N348</f>
        <v>0</v>
      </c>
      <c r="T348" s="363">
        <f>T349+T356+T362</f>
        <v>0</v>
      </c>
      <c r="U348" s="353"/>
      <c r="V348" s="360"/>
      <c r="W348" s="323"/>
      <c r="X348" s="363">
        <f>S348</f>
        <v>0</v>
      </c>
      <c r="Y348" s="363">
        <f>Y349+Y356+Y362</f>
        <v>0</v>
      </c>
      <c r="Z348" s="353"/>
      <c r="AA348" s="322"/>
      <c r="AD348" s="353"/>
    </row>
    <row r="349" spans="2:30" s="342" customFormat="1" ht="14.65" customHeight="1" outlineLevel="2" x14ac:dyDescent="0.25">
      <c r="B349" s="374"/>
      <c r="D349" s="36" t="s">
        <v>828</v>
      </c>
      <c r="E349" s="36" t="s">
        <v>1353</v>
      </c>
      <c r="F349" s="36"/>
      <c r="G349" s="36"/>
      <c r="H349" s="298" t="s">
        <v>732</v>
      </c>
      <c r="I349" s="297" t="s">
        <v>732</v>
      </c>
      <c r="J349" s="368">
        <f>N349*0.8</f>
        <v>0</v>
      </c>
      <c r="K349" s="368">
        <f>IF(SUM(K350:K355)&gt;J349,J349,SUM(K350:K355))</f>
        <v>0</v>
      </c>
      <c r="L349" s="369">
        <f>N349*0.2</f>
        <v>0</v>
      </c>
      <c r="M349" s="369">
        <f>IF(SUM(M350:M355)&gt;L349,L349,SUM(M350:M355))</f>
        <v>0</v>
      </c>
      <c r="N349" s="370">
        <f>Ponderações!P70*100</f>
        <v>0</v>
      </c>
      <c r="O349" s="370">
        <f>IF(SUM(O350:O355)&gt;N349,N349,SUM(O350:O355))</f>
        <v>0</v>
      </c>
      <c r="P349" s="353"/>
      <c r="Q349" s="298" t="s">
        <v>732</v>
      </c>
      <c r="R349" s="366"/>
      <c r="S349" s="370">
        <f>N349</f>
        <v>0</v>
      </c>
      <c r="T349" s="370">
        <f>IF(SUM(T350:T355)&gt;S349,S349,SUM(T350:T355))</f>
        <v>0</v>
      </c>
      <c r="U349" s="353"/>
      <c r="V349" s="298" t="s">
        <v>732</v>
      </c>
      <c r="W349" s="366"/>
      <c r="X349" s="370">
        <f>S349</f>
        <v>0</v>
      </c>
      <c r="Y349" s="370">
        <f>IF(SUM(Y350:Y355)&gt;X349,X349,SUM(Y350:Y355))</f>
        <v>0</v>
      </c>
      <c r="Z349" s="353"/>
      <c r="AA349" s="327"/>
      <c r="AD349" s="353"/>
    </row>
    <row r="350" spans="2:30" ht="14.65" customHeight="1" outlineLevel="3" x14ac:dyDescent="0.25">
      <c r="B350" s="22"/>
      <c r="E350" s="35" t="s">
        <v>1354</v>
      </c>
      <c r="F350" s="35" t="s">
        <v>1355</v>
      </c>
      <c r="G350" s="35"/>
      <c r="H350" s="285">
        <f>IF(Checklist!J350="",0,Checklist!J350)</f>
        <v>0</v>
      </c>
      <c r="I350" s="285">
        <f>IF(Checklist!K350="",0,Checklist!K350)</f>
        <v>0</v>
      </c>
      <c r="J350" s="337"/>
      <c r="K350" s="337">
        <f>H350*AA350*$J$349</f>
        <v>0</v>
      </c>
      <c r="L350" s="338"/>
      <c r="M350" s="339">
        <f>I350*AA350*$L$349</f>
        <v>0</v>
      </c>
      <c r="N350" s="333"/>
      <c r="O350" s="333">
        <f>M350+K350</f>
        <v>0</v>
      </c>
      <c r="P350" s="353"/>
      <c r="Q350" s="285">
        <f>IF(Checklist!M350="",0,Checklist!M350)</f>
        <v>0</v>
      </c>
      <c r="R350" s="22"/>
      <c r="S350" s="334"/>
      <c r="T350" s="333">
        <f>Q350*AA350*$S$349</f>
        <v>0</v>
      </c>
      <c r="U350" s="353"/>
      <c r="V350" s="373">
        <f>IF(Checklist!P350="",0,Checklist!P350)</f>
        <v>0</v>
      </c>
      <c r="W350" s="22"/>
      <c r="X350" s="334"/>
      <c r="Y350" s="333">
        <f>V350*AA350*$X$349</f>
        <v>0</v>
      </c>
      <c r="Z350" s="353"/>
      <c r="AA350" s="335">
        <v>0.4</v>
      </c>
      <c r="AD350" s="353"/>
    </row>
    <row r="351" spans="2:30" ht="14.65" customHeight="1" outlineLevel="3" x14ac:dyDescent="0.25">
      <c r="B351" s="22"/>
      <c r="E351" s="35" t="s">
        <v>1356</v>
      </c>
      <c r="F351" s="35" t="s">
        <v>1359</v>
      </c>
      <c r="G351" s="35"/>
      <c r="H351" s="285">
        <f>IF(Checklist!J351="",0,Checklist!J351)</f>
        <v>0</v>
      </c>
      <c r="I351" s="285">
        <f>IF(Checklist!K351="",0,Checklist!K351)</f>
        <v>0</v>
      </c>
      <c r="J351" s="337"/>
      <c r="K351" s="337">
        <f t="shared" ref="K351:K355" si="96">H351*AA351*$J$349</f>
        <v>0</v>
      </c>
      <c r="L351" s="338"/>
      <c r="M351" s="339">
        <f t="shared" ref="M351:M355" si="97">I351*AA351*$L$349</f>
        <v>0</v>
      </c>
      <c r="N351" s="333"/>
      <c r="O351" s="333">
        <f t="shared" ref="O351:O361" si="98">M351+K351</f>
        <v>0</v>
      </c>
      <c r="P351" s="353"/>
      <c r="Q351" s="285">
        <f>IF(Checklist!M351="",0,Checklist!M351)</f>
        <v>0</v>
      </c>
      <c r="R351" s="22"/>
      <c r="S351" s="334"/>
      <c r="T351" s="333">
        <f t="shared" ref="T351:T355" si="99">Q351*AA351*$S$349</f>
        <v>0</v>
      </c>
      <c r="U351" s="353"/>
      <c r="V351" s="373">
        <f>IF(Checklist!P351="",0,Checklist!P351)</f>
        <v>0</v>
      </c>
      <c r="W351" s="22"/>
      <c r="X351" s="334"/>
      <c r="Y351" s="333">
        <f t="shared" ref="Y351:Y355" si="100">V351*AA351*$X$349</f>
        <v>0</v>
      </c>
      <c r="Z351" s="353"/>
      <c r="AA351" s="335">
        <v>0.3</v>
      </c>
      <c r="AD351" s="353"/>
    </row>
    <row r="352" spans="2:30" ht="14.65" customHeight="1" outlineLevel="3" x14ac:dyDescent="0.25">
      <c r="B352" s="22"/>
      <c r="E352" s="35" t="s">
        <v>1358</v>
      </c>
      <c r="F352" s="35" t="s">
        <v>1361</v>
      </c>
      <c r="G352" s="35"/>
      <c r="H352" s="285">
        <f>IF(Checklist!J352="",0,Checklist!J352)</f>
        <v>0</v>
      </c>
      <c r="I352" s="285">
        <f>IF(Checklist!K352="",0,Checklist!K352)</f>
        <v>0</v>
      </c>
      <c r="J352" s="337"/>
      <c r="K352" s="337">
        <f t="shared" si="96"/>
        <v>0</v>
      </c>
      <c r="L352" s="338"/>
      <c r="M352" s="339">
        <f t="shared" si="97"/>
        <v>0</v>
      </c>
      <c r="N352" s="333"/>
      <c r="O352" s="333">
        <f t="shared" si="98"/>
        <v>0</v>
      </c>
      <c r="P352" s="353"/>
      <c r="Q352" s="285">
        <f>IF(Checklist!M352="",0,Checklist!M352)</f>
        <v>0</v>
      </c>
      <c r="R352" s="22"/>
      <c r="S352" s="334"/>
      <c r="T352" s="333">
        <f t="shared" si="99"/>
        <v>0</v>
      </c>
      <c r="U352" s="353"/>
      <c r="V352" s="373">
        <f>IF(Checklist!P352="",0,Checklist!P352)</f>
        <v>0</v>
      </c>
      <c r="W352" s="22"/>
      <c r="X352" s="334"/>
      <c r="Y352" s="333">
        <f t="shared" si="100"/>
        <v>0</v>
      </c>
      <c r="Z352" s="353"/>
      <c r="AA352" s="335">
        <v>0.2</v>
      </c>
      <c r="AD352" s="353"/>
    </row>
    <row r="353" spans="2:30" ht="14.65" customHeight="1" outlineLevel="3" x14ac:dyDescent="0.25">
      <c r="B353" s="22"/>
      <c r="E353" s="35" t="s">
        <v>1360</v>
      </c>
      <c r="F353" s="35" t="s">
        <v>1357</v>
      </c>
      <c r="G353" s="35"/>
      <c r="H353" s="285">
        <f>IF(Checklist!J353="",0,Checklist!J353)</f>
        <v>0</v>
      </c>
      <c r="I353" s="285">
        <f>IF(Checklist!K353="",0,Checklist!K353)</f>
        <v>0</v>
      </c>
      <c r="J353" s="337"/>
      <c r="K353" s="337">
        <f t="shared" si="96"/>
        <v>0</v>
      </c>
      <c r="L353" s="338"/>
      <c r="M353" s="339">
        <f t="shared" si="97"/>
        <v>0</v>
      </c>
      <c r="N353" s="333"/>
      <c r="O353" s="333">
        <f t="shared" si="98"/>
        <v>0</v>
      </c>
      <c r="P353" s="353"/>
      <c r="Q353" s="285">
        <f>IF(Checklist!M353="",0,Checklist!M353)</f>
        <v>0</v>
      </c>
      <c r="R353" s="22"/>
      <c r="S353" s="334"/>
      <c r="T353" s="333">
        <f t="shared" si="99"/>
        <v>0</v>
      </c>
      <c r="U353" s="353"/>
      <c r="V353" s="373">
        <f>IF(Checklist!P353="",0,Checklist!P353)</f>
        <v>0</v>
      </c>
      <c r="W353" s="22"/>
      <c r="X353" s="334"/>
      <c r="Y353" s="333">
        <f t="shared" si="100"/>
        <v>0</v>
      </c>
      <c r="Z353" s="353"/>
      <c r="AA353" s="335">
        <v>0.1</v>
      </c>
      <c r="AD353" s="353"/>
    </row>
    <row r="354" spans="2:30" ht="14.65" customHeight="1" outlineLevel="3" x14ac:dyDescent="0.25">
      <c r="B354" s="22"/>
      <c r="E354" s="35" t="s">
        <v>1362</v>
      </c>
      <c r="F354" s="35" t="s">
        <v>941</v>
      </c>
      <c r="G354" s="35"/>
      <c r="H354" s="285">
        <f>IF(Checklist!J354="",0,Checklist!J354)</f>
        <v>0</v>
      </c>
      <c r="I354" s="285">
        <f>IF(Checklist!K354="",0,Checklist!K354)</f>
        <v>0</v>
      </c>
      <c r="J354" s="337"/>
      <c r="K354" s="337">
        <f t="shared" si="96"/>
        <v>0</v>
      </c>
      <c r="L354" s="338"/>
      <c r="M354" s="339">
        <f t="shared" si="97"/>
        <v>0</v>
      </c>
      <c r="N354" s="333"/>
      <c r="O354" s="333">
        <f t="shared" si="98"/>
        <v>0</v>
      </c>
      <c r="P354" s="353"/>
      <c r="Q354" s="285">
        <f>IF(Checklist!M354="",0,Checklist!M354)</f>
        <v>0</v>
      </c>
      <c r="R354" s="22"/>
      <c r="S354" s="334"/>
      <c r="T354" s="333">
        <f t="shared" si="99"/>
        <v>0</v>
      </c>
      <c r="U354" s="353"/>
      <c r="V354" s="373">
        <f>IF(Checklist!P354="",0,Checklist!P354)</f>
        <v>0</v>
      </c>
      <c r="W354" s="22"/>
      <c r="X354" s="334"/>
      <c r="Y354" s="333">
        <f t="shared" si="100"/>
        <v>0</v>
      </c>
      <c r="Z354" s="353"/>
      <c r="AA354" s="335">
        <v>0</v>
      </c>
      <c r="AD354" s="353"/>
    </row>
    <row r="355" spans="2:30" ht="14.65" customHeight="1" outlineLevel="3" x14ac:dyDescent="0.25">
      <c r="B355" s="22"/>
      <c r="E355" s="35" t="s">
        <v>1363</v>
      </c>
      <c r="F355" s="35" t="s">
        <v>943</v>
      </c>
      <c r="G355" s="35"/>
      <c r="H355" s="285">
        <f>IF(Checklist!J355="",0,Checklist!J355)</f>
        <v>0</v>
      </c>
      <c r="I355" s="285">
        <f>IF(Checklist!K355="",0,Checklist!K355)</f>
        <v>0</v>
      </c>
      <c r="J355" s="337"/>
      <c r="K355" s="337">
        <f t="shared" si="96"/>
        <v>0</v>
      </c>
      <c r="L355" s="338"/>
      <c r="M355" s="339">
        <f t="shared" si="97"/>
        <v>0</v>
      </c>
      <c r="N355" s="333"/>
      <c r="O355" s="333">
        <f t="shared" si="98"/>
        <v>0</v>
      </c>
      <c r="P355" s="353"/>
      <c r="Q355" s="285">
        <f>IF(Checklist!M355="",0,Checklist!M355)</f>
        <v>0</v>
      </c>
      <c r="R355" s="22"/>
      <c r="S355" s="334"/>
      <c r="T355" s="333">
        <f t="shared" si="99"/>
        <v>0</v>
      </c>
      <c r="U355" s="353"/>
      <c r="V355" s="373">
        <f>IF(Checklist!P355="",0,Checklist!P355)</f>
        <v>0</v>
      </c>
      <c r="W355" s="22"/>
      <c r="X355" s="334"/>
      <c r="Y355" s="333">
        <f t="shared" si="100"/>
        <v>0</v>
      </c>
      <c r="Z355" s="353"/>
      <c r="AA355" s="335">
        <v>0</v>
      </c>
      <c r="AD355" s="353"/>
    </row>
    <row r="356" spans="2:30" s="342" customFormat="1" ht="14.65" customHeight="1" outlineLevel="2" x14ac:dyDescent="0.25">
      <c r="B356" s="374"/>
      <c r="D356" s="36" t="s">
        <v>830</v>
      </c>
      <c r="E356" s="36" t="s">
        <v>1364</v>
      </c>
      <c r="F356" s="36"/>
      <c r="G356" s="36"/>
      <c r="H356" s="298" t="s">
        <v>731</v>
      </c>
      <c r="I356" s="297" t="s">
        <v>731</v>
      </c>
      <c r="J356" s="368">
        <f>N356*0.8</f>
        <v>0</v>
      </c>
      <c r="K356" s="368">
        <f>IF(SUM(K357:K361)&gt;J356,J356,SUM(K357:K361))</f>
        <v>0</v>
      </c>
      <c r="L356" s="369">
        <f>N356*0.2</f>
        <v>0</v>
      </c>
      <c r="M356" s="369">
        <f>IF(SUM(M357:M361)&gt;L356,L356,SUM(M357:M361))</f>
        <v>0</v>
      </c>
      <c r="N356" s="370">
        <f>Ponderações!P71*100</f>
        <v>0</v>
      </c>
      <c r="O356" s="370">
        <f>IF(SUM(O357:O361)&gt;N356,N356,SUM(O357:O361))</f>
        <v>0</v>
      </c>
      <c r="P356" s="353"/>
      <c r="Q356" s="298" t="s">
        <v>731</v>
      </c>
      <c r="R356" s="366"/>
      <c r="S356" s="370">
        <f>N356</f>
        <v>0</v>
      </c>
      <c r="T356" s="370">
        <f>IF(SUM(T357:T361)&gt;S356,S356,SUM(T357:T361))</f>
        <v>0</v>
      </c>
      <c r="U356" s="353"/>
      <c r="V356" s="298" t="s">
        <v>731</v>
      </c>
      <c r="W356" s="366"/>
      <c r="X356" s="370">
        <f>S356</f>
        <v>0</v>
      </c>
      <c r="Y356" s="370">
        <f>IF(SUM(Y357:Y361)&gt;X356,X356,SUM(Y357:Y361))</f>
        <v>0</v>
      </c>
      <c r="Z356" s="353"/>
      <c r="AA356" s="327"/>
      <c r="AD356" s="353"/>
    </row>
    <row r="357" spans="2:30" ht="14.65" customHeight="1" outlineLevel="3" x14ac:dyDescent="0.25">
      <c r="E357" s="35" t="s">
        <v>1365</v>
      </c>
      <c r="F357" s="35" t="s">
        <v>1366</v>
      </c>
      <c r="G357" s="35"/>
      <c r="H357" s="285">
        <f>IF(Checklist!J357="",0,Checklist!J357)</f>
        <v>0</v>
      </c>
      <c r="I357" s="285">
        <f>IF(Checklist!K357="",0,Checklist!K357)</f>
        <v>0</v>
      </c>
      <c r="J357" s="337"/>
      <c r="K357" s="337">
        <f>H357*AA357*$J$356</f>
        <v>0</v>
      </c>
      <c r="L357" s="338"/>
      <c r="M357" s="339">
        <f>I357*AA357*$L$356</f>
        <v>0</v>
      </c>
      <c r="N357" s="333"/>
      <c r="O357" s="333">
        <f t="shared" si="98"/>
        <v>0</v>
      </c>
      <c r="P357" s="353"/>
      <c r="Q357" s="285">
        <f>IF(Checklist!M357="",0,Checklist!M357)</f>
        <v>0</v>
      </c>
      <c r="R357" s="22"/>
      <c r="S357" s="334"/>
      <c r="T357" s="333">
        <f>Q357*AA357*$S$356</f>
        <v>0</v>
      </c>
      <c r="U357" s="353"/>
      <c r="V357" s="373">
        <f>IF(Checklist!P357="",0,Checklist!P357)</f>
        <v>0</v>
      </c>
      <c r="W357" s="22"/>
      <c r="X357" s="334"/>
      <c r="Y357" s="333">
        <f>V357*AA357*$X$356</f>
        <v>0</v>
      </c>
      <c r="Z357" s="353"/>
      <c r="AA357" s="335">
        <v>1</v>
      </c>
      <c r="AD357" s="353"/>
    </row>
    <row r="358" spans="2:30" ht="14.65" customHeight="1" outlineLevel="3" x14ac:dyDescent="0.25">
      <c r="E358" s="35" t="s">
        <v>1367</v>
      </c>
      <c r="F358" s="35" t="s">
        <v>1368</v>
      </c>
      <c r="G358" s="35"/>
      <c r="H358" s="285">
        <f>IF(Checklist!J358="",0,Checklist!J358)</f>
        <v>0</v>
      </c>
      <c r="I358" s="285">
        <f>IF(Checklist!K358="",0,Checklist!K358)</f>
        <v>0</v>
      </c>
      <c r="J358" s="337"/>
      <c r="K358" s="337">
        <f t="shared" ref="K358:K361" si="101">H358*AA358*$J$356</f>
        <v>0</v>
      </c>
      <c r="L358" s="338"/>
      <c r="M358" s="339">
        <f t="shared" ref="M358:M361" si="102">I358*AA358*$L$356</f>
        <v>0</v>
      </c>
      <c r="N358" s="333"/>
      <c r="O358" s="333">
        <f t="shared" si="98"/>
        <v>0</v>
      </c>
      <c r="P358" s="353"/>
      <c r="Q358" s="285">
        <f>IF(Checklist!M358="",0,Checklist!M358)</f>
        <v>0</v>
      </c>
      <c r="R358" s="22"/>
      <c r="S358" s="334"/>
      <c r="T358" s="333">
        <f t="shared" ref="T358:T361" si="103">Q358*AA358*$S$356</f>
        <v>0</v>
      </c>
      <c r="U358" s="353"/>
      <c r="V358" s="373">
        <f>IF(Checklist!P358="",0,Checklist!P358)</f>
        <v>0</v>
      </c>
      <c r="W358" s="22"/>
      <c r="X358" s="334"/>
      <c r="Y358" s="333">
        <f t="shared" ref="Y358:Y361" si="104">V358*AA358*$X$356</f>
        <v>0</v>
      </c>
      <c r="Z358" s="353"/>
      <c r="AA358" s="335">
        <v>0.75</v>
      </c>
      <c r="AD358" s="353"/>
    </row>
    <row r="359" spans="2:30" ht="14.65" customHeight="1" outlineLevel="3" x14ac:dyDescent="0.25">
      <c r="E359" s="35" t="s">
        <v>1369</v>
      </c>
      <c r="F359" s="35" t="s">
        <v>1370</v>
      </c>
      <c r="G359" s="35"/>
      <c r="H359" s="285">
        <f>IF(Checklist!J359="",0,Checklist!J359)</f>
        <v>0</v>
      </c>
      <c r="I359" s="285">
        <f>IF(Checklist!K359="",0,Checklist!K359)</f>
        <v>0</v>
      </c>
      <c r="J359" s="337"/>
      <c r="K359" s="337">
        <f t="shared" si="101"/>
        <v>0</v>
      </c>
      <c r="L359" s="338"/>
      <c r="M359" s="339">
        <f t="shared" si="102"/>
        <v>0</v>
      </c>
      <c r="N359" s="333"/>
      <c r="O359" s="333">
        <f t="shared" si="98"/>
        <v>0</v>
      </c>
      <c r="P359" s="353"/>
      <c r="Q359" s="285">
        <f>IF(Checklist!M359="",0,Checklist!M359)</f>
        <v>0</v>
      </c>
      <c r="R359" s="22"/>
      <c r="S359" s="334"/>
      <c r="T359" s="333">
        <f t="shared" si="103"/>
        <v>0</v>
      </c>
      <c r="U359" s="353"/>
      <c r="V359" s="373">
        <f>IF(Checklist!P359="",0,Checklist!P359)</f>
        <v>0</v>
      </c>
      <c r="W359" s="22"/>
      <c r="X359" s="334"/>
      <c r="Y359" s="333">
        <f t="shared" si="104"/>
        <v>0</v>
      </c>
      <c r="Z359" s="353"/>
      <c r="AA359" s="335">
        <v>0.25</v>
      </c>
      <c r="AD359" s="353"/>
    </row>
    <row r="360" spans="2:30" ht="14.65" customHeight="1" outlineLevel="3" x14ac:dyDescent="0.25">
      <c r="E360" s="35" t="s">
        <v>1371</v>
      </c>
      <c r="F360" s="35" t="s">
        <v>1770</v>
      </c>
      <c r="G360" s="35"/>
      <c r="H360" s="285">
        <f>IF(Checklist!J360="",0,Checklist!J360)</f>
        <v>0</v>
      </c>
      <c r="I360" s="285">
        <f>IF(Checklist!K360="",0,Checklist!K360)</f>
        <v>0</v>
      </c>
      <c r="J360" s="337"/>
      <c r="K360" s="337">
        <f t="shared" si="101"/>
        <v>0</v>
      </c>
      <c r="L360" s="338"/>
      <c r="M360" s="339">
        <f t="shared" si="102"/>
        <v>0</v>
      </c>
      <c r="N360" s="333"/>
      <c r="O360" s="333">
        <f>M360+K360</f>
        <v>0</v>
      </c>
      <c r="P360" s="353"/>
      <c r="Q360" s="285">
        <f>IF(Checklist!M360="",0,Checklist!M360)</f>
        <v>0</v>
      </c>
      <c r="R360" s="22"/>
      <c r="S360" s="334"/>
      <c r="T360" s="333">
        <f t="shared" si="103"/>
        <v>0</v>
      </c>
      <c r="U360" s="353"/>
      <c r="V360" s="373">
        <f>IF(Checklist!P360="",0,Checklist!P360)</f>
        <v>0</v>
      </c>
      <c r="W360" s="22"/>
      <c r="X360" s="334"/>
      <c r="Y360" s="333">
        <f t="shared" si="104"/>
        <v>0</v>
      </c>
      <c r="Z360" s="353"/>
      <c r="AA360" s="335">
        <v>0</v>
      </c>
      <c r="AD360" s="353"/>
    </row>
    <row r="361" spans="2:30" ht="14.65" customHeight="1" outlineLevel="3" x14ac:dyDescent="0.25">
      <c r="E361" s="35" t="s">
        <v>1372</v>
      </c>
      <c r="F361" s="35" t="s">
        <v>943</v>
      </c>
      <c r="G361" s="35"/>
      <c r="H361" s="285">
        <f>IF(Checklist!J361="",0,Checklist!J361)</f>
        <v>1</v>
      </c>
      <c r="I361" s="285">
        <f>IF(Checklist!K361="",0,Checklist!K361)</f>
        <v>1</v>
      </c>
      <c r="J361" s="337"/>
      <c r="K361" s="337">
        <f t="shared" si="101"/>
        <v>0</v>
      </c>
      <c r="L361" s="338"/>
      <c r="M361" s="339">
        <f t="shared" si="102"/>
        <v>0</v>
      </c>
      <c r="N361" s="333"/>
      <c r="O361" s="333">
        <f t="shared" si="98"/>
        <v>0</v>
      </c>
      <c r="P361" s="353"/>
      <c r="Q361" s="285">
        <f>IF(Checklist!M361="",0,Checklist!M361)</f>
        <v>1</v>
      </c>
      <c r="R361" s="22"/>
      <c r="S361" s="334"/>
      <c r="T361" s="333">
        <f t="shared" si="103"/>
        <v>0</v>
      </c>
      <c r="U361" s="353"/>
      <c r="V361" s="373">
        <f>IF(Checklist!P361="",0,Checklist!P361)</f>
        <v>1</v>
      </c>
      <c r="W361" s="22"/>
      <c r="X361" s="334"/>
      <c r="Y361" s="333">
        <f t="shared" si="104"/>
        <v>0</v>
      </c>
      <c r="Z361" s="353"/>
      <c r="AA361" s="335">
        <v>0</v>
      </c>
      <c r="AD361" s="353"/>
    </row>
    <row r="362" spans="2:30" s="342" customFormat="1" ht="14.65" customHeight="1" outlineLevel="2" x14ac:dyDescent="0.25">
      <c r="B362" s="374"/>
      <c r="D362" s="36" t="s">
        <v>832</v>
      </c>
      <c r="E362" s="36" t="s">
        <v>1373</v>
      </c>
      <c r="F362" s="36"/>
      <c r="G362" s="36"/>
      <c r="H362" s="298" t="s">
        <v>731</v>
      </c>
      <c r="I362" s="297" t="s">
        <v>731</v>
      </c>
      <c r="J362" s="368">
        <f>N362*0.8</f>
        <v>0</v>
      </c>
      <c r="K362" s="368">
        <f>IF(SUM(K363:K366)&gt;J362,J362,SUM(K363:K366))</f>
        <v>0</v>
      </c>
      <c r="L362" s="369">
        <f>N362*0.2</f>
        <v>0</v>
      </c>
      <c r="M362" s="369">
        <f>IF(SUM(M363:M366)&gt;L362,L362,SUM(M363:M366))</f>
        <v>0</v>
      </c>
      <c r="N362" s="370">
        <f>Ponderações!P72*100</f>
        <v>0</v>
      </c>
      <c r="O362" s="370">
        <f>IF(SUM(O363:O366)&gt;N362,N362,SUM(O363:O366))</f>
        <v>0</v>
      </c>
      <c r="P362" s="353"/>
      <c r="Q362" s="298" t="s">
        <v>731</v>
      </c>
      <c r="R362" s="366"/>
      <c r="S362" s="370">
        <f>N362</f>
        <v>0</v>
      </c>
      <c r="T362" s="370">
        <f>IF(SUM(T363:T366)&gt;S362,S362,SUM(T363:T366))</f>
        <v>0</v>
      </c>
      <c r="U362" s="353"/>
      <c r="V362" s="298" t="s">
        <v>731</v>
      </c>
      <c r="W362" s="366"/>
      <c r="X362" s="370">
        <f>S362</f>
        <v>0</v>
      </c>
      <c r="Y362" s="370">
        <f>IF(SUM(Y363:Y366)&gt;X362,X362,SUM(Y363:Y366))</f>
        <v>0</v>
      </c>
      <c r="Z362" s="353"/>
      <c r="AA362" s="327"/>
      <c r="AD362" s="353"/>
    </row>
    <row r="363" spans="2:30" ht="14.65" customHeight="1" outlineLevel="3" x14ac:dyDescent="0.25">
      <c r="E363" s="35" t="s">
        <v>1374</v>
      </c>
      <c r="F363" s="35" t="s">
        <v>1375</v>
      </c>
      <c r="G363" s="35"/>
      <c r="H363" s="285">
        <f>IF(Checklist!J363="",0,Checklist!J363)</f>
        <v>0</v>
      </c>
      <c r="I363" s="285">
        <f>IF(Checklist!K363="",0,Checklist!K363)</f>
        <v>0</v>
      </c>
      <c r="J363" s="337"/>
      <c r="K363" s="337">
        <f>H363*AA363*$J$362</f>
        <v>0</v>
      </c>
      <c r="L363" s="338"/>
      <c r="M363" s="339">
        <f>I363*AA363*$L$362</f>
        <v>0</v>
      </c>
      <c r="N363" s="333"/>
      <c r="O363" s="333">
        <f t="shared" ref="O363:O365" si="105">M363+K363</f>
        <v>0</v>
      </c>
      <c r="P363" s="353"/>
      <c r="Q363" s="285">
        <f>IF(Checklist!M363="",0,Checklist!M363)</f>
        <v>0</v>
      </c>
      <c r="R363" s="22"/>
      <c r="S363" s="334"/>
      <c r="T363" s="333">
        <f>Q363*AA363*$S$362</f>
        <v>0</v>
      </c>
      <c r="U363" s="353"/>
      <c r="V363" s="373">
        <f>IF(Checklist!P363="",0,Checklist!P363)</f>
        <v>0</v>
      </c>
      <c r="W363" s="22"/>
      <c r="X363" s="334"/>
      <c r="Y363" s="333">
        <f>V363*AA363*$X$362</f>
        <v>0</v>
      </c>
      <c r="Z363" s="353"/>
      <c r="AA363" s="335">
        <v>1</v>
      </c>
      <c r="AD363" s="353"/>
    </row>
    <row r="364" spans="2:30" ht="14.65" customHeight="1" outlineLevel="3" x14ac:dyDescent="0.25">
      <c r="E364" s="35" t="s">
        <v>1376</v>
      </c>
      <c r="F364" s="35" t="s">
        <v>1377</v>
      </c>
      <c r="G364" s="35"/>
      <c r="H364" s="285">
        <f>IF(Checklist!J364="",0,Checklist!J364)</f>
        <v>0</v>
      </c>
      <c r="I364" s="285">
        <f>IF(Checklist!K364="",0,Checklist!K364)</f>
        <v>0</v>
      </c>
      <c r="J364" s="337"/>
      <c r="K364" s="337">
        <f t="shared" ref="K364:K366" si="106">H364*AA364*$J$362</f>
        <v>0</v>
      </c>
      <c r="L364" s="338"/>
      <c r="M364" s="339">
        <f t="shared" ref="M364:M366" si="107">I364*AA364*$L$362</f>
        <v>0</v>
      </c>
      <c r="N364" s="333"/>
      <c r="O364" s="333">
        <f t="shared" si="105"/>
        <v>0</v>
      </c>
      <c r="P364" s="353"/>
      <c r="Q364" s="285">
        <f>IF(Checklist!M364="",0,Checklist!M364)</f>
        <v>0</v>
      </c>
      <c r="R364" s="22"/>
      <c r="S364" s="334"/>
      <c r="T364" s="333">
        <f t="shared" ref="T364:T366" si="108">Q364*AA364*$S$362</f>
        <v>0</v>
      </c>
      <c r="U364" s="353"/>
      <c r="V364" s="373">
        <f>IF(Checklist!P364="",0,Checklist!P364)</f>
        <v>0</v>
      </c>
      <c r="W364" s="22"/>
      <c r="X364" s="334"/>
      <c r="Y364" s="333">
        <f t="shared" ref="Y364:Y366" si="109">V364*AA364*$X$362</f>
        <v>0</v>
      </c>
      <c r="Z364" s="353"/>
      <c r="AA364" s="335">
        <v>0.5</v>
      </c>
      <c r="AD364" s="353"/>
    </row>
    <row r="365" spans="2:30" ht="14.65" customHeight="1" outlineLevel="3" x14ac:dyDescent="0.25">
      <c r="E365" s="35" t="s">
        <v>1378</v>
      </c>
      <c r="F365" s="35" t="s">
        <v>1379</v>
      </c>
      <c r="G365" s="35"/>
      <c r="H365" s="285">
        <f>IF(Checklist!J365="",0,Checklist!J365)</f>
        <v>0</v>
      </c>
      <c r="I365" s="285">
        <f>IF(Checklist!K365="",0,Checklist!K365)</f>
        <v>0</v>
      </c>
      <c r="J365" s="337"/>
      <c r="K365" s="337">
        <f t="shared" si="106"/>
        <v>0</v>
      </c>
      <c r="L365" s="338"/>
      <c r="M365" s="339">
        <f t="shared" si="107"/>
        <v>0</v>
      </c>
      <c r="N365" s="333"/>
      <c r="O365" s="333">
        <f t="shared" si="105"/>
        <v>0</v>
      </c>
      <c r="P365" s="353"/>
      <c r="Q365" s="285">
        <f>IF(Checklist!M365="",0,Checklist!M365)</f>
        <v>0</v>
      </c>
      <c r="R365" s="22"/>
      <c r="S365" s="334"/>
      <c r="T365" s="333">
        <f t="shared" si="108"/>
        <v>0</v>
      </c>
      <c r="U365" s="353"/>
      <c r="V365" s="373">
        <f>IF(Checklist!P365="",0,Checklist!P365)</f>
        <v>0</v>
      </c>
      <c r="W365" s="22"/>
      <c r="X365" s="334"/>
      <c r="Y365" s="333">
        <f t="shared" si="109"/>
        <v>0</v>
      </c>
      <c r="Z365" s="353"/>
      <c r="AA365" s="335">
        <v>0</v>
      </c>
      <c r="AD365" s="353"/>
    </row>
    <row r="366" spans="2:30" ht="14.65" customHeight="1" outlineLevel="3" x14ac:dyDescent="0.25">
      <c r="E366" s="35" t="s">
        <v>1380</v>
      </c>
      <c r="F366" s="35" t="s">
        <v>943</v>
      </c>
      <c r="G366" s="35"/>
      <c r="H366" s="285">
        <f>IF(Checklist!J366="",0,Checklist!J366)</f>
        <v>1</v>
      </c>
      <c r="I366" s="285">
        <f>IF(Checklist!K366="",0,Checklist!K366)</f>
        <v>1</v>
      </c>
      <c r="J366" s="337"/>
      <c r="K366" s="337">
        <f t="shared" si="106"/>
        <v>0</v>
      </c>
      <c r="L366" s="338"/>
      <c r="M366" s="339">
        <f t="shared" si="107"/>
        <v>0</v>
      </c>
      <c r="N366" s="333"/>
      <c r="O366" s="333">
        <f>M366+K366</f>
        <v>0</v>
      </c>
      <c r="P366" s="353"/>
      <c r="Q366" s="285">
        <f>IF(Checklist!M366="",0,Checklist!M366)</f>
        <v>1</v>
      </c>
      <c r="R366" s="22"/>
      <c r="S366" s="334"/>
      <c r="T366" s="333">
        <f t="shared" si="108"/>
        <v>0</v>
      </c>
      <c r="U366" s="353"/>
      <c r="V366" s="373">
        <f>IF(Checklist!P366="",0,Checklist!P366)</f>
        <v>1</v>
      </c>
      <c r="W366" s="22"/>
      <c r="X366" s="334"/>
      <c r="Y366" s="333">
        <f t="shared" si="109"/>
        <v>0</v>
      </c>
      <c r="Z366" s="353"/>
      <c r="AA366" s="335">
        <v>0</v>
      </c>
      <c r="AD366" s="353"/>
    </row>
    <row r="367" spans="2:30" ht="14.65" customHeight="1" outlineLevel="1" x14ac:dyDescent="0.25">
      <c r="H367" s="291"/>
      <c r="I367" s="291"/>
      <c r="J367" s="315"/>
      <c r="K367" s="315"/>
      <c r="L367" s="316"/>
      <c r="M367" s="315"/>
      <c r="N367" s="317"/>
      <c r="O367" s="317"/>
      <c r="P367" s="353"/>
      <c r="Q367" s="291"/>
      <c r="R367" s="22"/>
      <c r="S367" s="315"/>
      <c r="T367" s="317"/>
      <c r="U367" s="353"/>
      <c r="V367" s="291"/>
      <c r="W367" s="22"/>
      <c r="X367" s="315"/>
      <c r="Y367" s="317"/>
      <c r="Z367" s="353"/>
      <c r="AA367" s="318"/>
      <c r="AD367" s="353"/>
    </row>
    <row r="368" spans="2:30" s="344" customFormat="1" outlineLevel="1" x14ac:dyDescent="0.25">
      <c r="B368" s="358"/>
      <c r="C368" s="348" t="s">
        <v>833</v>
      </c>
      <c r="D368" s="275" t="s">
        <v>834</v>
      </c>
      <c r="E368" s="359"/>
      <c r="F368" s="359"/>
      <c r="G368" s="359"/>
      <c r="H368" s="360"/>
      <c r="I368" s="361"/>
      <c r="J368" s="376">
        <f>N368*0.8</f>
        <v>0</v>
      </c>
      <c r="K368" s="376">
        <f>K369+K377+K383</f>
        <v>0</v>
      </c>
      <c r="L368" s="362">
        <f>N368*0.2</f>
        <v>0</v>
      </c>
      <c r="M368" s="362">
        <f>M369+M377+M383</f>
        <v>0</v>
      </c>
      <c r="N368" s="363">
        <f>N369+N377+N383</f>
        <v>0</v>
      </c>
      <c r="O368" s="363">
        <f>O369+O377+O383</f>
        <v>0</v>
      </c>
      <c r="P368" s="353"/>
      <c r="Q368" s="360"/>
      <c r="R368" s="323"/>
      <c r="S368" s="363">
        <f>N368</f>
        <v>0</v>
      </c>
      <c r="T368" s="363">
        <f>T369+T377+T383</f>
        <v>0</v>
      </c>
      <c r="U368" s="353"/>
      <c r="V368" s="360"/>
      <c r="W368" s="323"/>
      <c r="X368" s="363">
        <f>S368</f>
        <v>0</v>
      </c>
      <c r="Y368" s="363">
        <f>Y369+Y377+Y383</f>
        <v>0</v>
      </c>
      <c r="Z368" s="353"/>
      <c r="AA368" s="322"/>
      <c r="AD368" s="353"/>
    </row>
    <row r="369" spans="2:30" s="342" customFormat="1" ht="14.65" customHeight="1" outlineLevel="2" x14ac:dyDescent="0.25">
      <c r="B369" s="374"/>
      <c r="D369" s="36" t="s">
        <v>835</v>
      </c>
      <c r="E369" s="36" t="s">
        <v>1353</v>
      </c>
      <c r="F369" s="36"/>
      <c r="G369" s="36"/>
      <c r="H369" s="298" t="s">
        <v>732</v>
      </c>
      <c r="I369" s="297" t="s">
        <v>732</v>
      </c>
      <c r="J369" s="368">
        <f>N369*0.8</f>
        <v>0</v>
      </c>
      <c r="K369" s="368">
        <f>IF(SUM(K370:K376)&gt;J369,J369,SUM(K370:K376))</f>
        <v>0</v>
      </c>
      <c r="L369" s="369">
        <f>N369*0.2</f>
        <v>0</v>
      </c>
      <c r="M369" s="369">
        <f>IF(SUM(M370:M376)&gt;L369,L369,SUM(M370:M376))</f>
        <v>0</v>
      </c>
      <c r="N369" s="370">
        <f>Ponderações!P74*100</f>
        <v>0</v>
      </c>
      <c r="O369" s="370">
        <f>IF(SUM(O370:O376)&gt;N369,N369,SUM(O370:O376))</f>
        <v>0</v>
      </c>
      <c r="P369" s="353"/>
      <c r="Q369" s="298" t="s">
        <v>732</v>
      </c>
      <c r="R369" s="366"/>
      <c r="S369" s="370">
        <f>N369</f>
        <v>0</v>
      </c>
      <c r="T369" s="370">
        <f>IF(SUM(T370:T376)&gt;S369,S369,SUM(T370:T376))</f>
        <v>0</v>
      </c>
      <c r="U369" s="353"/>
      <c r="V369" s="298" t="s">
        <v>732</v>
      </c>
      <c r="W369" s="366"/>
      <c r="X369" s="370">
        <f>S369</f>
        <v>0</v>
      </c>
      <c r="Y369" s="370">
        <f>IF(SUM(Y370:Y376)&gt;X369,X369,SUM(Y370:Y376))</f>
        <v>0</v>
      </c>
      <c r="Z369" s="353"/>
      <c r="AA369" s="327"/>
      <c r="AD369" s="353"/>
    </row>
    <row r="370" spans="2:30" ht="14.65" customHeight="1" outlineLevel="3" x14ac:dyDescent="0.25">
      <c r="B370" s="22"/>
      <c r="E370" s="35" t="s">
        <v>1381</v>
      </c>
      <c r="F370" s="35" t="s">
        <v>1382</v>
      </c>
      <c r="G370" s="35"/>
      <c r="H370" s="285">
        <f>IF(Checklist!J370="",0,Checklist!J370)</f>
        <v>0</v>
      </c>
      <c r="I370" s="285">
        <f>IF(Checklist!K370="",0,Checklist!K370)</f>
        <v>0</v>
      </c>
      <c r="J370" s="337"/>
      <c r="K370" s="337">
        <f>H370*AA370*$J$369</f>
        <v>0</v>
      </c>
      <c r="L370" s="338"/>
      <c r="M370" s="339">
        <f>I370*AA370*$L$369</f>
        <v>0</v>
      </c>
      <c r="N370" s="333"/>
      <c r="O370" s="333">
        <f t="shared" ref="O370:O376" si="110">M370+K370</f>
        <v>0</v>
      </c>
      <c r="P370" s="353"/>
      <c r="Q370" s="285">
        <f>IF(Checklist!M370="",0,Checklist!M370)</f>
        <v>0</v>
      </c>
      <c r="R370" s="22"/>
      <c r="S370" s="334"/>
      <c r="T370" s="333">
        <f>Q370*AA370*$S$369</f>
        <v>0</v>
      </c>
      <c r="U370" s="353"/>
      <c r="V370" s="373">
        <f>IF(Checklist!P370="",0,Checklist!P370)</f>
        <v>0</v>
      </c>
      <c r="W370" s="22"/>
      <c r="X370" s="334"/>
      <c r="Y370" s="333">
        <f t="shared" ref="Y370:Y376" si="111">V370*AA370*$X$369</f>
        <v>0</v>
      </c>
      <c r="Z370" s="353"/>
      <c r="AA370" s="335">
        <v>1</v>
      </c>
      <c r="AD370" s="353"/>
    </row>
    <row r="371" spans="2:30" outlineLevel="3" x14ac:dyDescent="0.25">
      <c r="B371" s="22"/>
      <c r="E371" s="35" t="s">
        <v>1383</v>
      </c>
      <c r="F371" s="35" t="s">
        <v>1384</v>
      </c>
      <c r="G371" s="35"/>
      <c r="H371" s="285">
        <f>IF(Checklist!J371="",0,Checklist!J371)</f>
        <v>0</v>
      </c>
      <c r="I371" s="285">
        <f>IF(Checklist!K371="",0,Checklist!K371)</f>
        <v>0</v>
      </c>
      <c r="J371" s="337"/>
      <c r="K371" s="337">
        <f t="shared" ref="K371:K376" si="112">H371*AA371*$J$369</f>
        <v>0</v>
      </c>
      <c r="L371" s="338"/>
      <c r="M371" s="339">
        <f t="shared" ref="M371:M376" si="113">I371*AA371*$L$369</f>
        <v>0</v>
      </c>
      <c r="N371" s="333"/>
      <c r="O371" s="333">
        <f t="shared" si="110"/>
        <v>0</v>
      </c>
      <c r="P371" s="353"/>
      <c r="Q371" s="285">
        <f>IF(Checklist!M371="",0,Checklist!M371)</f>
        <v>0</v>
      </c>
      <c r="R371" s="22"/>
      <c r="S371" s="334"/>
      <c r="T371" s="333">
        <f t="shared" ref="T371:T376" si="114">Q371*AA371*$S$369</f>
        <v>0</v>
      </c>
      <c r="U371" s="353"/>
      <c r="V371" s="373">
        <f>IF(Checklist!P371="",0,Checklist!P371)</f>
        <v>0</v>
      </c>
      <c r="W371" s="22"/>
      <c r="X371" s="334"/>
      <c r="Y371" s="333">
        <f t="shared" si="111"/>
        <v>0</v>
      </c>
      <c r="Z371" s="353"/>
      <c r="AA371" s="335">
        <v>0.4</v>
      </c>
      <c r="AD371" s="353"/>
    </row>
    <row r="372" spans="2:30" outlineLevel="3" x14ac:dyDescent="0.25">
      <c r="B372" s="22"/>
      <c r="E372" s="35" t="s">
        <v>1385</v>
      </c>
      <c r="F372" s="35" t="s">
        <v>1387</v>
      </c>
      <c r="G372" s="35"/>
      <c r="H372" s="285">
        <f>IF(Checklist!J372="",0,Checklist!J372)</f>
        <v>0</v>
      </c>
      <c r="I372" s="285">
        <f>IF(Checklist!K372="",0,Checklist!K372)</f>
        <v>0</v>
      </c>
      <c r="J372" s="337"/>
      <c r="K372" s="337">
        <f t="shared" si="112"/>
        <v>0</v>
      </c>
      <c r="L372" s="338"/>
      <c r="M372" s="339">
        <f t="shared" si="113"/>
        <v>0</v>
      </c>
      <c r="N372" s="333"/>
      <c r="O372" s="333">
        <f t="shared" si="110"/>
        <v>0</v>
      </c>
      <c r="P372" s="353"/>
      <c r="Q372" s="285">
        <f>IF(Checklist!M372="",0,Checklist!M372)</f>
        <v>0</v>
      </c>
      <c r="R372" s="22"/>
      <c r="S372" s="334"/>
      <c r="T372" s="333">
        <f t="shared" si="114"/>
        <v>0</v>
      </c>
      <c r="U372" s="353"/>
      <c r="V372" s="373">
        <f>IF(Checklist!P372="",0,Checklist!P372)</f>
        <v>0</v>
      </c>
      <c r="W372" s="22"/>
      <c r="X372" s="334"/>
      <c r="Y372" s="333">
        <f t="shared" si="111"/>
        <v>0</v>
      </c>
      <c r="Z372" s="353"/>
      <c r="AA372" s="335">
        <v>0.3</v>
      </c>
      <c r="AD372" s="353"/>
    </row>
    <row r="373" spans="2:30" outlineLevel="3" x14ac:dyDescent="0.25">
      <c r="B373" s="22"/>
      <c r="E373" s="35" t="s">
        <v>1386</v>
      </c>
      <c r="F373" s="35" t="s">
        <v>1361</v>
      </c>
      <c r="G373" s="35"/>
      <c r="H373" s="285">
        <f>IF(Checklist!J373="",0,Checklist!J373)</f>
        <v>0</v>
      </c>
      <c r="I373" s="285">
        <f>IF(Checklist!K373="",0,Checklist!K373)</f>
        <v>0</v>
      </c>
      <c r="J373" s="337"/>
      <c r="K373" s="337">
        <f t="shared" si="112"/>
        <v>0</v>
      </c>
      <c r="L373" s="338"/>
      <c r="M373" s="339">
        <f t="shared" si="113"/>
        <v>0</v>
      </c>
      <c r="N373" s="333"/>
      <c r="O373" s="333">
        <f t="shared" si="110"/>
        <v>0</v>
      </c>
      <c r="P373" s="353"/>
      <c r="Q373" s="285">
        <f>IF(Checklist!M373="",0,Checklist!M373)</f>
        <v>0</v>
      </c>
      <c r="R373" s="22"/>
      <c r="S373" s="334"/>
      <c r="T373" s="333">
        <f t="shared" si="114"/>
        <v>0</v>
      </c>
      <c r="U373" s="353"/>
      <c r="V373" s="373">
        <f>IF(Checklist!P373="",0,Checklist!P373)</f>
        <v>0</v>
      </c>
      <c r="W373" s="22"/>
      <c r="X373" s="334"/>
      <c r="Y373" s="333">
        <f t="shared" si="111"/>
        <v>0</v>
      </c>
      <c r="Z373" s="353"/>
      <c r="AA373" s="335">
        <v>0.2</v>
      </c>
      <c r="AD373" s="353"/>
    </row>
    <row r="374" spans="2:30" outlineLevel="3" x14ac:dyDescent="0.25">
      <c r="B374" s="22"/>
      <c r="E374" s="35" t="s">
        <v>1388</v>
      </c>
      <c r="F374" s="35" t="s">
        <v>1357</v>
      </c>
      <c r="G374" s="35"/>
      <c r="H374" s="285">
        <f>IF(Checklist!J374="",0,Checklist!J374)</f>
        <v>0</v>
      </c>
      <c r="I374" s="285">
        <f>IF(Checklist!K374="",0,Checklist!K374)</f>
        <v>0</v>
      </c>
      <c r="J374" s="337"/>
      <c r="K374" s="337">
        <f t="shared" si="112"/>
        <v>0</v>
      </c>
      <c r="L374" s="338"/>
      <c r="M374" s="339">
        <f t="shared" si="113"/>
        <v>0</v>
      </c>
      <c r="N374" s="333"/>
      <c r="O374" s="333">
        <f t="shared" si="110"/>
        <v>0</v>
      </c>
      <c r="P374" s="353"/>
      <c r="Q374" s="285">
        <f>IF(Checklist!M374="",0,Checklist!M374)</f>
        <v>0</v>
      </c>
      <c r="R374" s="22"/>
      <c r="S374" s="334"/>
      <c r="T374" s="333">
        <f t="shared" si="114"/>
        <v>0</v>
      </c>
      <c r="U374" s="353"/>
      <c r="V374" s="373">
        <f>IF(Checklist!P374="",0,Checklist!P374)</f>
        <v>0</v>
      </c>
      <c r="W374" s="22"/>
      <c r="X374" s="334"/>
      <c r="Y374" s="333">
        <f t="shared" si="111"/>
        <v>0</v>
      </c>
      <c r="Z374" s="353"/>
      <c r="AA374" s="335">
        <v>0.1</v>
      </c>
      <c r="AD374" s="353"/>
    </row>
    <row r="375" spans="2:30" outlineLevel="3" x14ac:dyDescent="0.25">
      <c r="B375" s="22"/>
      <c r="E375" s="35" t="s">
        <v>1389</v>
      </c>
      <c r="F375" s="35" t="s">
        <v>941</v>
      </c>
      <c r="G375" s="35"/>
      <c r="H375" s="285">
        <f>IF(Checklist!J375="",0,Checklist!J375)</f>
        <v>0</v>
      </c>
      <c r="I375" s="285">
        <f>IF(Checklist!K375="",0,Checklist!K375)</f>
        <v>0</v>
      </c>
      <c r="J375" s="337"/>
      <c r="K375" s="337">
        <f t="shared" si="112"/>
        <v>0</v>
      </c>
      <c r="L375" s="338"/>
      <c r="M375" s="339">
        <f t="shared" si="113"/>
        <v>0</v>
      </c>
      <c r="N375" s="333"/>
      <c r="O375" s="333">
        <f t="shared" si="110"/>
        <v>0</v>
      </c>
      <c r="P375" s="353"/>
      <c r="Q375" s="285">
        <f>IF(Checklist!M375="",0,Checklist!M375)</f>
        <v>0</v>
      </c>
      <c r="R375" s="22"/>
      <c r="S375" s="334"/>
      <c r="T375" s="333">
        <f t="shared" si="114"/>
        <v>0</v>
      </c>
      <c r="U375" s="353"/>
      <c r="V375" s="373">
        <f>IF(Checklist!P375="",0,Checklist!P375)</f>
        <v>0</v>
      </c>
      <c r="W375" s="22"/>
      <c r="X375" s="334"/>
      <c r="Y375" s="333">
        <f t="shared" si="111"/>
        <v>0</v>
      </c>
      <c r="Z375" s="353"/>
      <c r="AA375" s="335">
        <v>0</v>
      </c>
      <c r="AD375" s="353"/>
    </row>
    <row r="376" spans="2:30" ht="14.65" customHeight="1" outlineLevel="3" x14ac:dyDescent="0.25">
      <c r="E376" s="35" t="s">
        <v>1390</v>
      </c>
      <c r="F376" s="35" t="s">
        <v>943</v>
      </c>
      <c r="G376" s="35"/>
      <c r="H376" s="285">
        <f>IF(Checklist!J376="",0,Checklist!J376)</f>
        <v>0</v>
      </c>
      <c r="I376" s="285">
        <f>IF(Checklist!K376="",0,Checklist!K376)</f>
        <v>0</v>
      </c>
      <c r="J376" s="337"/>
      <c r="K376" s="337">
        <f t="shared" si="112"/>
        <v>0</v>
      </c>
      <c r="L376" s="338"/>
      <c r="M376" s="339">
        <f t="shared" si="113"/>
        <v>0</v>
      </c>
      <c r="N376" s="333"/>
      <c r="O376" s="333">
        <f t="shared" si="110"/>
        <v>0</v>
      </c>
      <c r="P376" s="353"/>
      <c r="Q376" s="285">
        <f>IF(Checklist!M376="",0,Checklist!M376)</f>
        <v>0</v>
      </c>
      <c r="R376" s="22"/>
      <c r="S376" s="334"/>
      <c r="T376" s="333">
        <f t="shared" si="114"/>
        <v>0</v>
      </c>
      <c r="U376" s="353"/>
      <c r="V376" s="373">
        <f>IF(Checklist!P376="",0,Checklist!P376)</f>
        <v>0</v>
      </c>
      <c r="W376" s="22"/>
      <c r="X376" s="334"/>
      <c r="Y376" s="333">
        <f t="shared" si="111"/>
        <v>0</v>
      </c>
      <c r="Z376" s="353"/>
      <c r="AA376" s="335">
        <v>0</v>
      </c>
      <c r="AD376" s="353"/>
    </row>
    <row r="377" spans="2:30" s="342" customFormat="1" ht="14.65" customHeight="1" outlineLevel="2" x14ac:dyDescent="0.25">
      <c r="B377" s="374"/>
      <c r="D377" s="36" t="s">
        <v>836</v>
      </c>
      <c r="E377" s="36" t="s">
        <v>1391</v>
      </c>
      <c r="F377" s="36"/>
      <c r="G377" s="36"/>
      <c r="H377" s="298" t="s">
        <v>731</v>
      </c>
      <c r="I377" s="297" t="s">
        <v>731</v>
      </c>
      <c r="J377" s="368">
        <f>N377*0.8</f>
        <v>0</v>
      </c>
      <c r="K377" s="368">
        <f>IF(SUM(K378:K382)&gt;J377,J377,SUM(K378:K382))</f>
        <v>0</v>
      </c>
      <c r="L377" s="369">
        <f>N377*0.2</f>
        <v>0</v>
      </c>
      <c r="M377" s="369">
        <f>IF(SUM(M378:M382)&gt;L377,L377,SUM(M378:M382))</f>
        <v>0</v>
      </c>
      <c r="N377" s="370">
        <f>Ponderações!P75*100</f>
        <v>0</v>
      </c>
      <c r="O377" s="370">
        <f>IF(SUM(O378:O382)&gt;N377,N377,SUM(O378:O382))</f>
        <v>0</v>
      </c>
      <c r="P377" s="353"/>
      <c r="Q377" s="298" t="s">
        <v>731</v>
      </c>
      <c r="R377" s="366"/>
      <c r="S377" s="370">
        <f>N377</f>
        <v>0</v>
      </c>
      <c r="T377" s="370">
        <f>IF(SUM(T378:T382)&gt;S377,S377,SUM(T378:T382))</f>
        <v>0</v>
      </c>
      <c r="U377" s="353"/>
      <c r="V377" s="298" t="s">
        <v>731</v>
      </c>
      <c r="W377" s="366"/>
      <c r="X377" s="370">
        <f>S377</f>
        <v>0</v>
      </c>
      <c r="Y377" s="370">
        <f>IF(SUM(Y378:Y382)&gt;X377,X377,SUM(Y378:Y382))</f>
        <v>0</v>
      </c>
      <c r="Z377" s="353"/>
      <c r="AA377" s="327"/>
      <c r="AD377" s="353"/>
    </row>
    <row r="378" spans="2:30" ht="14.65" customHeight="1" outlineLevel="3" x14ac:dyDescent="0.25">
      <c r="E378" s="35" t="s">
        <v>1392</v>
      </c>
      <c r="F378" s="35" t="s">
        <v>1393</v>
      </c>
      <c r="G378" s="35"/>
      <c r="H378" s="285">
        <f>IF(Checklist!J378="",0,Checklist!J378)</f>
        <v>0</v>
      </c>
      <c r="I378" s="285">
        <f>IF(Checklist!K378="",0,Checklist!K378)</f>
        <v>0</v>
      </c>
      <c r="J378" s="337"/>
      <c r="K378" s="337">
        <f>H378*AA378*$J$377</f>
        <v>0</v>
      </c>
      <c r="L378" s="338"/>
      <c r="M378" s="339">
        <f>I378*AA378*$L$377</f>
        <v>0</v>
      </c>
      <c r="N378" s="333"/>
      <c r="O378" s="333">
        <f t="shared" ref="O378:O387" si="115">M378+K378</f>
        <v>0</v>
      </c>
      <c r="P378" s="353"/>
      <c r="Q378" s="285">
        <f>IF(Checklist!M378="",0,Checklist!M378)</f>
        <v>0</v>
      </c>
      <c r="R378" s="22"/>
      <c r="S378" s="334"/>
      <c r="T378" s="333">
        <f>Q378*AA378*$S$377</f>
        <v>0</v>
      </c>
      <c r="U378" s="353"/>
      <c r="V378" s="373">
        <f>IF(Checklist!P378="",0,Checklist!P378)</f>
        <v>0</v>
      </c>
      <c r="W378" s="22"/>
      <c r="X378" s="334"/>
      <c r="Y378" s="333">
        <f>V378*AA378*$X$377</f>
        <v>0</v>
      </c>
      <c r="Z378" s="353"/>
      <c r="AA378" s="335">
        <v>1</v>
      </c>
      <c r="AD378" s="353"/>
    </row>
    <row r="379" spans="2:30" ht="14.65" customHeight="1" outlineLevel="3" x14ac:dyDescent="0.25">
      <c r="E379" s="35" t="s">
        <v>1394</v>
      </c>
      <c r="F379" s="35" t="s">
        <v>1395</v>
      </c>
      <c r="G379" s="35"/>
      <c r="H379" s="285">
        <f>IF(Checklist!J379="",0,Checklist!J379)</f>
        <v>0</v>
      </c>
      <c r="I379" s="285">
        <f>IF(Checklist!K379="",0,Checklist!K379)</f>
        <v>0</v>
      </c>
      <c r="J379" s="337"/>
      <c r="K379" s="337">
        <f t="shared" ref="K379:K382" si="116">H379*AA379*$J$377</f>
        <v>0</v>
      </c>
      <c r="L379" s="338"/>
      <c r="M379" s="339">
        <f t="shared" ref="M379:M382" si="117">I379*AA379*$L$377</f>
        <v>0</v>
      </c>
      <c r="N379" s="333"/>
      <c r="O379" s="333">
        <f t="shared" si="115"/>
        <v>0</v>
      </c>
      <c r="P379" s="353"/>
      <c r="Q379" s="285">
        <f>IF(Checklist!M379="",0,Checklist!M379)</f>
        <v>0</v>
      </c>
      <c r="R379" s="22"/>
      <c r="S379" s="334"/>
      <c r="T379" s="333">
        <f t="shared" ref="T379:T382" si="118">Q379*AA379*$S$377</f>
        <v>0</v>
      </c>
      <c r="U379" s="353"/>
      <c r="V379" s="373">
        <f>IF(Checklist!P379="",0,Checklist!P379)</f>
        <v>0</v>
      </c>
      <c r="W379" s="22"/>
      <c r="X379" s="334"/>
      <c r="Y379" s="333">
        <f t="shared" ref="Y379:Y382" si="119">V379*AA379*$X$377</f>
        <v>0</v>
      </c>
      <c r="Z379" s="353"/>
      <c r="AA379" s="335">
        <v>0.75</v>
      </c>
      <c r="AD379" s="353"/>
    </row>
    <row r="380" spans="2:30" ht="14.65" customHeight="1" outlineLevel="3" x14ac:dyDescent="0.25">
      <c r="E380" s="35" t="s">
        <v>1396</v>
      </c>
      <c r="F380" s="35" t="s">
        <v>1397</v>
      </c>
      <c r="G380" s="35"/>
      <c r="H380" s="285">
        <f>IF(Checklist!J380="",0,Checklist!J380)</f>
        <v>0</v>
      </c>
      <c r="I380" s="285">
        <f>IF(Checklist!K380="",0,Checklist!K380)</f>
        <v>0</v>
      </c>
      <c r="J380" s="337"/>
      <c r="K380" s="337">
        <f t="shared" si="116"/>
        <v>0</v>
      </c>
      <c r="L380" s="338"/>
      <c r="M380" s="339">
        <f t="shared" si="117"/>
        <v>0</v>
      </c>
      <c r="N380" s="333"/>
      <c r="O380" s="333">
        <f t="shared" si="115"/>
        <v>0</v>
      </c>
      <c r="P380" s="353"/>
      <c r="Q380" s="285">
        <f>IF(Checklist!M380="",0,Checklist!M380)</f>
        <v>0</v>
      </c>
      <c r="R380" s="22"/>
      <c r="S380" s="334"/>
      <c r="T380" s="333">
        <f t="shared" si="118"/>
        <v>0</v>
      </c>
      <c r="U380" s="353"/>
      <c r="V380" s="373">
        <f>IF(Checklist!P380="",0,Checklist!P380)</f>
        <v>0</v>
      </c>
      <c r="W380" s="22"/>
      <c r="X380" s="334"/>
      <c r="Y380" s="333">
        <f t="shared" si="119"/>
        <v>0</v>
      </c>
      <c r="Z380" s="353"/>
      <c r="AA380" s="335">
        <v>0.25</v>
      </c>
      <c r="AD380" s="353"/>
    </row>
    <row r="381" spans="2:30" ht="14.65" customHeight="1" outlineLevel="3" x14ac:dyDescent="0.25">
      <c r="E381" s="35" t="s">
        <v>1398</v>
      </c>
      <c r="F381" s="35" t="s">
        <v>1769</v>
      </c>
      <c r="G381" s="35"/>
      <c r="H381" s="285">
        <f>IF(Checklist!J381="",0,Checklist!J381)</f>
        <v>0</v>
      </c>
      <c r="I381" s="285">
        <f>IF(Checklist!K381="",0,Checklist!K381)</f>
        <v>0</v>
      </c>
      <c r="J381" s="337"/>
      <c r="K381" s="337">
        <f t="shared" si="116"/>
        <v>0</v>
      </c>
      <c r="L381" s="338"/>
      <c r="M381" s="339">
        <f t="shared" si="117"/>
        <v>0</v>
      </c>
      <c r="N381" s="333"/>
      <c r="O381" s="333">
        <f t="shared" si="115"/>
        <v>0</v>
      </c>
      <c r="P381" s="353"/>
      <c r="Q381" s="285">
        <f>IF(Checklist!M381="",0,Checklist!M381)</f>
        <v>0</v>
      </c>
      <c r="R381" s="22"/>
      <c r="S381" s="334"/>
      <c r="T381" s="333">
        <f t="shared" si="118"/>
        <v>0</v>
      </c>
      <c r="U381" s="353"/>
      <c r="V381" s="373">
        <f>IF(Checklist!P381="",0,Checklist!P381)</f>
        <v>0</v>
      </c>
      <c r="W381" s="22"/>
      <c r="X381" s="334"/>
      <c r="Y381" s="333">
        <f t="shared" si="119"/>
        <v>0</v>
      </c>
      <c r="Z381" s="353"/>
      <c r="AA381" s="335">
        <v>0</v>
      </c>
      <c r="AD381" s="353"/>
    </row>
    <row r="382" spans="2:30" ht="14.65" customHeight="1" outlineLevel="3" x14ac:dyDescent="0.25">
      <c r="E382" s="35" t="s">
        <v>1399</v>
      </c>
      <c r="F382" s="35" t="s">
        <v>943</v>
      </c>
      <c r="G382" s="35"/>
      <c r="H382" s="285">
        <f>IF(Checklist!J382="",0,Checklist!J382)</f>
        <v>1</v>
      </c>
      <c r="I382" s="285">
        <f>IF(Checklist!K382="",0,Checklist!K382)</f>
        <v>1</v>
      </c>
      <c r="J382" s="337"/>
      <c r="K382" s="337">
        <f t="shared" si="116"/>
        <v>0</v>
      </c>
      <c r="L382" s="338"/>
      <c r="M382" s="339">
        <f t="shared" si="117"/>
        <v>0</v>
      </c>
      <c r="N382" s="333"/>
      <c r="O382" s="333">
        <f t="shared" si="115"/>
        <v>0</v>
      </c>
      <c r="P382" s="353"/>
      <c r="Q382" s="285">
        <f>IF(Checklist!M382="",0,Checklist!M382)</f>
        <v>1</v>
      </c>
      <c r="R382" s="22"/>
      <c r="S382" s="334"/>
      <c r="T382" s="333">
        <f t="shared" si="118"/>
        <v>0</v>
      </c>
      <c r="U382" s="353"/>
      <c r="V382" s="373">
        <f>IF(Checklist!P382="",0,Checklist!P382)</f>
        <v>1</v>
      </c>
      <c r="W382" s="22"/>
      <c r="X382" s="334"/>
      <c r="Y382" s="333">
        <f t="shared" si="119"/>
        <v>0</v>
      </c>
      <c r="Z382" s="353"/>
      <c r="AA382" s="335">
        <v>0</v>
      </c>
      <c r="AD382" s="353"/>
    </row>
    <row r="383" spans="2:30" s="342" customFormat="1" ht="14.65" customHeight="1" outlineLevel="2" x14ac:dyDescent="0.25">
      <c r="B383" s="374"/>
      <c r="D383" s="36" t="s">
        <v>837</v>
      </c>
      <c r="E383" s="36" t="s">
        <v>1373</v>
      </c>
      <c r="F383" s="36"/>
      <c r="G383" s="36"/>
      <c r="H383" s="298" t="s">
        <v>731</v>
      </c>
      <c r="I383" s="297" t="s">
        <v>731</v>
      </c>
      <c r="J383" s="368">
        <f>N383*0.8</f>
        <v>0</v>
      </c>
      <c r="K383" s="368">
        <f>IF(SUM(K384:K387)&gt;J383,J383,SUM(K384:K387))</f>
        <v>0</v>
      </c>
      <c r="L383" s="369">
        <f>N383*0.2</f>
        <v>0</v>
      </c>
      <c r="M383" s="369">
        <f>IF(SUM(M384:M387)&gt;L383,L383,SUM(M384:M387))</f>
        <v>0</v>
      </c>
      <c r="N383" s="370">
        <f>Ponderações!P76*100</f>
        <v>0</v>
      </c>
      <c r="O383" s="370">
        <f>IF(SUM(O384:O387)&gt;N383,N383,SUM(O384:O387))</f>
        <v>0</v>
      </c>
      <c r="P383" s="353"/>
      <c r="Q383" s="298" t="s">
        <v>731</v>
      </c>
      <c r="R383" s="366"/>
      <c r="S383" s="370">
        <f>N383</f>
        <v>0</v>
      </c>
      <c r="T383" s="370">
        <f>IF(SUM(T384:T387)&gt;S383,S383,SUM(T384:T387))</f>
        <v>0</v>
      </c>
      <c r="U383" s="353"/>
      <c r="V383" s="298" t="s">
        <v>731</v>
      </c>
      <c r="W383" s="366"/>
      <c r="X383" s="370">
        <f>S383</f>
        <v>0</v>
      </c>
      <c r="Y383" s="370">
        <f>IF(SUM(Y384:Y387)&gt;X383,X383,SUM(Y384:Y387))</f>
        <v>0</v>
      </c>
      <c r="Z383" s="353"/>
      <c r="AA383" s="327"/>
      <c r="AD383" s="353"/>
    </row>
    <row r="384" spans="2:30" ht="14.65" customHeight="1" outlineLevel="3" x14ac:dyDescent="0.25">
      <c r="E384" s="35" t="s">
        <v>1400</v>
      </c>
      <c r="F384" s="35" t="s">
        <v>1375</v>
      </c>
      <c r="G384" s="35"/>
      <c r="H384" s="285">
        <f>IF(Checklist!J384="",0,Checklist!J384)</f>
        <v>0</v>
      </c>
      <c r="I384" s="285">
        <f>IF(Checklist!K384="",0,Checklist!K384)</f>
        <v>0</v>
      </c>
      <c r="J384" s="337"/>
      <c r="K384" s="337">
        <f>H384*AA384*$J$383</f>
        <v>0</v>
      </c>
      <c r="L384" s="338"/>
      <c r="M384" s="339">
        <f>I384*AA384*$L$383</f>
        <v>0</v>
      </c>
      <c r="N384" s="333"/>
      <c r="O384" s="333">
        <f t="shared" si="115"/>
        <v>0</v>
      </c>
      <c r="P384" s="353"/>
      <c r="Q384" s="285">
        <f>IF(Checklist!M384="",0,Checklist!M384)</f>
        <v>0</v>
      </c>
      <c r="R384" s="22"/>
      <c r="S384" s="334"/>
      <c r="T384" s="333">
        <f>Q384*AA384*$S$383</f>
        <v>0</v>
      </c>
      <c r="U384" s="353"/>
      <c r="V384" s="373">
        <f>IF(Checklist!P384="",0,Checklist!P384)</f>
        <v>0</v>
      </c>
      <c r="W384" s="22"/>
      <c r="X384" s="334"/>
      <c r="Y384" s="333">
        <f>V384*AA384*$X$383</f>
        <v>0</v>
      </c>
      <c r="Z384" s="353"/>
      <c r="AA384" s="335">
        <v>1</v>
      </c>
      <c r="AD384" s="353"/>
    </row>
    <row r="385" spans="2:30" ht="14.65" customHeight="1" outlineLevel="3" x14ac:dyDescent="0.25">
      <c r="E385" s="35" t="s">
        <v>1401</v>
      </c>
      <c r="F385" s="35" t="s">
        <v>1377</v>
      </c>
      <c r="G385" s="35"/>
      <c r="H385" s="285">
        <f>IF(Checklist!J385="",0,Checklist!J385)</f>
        <v>0</v>
      </c>
      <c r="I385" s="285">
        <f>IF(Checklist!K385="",0,Checklist!K385)</f>
        <v>0</v>
      </c>
      <c r="J385" s="337"/>
      <c r="K385" s="337">
        <f t="shared" ref="K385:K387" si="120">H385*AA385*$J$383</f>
        <v>0</v>
      </c>
      <c r="L385" s="338"/>
      <c r="M385" s="339">
        <f t="shared" ref="M385:M387" si="121">I385*AA385*$L$383</f>
        <v>0</v>
      </c>
      <c r="N385" s="333"/>
      <c r="O385" s="333">
        <f t="shared" si="115"/>
        <v>0</v>
      </c>
      <c r="P385" s="353"/>
      <c r="Q385" s="285">
        <f>IF(Checklist!M385="",0,Checklist!M385)</f>
        <v>0</v>
      </c>
      <c r="R385" s="22"/>
      <c r="S385" s="334"/>
      <c r="T385" s="333">
        <f t="shared" ref="T385:T387" si="122">Q385*AA385*$S$383</f>
        <v>0</v>
      </c>
      <c r="U385" s="353"/>
      <c r="V385" s="373">
        <f>IF(Checklist!P385="",0,Checklist!P385)</f>
        <v>0</v>
      </c>
      <c r="W385" s="22"/>
      <c r="X385" s="334"/>
      <c r="Y385" s="333">
        <f t="shared" ref="Y385:Y387" si="123">V385*AA385*$X$383</f>
        <v>0</v>
      </c>
      <c r="Z385" s="353"/>
      <c r="AA385" s="335">
        <v>0.5</v>
      </c>
      <c r="AD385" s="353"/>
    </row>
    <row r="386" spans="2:30" ht="14.65" customHeight="1" outlineLevel="3" x14ac:dyDescent="0.25">
      <c r="E386" s="35" t="s">
        <v>1402</v>
      </c>
      <c r="F386" s="35" t="s">
        <v>1379</v>
      </c>
      <c r="G386" s="35"/>
      <c r="H386" s="285">
        <f>IF(Checklist!J386="",0,Checklist!J386)</f>
        <v>0</v>
      </c>
      <c r="I386" s="285">
        <f>IF(Checklist!K386="",0,Checklist!K386)</f>
        <v>0</v>
      </c>
      <c r="J386" s="337"/>
      <c r="K386" s="337">
        <f t="shared" si="120"/>
        <v>0</v>
      </c>
      <c r="L386" s="338"/>
      <c r="M386" s="339">
        <f t="shared" si="121"/>
        <v>0</v>
      </c>
      <c r="N386" s="333"/>
      <c r="O386" s="333">
        <f>M386+K386</f>
        <v>0</v>
      </c>
      <c r="P386" s="353"/>
      <c r="Q386" s="285">
        <f>IF(Checklist!M386="",0,Checklist!M386)</f>
        <v>0</v>
      </c>
      <c r="R386" s="22"/>
      <c r="S386" s="334"/>
      <c r="T386" s="333">
        <f t="shared" si="122"/>
        <v>0</v>
      </c>
      <c r="U386" s="353"/>
      <c r="V386" s="373">
        <f>IF(Checklist!P386="",0,Checklist!P386)</f>
        <v>0</v>
      </c>
      <c r="W386" s="22"/>
      <c r="X386" s="334"/>
      <c r="Y386" s="333">
        <f t="shared" si="123"/>
        <v>0</v>
      </c>
      <c r="Z386" s="353"/>
      <c r="AA386" s="335">
        <v>0</v>
      </c>
      <c r="AD386" s="353"/>
    </row>
    <row r="387" spans="2:30" ht="14.65" customHeight="1" outlineLevel="3" x14ac:dyDescent="0.25">
      <c r="E387" s="35" t="s">
        <v>1403</v>
      </c>
      <c r="F387" s="35" t="s">
        <v>943</v>
      </c>
      <c r="G387" s="35"/>
      <c r="H387" s="285">
        <f>IF(Checklist!J387="",0,Checklist!J387)</f>
        <v>1</v>
      </c>
      <c r="I387" s="285">
        <f>IF(Checklist!K387="",0,Checklist!K387)</f>
        <v>1</v>
      </c>
      <c r="J387" s="337"/>
      <c r="K387" s="337">
        <f t="shared" si="120"/>
        <v>0</v>
      </c>
      <c r="L387" s="338"/>
      <c r="M387" s="339">
        <f t="shared" si="121"/>
        <v>0</v>
      </c>
      <c r="N387" s="333"/>
      <c r="O387" s="333">
        <f t="shared" si="115"/>
        <v>0</v>
      </c>
      <c r="P387" s="353"/>
      <c r="Q387" s="285">
        <f>IF(Checklist!M387="",0,Checklist!M387)</f>
        <v>1</v>
      </c>
      <c r="R387" s="22"/>
      <c r="S387" s="334"/>
      <c r="T387" s="333">
        <f t="shared" si="122"/>
        <v>0</v>
      </c>
      <c r="U387" s="353"/>
      <c r="V387" s="373">
        <f>IF(Checklist!P387="",0,Checklist!P387)</f>
        <v>1</v>
      </c>
      <c r="W387" s="22"/>
      <c r="X387" s="334"/>
      <c r="Y387" s="333">
        <f t="shared" si="123"/>
        <v>0</v>
      </c>
      <c r="Z387" s="353"/>
      <c r="AA387" s="335">
        <v>0</v>
      </c>
      <c r="AD387" s="353"/>
    </row>
    <row r="388" spans="2:30" ht="14.65" customHeight="1" x14ac:dyDescent="0.25">
      <c r="H388" s="291"/>
      <c r="I388" s="291"/>
      <c r="J388" s="315"/>
      <c r="K388" s="315"/>
      <c r="L388" s="316"/>
      <c r="M388" s="315"/>
      <c r="N388" s="317"/>
      <c r="O388" s="317"/>
      <c r="Q388" s="291"/>
      <c r="R388" s="22"/>
      <c r="S388" s="315"/>
      <c r="T388" s="317"/>
      <c r="V388" s="291"/>
      <c r="W388" s="22"/>
      <c r="X388" s="315"/>
      <c r="Y388" s="317"/>
      <c r="AA388" s="318"/>
    </row>
    <row r="389" spans="2:30" x14ac:dyDescent="0.25">
      <c r="B389" s="270">
        <v>5</v>
      </c>
      <c r="C389" s="271" t="s">
        <v>1729</v>
      </c>
      <c r="D389" s="299"/>
      <c r="E389" s="299"/>
      <c r="F389" s="299"/>
      <c r="G389" s="299"/>
      <c r="H389" s="272"/>
      <c r="I389" s="272"/>
      <c r="J389" s="312">
        <f>N389*0.8</f>
        <v>0</v>
      </c>
      <c r="K389" s="312">
        <f>K391+K417+K442+K467</f>
        <v>0</v>
      </c>
      <c r="L389" s="312">
        <f>N389*0.2</f>
        <v>0</v>
      </c>
      <c r="M389" s="312">
        <f>M391+M417+M442+M467</f>
        <v>0</v>
      </c>
      <c r="N389" s="312">
        <f>N391+N417+N442+N467</f>
        <v>0</v>
      </c>
      <c r="O389" s="312">
        <f>O391+O417+O442+O467</f>
        <v>0</v>
      </c>
      <c r="Q389" s="272"/>
      <c r="R389" s="22"/>
      <c r="S389" s="312">
        <f>N389</f>
        <v>0</v>
      </c>
      <c r="T389" s="312">
        <f>T391+T417+T442+T467</f>
        <v>0</v>
      </c>
      <c r="V389" s="272"/>
      <c r="W389" s="22"/>
      <c r="X389" s="312">
        <f>S389</f>
        <v>0</v>
      </c>
      <c r="Y389" s="312">
        <f>Y391+Y417+Y442+Y467</f>
        <v>0</v>
      </c>
      <c r="AA389" s="313"/>
      <c r="AB389" s="346"/>
    </row>
    <row r="390" spans="2:30" outlineLevel="1" x14ac:dyDescent="0.25">
      <c r="H390" s="273"/>
      <c r="I390" s="273"/>
      <c r="J390" s="315"/>
      <c r="K390" s="315"/>
      <c r="L390" s="316"/>
      <c r="M390" s="315"/>
      <c r="N390" s="317"/>
      <c r="O390" s="317"/>
      <c r="Q390" s="273"/>
      <c r="R390" s="22"/>
      <c r="S390" s="315"/>
      <c r="T390" s="317"/>
      <c r="V390" s="273"/>
      <c r="W390" s="22"/>
      <c r="X390" s="315"/>
      <c r="Y390" s="317"/>
      <c r="AA390" s="318"/>
    </row>
    <row r="391" spans="2:30" outlineLevel="1" x14ac:dyDescent="0.25">
      <c r="C391" s="275" t="s">
        <v>838</v>
      </c>
      <c r="D391" s="275" t="s">
        <v>41</v>
      </c>
      <c r="E391" s="275"/>
      <c r="F391" s="275"/>
      <c r="G391" s="275"/>
      <c r="H391" s="276"/>
      <c r="I391" s="277"/>
      <c r="J391" s="319">
        <f t="shared" ref="J391:J436" si="124">N391*0.8</f>
        <v>0</v>
      </c>
      <c r="K391" s="319">
        <f>K392+K400+K406+K411</f>
        <v>0</v>
      </c>
      <c r="L391" s="320">
        <f t="shared" ref="L391:L443" si="125">N391*0.2</f>
        <v>0</v>
      </c>
      <c r="M391" s="320">
        <f>M392+M400+M406+M411</f>
        <v>0</v>
      </c>
      <c r="N391" s="321">
        <f>N392+N400+N406+N411</f>
        <v>0</v>
      </c>
      <c r="O391" s="321">
        <f>O392+O400+O406+O411</f>
        <v>0</v>
      </c>
      <c r="Q391" s="276"/>
      <c r="R391" s="22"/>
      <c r="S391" s="321">
        <f>N391</f>
        <v>0</v>
      </c>
      <c r="T391" s="321">
        <f>T392+T400+T406+T411</f>
        <v>0</v>
      </c>
      <c r="V391" s="276"/>
      <c r="W391" s="22"/>
      <c r="X391" s="321">
        <f>S391</f>
        <v>0</v>
      </c>
      <c r="Y391" s="321">
        <f>Y392+Y400+Y406+Y411</f>
        <v>0</v>
      </c>
      <c r="AA391" s="322"/>
      <c r="AB391" s="344"/>
    </row>
    <row r="392" spans="2:30" ht="14.65" customHeight="1" outlineLevel="2" x14ac:dyDescent="0.25">
      <c r="B392" s="22"/>
      <c r="D392" s="284" t="s">
        <v>839</v>
      </c>
      <c r="E392" s="284" t="s">
        <v>1192</v>
      </c>
      <c r="F392" s="284"/>
      <c r="G392" s="284"/>
      <c r="H392" s="289" t="s">
        <v>732</v>
      </c>
      <c r="I392" s="288" t="s">
        <v>732</v>
      </c>
      <c r="J392" s="324">
        <f t="shared" si="124"/>
        <v>0</v>
      </c>
      <c r="K392" s="324">
        <f>IF(SUM(K393:K399)&gt;J392,J392,SUM(K393:K399))</f>
        <v>0</v>
      </c>
      <c r="L392" s="325">
        <f t="shared" si="125"/>
        <v>0</v>
      </c>
      <c r="M392" s="325">
        <f>IF(SUM(M393:M399)&gt;L392,L392,SUM(M393:M399))</f>
        <v>0</v>
      </c>
      <c r="N392" s="326">
        <f>Ponderações!P79*100</f>
        <v>0</v>
      </c>
      <c r="O392" s="326">
        <f>IF(SUM(O393:O399)&gt;N392,N392,SUM(O393:O399))</f>
        <v>0</v>
      </c>
      <c r="Q392" s="289" t="s">
        <v>732</v>
      </c>
      <c r="R392" s="22"/>
      <c r="S392" s="326">
        <f>N392</f>
        <v>0</v>
      </c>
      <c r="T392" s="326">
        <f>IF(SUM(T393:T399)&gt;S392,S392,SUM(T393:T399))</f>
        <v>0</v>
      </c>
      <c r="V392" s="289" t="s">
        <v>732</v>
      </c>
      <c r="W392" s="22"/>
      <c r="X392" s="326">
        <f>S392</f>
        <v>0</v>
      </c>
      <c r="Y392" s="326">
        <f>IF(SUM(Y393:Y399)&gt;X392,X392,SUM(Y393:Y399))</f>
        <v>0</v>
      </c>
      <c r="AA392" s="327"/>
      <c r="AB392" s="342"/>
    </row>
    <row r="393" spans="2:30" ht="14.65" customHeight="1" outlineLevel="3" x14ac:dyDescent="0.25">
      <c r="B393" s="22"/>
      <c r="E393" s="35" t="s">
        <v>1404</v>
      </c>
      <c r="F393" s="35" t="s">
        <v>1193</v>
      </c>
      <c r="G393" s="35"/>
      <c r="H393" s="285">
        <f>IF(Checklist!J393="",0,Checklist!J393)</f>
        <v>0</v>
      </c>
      <c r="I393" s="285">
        <f>IF(Checklist!K393="",0,Checklist!K393)</f>
        <v>0</v>
      </c>
      <c r="J393" s="371"/>
      <c r="K393" s="371">
        <f t="shared" ref="K393:K399" si="126">H393*AA393*$J$392</f>
        <v>0</v>
      </c>
      <c r="L393" s="331"/>
      <c r="M393" s="372">
        <f t="shared" ref="M393:M399" si="127">I393*AA393*$L$392</f>
        <v>0</v>
      </c>
      <c r="N393" s="333"/>
      <c r="O393" s="333">
        <f t="shared" ref="O393:O399" si="128">M393+K393</f>
        <v>0</v>
      </c>
      <c r="Q393" s="285">
        <f>IF(Checklist!M393="",0,Checklist!M393)</f>
        <v>0</v>
      </c>
      <c r="R393" s="22"/>
      <c r="S393" s="377"/>
      <c r="T393" s="333">
        <f>Q393*AA393*$S$392</f>
        <v>0</v>
      </c>
      <c r="V393" s="285">
        <f>IF(Checklist!P393="",0,Checklist!P393)</f>
        <v>0</v>
      </c>
      <c r="W393" s="22"/>
      <c r="X393" s="377"/>
      <c r="Y393" s="333">
        <f>V393*AA393*$X$392</f>
        <v>0</v>
      </c>
      <c r="AA393" s="335">
        <v>1</v>
      </c>
    </row>
    <row r="394" spans="2:30" outlineLevel="3" x14ac:dyDescent="0.25">
      <c r="B394" s="22"/>
      <c r="E394" s="35" t="s">
        <v>1405</v>
      </c>
      <c r="F394" s="35" t="s">
        <v>1247</v>
      </c>
      <c r="G394" s="35"/>
      <c r="H394" s="285">
        <f>IF(Checklist!J394="",0,Checklist!J394)</f>
        <v>0</v>
      </c>
      <c r="I394" s="285">
        <f>IF(Checklist!K394="",0,Checklist!K394)</f>
        <v>0</v>
      </c>
      <c r="J394" s="371"/>
      <c r="K394" s="371">
        <f t="shared" si="126"/>
        <v>0</v>
      </c>
      <c r="L394" s="331"/>
      <c r="M394" s="372">
        <f t="shared" si="127"/>
        <v>0</v>
      </c>
      <c r="N394" s="333"/>
      <c r="O394" s="333">
        <f t="shared" si="128"/>
        <v>0</v>
      </c>
      <c r="Q394" s="285">
        <f>IF(Checklist!M394="",0,Checklist!M394)</f>
        <v>0</v>
      </c>
      <c r="R394" s="22"/>
      <c r="S394" s="377"/>
      <c r="T394" s="333">
        <f>Q394*AA394*$S$392</f>
        <v>0</v>
      </c>
      <c r="V394" s="285">
        <f>IF(Checklist!P394="",0,Checklist!P394)</f>
        <v>0</v>
      </c>
      <c r="W394" s="22"/>
      <c r="X394" s="377"/>
      <c r="Y394" s="333">
        <f>V394*AA394*$X$392</f>
        <v>0</v>
      </c>
      <c r="AA394" s="335">
        <v>1</v>
      </c>
    </row>
    <row r="395" spans="2:30" outlineLevel="3" x14ac:dyDescent="0.25">
      <c r="B395" s="22"/>
      <c r="E395" s="35" t="s">
        <v>1406</v>
      </c>
      <c r="F395" s="35" t="s">
        <v>273</v>
      </c>
      <c r="G395" s="35"/>
      <c r="H395" s="285">
        <f>IF(Checklist!J395="",0,Checklist!J395)</f>
        <v>0</v>
      </c>
      <c r="I395" s="285">
        <f>IF(Checklist!K395="",0,Checklist!K395)</f>
        <v>0</v>
      </c>
      <c r="J395" s="371"/>
      <c r="K395" s="371">
        <f t="shared" si="126"/>
        <v>0</v>
      </c>
      <c r="L395" s="331"/>
      <c r="M395" s="372">
        <f t="shared" si="127"/>
        <v>0</v>
      </c>
      <c r="N395" s="333"/>
      <c r="O395" s="333">
        <f t="shared" si="128"/>
        <v>0</v>
      </c>
      <c r="Q395" s="285">
        <f>IF(Checklist!M395="",0,Checklist!M395)</f>
        <v>0</v>
      </c>
      <c r="R395" s="22"/>
      <c r="S395" s="377"/>
      <c r="T395" s="333">
        <f>Q395*AA395*$S$392</f>
        <v>0</v>
      </c>
      <c r="V395" s="285">
        <f>IF(Checklist!P395="",0,Checklist!P395)</f>
        <v>0</v>
      </c>
      <c r="W395" s="22"/>
      <c r="X395" s="377"/>
      <c r="Y395" s="333">
        <f>V395*AA395*$X$392</f>
        <v>0</v>
      </c>
      <c r="AA395" s="335">
        <v>0.9</v>
      </c>
    </row>
    <row r="396" spans="2:30" outlineLevel="3" x14ac:dyDescent="0.25">
      <c r="B396" s="22"/>
      <c r="E396" s="35" t="s">
        <v>1407</v>
      </c>
      <c r="F396" s="35" t="s">
        <v>276</v>
      </c>
      <c r="G396" s="35"/>
      <c r="H396" s="285">
        <f>IF(Checklist!J396="",0,Checklist!J396)</f>
        <v>0</v>
      </c>
      <c r="I396" s="285">
        <f>IF(Checklist!K396="",0,Checklist!K396)</f>
        <v>0</v>
      </c>
      <c r="J396" s="371"/>
      <c r="K396" s="371">
        <f t="shared" si="126"/>
        <v>0</v>
      </c>
      <c r="L396" s="331"/>
      <c r="M396" s="372">
        <f t="shared" si="127"/>
        <v>0</v>
      </c>
      <c r="N396" s="333"/>
      <c r="O396" s="333">
        <f t="shared" si="128"/>
        <v>0</v>
      </c>
      <c r="Q396" s="285">
        <f>IF(Checklist!M396="",0,Checklist!M396)</f>
        <v>0</v>
      </c>
      <c r="R396" s="22"/>
      <c r="S396" s="377"/>
      <c r="T396" s="333">
        <f>Q396*AA396*$S$392</f>
        <v>0</v>
      </c>
      <c r="V396" s="285">
        <f>IF(Checklist!P396="",0,Checklist!P396)</f>
        <v>0</v>
      </c>
      <c r="W396" s="22"/>
      <c r="X396" s="377"/>
      <c r="Y396" s="333">
        <f>V396*AA396*$X$392</f>
        <v>0</v>
      </c>
      <c r="AA396" s="335">
        <v>0.6</v>
      </c>
    </row>
    <row r="397" spans="2:30" outlineLevel="3" x14ac:dyDescent="0.25">
      <c r="E397" s="35" t="s">
        <v>1408</v>
      </c>
      <c r="F397" s="35" t="s">
        <v>1409</v>
      </c>
      <c r="G397" s="35"/>
      <c r="H397" s="285">
        <f>IF(Checklist!J397="",0,Checklist!J397)</f>
        <v>0</v>
      </c>
      <c r="I397" s="285">
        <f>IF(Checklist!K397="",0,Checklist!K397)</f>
        <v>0</v>
      </c>
      <c r="J397" s="371"/>
      <c r="K397" s="371">
        <f t="shared" si="126"/>
        <v>0</v>
      </c>
      <c r="L397" s="331"/>
      <c r="M397" s="372">
        <f t="shared" si="127"/>
        <v>0</v>
      </c>
      <c r="N397" s="333"/>
      <c r="O397" s="333">
        <f t="shared" si="128"/>
        <v>0</v>
      </c>
      <c r="Q397" s="285">
        <f>IF(Checklist!M397="",0,Checklist!M397)</f>
        <v>0</v>
      </c>
      <c r="R397" s="22"/>
      <c r="S397" s="377"/>
      <c r="T397" s="333">
        <f>Q397*AA397*$S$392</f>
        <v>0</v>
      </c>
      <c r="V397" s="285">
        <f>IF(Checklist!P397="",0,Checklist!P397)</f>
        <v>0</v>
      </c>
      <c r="W397" s="22"/>
      <c r="X397" s="377"/>
      <c r="Y397" s="333">
        <f>V397*AA397*$X$392</f>
        <v>0</v>
      </c>
      <c r="AA397" s="335">
        <v>0.4</v>
      </c>
    </row>
    <row r="398" spans="2:30" outlineLevel="3" x14ac:dyDescent="0.25">
      <c r="B398" s="22"/>
      <c r="E398" s="35" t="s">
        <v>1410</v>
      </c>
      <c r="F398" s="35" t="s">
        <v>941</v>
      </c>
      <c r="G398" s="35"/>
      <c r="H398" s="285">
        <f>IF(Checklist!J398="",0,Checklist!J398)</f>
        <v>0</v>
      </c>
      <c r="I398" s="285">
        <f>IF(Checklist!K398="",0,Checklist!K398)</f>
        <v>0</v>
      </c>
      <c r="J398" s="371"/>
      <c r="K398" s="371">
        <f t="shared" si="126"/>
        <v>0</v>
      </c>
      <c r="L398" s="331"/>
      <c r="M398" s="372">
        <f t="shared" si="127"/>
        <v>0</v>
      </c>
      <c r="N398" s="333"/>
      <c r="O398" s="333">
        <f t="shared" si="128"/>
        <v>0</v>
      </c>
      <c r="Q398" s="285">
        <f>IF(Checklist!M398="",0,Checklist!M398)</f>
        <v>0</v>
      </c>
      <c r="R398" s="22"/>
      <c r="S398" s="377"/>
      <c r="T398" s="333">
        <f t="shared" ref="T398:T399" si="129">Q398*AA398*$S$392</f>
        <v>0</v>
      </c>
      <c r="V398" s="285">
        <f>IF(Checklist!P398="",0,Checklist!P398)</f>
        <v>0</v>
      </c>
      <c r="W398" s="22"/>
      <c r="X398" s="377"/>
      <c r="Y398" s="333">
        <f t="shared" ref="Y398" si="130">V398*AA398*$X$392</f>
        <v>0</v>
      </c>
      <c r="AA398" s="335">
        <v>0</v>
      </c>
    </row>
    <row r="399" spans="2:30" outlineLevel="3" x14ac:dyDescent="0.25">
      <c r="B399" s="22"/>
      <c r="E399" s="35" t="s">
        <v>1411</v>
      </c>
      <c r="F399" s="35" t="s">
        <v>943</v>
      </c>
      <c r="G399" s="35"/>
      <c r="H399" s="285">
        <f>IF(Checklist!J399="",0,Checklist!J399)</f>
        <v>0</v>
      </c>
      <c r="I399" s="285">
        <f>IF(Checklist!K399="",0,Checklist!K399)</f>
        <v>0</v>
      </c>
      <c r="J399" s="371"/>
      <c r="K399" s="371">
        <f t="shared" si="126"/>
        <v>0</v>
      </c>
      <c r="L399" s="331"/>
      <c r="M399" s="372">
        <f t="shared" si="127"/>
        <v>0</v>
      </c>
      <c r="N399" s="333"/>
      <c r="O399" s="333">
        <f t="shared" si="128"/>
        <v>0</v>
      </c>
      <c r="Q399" s="285">
        <f>IF(Checklist!M399="",0,Checklist!M399)</f>
        <v>0</v>
      </c>
      <c r="R399" s="22"/>
      <c r="S399" s="377"/>
      <c r="T399" s="333">
        <f t="shared" si="129"/>
        <v>0</v>
      </c>
      <c r="V399" s="285">
        <f>IF(Checklist!P399="",0,Checklist!P399)</f>
        <v>0</v>
      </c>
      <c r="W399" s="22"/>
      <c r="X399" s="377"/>
      <c r="Y399" s="333">
        <f>V399*AA399*$X$392</f>
        <v>0</v>
      </c>
      <c r="AA399" s="335">
        <v>0</v>
      </c>
    </row>
    <row r="400" spans="2:30" outlineLevel="2" x14ac:dyDescent="0.25">
      <c r="B400" s="22"/>
      <c r="D400" s="284" t="s">
        <v>840</v>
      </c>
      <c r="E400" s="284" t="s">
        <v>1254</v>
      </c>
      <c r="F400" s="284"/>
      <c r="G400" s="284"/>
      <c r="H400" s="289" t="s">
        <v>731</v>
      </c>
      <c r="I400" s="288" t="s">
        <v>731</v>
      </c>
      <c r="J400" s="324">
        <f t="shared" si="124"/>
        <v>0</v>
      </c>
      <c r="K400" s="324">
        <f>IF(SUM(K401:K405)&gt;J400,J400,SUM(K401:K405))</f>
        <v>0</v>
      </c>
      <c r="L400" s="325">
        <f t="shared" si="125"/>
        <v>0</v>
      </c>
      <c r="M400" s="325">
        <f>IF(SUM(M401:M405)&gt;L400,L400,SUM(M401:M405))</f>
        <v>0</v>
      </c>
      <c r="N400" s="326">
        <f>Ponderações!P80*100</f>
        <v>0</v>
      </c>
      <c r="O400" s="326">
        <f>IF(SUM(O401:O405)&gt;N400,N400,SUM(O401:O405))</f>
        <v>0</v>
      </c>
      <c r="Q400" s="289" t="s">
        <v>731</v>
      </c>
      <c r="R400" s="22"/>
      <c r="S400" s="326">
        <f>N400</f>
        <v>0</v>
      </c>
      <c r="T400" s="326">
        <f>IF(SUM(T401:T405)&gt;S400,S400,SUM(T401:T405))</f>
        <v>0</v>
      </c>
      <c r="V400" s="289" t="s">
        <v>731</v>
      </c>
      <c r="W400" s="22"/>
      <c r="X400" s="326">
        <f>S400</f>
        <v>0</v>
      </c>
      <c r="Y400" s="326">
        <f>IF(SUM(Y401:Y405)&gt;X400,X400,SUM(Y401:Y405))</f>
        <v>0</v>
      </c>
      <c r="AA400" s="327"/>
      <c r="AB400" s="342"/>
    </row>
    <row r="401" spans="1:30" ht="14.65" customHeight="1" outlineLevel="3" x14ac:dyDescent="0.25">
      <c r="B401" s="22"/>
      <c r="E401" s="35" t="s">
        <v>1412</v>
      </c>
      <c r="F401" s="35" t="s">
        <v>1256</v>
      </c>
      <c r="G401" s="35"/>
      <c r="H401" s="285">
        <f>IF(Checklist!J401="",0,Checklist!J401)</f>
        <v>0</v>
      </c>
      <c r="I401" s="285">
        <f>IF(Checklist!K401="",0,Checklist!K401)</f>
        <v>0</v>
      </c>
      <c r="J401" s="371"/>
      <c r="K401" s="371">
        <f>H401*AA401*J400</f>
        <v>0</v>
      </c>
      <c r="L401" s="331"/>
      <c r="M401" s="372">
        <f>I401*AA401*L400</f>
        <v>0</v>
      </c>
      <c r="N401" s="333"/>
      <c r="O401" s="333">
        <f t="shared" ref="O401:O405" si="131">M401+K401</f>
        <v>0</v>
      </c>
      <c r="Q401" s="285">
        <f>IF(Checklist!M401="",0,Checklist!M401)</f>
        <v>0</v>
      </c>
      <c r="R401" s="22"/>
      <c r="S401" s="377"/>
      <c r="T401" s="333">
        <f>Q401*AA401*S400</f>
        <v>0</v>
      </c>
      <c r="V401" s="285">
        <f>IF(Checklist!P401="",0,Checklist!P401)</f>
        <v>0</v>
      </c>
      <c r="W401" s="22"/>
      <c r="X401" s="377"/>
      <c r="Y401" s="333">
        <f>V401*AA401*X400</f>
        <v>0</v>
      </c>
      <c r="AA401" s="335">
        <v>1</v>
      </c>
    </row>
    <row r="402" spans="1:30" outlineLevel="3" x14ac:dyDescent="0.25">
      <c r="B402" s="22"/>
      <c r="E402" s="35" t="s">
        <v>1413</v>
      </c>
      <c r="F402" s="35" t="s">
        <v>1258</v>
      </c>
      <c r="G402" s="35"/>
      <c r="H402" s="285">
        <f>IF(Checklist!J402="",0,Checklist!J402)</f>
        <v>0</v>
      </c>
      <c r="I402" s="285">
        <f>IF(Checklist!K402="",0,Checklist!K402)</f>
        <v>0</v>
      </c>
      <c r="J402" s="371"/>
      <c r="K402" s="371">
        <f>H402*AA402*J400</f>
        <v>0</v>
      </c>
      <c r="L402" s="331"/>
      <c r="M402" s="372">
        <f>I402*AA402*L400</f>
        <v>0</v>
      </c>
      <c r="N402" s="333"/>
      <c r="O402" s="333">
        <f t="shared" si="131"/>
        <v>0</v>
      </c>
      <c r="Q402" s="285">
        <f>IF(Checklist!M402="",0,Checklist!M402)</f>
        <v>0</v>
      </c>
      <c r="R402" s="22"/>
      <c r="S402" s="377"/>
      <c r="T402" s="333">
        <f>Q402*AA402*S400</f>
        <v>0</v>
      </c>
      <c r="V402" s="285">
        <f>IF(Checklist!P402="",0,Checklist!P402)</f>
        <v>0</v>
      </c>
      <c r="W402" s="22"/>
      <c r="X402" s="377"/>
      <c r="Y402" s="333">
        <f>V402*AA402*X400</f>
        <v>0</v>
      </c>
      <c r="AA402" s="335">
        <v>0.75</v>
      </c>
    </row>
    <row r="403" spans="1:30" outlineLevel="3" x14ac:dyDescent="0.25">
      <c r="B403" s="22"/>
      <c r="E403" s="35" t="s">
        <v>1414</v>
      </c>
      <c r="F403" s="35" t="s">
        <v>1260</v>
      </c>
      <c r="G403" s="35"/>
      <c r="H403" s="285">
        <f>IF(Checklist!J403="",0,Checklist!J403)</f>
        <v>0</v>
      </c>
      <c r="I403" s="285">
        <f>IF(Checklist!K403="",0,Checklist!K403)</f>
        <v>0</v>
      </c>
      <c r="J403" s="371"/>
      <c r="K403" s="371">
        <f>H403*AA403*J400</f>
        <v>0</v>
      </c>
      <c r="L403" s="331"/>
      <c r="M403" s="372">
        <f>I403*AA403*L400</f>
        <v>0</v>
      </c>
      <c r="N403" s="333"/>
      <c r="O403" s="333">
        <f t="shared" si="131"/>
        <v>0</v>
      </c>
      <c r="Q403" s="285">
        <f>IF(Checklist!M403="",0,Checklist!M403)</f>
        <v>0</v>
      </c>
      <c r="R403" s="22"/>
      <c r="S403" s="377"/>
      <c r="T403" s="333">
        <f>Q403*AA403*S400</f>
        <v>0</v>
      </c>
      <c r="V403" s="285">
        <f>IF(Checklist!P403="",0,Checklist!P403)</f>
        <v>0</v>
      </c>
      <c r="W403" s="22"/>
      <c r="X403" s="377"/>
      <c r="Y403" s="333">
        <f>V403*AA403*X400</f>
        <v>0</v>
      </c>
      <c r="AA403" s="335">
        <v>0.25</v>
      </c>
    </row>
    <row r="404" spans="1:30" outlineLevel="3" x14ac:dyDescent="0.25">
      <c r="B404" s="22"/>
      <c r="E404" s="35" t="s">
        <v>1415</v>
      </c>
      <c r="F404" s="35" t="s">
        <v>1262</v>
      </c>
      <c r="G404" s="35"/>
      <c r="H404" s="285">
        <f>IF(Checklist!J404="",0,Checklist!J404)</f>
        <v>0</v>
      </c>
      <c r="I404" s="285">
        <f>IF(Checklist!K404="",0,Checklist!K404)</f>
        <v>0</v>
      </c>
      <c r="J404" s="371"/>
      <c r="K404" s="371">
        <f>H404*AA404*J400</f>
        <v>0</v>
      </c>
      <c r="L404" s="331"/>
      <c r="M404" s="372">
        <f>I404*AA404*L400</f>
        <v>0</v>
      </c>
      <c r="N404" s="333"/>
      <c r="O404" s="333">
        <f t="shared" si="131"/>
        <v>0</v>
      </c>
      <c r="Q404" s="285">
        <f>IF(Checklist!M404="",0,Checklist!M404)</f>
        <v>0</v>
      </c>
      <c r="R404" s="22"/>
      <c r="S404" s="377"/>
      <c r="T404" s="333">
        <f>Q404*AA404*S400</f>
        <v>0</v>
      </c>
      <c r="V404" s="285">
        <f>IF(Checklist!P404="",0,Checklist!P404)</f>
        <v>0</v>
      </c>
      <c r="W404" s="22"/>
      <c r="X404" s="377"/>
      <c r="Y404" s="333">
        <f>V404*AA404*X400</f>
        <v>0</v>
      </c>
      <c r="AA404" s="335">
        <v>0</v>
      </c>
    </row>
    <row r="405" spans="1:30" outlineLevel="3" x14ac:dyDescent="0.25">
      <c r="B405" s="22"/>
      <c r="E405" s="35" t="s">
        <v>1416</v>
      </c>
      <c r="F405" s="35" t="s">
        <v>943</v>
      </c>
      <c r="G405" s="35"/>
      <c r="H405" s="285">
        <f>IF(Checklist!J405="",0,Checklist!J405)</f>
        <v>1</v>
      </c>
      <c r="I405" s="285">
        <f>IF(Checklist!K405="",0,Checklist!K405)</f>
        <v>1</v>
      </c>
      <c r="J405" s="371"/>
      <c r="K405" s="371">
        <f>H405*AA405*J400</f>
        <v>0</v>
      </c>
      <c r="L405" s="331"/>
      <c r="M405" s="372">
        <f>I405*AA405*L400</f>
        <v>0</v>
      </c>
      <c r="N405" s="333"/>
      <c r="O405" s="333">
        <f t="shared" si="131"/>
        <v>0</v>
      </c>
      <c r="Q405" s="285">
        <f>IF(Checklist!M405="",0,Checklist!M405)</f>
        <v>1</v>
      </c>
      <c r="R405" s="22"/>
      <c r="S405" s="377"/>
      <c r="T405" s="333">
        <f>Q405*AA405*S400</f>
        <v>0</v>
      </c>
      <c r="V405" s="285">
        <f>IF(Checklist!P405="",0,Checklist!P405)</f>
        <v>1</v>
      </c>
      <c r="W405" s="22"/>
      <c r="X405" s="377"/>
      <c r="Y405" s="333">
        <f>V405*AA405*X400</f>
        <v>0</v>
      </c>
      <c r="AA405" s="335">
        <v>0</v>
      </c>
    </row>
    <row r="406" spans="1:30" s="342" customFormat="1" outlineLevel="2" x14ac:dyDescent="0.25">
      <c r="A406" s="366"/>
      <c r="B406" s="366"/>
      <c r="C406" s="366"/>
      <c r="D406" s="36" t="s">
        <v>841</v>
      </c>
      <c r="E406" s="36" t="s">
        <v>1202</v>
      </c>
      <c r="F406" s="36"/>
      <c r="G406" s="36"/>
      <c r="H406" s="298" t="s">
        <v>731</v>
      </c>
      <c r="I406" s="297" t="s">
        <v>731</v>
      </c>
      <c r="J406" s="368">
        <f t="shared" si="124"/>
        <v>0</v>
      </c>
      <c r="K406" s="368">
        <f>IF(SUM(K407:K410)&gt;J406,J406,SUM(K407:K410))</f>
        <v>0</v>
      </c>
      <c r="L406" s="369">
        <f t="shared" si="125"/>
        <v>0</v>
      </c>
      <c r="M406" s="369">
        <f>IF(SUM(M407:M410)&gt;L406,L406,SUM(M407:M410))</f>
        <v>0</v>
      </c>
      <c r="N406" s="370">
        <f>Ponderações!P81*100</f>
        <v>0</v>
      </c>
      <c r="O406" s="370">
        <f>IF(SUM(O407:O410)&gt;N406,N406,SUM(O407:O410))</f>
        <v>0</v>
      </c>
      <c r="P406" s="353"/>
      <c r="Q406" s="298" t="s">
        <v>731</v>
      </c>
      <c r="R406" s="366"/>
      <c r="S406" s="370">
        <f>N406</f>
        <v>0</v>
      </c>
      <c r="T406" s="370">
        <f>IF(SUM(T407:T410)&gt;S406,S406,SUM(T407:T410))</f>
        <v>0</v>
      </c>
      <c r="U406" s="353"/>
      <c r="V406" s="298" t="s">
        <v>731</v>
      </c>
      <c r="W406" s="366"/>
      <c r="X406" s="370">
        <f>S406</f>
        <v>0</v>
      </c>
      <c r="Y406" s="370">
        <f>IF(SUM(Y407:Y410)&gt;X406,X406,SUM(Y407:Y410))</f>
        <v>0</v>
      </c>
      <c r="Z406" s="353"/>
      <c r="AA406" s="327"/>
      <c r="AD406" s="353"/>
    </row>
    <row r="407" spans="1:30" ht="14.65" customHeight="1" outlineLevel="3" x14ac:dyDescent="0.25">
      <c r="B407" s="22"/>
      <c r="E407" s="35" t="s">
        <v>1417</v>
      </c>
      <c r="F407" s="35" t="s">
        <v>92</v>
      </c>
      <c r="G407" s="35"/>
      <c r="H407" s="285">
        <f>IF(Checklist!J407="",0,Checklist!J407)</f>
        <v>0</v>
      </c>
      <c r="I407" s="285">
        <f>IF(Checklist!K407="",0,Checklist!K407)</f>
        <v>0</v>
      </c>
      <c r="J407" s="371"/>
      <c r="K407" s="371">
        <f>H407*AA407*J406</f>
        <v>0</v>
      </c>
      <c r="L407" s="331"/>
      <c r="M407" s="372">
        <f>I407*AA407*L406</f>
        <v>0</v>
      </c>
      <c r="N407" s="333"/>
      <c r="O407" s="333">
        <f>M407+K407</f>
        <v>0</v>
      </c>
      <c r="P407" s="353"/>
      <c r="Q407" s="285">
        <f>IF(Checklist!M407="",0,Checklist!M407)</f>
        <v>0</v>
      </c>
      <c r="R407" s="22"/>
      <c r="S407" s="377"/>
      <c r="T407" s="333">
        <f>Q407*AA407*S406</f>
        <v>0</v>
      </c>
      <c r="U407" s="353"/>
      <c r="V407" s="285">
        <f>IF(Checklist!P407="",0,Checklist!P407)</f>
        <v>0</v>
      </c>
      <c r="W407" s="22"/>
      <c r="X407" s="377"/>
      <c r="Y407" s="333">
        <f>V407*AA407*X406</f>
        <v>0</v>
      </c>
      <c r="Z407" s="353"/>
      <c r="AA407" s="335">
        <v>1</v>
      </c>
      <c r="AD407" s="353"/>
    </row>
    <row r="408" spans="1:30" outlineLevel="3" x14ac:dyDescent="0.25">
      <c r="B408" s="22"/>
      <c r="E408" s="35" t="s">
        <v>1418</v>
      </c>
      <c r="F408" s="35" t="s">
        <v>1203</v>
      </c>
      <c r="G408" s="35"/>
      <c r="H408" s="285">
        <f>IF(Checklist!J408="",0,Checklist!J408)</f>
        <v>0</v>
      </c>
      <c r="I408" s="285">
        <f>IF(Checklist!K408="",0,Checklist!K408)</f>
        <v>0</v>
      </c>
      <c r="J408" s="371"/>
      <c r="K408" s="371">
        <f>H408*AA408*J406</f>
        <v>0</v>
      </c>
      <c r="L408" s="331"/>
      <c r="M408" s="372">
        <f>I408*AA408*L406</f>
        <v>0</v>
      </c>
      <c r="N408" s="333"/>
      <c r="O408" s="333">
        <f>M408+K408</f>
        <v>0</v>
      </c>
      <c r="P408" s="353"/>
      <c r="Q408" s="285">
        <f>IF(Checklist!M408="",0,Checklist!M408)</f>
        <v>0</v>
      </c>
      <c r="R408" s="22"/>
      <c r="S408" s="377"/>
      <c r="T408" s="333">
        <f>Q408*AA408*S406</f>
        <v>0</v>
      </c>
      <c r="U408" s="353"/>
      <c r="V408" s="285">
        <f>IF(Checklist!P408="",0,Checklist!P408)</f>
        <v>0</v>
      </c>
      <c r="W408" s="22"/>
      <c r="X408" s="377"/>
      <c r="Y408" s="333">
        <f>V408*AA408*X406</f>
        <v>0</v>
      </c>
      <c r="Z408" s="353"/>
      <c r="AA408" s="335">
        <v>0</v>
      </c>
      <c r="AD408" s="353"/>
    </row>
    <row r="409" spans="1:30" outlineLevel="3" x14ac:dyDescent="0.25">
      <c r="B409" s="22"/>
      <c r="E409" s="35" t="s">
        <v>1419</v>
      </c>
      <c r="F409" s="35" t="s">
        <v>107</v>
      </c>
      <c r="G409" s="35"/>
      <c r="H409" s="285">
        <f>IF(Checklist!J409="",0,Checklist!J409)</f>
        <v>0</v>
      </c>
      <c r="I409" s="285">
        <f>IF(Checklist!K409="",0,Checklist!K409)</f>
        <v>0</v>
      </c>
      <c r="J409" s="371"/>
      <c r="K409" s="371">
        <f>H409*AA409*J406</f>
        <v>0</v>
      </c>
      <c r="L409" s="331"/>
      <c r="M409" s="372">
        <f>I409*AA409*L406</f>
        <v>0</v>
      </c>
      <c r="N409" s="333"/>
      <c r="O409" s="333">
        <f>M409+K409</f>
        <v>0</v>
      </c>
      <c r="P409" s="353"/>
      <c r="Q409" s="285">
        <f>IF(Checklist!M409="",0,Checklist!M409)</f>
        <v>0</v>
      </c>
      <c r="R409" s="22"/>
      <c r="S409" s="377"/>
      <c r="T409" s="333">
        <f>Q409*AA409*S406</f>
        <v>0</v>
      </c>
      <c r="U409" s="353"/>
      <c r="V409" s="285">
        <f>IF(Checklist!P409="",0,Checklist!P409)</f>
        <v>0</v>
      </c>
      <c r="W409" s="22"/>
      <c r="X409" s="377"/>
      <c r="Y409" s="333">
        <f>V409*AA409*X406</f>
        <v>0</v>
      </c>
      <c r="Z409" s="353"/>
      <c r="AA409" s="335">
        <v>0</v>
      </c>
      <c r="AD409" s="353"/>
    </row>
    <row r="410" spans="1:30" outlineLevel="3" x14ac:dyDescent="0.25">
      <c r="B410" s="22"/>
      <c r="E410" s="35" t="s">
        <v>1420</v>
      </c>
      <c r="F410" s="35" t="s">
        <v>943</v>
      </c>
      <c r="G410" s="35"/>
      <c r="H410" s="285">
        <f>IF(Checklist!J410="",0,Checklist!J410)</f>
        <v>1</v>
      </c>
      <c r="I410" s="285">
        <f>IF(Checklist!K410="",0,Checklist!K410)</f>
        <v>1</v>
      </c>
      <c r="J410" s="371"/>
      <c r="K410" s="371">
        <f>H410*AA410*J406</f>
        <v>0</v>
      </c>
      <c r="L410" s="331"/>
      <c r="M410" s="372">
        <f>I410*AA410*L406</f>
        <v>0</v>
      </c>
      <c r="N410" s="333"/>
      <c r="O410" s="333">
        <f>M410+K410</f>
        <v>0</v>
      </c>
      <c r="P410" s="353"/>
      <c r="Q410" s="285">
        <f>IF(Checklist!M410="",0,Checklist!M410)</f>
        <v>1</v>
      </c>
      <c r="R410" s="22"/>
      <c r="S410" s="377"/>
      <c r="T410" s="333">
        <f>Q410*AA410*S406</f>
        <v>0</v>
      </c>
      <c r="U410" s="353"/>
      <c r="V410" s="285">
        <f>IF(Checklist!P410="",0,Checklist!P410)</f>
        <v>1</v>
      </c>
      <c r="W410" s="22"/>
      <c r="X410" s="377"/>
      <c r="Y410" s="333">
        <f>V410*AA410*X406</f>
        <v>0</v>
      </c>
      <c r="Z410" s="353"/>
      <c r="AA410" s="335">
        <v>0</v>
      </c>
      <c r="AD410" s="353"/>
    </row>
    <row r="411" spans="1:30" s="342" customFormat="1" outlineLevel="2" x14ac:dyDescent="0.25">
      <c r="A411" s="366"/>
      <c r="B411" s="366"/>
      <c r="C411" s="366"/>
      <c r="D411" s="36" t="s">
        <v>842</v>
      </c>
      <c r="E411" s="36" t="s">
        <v>1204</v>
      </c>
      <c r="F411" s="36"/>
      <c r="G411" s="36"/>
      <c r="H411" s="298" t="s">
        <v>731</v>
      </c>
      <c r="I411" s="297" t="s">
        <v>731</v>
      </c>
      <c r="J411" s="368">
        <f t="shared" si="124"/>
        <v>0</v>
      </c>
      <c r="K411" s="368">
        <f>IF(SUM(K412:K415)&gt;J411,J411,SUM(K412:K415))</f>
        <v>0</v>
      </c>
      <c r="L411" s="369">
        <f t="shared" si="125"/>
        <v>0</v>
      </c>
      <c r="M411" s="369">
        <f>IF(SUM(M412:M415)&gt;L411,L411,SUM(M412:M415))</f>
        <v>0</v>
      </c>
      <c r="N411" s="370">
        <f>Ponderações!P82*100</f>
        <v>0</v>
      </c>
      <c r="O411" s="370">
        <f>IF(SUM(O412:O415)&gt;N411,N411,SUM(O412:O415))</f>
        <v>0</v>
      </c>
      <c r="P411" s="353"/>
      <c r="Q411" s="298" t="s">
        <v>731</v>
      </c>
      <c r="R411" s="366"/>
      <c r="S411" s="370">
        <f>N411</f>
        <v>0</v>
      </c>
      <c r="T411" s="370">
        <f>IF(SUM(T412:T415)&gt;S411,S411,SUM(T412:T415))</f>
        <v>0</v>
      </c>
      <c r="U411" s="353"/>
      <c r="V411" s="298" t="s">
        <v>731</v>
      </c>
      <c r="W411" s="366"/>
      <c r="X411" s="370">
        <f>S411</f>
        <v>0</v>
      </c>
      <c r="Y411" s="370">
        <f>IF(SUM(Y412:Y415)&gt;X411,X411,SUM(Y412:Y415))</f>
        <v>0</v>
      </c>
      <c r="Z411" s="353"/>
      <c r="AA411" s="327"/>
      <c r="AD411" s="353"/>
    </row>
    <row r="412" spans="1:30" ht="14.65" customHeight="1" outlineLevel="3" x14ac:dyDescent="0.25">
      <c r="B412" s="22"/>
      <c r="E412" s="35" t="s">
        <v>1421</v>
      </c>
      <c r="F412" s="35" t="s">
        <v>1205</v>
      </c>
      <c r="G412" s="35"/>
      <c r="H412" s="285">
        <f>IF(Checklist!J412="",0,Checklist!J412)</f>
        <v>0</v>
      </c>
      <c r="I412" s="285">
        <f>IF(Checklist!K412="",0,Checklist!K412)</f>
        <v>0</v>
      </c>
      <c r="J412" s="337"/>
      <c r="K412" s="337">
        <f>H412*AA412*J411</f>
        <v>0</v>
      </c>
      <c r="L412" s="338"/>
      <c r="M412" s="339">
        <f>I412*AA412*L411</f>
        <v>0</v>
      </c>
      <c r="N412" s="333"/>
      <c r="O412" s="333">
        <f>M412+K412</f>
        <v>0</v>
      </c>
      <c r="P412" s="353"/>
      <c r="Q412" s="285">
        <f>IF(Checklist!M412="",0,Checklist!M412)</f>
        <v>0</v>
      </c>
      <c r="R412" s="22"/>
      <c r="S412" s="377"/>
      <c r="T412" s="333">
        <f>Q412*AA412*S411</f>
        <v>0</v>
      </c>
      <c r="U412" s="353"/>
      <c r="V412" s="285">
        <f>IF(Checklist!P412="",0,Checklist!P412)</f>
        <v>0</v>
      </c>
      <c r="W412" s="22"/>
      <c r="X412" s="377"/>
      <c r="Y412" s="333">
        <f>V412*AA412*X411</f>
        <v>0</v>
      </c>
      <c r="Z412" s="353"/>
      <c r="AA412" s="335">
        <v>1</v>
      </c>
      <c r="AD412" s="353"/>
    </row>
    <row r="413" spans="1:30" outlineLevel="3" x14ac:dyDescent="0.25">
      <c r="B413" s="22"/>
      <c r="E413" s="35" t="s">
        <v>1422</v>
      </c>
      <c r="F413" s="35" t="s">
        <v>1206</v>
      </c>
      <c r="G413" s="35"/>
      <c r="H413" s="285">
        <f>IF(Checklist!J413="",0,Checklist!J413)</f>
        <v>0</v>
      </c>
      <c r="I413" s="285">
        <f>IF(Checklist!K413="",0,Checklist!K413)</f>
        <v>0</v>
      </c>
      <c r="J413" s="337"/>
      <c r="K413" s="337">
        <f>H413*AA413*J411</f>
        <v>0</v>
      </c>
      <c r="L413" s="338"/>
      <c r="M413" s="339">
        <f>I413*AA413*L411</f>
        <v>0</v>
      </c>
      <c r="N413" s="333"/>
      <c r="O413" s="333">
        <f>M413+K413</f>
        <v>0</v>
      </c>
      <c r="P413" s="353"/>
      <c r="Q413" s="285">
        <f>IF(Checklist!M413="",0,Checklist!M413)</f>
        <v>0</v>
      </c>
      <c r="R413" s="22"/>
      <c r="S413" s="377"/>
      <c r="T413" s="333">
        <f>Q413*AA413*S411</f>
        <v>0</v>
      </c>
      <c r="U413" s="353"/>
      <c r="V413" s="285">
        <f>IF(Checklist!P413="",0,Checklist!P413)</f>
        <v>0</v>
      </c>
      <c r="W413" s="22"/>
      <c r="X413" s="377"/>
      <c r="Y413" s="333">
        <f>V413*AA413*X411</f>
        <v>0</v>
      </c>
      <c r="Z413" s="353"/>
      <c r="AA413" s="335">
        <v>0.5</v>
      </c>
      <c r="AD413" s="353"/>
    </row>
    <row r="414" spans="1:30" outlineLevel="3" x14ac:dyDescent="0.25">
      <c r="B414" s="22"/>
      <c r="E414" s="35" t="s">
        <v>1423</v>
      </c>
      <c r="F414" s="35" t="s">
        <v>1207</v>
      </c>
      <c r="G414" s="35"/>
      <c r="H414" s="285">
        <f>IF(Checklist!J414="",0,Checklist!J414)</f>
        <v>0</v>
      </c>
      <c r="I414" s="285">
        <f>IF(Checklist!K414="",0,Checklist!K414)</f>
        <v>0</v>
      </c>
      <c r="J414" s="337"/>
      <c r="K414" s="337">
        <f>H414*AA414*J411</f>
        <v>0</v>
      </c>
      <c r="L414" s="338"/>
      <c r="M414" s="339">
        <f>I414*AA414*L411</f>
        <v>0</v>
      </c>
      <c r="N414" s="333"/>
      <c r="O414" s="333">
        <f>M414+K414</f>
        <v>0</v>
      </c>
      <c r="P414" s="353"/>
      <c r="Q414" s="285">
        <f>IF(Checklist!M414="",0,Checklist!M414)</f>
        <v>0</v>
      </c>
      <c r="R414" s="22"/>
      <c r="S414" s="377"/>
      <c r="T414" s="333">
        <f>Q414*AA414*S411</f>
        <v>0</v>
      </c>
      <c r="U414" s="353"/>
      <c r="V414" s="285">
        <f>IF(Checklist!P414="",0,Checklist!P414)</f>
        <v>0</v>
      </c>
      <c r="W414" s="22"/>
      <c r="X414" s="377"/>
      <c r="Y414" s="333">
        <f>V414*AA414*X411</f>
        <v>0</v>
      </c>
      <c r="Z414" s="353"/>
      <c r="AA414" s="335">
        <v>0</v>
      </c>
      <c r="AD414" s="353"/>
    </row>
    <row r="415" spans="1:30" outlineLevel="3" x14ac:dyDescent="0.25">
      <c r="B415" s="22"/>
      <c r="E415" s="35" t="s">
        <v>1424</v>
      </c>
      <c r="F415" s="35" t="s">
        <v>943</v>
      </c>
      <c r="G415" s="35"/>
      <c r="H415" s="285">
        <f>IF(Checklist!J415="",0,Checklist!J415)</f>
        <v>1</v>
      </c>
      <c r="I415" s="285">
        <f>IF(Checklist!K415="",0,Checklist!K415)</f>
        <v>1</v>
      </c>
      <c r="J415" s="337"/>
      <c r="K415" s="337">
        <f>H415*AA415*J411</f>
        <v>0</v>
      </c>
      <c r="L415" s="338"/>
      <c r="M415" s="339">
        <f>I415*AA415*L411</f>
        <v>0</v>
      </c>
      <c r="N415" s="333"/>
      <c r="O415" s="333">
        <f>M415+K415</f>
        <v>0</v>
      </c>
      <c r="P415" s="353"/>
      <c r="Q415" s="285">
        <f>IF(Checklist!M415="",0,Checklist!M415)</f>
        <v>1</v>
      </c>
      <c r="R415" s="22"/>
      <c r="S415" s="377"/>
      <c r="T415" s="333">
        <f>Q415*AA415*S411</f>
        <v>0</v>
      </c>
      <c r="U415" s="353"/>
      <c r="V415" s="285">
        <f>IF(Checklist!P415="",0,Checklist!P415)</f>
        <v>1</v>
      </c>
      <c r="W415" s="22"/>
      <c r="X415" s="377"/>
      <c r="Y415" s="333">
        <f>V415*AA415*X411</f>
        <v>0</v>
      </c>
      <c r="Z415" s="353"/>
      <c r="AA415" s="335">
        <v>0</v>
      </c>
      <c r="AD415" s="353"/>
    </row>
    <row r="416" spans="1:30" outlineLevel="1" x14ac:dyDescent="0.25">
      <c r="H416" s="273"/>
      <c r="I416" s="273"/>
      <c r="J416" s="315"/>
      <c r="K416" s="315"/>
      <c r="L416" s="316"/>
      <c r="M416" s="315"/>
      <c r="N416" s="317"/>
      <c r="O416" s="317"/>
      <c r="Q416" s="273"/>
      <c r="R416" s="22"/>
      <c r="S416" s="378"/>
      <c r="T416" s="317"/>
      <c r="V416" s="273"/>
      <c r="W416" s="22"/>
      <c r="X416" s="378"/>
      <c r="Y416" s="317"/>
      <c r="AA416" s="318"/>
    </row>
    <row r="417" spans="1:30" outlineLevel="1" x14ac:dyDescent="0.25">
      <c r="C417" s="275" t="s">
        <v>843</v>
      </c>
      <c r="D417" s="275" t="s">
        <v>121</v>
      </c>
      <c r="E417" s="275"/>
      <c r="F417" s="275"/>
      <c r="G417" s="275"/>
      <c r="H417" s="300"/>
      <c r="I417" s="301"/>
      <c r="J417" s="319">
        <f t="shared" si="124"/>
        <v>0</v>
      </c>
      <c r="K417" s="319">
        <f>K418+K425+K431+K436</f>
        <v>0</v>
      </c>
      <c r="L417" s="320">
        <f t="shared" si="125"/>
        <v>0</v>
      </c>
      <c r="M417" s="320">
        <f>M418+M425+M431+M436</f>
        <v>0</v>
      </c>
      <c r="N417" s="321">
        <f>N418+N425+N431+N436</f>
        <v>0</v>
      </c>
      <c r="O417" s="321">
        <f>O418+O425+O431+O436</f>
        <v>0</v>
      </c>
      <c r="Q417" s="300"/>
      <c r="R417" s="22"/>
      <c r="S417" s="321">
        <f>N417</f>
        <v>0</v>
      </c>
      <c r="T417" s="321">
        <f>T418+T425+T431+T436</f>
        <v>0</v>
      </c>
      <c r="V417" s="300"/>
      <c r="W417" s="22"/>
      <c r="X417" s="321">
        <f>S417</f>
        <v>0</v>
      </c>
      <c r="Y417" s="321">
        <f>Y418+Y425+Y431+Y436</f>
        <v>0</v>
      </c>
      <c r="AA417" s="322"/>
      <c r="AB417" s="344"/>
    </row>
    <row r="418" spans="1:30" s="342" customFormat="1" ht="14.65" customHeight="1" outlineLevel="2" x14ac:dyDescent="0.25">
      <c r="B418" s="366"/>
      <c r="D418" s="36" t="s">
        <v>844</v>
      </c>
      <c r="E418" s="36" t="s">
        <v>1192</v>
      </c>
      <c r="F418" s="36"/>
      <c r="G418" s="36"/>
      <c r="H418" s="298" t="s">
        <v>732</v>
      </c>
      <c r="I418" s="297" t="s">
        <v>732</v>
      </c>
      <c r="J418" s="368">
        <f t="shared" si="124"/>
        <v>0</v>
      </c>
      <c r="K418" s="368">
        <f>IF(SUM(K419:K424)&gt;J418,J418,SUM(K419:K424))</f>
        <v>0</v>
      </c>
      <c r="L418" s="369">
        <f t="shared" si="125"/>
        <v>0</v>
      </c>
      <c r="M418" s="369">
        <f>IF(SUM(M419:M424)&gt;L418,L418,SUM(M419:M424))</f>
        <v>0</v>
      </c>
      <c r="N418" s="370">
        <f>Ponderações!P84*100</f>
        <v>0</v>
      </c>
      <c r="O418" s="370">
        <f>IF(SUM(O419:O424)&gt;N418,N418,SUM(O419:O424))</f>
        <v>0</v>
      </c>
      <c r="P418" s="353"/>
      <c r="Q418" s="298" t="s">
        <v>732</v>
      </c>
      <c r="R418" s="366"/>
      <c r="S418" s="370">
        <f>N418</f>
        <v>0</v>
      </c>
      <c r="T418" s="370">
        <f>IF(SUM(T419:T424)&gt;S418,S418,SUM(T419:T424))</f>
        <v>0</v>
      </c>
      <c r="U418" s="353"/>
      <c r="V418" s="298" t="s">
        <v>732</v>
      </c>
      <c r="W418" s="366"/>
      <c r="X418" s="370">
        <f>S418</f>
        <v>0</v>
      </c>
      <c r="Y418" s="370">
        <f>IF(SUM(Y419:Y424)&gt;X418,X418,SUM(Y419:Y424))</f>
        <v>0</v>
      </c>
      <c r="Z418" s="353"/>
      <c r="AA418" s="327"/>
      <c r="AD418" s="353"/>
    </row>
    <row r="419" spans="1:30" outlineLevel="3" x14ac:dyDescent="0.25">
      <c r="B419" s="22"/>
      <c r="E419" s="35" t="s">
        <v>1425</v>
      </c>
      <c r="F419" s="35" t="s">
        <v>1193</v>
      </c>
      <c r="G419" s="35"/>
      <c r="H419" s="285">
        <f>IF(Checklist!J419="",0,Checklist!J419)</f>
        <v>0</v>
      </c>
      <c r="I419" s="285">
        <f>IF(Checklist!K419="",0,Checklist!K419)</f>
        <v>0</v>
      </c>
      <c r="J419" s="371"/>
      <c r="K419" s="371">
        <f>H419*AA419*$J$418</f>
        <v>0</v>
      </c>
      <c r="L419" s="331"/>
      <c r="M419" s="372">
        <f>I419*AA419*$L$418</f>
        <v>0</v>
      </c>
      <c r="N419" s="333"/>
      <c r="O419" s="333">
        <f t="shared" ref="O419:O424" si="132">M419+K419</f>
        <v>0</v>
      </c>
      <c r="P419" s="353"/>
      <c r="Q419" s="285">
        <f>IF(Checklist!M419="",0,Checklist!M419)</f>
        <v>0</v>
      </c>
      <c r="R419" s="22"/>
      <c r="S419" s="377"/>
      <c r="T419" s="333">
        <f>Q419*AA419*$S$418</f>
        <v>0</v>
      </c>
      <c r="U419" s="353"/>
      <c r="V419" s="285">
        <f>IF(Checklist!P419="",0,Checklist!P419)</f>
        <v>0</v>
      </c>
      <c r="W419" s="22"/>
      <c r="X419" s="377"/>
      <c r="Y419" s="333">
        <f>V419*AA419*$X$418</f>
        <v>0</v>
      </c>
      <c r="Z419" s="353"/>
      <c r="AA419" s="335">
        <v>1</v>
      </c>
      <c r="AD419" s="353"/>
    </row>
    <row r="420" spans="1:30" ht="14.65" customHeight="1" outlineLevel="3" x14ac:dyDescent="0.25">
      <c r="B420" s="22"/>
      <c r="E420" s="35" t="s">
        <v>1426</v>
      </c>
      <c r="F420" s="35" t="s">
        <v>1427</v>
      </c>
      <c r="G420" s="35"/>
      <c r="H420" s="285">
        <f>IF(Checklist!J420="",0,Checklist!J420)</f>
        <v>0</v>
      </c>
      <c r="I420" s="285">
        <f>IF(Checklist!K420="",0,Checklist!K420)</f>
        <v>0</v>
      </c>
      <c r="J420" s="371"/>
      <c r="K420" s="371">
        <f t="shared" ref="K420:K424" si="133">H420*AA420*$J$418</f>
        <v>0</v>
      </c>
      <c r="L420" s="331"/>
      <c r="M420" s="372">
        <f t="shared" ref="M420:M424" si="134">I420*AA420*$L$418</f>
        <v>0</v>
      </c>
      <c r="N420" s="333"/>
      <c r="O420" s="333">
        <f t="shared" si="132"/>
        <v>0</v>
      </c>
      <c r="P420" s="353"/>
      <c r="Q420" s="285">
        <f>IF(Checklist!M420="",0,Checklist!M420)</f>
        <v>0</v>
      </c>
      <c r="R420" s="22"/>
      <c r="S420" s="377"/>
      <c r="T420" s="333">
        <f t="shared" ref="T420:T424" si="135">Q420*AA420*$S$418</f>
        <v>0</v>
      </c>
      <c r="U420" s="353"/>
      <c r="V420" s="285">
        <f>IF(Checklist!P420="",0,Checklist!P420)</f>
        <v>0</v>
      </c>
      <c r="W420" s="22"/>
      <c r="X420" s="377"/>
      <c r="Y420" s="333">
        <f t="shared" ref="Y420:Y422" si="136">V420*AA420*$X$418</f>
        <v>0</v>
      </c>
      <c r="Z420" s="353"/>
      <c r="AA420" s="335">
        <v>0.75</v>
      </c>
      <c r="AD420" s="353"/>
    </row>
    <row r="421" spans="1:30" outlineLevel="3" x14ac:dyDescent="0.25">
      <c r="B421" s="22"/>
      <c r="E421" s="35" t="s">
        <v>1428</v>
      </c>
      <c r="F421" s="35" t="s">
        <v>1879</v>
      </c>
      <c r="G421" s="35"/>
      <c r="H421" s="285">
        <f>IF(Checklist!J421="",0,Checklist!J421)</f>
        <v>0</v>
      </c>
      <c r="I421" s="285">
        <f>IF(Checklist!K421="",0,Checklist!K421)</f>
        <v>0</v>
      </c>
      <c r="J421" s="371"/>
      <c r="K421" s="371">
        <f t="shared" si="133"/>
        <v>0</v>
      </c>
      <c r="L421" s="331"/>
      <c r="M421" s="372">
        <f t="shared" si="134"/>
        <v>0</v>
      </c>
      <c r="N421" s="333"/>
      <c r="O421" s="333">
        <f t="shared" si="132"/>
        <v>0</v>
      </c>
      <c r="P421" s="353"/>
      <c r="Q421" s="285">
        <f>IF(Checklist!M421="",0,Checklist!M421)</f>
        <v>0</v>
      </c>
      <c r="R421" s="22"/>
      <c r="S421" s="377"/>
      <c r="T421" s="333">
        <f t="shared" si="135"/>
        <v>0</v>
      </c>
      <c r="U421" s="353"/>
      <c r="V421" s="285">
        <f>IF(Checklist!P421="",0,Checklist!P421)</f>
        <v>0</v>
      </c>
      <c r="W421" s="22"/>
      <c r="X421" s="377"/>
      <c r="Y421" s="333">
        <f>V421*AA421*$X$418</f>
        <v>0</v>
      </c>
      <c r="Z421" s="353"/>
      <c r="AA421" s="335">
        <v>0.5</v>
      </c>
      <c r="AD421" s="353"/>
    </row>
    <row r="422" spans="1:30" outlineLevel="3" x14ac:dyDescent="0.25">
      <c r="B422" s="22"/>
      <c r="E422" s="35" t="s">
        <v>1429</v>
      </c>
      <c r="F422" s="35" t="s">
        <v>1430</v>
      </c>
      <c r="G422" s="35"/>
      <c r="H422" s="285">
        <f>IF(Checklist!J422="",0,Checklist!J422)</f>
        <v>0</v>
      </c>
      <c r="I422" s="285">
        <f>IF(Checklist!K422="",0,Checklist!K422)</f>
        <v>0</v>
      </c>
      <c r="J422" s="371"/>
      <c r="K422" s="371">
        <f t="shared" si="133"/>
        <v>0</v>
      </c>
      <c r="L422" s="331"/>
      <c r="M422" s="372">
        <f t="shared" si="134"/>
        <v>0</v>
      </c>
      <c r="N422" s="333"/>
      <c r="O422" s="333">
        <f t="shared" si="132"/>
        <v>0</v>
      </c>
      <c r="P422" s="353"/>
      <c r="Q422" s="285">
        <f>IF(Checklist!M422="",0,Checklist!M422)</f>
        <v>0</v>
      </c>
      <c r="R422" s="22"/>
      <c r="S422" s="377"/>
      <c r="T422" s="333">
        <f t="shared" si="135"/>
        <v>0</v>
      </c>
      <c r="U422" s="353"/>
      <c r="V422" s="285">
        <f>IF(Checklist!P422="",0,Checklist!P422)</f>
        <v>0</v>
      </c>
      <c r="W422" s="22"/>
      <c r="X422" s="377"/>
      <c r="Y422" s="333">
        <f t="shared" si="136"/>
        <v>0</v>
      </c>
      <c r="Z422" s="353"/>
      <c r="AA422" s="335">
        <v>0.25</v>
      </c>
      <c r="AD422" s="353"/>
    </row>
    <row r="423" spans="1:30" outlineLevel="3" x14ac:dyDescent="0.25">
      <c r="B423" s="22"/>
      <c r="E423" s="35" t="s">
        <v>1431</v>
      </c>
      <c r="F423" s="35" t="s">
        <v>941</v>
      </c>
      <c r="G423" s="35"/>
      <c r="H423" s="285">
        <f>IF(Checklist!J423="",0,Checklist!J423)</f>
        <v>0</v>
      </c>
      <c r="I423" s="285">
        <f>IF(Checklist!K423="",0,Checklist!K423)</f>
        <v>0</v>
      </c>
      <c r="J423" s="371"/>
      <c r="K423" s="371">
        <f t="shared" si="133"/>
        <v>0</v>
      </c>
      <c r="L423" s="331"/>
      <c r="M423" s="372">
        <f t="shared" si="134"/>
        <v>0</v>
      </c>
      <c r="N423" s="333"/>
      <c r="O423" s="333">
        <f t="shared" si="132"/>
        <v>0</v>
      </c>
      <c r="P423" s="353"/>
      <c r="Q423" s="285">
        <f>IF(Checklist!M423="",0,Checklist!M423)</f>
        <v>0</v>
      </c>
      <c r="R423" s="22"/>
      <c r="S423" s="377"/>
      <c r="T423" s="333">
        <f t="shared" si="135"/>
        <v>0</v>
      </c>
      <c r="U423" s="353"/>
      <c r="V423" s="285">
        <f>IF(Checklist!P423="",0,Checklist!P423)</f>
        <v>0</v>
      </c>
      <c r="W423" s="22"/>
      <c r="X423" s="377"/>
      <c r="Y423" s="333">
        <f>V423*AA423*$X$418</f>
        <v>0</v>
      </c>
      <c r="Z423" s="353"/>
      <c r="AA423" s="335">
        <v>0</v>
      </c>
      <c r="AD423" s="353"/>
    </row>
    <row r="424" spans="1:30" outlineLevel="3" x14ac:dyDescent="0.25">
      <c r="B424" s="22"/>
      <c r="E424" s="35" t="s">
        <v>1432</v>
      </c>
      <c r="F424" s="35" t="s">
        <v>943</v>
      </c>
      <c r="G424" s="35"/>
      <c r="H424" s="285">
        <f>IF(Checklist!J424="",0,Checklist!J424)</f>
        <v>0</v>
      </c>
      <c r="I424" s="285">
        <f>IF(Checklist!K424="",0,Checklist!K424)</f>
        <v>0</v>
      </c>
      <c r="J424" s="371"/>
      <c r="K424" s="371">
        <f t="shared" si="133"/>
        <v>0</v>
      </c>
      <c r="L424" s="331"/>
      <c r="M424" s="372">
        <f t="shared" si="134"/>
        <v>0</v>
      </c>
      <c r="N424" s="333"/>
      <c r="O424" s="333">
        <f t="shared" si="132"/>
        <v>0</v>
      </c>
      <c r="P424" s="353"/>
      <c r="Q424" s="285">
        <f>IF(Checklist!M424="",0,Checklist!M424)</f>
        <v>0</v>
      </c>
      <c r="R424" s="22"/>
      <c r="S424" s="377"/>
      <c r="T424" s="333">
        <f t="shared" si="135"/>
        <v>0</v>
      </c>
      <c r="U424" s="353"/>
      <c r="V424" s="285">
        <f>IF(Checklist!P424="",0,Checklist!P424)</f>
        <v>0</v>
      </c>
      <c r="W424" s="22"/>
      <c r="X424" s="377"/>
      <c r="Y424" s="333">
        <f>V424*AA424*$X$418</f>
        <v>0</v>
      </c>
      <c r="Z424" s="353"/>
      <c r="AA424" s="335">
        <v>0</v>
      </c>
      <c r="AD424" s="353"/>
    </row>
    <row r="425" spans="1:30" s="342" customFormat="1" outlineLevel="2" x14ac:dyDescent="0.25">
      <c r="A425" s="366"/>
      <c r="B425" s="366"/>
      <c r="C425" s="366"/>
      <c r="D425" s="36" t="s">
        <v>845</v>
      </c>
      <c r="E425" s="36" t="s">
        <v>1254</v>
      </c>
      <c r="F425" s="36"/>
      <c r="G425" s="36"/>
      <c r="H425" s="298" t="s">
        <v>731</v>
      </c>
      <c r="I425" s="297" t="s">
        <v>731</v>
      </c>
      <c r="J425" s="368">
        <f t="shared" si="124"/>
        <v>0</v>
      </c>
      <c r="K425" s="368">
        <f>IF(SUM(K426:K430)&gt;J425,J425,SUM(K426:K430))</f>
        <v>0</v>
      </c>
      <c r="L425" s="369">
        <f t="shared" si="125"/>
        <v>0</v>
      </c>
      <c r="M425" s="369">
        <f>IF(SUM(M426:M430)&gt;L425,L425,SUM(M426:M430))</f>
        <v>0</v>
      </c>
      <c r="N425" s="370">
        <f>Ponderações!P85*100</f>
        <v>0</v>
      </c>
      <c r="O425" s="370">
        <f>IF(SUM(O426:O430)&gt;N425,N425,SUM(O426:O430))</f>
        <v>0</v>
      </c>
      <c r="P425" s="353"/>
      <c r="Q425" s="298" t="s">
        <v>731</v>
      </c>
      <c r="R425" s="366"/>
      <c r="S425" s="370">
        <f>N425</f>
        <v>0</v>
      </c>
      <c r="T425" s="370">
        <f>IF(SUM(T426:T430)&gt;S425,S425,SUM(T426:T430))</f>
        <v>0</v>
      </c>
      <c r="U425" s="353"/>
      <c r="V425" s="298" t="s">
        <v>731</v>
      </c>
      <c r="W425" s="366"/>
      <c r="X425" s="370">
        <f>S425</f>
        <v>0</v>
      </c>
      <c r="Y425" s="370">
        <f>IF(SUM(Y426:Y430)&gt;X425,X425,SUM(Y426:Y430))</f>
        <v>0</v>
      </c>
      <c r="Z425" s="353"/>
      <c r="AA425" s="327"/>
      <c r="AD425" s="353"/>
    </row>
    <row r="426" spans="1:30" outlineLevel="3" x14ac:dyDescent="0.25">
      <c r="B426" s="22"/>
      <c r="E426" s="35" t="s">
        <v>1433</v>
      </c>
      <c r="F426" s="35" t="s">
        <v>1434</v>
      </c>
      <c r="G426" s="35"/>
      <c r="H426" s="285">
        <f>IF(Checklist!J426="",0,Checklist!J426)</f>
        <v>0</v>
      </c>
      <c r="I426" s="285">
        <f>IF(Checklist!K426="",0,Checklist!K426)</f>
        <v>0</v>
      </c>
      <c r="J426" s="371"/>
      <c r="K426" s="371">
        <f>H426*AA426*J425</f>
        <v>0</v>
      </c>
      <c r="L426" s="331"/>
      <c r="M426" s="372">
        <f>I426*AA426*L425</f>
        <v>0</v>
      </c>
      <c r="N426" s="333"/>
      <c r="O426" s="333">
        <f t="shared" ref="O426:O430" si="137">M426+K426</f>
        <v>0</v>
      </c>
      <c r="P426" s="353"/>
      <c r="Q426" s="285">
        <f>IF(Checklist!M426="",0,Checklist!M426)</f>
        <v>0</v>
      </c>
      <c r="R426" s="22"/>
      <c r="S426" s="377"/>
      <c r="T426" s="333">
        <f>Q426*AA426*S425</f>
        <v>0</v>
      </c>
      <c r="U426" s="353"/>
      <c r="V426" s="285">
        <f>IF(Checklist!P426="",0,Checklist!P426)</f>
        <v>0</v>
      </c>
      <c r="W426" s="22"/>
      <c r="X426" s="377"/>
      <c r="Y426" s="333">
        <f>V426*AA426*X425</f>
        <v>0</v>
      </c>
      <c r="Z426" s="353"/>
      <c r="AA426" s="335">
        <v>1</v>
      </c>
      <c r="AD426" s="353"/>
    </row>
    <row r="427" spans="1:30" ht="14.65" customHeight="1" outlineLevel="3" x14ac:dyDescent="0.25">
      <c r="B427" s="22"/>
      <c r="E427" s="35" t="s">
        <v>1435</v>
      </c>
      <c r="F427" s="35" t="s">
        <v>1763</v>
      </c>
      <c r="G427" s="35"/>
      <c r="H427" s="285">
        <f>IF(Checklist!J427="",0,Checklist!J427)</f>
        <v>0</v>
      </c>
      <c r="I427" s="285">
        <f>IF(Checklist!K427="",0,Checklist!K427)</f>
        <v>0</v>
      </c>
      <c r="J427" s="371"/>
      <c r="K427" s="371">
        <f>H427*AA427*J425</f>
        <v>0</v>
      </c>
      <c r="L427" s="331"/>
      <c r="M427" s="372">
        <f>I427*AA427*L425</f>
        <v>0</v>
      </c>
      <c r="N427" s="333"/>
      <c r="O427" s="333">
        <f t="shared" si="137"/>
        <v>0</v>
      </c>
      <c r="P427" s="353"/>
      <c r="Q427" s="285">
        <f>IF(Checklist!M427="",0,Checklist!M427)</f>
        <v>0</v>
      </c>
      <c r="R427" s="22"/>
      <c r="S427" s="377"/>
      <c r="T427" s="333">
        <f>Q427*AA427*S425</f>
        <v>0</v>
      </c>
      <c r="U427" s="353"/>
      <c r="V427" s="285">
        <f>IF(Checklist!P427="",0,Checklist!P427)</f>
        <v>0</v>
      </c>
      <c r="W427" s="22"/>
      <c r="X427" s="377"/>
      <c r="Y427" s="333">
        <f>V427*AA427*X425</f>
        <v>0</v>
      </c>
      <c r="Z427" s="353"/>
      <c r="AA427" s="335">
        <v>0.75</v>
      </c>
      <c r="AD427" s="353"/>
    </row>
    <row r="428" spans="1:30" ht="14.65" customHeight="1" outlineLevel="3" x14ac:dyDescent="0.25">
      <c r="B428" s="22"/>
      <c r="E428" s="35" t="s">
        <v>1436</v>
      </c>
      <c r="F428" s="35" t="s">
        <v>1764</v>
      </c>
      <c r="G428" s="35"/>
      <c r="H428" s="285">
        <f>IF(Checklist!J428="",0,Checklist!J428)</f>
        <v>0</v>
      </c>
      <c r="I428" s="285">
        <f>IF(Checklist!K428="",0,Checklist!K428)</f>
        <v>0</v>
      </c>
      <c r="J428" s="371"/>
      <c r="K428" s="371">
        <f>H428*AA428*J425</f>
        <v>0</v>
      </c>
      <c r="L428" s="331"/>
      <c r="M428" s="372">
        <f>I428*AA428*L425</f>
        <v>0</v>
      </c>
      <c r="N428" s="333"/>
      <c r="O428" s="333">
        <f t="shared" si="137"/>
        <v>0</v>
      </c>
      <c r="P428" s="353"/>
      <c r="Q428" s="285">
        <f>IF(Checklist!M428="",0,Checklist!M428)</f>
        <v>0</v>
      </c>
      <c r="R428" s="22"/>
      <c r="S428" s="377"/>
      <c r="T428" s="333">
        <f>Q428*AA428*S425</f>
        <v>0</v>
      </c>
      <c r="U428" s="353"/>
      <c r="V428" s="285">
        <f>IF(Checklist!P428="",0,Checklist!P428)</f>
        <v>0</v>
      </c>
      <c r="W428" s="22"/>
      <c r="X428" s="377"/>
      <c r="Y428" s="333">
        <f>V428*AA428*X425</f>
        <v>0</v>
      </c>
      <c r="Z428" s="353"/>
      <c r="AA428" s="335">
        <v>0.25</v>
      </c>
      <c r="AD428" s="353"/>
    </row>
    <row r="429" spans="1:30" outlineLevel="3" x14ac:dyDescent="0.25">
      <c r="B429" s="22"/>
      <c r="E429" s="35" t="s">
        <v>1437</v>
      </c>
      <c r="F429" s="35" t="s">
        <v>1438</v>
      </c>
      <c r="G429" s="35"/>
      <c r="H429" s="285">
        <f>IF(Checklist!J429="",0,Checklist!J429)</f>
        <v>0</v>
      </c>
      <c r="I429" s="285">
        <f>IF(Checklist!K429="",0,Checklist!K429)</f>
        <v>0</v>
      </c>
      <c r="J429" s="371"/>
      <c r="K429" s="371">
        <f>H429*AA429*J425</f>
        <v>0</v>
      </c>
      <c r="L429" s="331"/>
      <c r="M429" s="372">
        <f>I429*AA429*L425</f>
        <v>0</v>
      </c>
      <c r="N429" s="333"/>
      <c r="O429" s="333">
        <f t="shared" si="137"/>
        <v>0</v>
      </c>
      <c r="P429" s="353"/>
      <c r="Q429" s="285">
        <f>IF(Checklist!M429="",0,Checklist!M429)</f>
        <v>0</v>
      </c>
      <c r="R429" s="22"/>
      <c r="S429" s="377"/>
      <c r="T429" s="333">
        <f>Q429*AA429*S425</f>
        <v>0</v>
      </c>
      <c r="U429" s="353"/>
      <c r="V429" s="285">
        <f>IF(Checklist!P429="",0,Checklist!P429)</f>
        <v>0</v>
      </c>
      <c r="W429" s="22"/>
      <c r="X429" s="377"/>
      <c r="Y429" s="333">
        <f>V429*AA429*X425</f>
        <v>0</v>
      </c>
      <c r="Z429" s="353"/>
      <c r="AA429" s="335">
        <v>0</v>
      </c>
      <c r="AD429" s="353"/>
    </row>
    <row r="430" spans="1:30" outlineLevel="3" x14ac:dyDescent="0.25">
      <c r="B430" s="22"/>
      <c r="E430" s="35" t="s">
        <v>1439</v>
      </c>
      <c r="F430" s="35" t="s">
        <v>943</v>
      </c>
      <c r="G430" s="35"/>
      <c r="H430" s="285">
        <f>IF(Checklist!J430="",0,Checklist!J430)</f>
        <v>1</v>
      </c>
      <c r="I430" s="285">
        <f>IF(Checklist!K430="",0,Checklist!K430)</f>
        <v>1</v>
      </c>
      <c r="J430" s="371"/>
      <c r="K430" s="371">
        <f>H430*AA430*J425</f>
        <v>0</v>
      </c>
      <c r="L430" s="331"/>
      <c r="M430" s="372">
        <f>I430*AA430*L425</f>
        <v>0</v>
      </c>
      <c r="N430" s="333"/>
      <c r="O430" s="333">
        <f t="shared" si="137"/>
        <v>0</v>
      </c>
      <c r="P430" s="353"/>
      <c r="Q430" s="285">
        <f>IF(Checklist!M430="",0,Checklist!M430)</f>
        <v>1</v>
      </c>
      <c r="R430" s="22"/>
      <c r="S430" s="377"/>
      <c r="T430" s="333">
        <f>Q430*AA430*S425</f>
        <v>0</v>
      </c>
      <c r="U430" s="353"/>
      <c r="V430" s="285">
        <f>IF(Checklist!P430="",0,Checklist!P430)</f>
        <v>1</v>
      </c>
      <c r="W430" s="22"/>
      <c r="X430" s="377"/>
      <c r="Y430" s="333">
        <f>V430*AA430*X425</f>
        <v>0</v>
      </c>
      <c r="Z430" s="353"/>
      <c r="AA430" s="335">
        <v>0</v>
      </c>
      <c r="AD430" s="353"/>
    </row>
    <row r="431" spans="1:30" s="342" customFormat="1" outlineLevel="2" x14ac:dyDescent="0.25">
      <c r="A431" s="366"/>
      <c r="B431" s="366"/>
      <c r="C431" s="366"/>
      <c r="D431" s="36" t="s">
        <v>846</v>
      </c>
      <c r="E431" s="36" t="s">
        <v>1202</v>
      </c>
      <c r="F431" s="36"/>
      <c r="G431" s="36"/>
      <c r="H431" s="298" t="s">
        <v>731</v>
      </c>
      <c r="I431" s="297" t="s">
        <v>731</v>
      </c>
      <c r="J431" s="368">
        <f t="shared" si="124"/>
        <v>0</v>
      </c>
      <c r="K431" s="368">
        <f>IF(SUM(K432:K435)&gt;J431,J431,SUM(K432:K435))</f>
        <v>0</v>
      </c>
      <c r="L431" s="369">
        <f t="shared" si="125"/>
        <v>0</v>
      </c>
      <c r="M431" s="369">
        <f>IF(SUM(M432:M435)&gt;L431,L431,SUM(M432:M435))</f>
        <v>0</v>
      </c>
      <c r="N431" s="370">
        <f>Ponderações!P86*100</f>
        <v>0</v>
      </c>
      <c r="O431" s="370">
        <f>IF(SUM(O432:O435)&gt;N431,N431,SUM(O432:O435))</f>
        <v>0</v>
      </c>
      <c r="P431" s="353"/>
      <c r="Q431" s="298" t="s">
        <v>731</v>
      </c>
      <c r="R431" s="366"/>
      <c r="S431" s="370">
        <f>N431</f>
        <v>0</v>
      </c>
      <c r="T431" s="370">
        <f>IF(SUM(T432:T435)&gt;S431,S431,SUM(T432:T435))</f>
        <v>0</v>
      </c>
      <c r="U431" s="353"/>
      <c r="V431" s="298" t="s">
        <v>731</v>
      </c>
      <c r="W431" s="366"/>
      <c r="X431" s="370">
        <f>S431</f>
        <v>0</v>
      </c>
      <c r="Y431" s="370">
        <f>IF(SUM(Y432:Y435)&gt;X431,X431,SUM(Y432:Y435))</f>
        <v>0</v>
      </c>
      <c r="Z431" s="353"/>
      <c r="AA431" s="327"/>
      <c r="AD431" s="353"/>
    </row>
    <row r="432" spans="1:30" outlineLevel="3" x14ac:dyDescent="0.25">
      <c r="B432" s="22"/>
      <c r="E432" s="35" t="s">
        <v>1440</v>
      </c>
      <c r="F432" s="35" t="s">
        <v>92</v>
      </c>
      <c r="G432" s="35"/>
      <c r="H432" s="285">
        <f>IF(Checklist!J432="",0,Checklist!J432)</f>
        <v>0</v>
      </c>
      <c r="I432" s="285">
        <f>IF(Checklist!K432="",0,Checklist!K432)</f>
        <v>0</v>
      </c>
      <c r="J432" s="371"/>
      <c r="K432" s="371">
        <f>H432*AA432*J431</f>
        <v>0</v>
      </c>
      <c r="L432" s="331"/>
      <c r="M432" s="372">
        <f>I432*AA432*L431</f>
        <v>0</v>
      </c>
      <c r="N432" s="333"/>
      <c r="O432" s="333">
        <f>M432+K432</f>
        <v>0</v>
      </c>
      <c r="P432" s="353"/>
      <c r="Q432" s="285">
        <f>IF(Checklist!M432="",0,Checklist!M432)</f>
        <v>0</v>
      </c>
      <c r="R432" s="22"/>
      <c r="S432" s="377"/>
      <c r="T432" s="333">
        <f>Q432*AA432*S431</f>
        <v>0</v>
      </c>
      <c r="U432" s="353"/>
      <c r="V432" s="285">
        <f>IF(Checklist!P432="",0,Checklist!P432)</f>
        <v>0</v>
      </c>
      <c r="W432" s="22"/>
      <c r="X432" s="377"/>
      <c r="Y432" s="333">
        <f>V432*AA432*X431</f>
        <v>0</v>
      </c>
      <c r="Z432" s="353"/>
      <c r="AA432" s="335">
        <v>1</v>
      </c>
      <c r="AD432" s="353"/>
    </row>
    <row r="433" spans="1:30" outlineLevel="3" x14ac:dyDescent="0.25">
      <c r="B433" s="22"/>
      <c r="E433" s="35" t="s">
        <v>1441</v>
      </c>
      <c r="F433" s="35" t="s">
        <v>1203</v>
      </c>
      <c r="G433" s="35"/>
      <c r="H433" s="285">
        <f>IF(Checklist!J433="",0,Checklist!J433)</f>
        <v>0</v>
      </c>
      <c r="I433" s="285">
        <f>IF(Checklist!K433="",0,Checklist!K433)</f>
        <v>0</v>
      </c>
      <c r="J433" s="371"/>
      <c r="K433" s="371">
        <f>H433*AA433*J431</f>
        <v>0</v>
      </c>
      <c r="L433" s="331"/>
      <c r="M433" s="372">
        <f>I433*AA433*L431</f>
        <v>0</v>
      </c>
      <c r="N433" s="333"/>
      <c r="O433" s="333">
        <f>M433+K433</f>
        <v>0</v>
      </c>
      <c r="P433" s="353"/>
      <c r="Q433" s="285">
        <f>IF(Checklist!M433="",0,Checklist!M433)</f>
        <v>0</v>
      </c>
      <c r="R433" s="22"/>
      <c r="S433" s="377"/>
      <c r="T433" s="333">
        <f>Q433*AA433*S431</f>
        <v>0</v>
      </c>
      <c r="U433" s="353"/>
      <c r="V433" s="285">
        <f>IF(Checklist!P433="",0,Checklist!P433)</f>
        <v>0</v>
      </c>
      <c r="W433" s="22"/>
      <c r="X433" s="377"/>
      <c r="Y433" s="333">
        <f>V433*AA433*X431</f>
        <v>0</v>
      </c>
      <c r="Z433" s="353"/>
      <c r="AA433" s="335">
        <v>0</v>
      </c>
      <c r="AD433" s="353"/>
    </row>
    <row r="434" spans="1:30" ht="14.65" customHeight="1" outlineLevel="3" x14ac:dyDescent="0.25">
      <c r="B434" s="22"/>
      <c r="E434" s="35" t="s">
        <v>1442</v>
      </c>
      <c r="F434" s="35" t="s">
        <v>107</v>
      </c>
      <c r="G434" s="35"/>
      <c r="H434" s="285">
        <f>IF(Checklist!J434="",0,Checklist!J434)</f>
        <v>0</v>
      </c>
      <c r="I434" s="285">
        <f>IF(Checklist!K434="",0,Checklist!K434)</f>
        <v>0</v>
      </c>
      <c r="J434" s="371"/>
      <c r="K434" s="371">
        <f>H434*AA434*J431</f>
        <v>0</v>
      </c>
      <c r="L434" s="331"/>
      <c r="M434" s="372">
        <f>I434*AA434*L431</f>
        <v>0</v>
      </c>
      <c r="N434" s="333"/>
      <c r="O434" s="333">
        <f>M434+K434</f>
        <v>0</v>
      </c>
      <c r="P434" s="353"/>
      <c r="Q434" s="285">
        <f>IF(Checklist!M434="",0,Checklist!M434)</f>
        <v>0</v>
      </c>
      <c r="R434" s="22"/>
      <c r="S434" s="377"/>
      <c r="T434" s="333">
        <f>Q434*AA434*S431</f>
        <v>0</v>
      </c>
      <c r="U434" s="353"/>
      <c r="V434" s="285">
        <f>IF(Checklist!P434="",0,Checklist!P434)</f>
        <v>0</v>
      </c>
      <c r="W434" s="22"/>
      <c r="X434" s="377"/>
      <c r="Y434" s="333">
        <f>V434*AA434*X431</f>
        <v>0</v>
      </c>
      <c r="Z434" s="353"/>
      <c r="AA434" s="335">
        <v>0</v>
      </c>
      <c r="AD434" s="353"/>
    </row>
    <row r="435" spans="1:30" outlineLevel="3" x14ac:dyDescent="0.25">
      <c r="B435" s="22"/>
      <c r="E435" s="35" t="s">
        <v>1443</v>
      </c>
      <c r="F435" s="35" t="s">
        <v>943</v>
      </c>
      <c r="G435" s="35"/>
      <c r="H435" s="285">
        <f>IF(Checklist!J435="",0,Checklist!J435)</f>
        <v>1</v>
      </c>
      <c r="I435" s="285">
        <f>IF(Checklist!K435="",0,Checklist!K435)</f>
        <v>1</v>
      </c>
      <c r="J435" s="371"/>
      <c r="K435" s="371">
        <f>H435*AA435*J431</f>
        <v>0</v>
      </c>
      <c r="L435" s="331"/>
      <c r="M435" s="372">
        <f>I435*AA435*L431</f>
        <v>0</v>
      </c>
      <c r="N435" s="333"/>
      <c r="O435" s="333">
        <f>M435+K435</f>
        <v>0</v>
      </c>
      <c r="P435" s="353"/>
      <c r="Q435" s="285">
        <f>IF(Checklist!M435="",0,Checklist!M435)</f>
        <v>1</v>
      </c>
      <c r="R435" s="22"/>
      <c r="S435" s="377"/>
      <c r="T435" s="333">
        <f>Q435*AA435*S431</f>
        <v>0</v>
      </c>
      <c r="U435" s="353"/>
      <c r="V435" s="285">
        <f>IF(Checklist!P435="",0,Checklist!P435)</f>
        <v>1</v>
      </c>
      <c r="W435" s="22"/>
      <c r="X435" s="377"/>
      <c r="Y435" s="333">
        <f>V435*AA435*X431</f>
        <v>0</v>
      </c>
      <c r="Z435" s="353"/>
      <c r="AA435" s="335">
        <v>0</v>
      </c>
      <c r="AD435" s="353"/>
    </row>
    <row r="436" spans="1:30" s="342" customFormat="1" outlineLevel="2" x14ac:dyDescent="0.25">
      <c r="A436" s="366"/>
      <c r="B436" s="366"/>
      <c r="C436" s="366"/>
      <c r="D436" s="36" t="s">
        <v>847</v>
      </c>
      <c r="E436" s="36" t="s">
        <v>1204</v>
      </c>
      <c r="F436" s="36"/>
      <c r="G436" s="36"/>
      <c r="H436" s="298" t="s">
        <v>731</v>
      </c>
      <c r="I436" s="297" t="s">
        <v>731</v>
      </c>
      <c r="J436" s="368">
        <f t="shared" si="124"/>
        <v>0</v>
      </c>
      <c r="K436" s="368">
        <f>IF(SUM(K437:K440)&gt;J436,J436,SUM(K437:K440))</f>
        <v>0</v>
      </c>
      <c r="L436" s="369">
        <f t="shared" si="125"/>
        <v>0</v>
      </c>
      <c r="M436" s="369">
        <f>IF(SUM(M437:M440)&gt;L436,L436,SUM(M437:M440))</f>
        <v>0</v>
      </c>
      <c r="N436" s="370">
        <f>Ponderações!P87*100</f>
        <v>0</v>
      </c>
      <c r="O436" s="370">
        <f>IF(SUM(O437:O440)&gt;N436,N436,SUM(O437:O440))</f>
        <v>0</v>
      </c>
      <c r="P436" s="353"/>
      <c r="Q436" s="298" t="s">
        <v>731</v>
      </c>
      <c r="R436" s="366"/>
      <c r="S436" s="370">
        <f>N436</f>
        <v>0</v>
      </c>
      <c r="T436" s="370">
        <f>IF(SUM(T437:T440)&gt;S436,S436,SUM(T437:T440))</f>
        <v>0</v>
      </c>
      <c r="U436" s="353"/>
      <c r="V436" s="298" t="s">
        <v>731</v>
      </c>
      <c r="W436" s="366"/>
      <c r="X436" s="370">
        <f>S436</f>
        <v>0</v>
      </c>
      <c r="Y436" s="370">
        <f>IF(SUM(Y437:Y440)&gt;X436,X436,SUM(Y437:Y440))</f>
        <v>0</v>
      </c>
      <c r="Z436" s="353"/>
      <c r="AA436" s="327"/>
      <c r="AD436" s="353"/>
    </row>
    <row r="437" spans="1:30" outlineLevel="3" x14ac:dyDescent="0.25">
      <c r="B437" s="22"/>
      <c r="E437" s="35" t="s">
        <v>1444</v>
      </c>
      <c r="F437" s="35" t="s">
        <v>1205</v>
      </c>
      <c r="G437" s="35"/>
      <c r="H437" s="285">
        <f>IF(Checklist!J437="",0,Checklist!J437)</f>
        <v>0</v>
      </c>
      <c r="I437" s="285">
        <f>IF(Checklist!K437="",0,Checklist!K437)</f>
        <v>0</v>
      </c>
      <c r="J437" s="337"/>
      <c r="K437" s="337">
        <f>H437*AA437*J436</f>
        <v>0</v>
      </c>
      <c r="L437" s="338"/>
      <c r="M437" s="339">
        <f>I437*AA437*L436</f>
        <v>0</v>
      </c>
      <c r="N437" s="333"/>
      <c r="O437" s="333">
        <f>M437+K437</f>
        <v>0</v>
      </c>
      <c r="P437" s="353"/>
      <c r="Q437" s="285">
        <f>IF(Checklist!M437="",0,Checklist!M437)</f>
        <v>0</v>
      </c>
      <c r="R437" s="22"/>
      <c r="S437" s="377"/>
      <c r="T437" s="333">
        <f>Q437*AA437*S436</f>
        <v>0</v>
      </c>
      <c r="U437" s="353"/>
      <c r="V437" s="285">
        <f>IF(Checklist!P437="",0,Checklist!P437)</f>
        <v>0</v>
      </c>
      <c r="W437" s="22"/>
      <c r="X437" s="377"/>
      <c r="Y437" s="333">
        <f>V437*AA437*X436</f>
        <v>0</v>
      </c>
      <c r="Z437" s="353"/>
      <c r="AA437" s="335">
        <v>1</v>
      </c>
      <c r="AD437" s="353"/>
    </row>
    <row r="438" spans="1:30" outlineLevel="3" x14ac:dyDescent="0.25">
      <c r="E438" s="35" t="s">
        <v>1445</v>
      </c>
      <c r="F438" s="35" t="s">
        <v>1206</v>
      </c>
      <c r="G438" s="35"/>
      <c r="H438" s="285">
        <f>IF(Checklist!J438="",0,Checklist!J438)</f>
        <v>0</v>
      </c>
      <c r="I438" s="285">
        <f>IF(Checklist!K438="",0,Checklist!K438)</f>
        <v>0</v>
      </c>
      <c r="J438" s="337"/>
      <c r="K438" s="337">
        <f>H438*AA438*J436</f>
        <v>0</v>
      </c>
      <c r="L438" s="338"/>
      <c r="M438" s="339">
        <f>I438*AA438*L436</f>
        <v>0</v>
      </c>
      <c r="N438" s="333"/>
      <c r="O438" s="333">
        <f>M438+K438</f>
        <v>0</v>
      </c>
      <c r="P438" s="353"/>
      <c r="Q438" s="285">
        <f>IF(Checklist!M438="",0,Checklist!M438)</f>
        <v>0</v>
      </c>
      <c r="R438" s="22"/>
      <c r="S438" s="377"/>
      <c r="T438" s="333">
        <f>Q438*AA438*S436</f>
        <v>0</v>
      </c>
      <c r="U438" s="353"/>
      <c r="V438" s="285">
        <f>IF(Checklist!P438="",0,Checklist!P438)</f>
        <v>0</v>
      </c>
      <c r="W438" s="22"/>
      <c r="X438" s="377"/>
      <c r="Y438" s="333">
        <f>V438*AA438*X436</f>
        <v>0</v>
      </c>
      <c r="Z438" s="353"/>
      <c r="AA438" s="335">
        <v>0.5</v>
      </c>
      <c r="AD438" s="353"/>
    </row>
    <row r="439" spans="1:30" ht="14.65" customHeight="1" outlineLevel="3" x14ac:dyDescent="0.25">
      <c r="E439" s="35" t="s">
        <v>1446</v>
      </c>
      <c r="F439" s="35" t="s">
        <v>1207</v>
      </c>
      <c r="G439" s="35"/>
      <c r="H439" s="285">
        <f>IF(Checklist!J439="",0,Checklist!J439)</f>
        <v>0</v>
      </c>
      <c r="I439" s="285">
        <f>IF(Checklist!K439="",0,Checklist!K439)</f>
        <v>0</v>
      </c>
      <c r="J439" s="337"/>
      <c r="K439" s="337">
        <f>H439*AA439*J436</f>
        <v>0</v>
      </c>
      <c r="L439" s="338"/>
      <c r="M439" s="339">
        <f>I439*AA439*L436</f>
        <v>0</v>
      </c>
      <c r="N439" s="333"/>
      <c r="O439" s="333">
        <f>M439+K439</f>
        <v>0</v>
      </c>
      <c r="P439" s="353"/>
      <c r="Q439" s="285">
        <f>IF(Checklist!M439="",0,Checklist!M439)</f>
        <v>0</v>
      </c>
      <c r="R439" s="22"/>
      <c r="S439" s="377"/>
      <c r="T439" s="333">
        <f>Q439*AA439*S436</f>
        <v>0</v>
      </c>
      <c r="U439" s="353"/>
      <c r="V439" s="285">
        <f>IF(Checklist!P439="",0,Checklist!P439)</f>
        <v>0</v>
      </c>
      <c r="W439" s="22"/>
      <c r="X439" s="377"/>
      <c r="Y439" s="333">
        <f>V439*AA439*X436</f>
        <v>0</v>
      </c>
      <c r="Z439" s="353"/>
      <c r="AA439" s="335">
        <v>0</v>
      </c>
      <c r="AD439" s="353"/>
    </row>
    <row r="440" spans="1:30" ht="14.65" customHeight="1" outlineLevel="3" x14ac:dyDescent="0.25">
      <c r="E440" s="35" t="s">
        <v>1447</v>
      </c>
      <c r="F440" s="35" t="s">
        <v>943</v>
      </c>
      <c r="G440" s="35"/>
      <c r="H440" s="285">
        <f>IF(Checklist!J440="",0,Checklist!J440)</f>
        <v>1</v>
      </c>
      <c r="I440" s="285">
        <f>IF(Checklist!K440="",0,Checklist!K440)</f>
        <v>1</v>
      </c>
      <c r="J440" s="337"/>
      <c r="K440" s="337">
        <f>H440*AA440*J436</f>
        <v>0</v>
      </c>
      <c r="L440" s="338"/>
      <c r="M440" s="339">
        <f>I440*AA440*L436</f>
        <v>0</v>
      </c>
      <c r="N440" s="333"/>
      <c r="O440" s="333">
        <f>M440+K440</f>
        <v>0</v>
      </c>
      <c r="P440" s="353"/>
      <c r="Q440" s="285">
        <f>IF(Checklist!M440="",0,Checklist!M440)</f>
        <v>1</v>
      </c>
      <c r="R440" s="22"/>
      <c r="S440" s="377"/>
      <c r="T440" s="333">
        <f>Q440*AA440*S436</f>
        <v>0</v>
      </c>
      <c r="U440" s="353"/>
      <c r="V440" s="285">
        <f>IF(Checklist!P440="",0,Checklist!P440)</f>
        <v>1</v>
      </c>
      <c r="W440" s="22"/>
      <c r="X440" s="377"/>
      <c r="Y440" s="333">
        <f>V440*AA440*X436</f>
        <v>0</v>
      </c>
      <c r="Z440" s="353"/>
      <c r="AA440" s="335">
        <v>0</v>
      </c>
      <c r="AD440" s="353"/>
    </row>
    <row r="441" spans="1:30" outlineLevel="1" x14ac:dyDescent="0.25">
      <c r="H441" s="291"/>
      <c r="I441" s="291"/>
      <c r="J441" s="315"/>
      <c r="K441" s="315"/>
      <c r="L441" s="316"/>
      <c r="M441" s="315"/>
      <c r="N441" s="317"/>
      <c r="O441" s="317"/>
      <c r="Q441" s="291"/>
      <c r="R441" s="22"/>
      <c r="S441" s="378"/>
      <c r="T441" s="317"/>
      <c r="V441" s="291"/>
      <c r="W441" s="22"/>
      <c r="X441" s="378"/>
      <c r="Y441" s="317"/>
      <c r="AA441" s="318"/>
    </row>
    <row r="442" spans="1:30" ht="14.65" customHeight="1" outlineLevel="1" x14ac:dyDescent="0.25">
      <c r="C442" s="348" t="s">
        <v>848</v>
      </c>
      <c r="D442" s="275" t="s">
        <v>100</v>
      </c>
      <c r="E442" s="275"/>
      <c r="F442" s="275"/>
      <c r="G442" s="275"/>
      <c r="H442" s="276"/>
      <c r="I442" s="277"/>
      <c r="J442" s="319">
        <f>N442*0.8</f>
        <v>0</v>
      </c>
      <c r="K442" s="319">
        <f>K443+K451+K456+K461</f>
        <v>0</v>
      </c>
      <c r="L442" s="320">
        <f>N442*0.2</f>
        <v>0</v>
      </c>
      <c r="M442" s="320">
        <f>M443+M451+M456+M461</f>
        <v>0</v>
      </c>
      <c r="N442" s="321">
        <f>N443+N451+N456+N461</f>
        <v>0</v>
      </c>
      <c r="O442" s="321">
        <f>O443+O451+O456+O461</f>
        <v>0</v>
      </c>
      <c r="Q442" s="276"/>
      <c r="R442" s="22"/>
      <c r="S442" s="321">
        <f>N442</f>
        <v>0</v>
      </c>
      <c r="T442" s="321">
        <f>T443+T451+T456+T461</f>
        <v>0</v>
      </c>
      <c r="V442" s="276"/>
      <c r="W442" s="22"/>
      <c r="X442" s="321">
        <f>S442</f>
        <v>0</v>
      </c>
      <c r="Y442" s="321">
        <f>Y443+Y451+Y456+Y461</f>
        <v>0</v>
      </c>
      <c r="AA442" s="322"/>
      <c r="AB442" s="344"/>
    </row>
    <row r="443" spans="1:30" s="342" customFormat="1" ht="14.65" customHeight="1" outlineLevel="2" x14ac:dyDescent="0.25">
      <c r="A443" s="366"/>
      <c r="B443" s="366"/>
      <c r="C443" s="366"/>
      <c r="D443" s="36" t="s">
        <v>849</v>
      </c>
      <c r="E443" s="36" t="s">
        <v>1192</v>
      </c>
      <c r="F443" s="36"/>
      <c r="G443" s="36"/>
      <c r="H443" s="298" t="s">
        <v>732</v>
      </c>
      <c r="I443" s="297" t="s">
        <v>732</v>
      </c>
      <c r="J443" s="368">
        <f>N443*0.8</f>
        <v>0</v>
      </c>
      <c r="K443" s="368">
        <f>IF(SUM(K444:K450)&gt;J443,J443,SUM(K444:K450))</f>
        <v>0</v>
      </c>
      <c r="L443" s="369">
        <f t="shared" si="125"/>
        <v>0</v>
      </c>
      <c r="M443" s="369">
        <f>IF(SUM(M444:M450)&gt;L443,L443,SUM(M444:M450))</f>
        <v>0</v>
      </c>
      <c r="N443" s="370">
        <f>Ponderações!P89*100</f>
        <v>0</v>
      </c>
      <c r="O443" s="370">
        <f>IF(SUM(O444:O450)&gt;N443,N443,SUM(O444:O450))</f>
        <v>0</v>
      </c>
      <c r="P443" s="353"/>
      <c r="Q443" s="298" t="s">
        <v>732</v>
      </c>
      <c r="R443" s="366"/>
      <c r="S443" s="370">
        <f>N443</f>
        <v>0</v>
      </c>
      <c r="T443" s="370">
        <f>IF(SUM(T444:T450)&gt;S443,S443,SUM(T444:T450))</f>
        <v>0</v>
      </c>
      <c r="U443" s="353"/>
      <c r="V443" s="298" t="s">
        <v>732</v>
      </c>
      <c r="W443" s="366"/>
      <c r="X443" s="370">
        <f>S443</f>
        <v>0</v>
      </c>
      <c r="Y443" s="370">
        <f>IF(SUM(Y444:Y450)&gt;X443,X443,SUM(Y444:Y450))</f>
        <v>0</v>
      </c>
      <c r="Z443" s="353"/>
      <c r="AA443" s="327"/>
      <c r="AD443" s="353"/>
    </row>
    <row r="444" spans="1:30" outlineLevel="3" x14ac:dyDescent="0.25">
      <c r="B444" s="22"/>
      <c r="E444" s="35" t="s">
        <v>1448</v>
      </c>
      <c r="F444" s="35" t="s">
        <v>1193</v>
      </c>
      <c r="G444" s="35"/>
      <c r="H444" s="285">
        <f>IF(Checklist!J444="",0,Checklist!J444)</f>
        <v>0</v>
      </c>
      <c r="I444" s="285">
        <f>IF(Checklist!K444="",0,Checklist!K444)</f>
        <v>0</v>
      </c>
      <c r="J444" s="371"/>
      <c r="K444" s="371">
        <f>H444*AA444*$J$443</f>
        <v>0</v>
      </c>
      <c r="L444" s="331"/>
      <c r="M444" s="372">
        <f>I444*AA444*$L$443</f>
        <v>0</v>
      </c>
      <c r="N444" s="333"/>
      <c r="O444" s="333">
        <f t="shared" ref="O444:O450" si="138">M444+K444</f>
        <v>0</v>
      </c>
      <c r="P444" s="353"/>
      <c r="Q444" s="285">
        <f>IF(Checklist!M444="",0,Checklist!M444)</f>
        <v>0</v>
      </c>
      <c r="R444" s="22"/>
      <c r="S444" s="377"/>
      <c r="T444" s="333">
        <f>Q444*AA444*$S$443</f>
        <v>0</v>
      </c>
      <c r="U444" s="353"/>
      <c r="V444" s="285">
        <f>IF(Checklist!P444="",0,Checklist!P444)</f>
        <v>0</v>
      </c>
      <c r="W444" s="22"/>
      <c r="X444" s="377"/>
      <c r="Y444" s="333">
        <f>V444*AA444*$X$443</f>
        <v>0</v>
      </c>
      <c r="Z444" s="353"/>
      <c r="AA444" s="335">
        <v>1</v>
      </c>
      <c r="AD444" s="353"/>
    </row>
    <row r="445" spans="1:30" outlineLevel="3" x14ac:dyDescent="0.25">
      <c r="B445" s="22"/>
      <c r="E445" s="35" t="s">
        <v>1449</v>
      </c>
      <c r="F445" s="35" t="s">
        <v>1194</v>
      </c>
      <c r="G445" s="35"/>
      <c r="H445" s="285">
        <f>IF(Checklist!J445="",0,Checklist!J445)</f>
        <v>0</v>
      </c>
      <c r="I445" s="285">
        <f>IF(Checklist!K445="",0,Checklist!K445)</f>
        <v>0</v>
      </c>
      <c r="J445" s="371"/>
      <c r="K445" s="371">
        <f t="shared" ref="K445:K450" si="139">H445*AA445*$J$443</f>
        <v>0</v>
      </c>
      <c r="L445" s="331"/>
      <c r="M445" s="372">
        <f t="shared" ref="M445:M450" si="140">I445*AA445*$L$443</f>
        <v>0</v>
      </c>
      <c r="N445" s="333"/>
      <c r="O445" s="333">
        <f t="shared" si="138"/>
        <v>0</v>
      </c>
      <c r="P445" s="353"/>
      <c r="Q445" s="285">
        <f>IF(Checklist!M445="",0,Checklist!M445)</f>
        <v>0</v>
      </c>
      <c r="R445" s="22"/>
      <c r="S445" s="377"/>
      <c r="T445" s="333">
        <f t="shared" ref="T445:T450" si="141">Q445*AA445*$S$443</f>
        <v>0</v>
      </c>
      <c r="U445" s="353"/>
      <c r="V445" s="285">
        <f>IF(Checklist!P445="",0,Checklist!P445)</f>
        <v>0</v>
      </c>
      <c r="W445" s="22"/>
      <c r="X445" s="377"/>
      <c r="Y445" s="333">
        <f t="shared" ref="Y445:Y447" si="142">V445*AA445*$X$443</f>
        <v>0</v>
      </c>
      <c r="Z445" s="353"/>
      <c r="AA445" s="335">
        <v>0.45</v>
      </c>
      <c r="AD445" s="353"/>
    </row>
    <row r="446" spans="1:30" outlineLevel="3" x14ac:dyDescent="0.25">
      <c r="B446" s="22"/>
      <c r="E446" s="35" t="s">
        <v>1450</v>
      </c>
      <c r="F446" s="35" t="s">
        <v>1195</v>
      </c>
      <c r="G446" s="35"/>
      <c r="H446" s="285">
        <f>IF(Checklist!J446="",0,Checklist!J446)</f>
        <v>0</v>
      </c>
      <c r="I446" s="285">
        <f>IF(Checklist!K446="",0,Checklist!K446)</f>
        <v>0</v>
      </c>
      <c r="J446" s="371"/>
      <c r="K446" s="371">
        <f t="shared" si="139"/>
        <v>0</v>
      </c>
      <c r="L446" s="331"/>
      <c r="M446" s="372">
        <f t="shared" si="140"/>
        <v>0</v>
      </c>
      <c r="N446" s="333"/>
      <c r="O446" s="333">
        <f t="shared" si="138"/>
        <v>0</v>
      </c>
      <c r="P446" s="353"/>
      <c r="Q446" s="285">
        <f>IF(Checklist!M446="",0,Checklist!M446)</f>
        <v>0</v>
      </c>
      <c r="R446" s="22"/>
      <c r="S446" s="377"/>
      <c r="T446" s="333">
        <f t="shared" si="141"/>
        <v>0</v>
      </c>
      <c r="U446" s="353"/>
      <c r="V446" s="285">
        <f>IF(Checklist!P446="",0,Checklist!P446)</f>
        <v>0</v>
      </c>
      <c r="W446" s="22"/>
      <c r="X446" s="377"/>
      <c r="Y446" s="333">
        <f>V446*AA446*$X$443</f>
        <v>0</v>
      </c>
      <c r="Z446" s="353"/>
      <c r="AA446" s="335">
        <v>0.4</v>
      </c>
      <c r="AD446" s="353"/>
    </row>
    <row r="447" spans="1:30" outlineLevel="3" x14ac:dyDescent="0.25">
      <c r="B447" s="22"/>
      <c r="E447" s="35" t="s">
        <v>1451</v>
      </c>
      <c r="F447" s="35" t="s">
        <v>1196</v>
      </c>
      <c r="G447" s="35"/>
      <c r="H447" s="285">
        <f>IF(Checklist!J447="",0,Checklist!J447)</f>
        <v>0</v>
      </c>
      <c r="I447" s="285">
        <f>IF(Checklist!K447="",0,Checklist!K447)</f>
        <v>0</v>
      </c>
      <c r="J447" s="371"/>
      <c r="K447" s="371">
        <f t="shared" si="139"/>
        <v>0</v>
      </c>
      <c r="L447" s="331"/>
      <c r="M447" s="372">
        <f t="shared" si="140"/>
        <v>0</v>
      </c>
      <c r="N447" s="333"/>
      <c r="O447" s="333">
        <f t="shared" si="138"/>
        <v>0</v>
      </c>
      <c r="P447" s="353"/>
      <c r="Q447" s="285">
        <f>IF(Checklist!M447="",0,Checklist!M447)</f>
        <v>0</v>
      </c>
      <c r="R447" s="22"/>
      <c r="S447" s="377"/>
      <c r="T447" s="333">
        <f t="shared" si="141"/>
        <v>0</v>
      </c>
      <c r="U447" s="353"/>
      <c r="V447" s="285">
        <f>IF(Checklist!P447="",0,Checklist!P447)</f>
        <v>0</v>
      </c>
      <c r="W447" s="22"/>
      <c r="X447" s="377"/>
      <c r="Y447" s="333">
        <f t="shared" si="142"/>
        <v>0</v>
      </c>
      <c r="Z447" s="353"/>
      <c r="AA447" s="335">
        <v>0.05</v>
      </c>
      <c r="AD447" s="353"/>
    </row>
    <row r="448" spans="1:30" outlineLevel="3" x14ac:dyDescent="0.25">
      <c r="C448" s="296"/>
      <c r="E448" s="35" t="s">
        <v>1452</v>
      </c>
      <c r="F448" s="287" t="s">
        <v>1197</v>
      </c>
      <c r="G448" s="35"/>
      <c r="H448" s="285">
        <f>IF(Checklist!J448="",0,Checklist!J448)</f>
        <v>0</v>
      </c>
      <c r="I448" s="285">
        <f>IF(Checklist!K448="",0,Checklist!K448)</f>
        <v>0</v>
      </c>
      <c r="J448" s="371"/>
      <c r="K448" s="371">
        <f t="shared" si="139"/>
        <v>0</v>
      </c>
      <c r="L448" s="331"/>
      <c r="M448" s="372">
        <f t="shared" si="140"/>
        <v>0</v>
      </c>
      <c r="N448" s="333"/>
      <c r="O448" s="333">
        <f>M448+K448</f>
        <v>0</v>
      </c>
      <c r="P448" s="353"/>
      <c r="Q448" s="285">
        <f>IF(Checklist!M448="",0,Checklist!M448)</f>
        <v>0</v>
      </c>
      <c r="R448" s="22"/>
      <c r="S448" s="377"/>
      <c r="T448" s="333">
        <f t="shared" si="141"/>
        <v>0</v>
      </c>
      <c r="U448" s="353"/>
      <c r="V448" s="285">
        <f>IF(Checklist!P448="",0,Checklist!P448)</f>
        <v>0</v>
      </c>
      <c r="W448" s="22"/>
      <c r="X448" s="377"/>
      <c r="Y448" s="333">
        <f>V448*AA448*$X$443</f>
        <v>0</v>
      </c>
      <c r="Z448" s="353"/>
      <c r="AA448" s="335">
        <v>0.45</v>
      </c>
      <c r="AD448" s="353"/>
    </row>
    <row r="449" spans="1:30" outlineLevel="3" x14ac:dyDescent="0.25">
      <c r="B449" s="22"/>
      <c r="E449" s="35" t="s">
        <v>1453</v>
      </c>
      <c r="F449" s="35" t="s">
        <v>941</v>
      </c>
      <c r="G449" s="35"/>
      <c r="H449" s="285">
        <f>IF(Checklist!J449="",0,Checklist!J449)</f>
        <v>0</v>
      </c>
      <c r="I449" s="285">
        <f>IF(Checklist!K449="",0,Checklist!K449)</f>
        <v>0</v>
      </c>
      <c r="J449" s="371"/>
      <c r="K449" s="371">
        <f t="shared" si="139"/>
        <v>0</v>
      </c>
      <c r="L449" s="331"/>
      <c r="M449" s="372">
        <f t="shared" si="140"/>
        <v>0</v>
      </c>
      <c r="N449" s="333"/>
      <c r="O449" s="333">
        <f t="shared" si="138"/>
        <v>0</v>
      </c>
      <c r="P449" s="353"/>
      <c r="Q449" s="285">
        <f>IF(Checklist!M449="",0,Checklist!M449)</f>
        <v>0</v>
      </c>
      <c r="R449" s="22"/>
      <c r="S449" s="377"/>
      <c r="T449" s="333">
        <f t="shared" si="141"/>
        <v>0</v>
      </c>
      <c r="U449" s="353"/>
      <c r="V449" s="285">
        <f>IF(Checklist!P449="",0,Checklist!P449)</f>
        <v>0</v>
      </c>
      <c r="W449" s="22"/>
      <c r="X449" s="377"/>
      <c r="Y449" s="333">
        <f>V449*AA449*$X$443</f>
        <v>0</v>
      </c>
      <c r="Z449" s="353"/>
      <c r="AA449" s="335">
        <v>0</v>
      </c>
      <c r="AD449" s="353"/>
    </row>
    <row r="450" spans="1:30" outlineLevel="3" x14ac:dyDescent="0.25">
      <c r="B450" s="22"/>
      <c r="E450" s="35" t="s">
        <v>1454</v>
      </c>
      <c r="F450" s="35" t="s">
        <v>943</v>
      </c>
      <c r="G450" s="35"/>
      <c r="H450" s="285">
        <f>IF(Checklist!J450="",0,Checklist!J450)</f>
        <v>0</v>
      </c>
      <c r="I450" s="285">
        <f>IF(Checklist!K450="",0,Checklist!K450)</f>
        <v>0</v>
      </c>
      <c r="J450" s="371"/>
      <c r="K450" s="371">
        <f t="shared" si="139"/>
        <v>0</v>
      </c>
      <c r="L450" s="331"/>
      <c r="M450" s="372">
        <f t="shared" si="140"/>
        <v>0</v>
      </c>
      <c r="N450" s="333"/>
      <c r="O450" s="333">
        <f t="shared" si="138"/>
        <v>0</v>
      </c>
      <c r="P450" s="353"/>
      <c r="Q450" s="285">
        <f>IF(Checklist!M450="",0,Checklist!M450)</f>
        <v>0</v>
      </c>
      <c r="R450" s="22"/>
      <c r="S450" s="377"/>
      <c r="T450" s="333">
        <f t="shared" si="141"/>
        <v>0</v>
      </c>
      <c r="U450" s="353"/>
      <c r="V450" s="285">
        <f>IF(Checklist!P450="",0,Checklist!P450)</f>
        <v>0</v>
      </c>
      <c r="W450" s="22"/>
      <c r="X450" s="377"/>
      <c r="Y450" s="333">
        <f>V450*AA450*$X$443</f>
        <v>0</v>
      </c>
      <c r="Z450" s="353"/>
      <c r="AA450" s="335">
        <v>0</v>
      </c>
      <c r="AD450" s="353"/>
    </row>
    <row r="451" spans="1:30" s="342" customFormat="1" ht="14.65" customHeight="1" outlineLevel="2" x14ac:dyDescent="0.25">
      <c r="A451" s="366"/>
      <c r="B451" s="366"/>
      <c r="C451" s="366"/>
      <c r="D451" s="36" t="s">
        <v>850</v>
      </c>
      <c r="E451" s="36" t="s">
        <v>1198</v>
      </c>
      <c r="F451" s="36"/>
      <c r="G451" s="36"/>
      <c r="H451" s="298" t="s">
        <v>731</v>
      </c>
      <c r="I451" s="297" t="s">
        <v>731</v>
      </c>
      <c r="J451" s="368">
        <f>N451*0.8</f>
        <v>0</v>
      </c>
      <c r="K451" s="368">
        <f>IF(SUM(K452:K455)&gt;J451,J451,SUM(K452:K455))</f>
        <v>0</v>
      </c>
      <c r="L451" s="369">
        <f t="shared" ref="L451:L562" si="143">N451*0.2</f>
        <v>0</v>
      </c>
      <c r="M451" s="369">
        <f>IF(SUM(M452:M455)&gt;L451,L451,SUM(M452:M455))</f>
        <v>0</v>
      </c>
      <c r="N451" s="370">
        <f>Ponderações!P90*100</f>
        <v>0</v>
      </c>
      <c r="O451" s="370">
        <f>IF(SUM(O452:O455)&gt;N451,N451,SUM(O452:O455))</f>
        <v>0</v>
      </c>
      <c r="P451" s="353"/>
      <c r="Q451" s="298" t="s">
        <v>731</v>
      </c>
      <c r="R451" s="366"/>
      <c r="S451" s="370">
        <f>N451</f>
        <v>0</v>
      </c>
      <c r="T451" s="370">
        <f>IF(SUM(T452:T455)&gt;S451,S451,SUM(T452:T455))</f>
        <v>0</v>
      </c>
      <c r="U451" s="353"/>
      <c r="V451" s="298" t="s">
        <v>731</v>
      </c>
      <c r="W451" s="366"/>
      <c r="X451" s="370">
        <f>S451</f>
        <v>0</v>
      </c>
      <c r="Y451" s="370">
        <f>IF(SUM(Y452:Y455)&gt;X451,X451,SUM(Y452:Y455))</f>
        <v>0</v>
      </c>
      <c r="Z451" s="353"/>
      <c r="AA451" s="327"/>
      <c r="AD451" s="353"/>
    </row>
    <row r="452" spans="1:30" outlineLevel="3" x14ac:dyDescent="0.25">
      <c r="B452" s="22"/>
      <c r="E452" s="35" t="s">
        <v>1455</v>
      </c>
      <c r="F452" s="35" t="s">
        <v>1766</v>
      </c>
      <c r="G452" s="35"/>
      <c r="H452" s="285">
        <f>IF(Checklist!J452="",0,Checklist!J452)</f>
        <v>0</v>
      </c>
      <c r="I452" s="285">
        <f>IF(Checklist!K452="",0,Checklist!K452)</f>
        <v>0</v>
      </c>
      <c r="J452" s="371"/>
      <c r="K452" s="371">
        <f>H452*AA452*J451</f>
        <v>0</v>
      </c>
      <c r="L452" s="331"/>
      <c r="M452" s="372">
        <f>I452*AA452*L451</f>
        <v>0</v>
      </c>
      <c r="N452" s="333"/>
      <c r="O452" s="333">
        <f>M452+K452</f>
        <v>0</v>
      </c>
      <c r="P452" s="353"/>
      <c r="Q452" s="285">
        <f>IF(Checklist!M452="",0,Checklist!M452)</f>
        <v>0</v>
      </c>
      <c r="R452" s="22"/>
      <c r="S452" s="377"/>
      <c r="T452" s="333">
        <f>Q452*AA452*S451</f>
        <v>0</v>
      </c>
      <c r="U452" s="353"/>
      <c r="V452" s="285">
        <f>IF(Checklist!P452="",0,Checklist!P452)</f>
        <v>0</v>
      </c>
      <c r="W452" s="22"/>
      <c r="X452" s="377"/>
      <c r="Y452" s="333">
        <f>V452*AA452*X451</f>
        <v>0</v>
      </c>
      <c r="Z452" s="353"/>
      <c r="AA452" s="335">
        <v>1</v>
      </c>
      <c r="AD452" s="353"/>
    </row>
    <row r="453" spans="1:30" outlineLevel="3" x14ac:dyDescent="0.25">
      <c r="B453" s="22"/>
      <c r="E453" s="35" t="s">
        <v>1456</v>
      </c>
      <c r="F453" s="35" t="s">
        <v>1285</v>
      </c>
      <c r="G453" s="35"/>
      <c r="H453" s="285">
        <f>IF(Checklist!J453="",0,Checklist!J453)</f>
        <v>0</v>
      </c>
      <c r="I453" s="285">
        <f>IF(Checklist!K453="",0,Checklist!K453)</f>
        <v>0</v>
      </c>
      <c r="J453" s="371"/>
      <c r="K453" s="371">
        <f>H453*AA453*J451</f>
        <v>0</v>
      </c>
      <c r="L453" s="331"/>
      <c r="M453" s="372">
        <f>I453*AA453*L451</f>
        <v>0</v>
      </c>
      <c r="N453" s="333"/>
      <c r="O453" s="333">
        <f>M453+K453</f>
        <v>0</v>
      </c>
      <c r="P453" s="353"/>
      <c r="Q453" s="285">
        <f>IF(Checklist!M453="",0,Checklist!M453)</f>
        <v>0</v>
      </c>
      <c r="R453" s="22"/>
      <c r="S453" s="377"/>
      <c r="T453" s="333">
        <f>Q453*AA453*S451</f>
        <v>0</v>
      </c>
      <c r="U453" s="353"/>
      <c r="V453" s="285">
        <f>IF(Checklist!P453="",0,Checklist!P453)</f>
        <v>0</v>
      </c>
      <c r="W453" s="22"/>
      <c r="X453" s="377"/>
      <c r="Y453" s="333">
        <f>V453*AA453*X451</f>
        <v>0</v>
      </c>
      <c r="Z453" s="353"/>
      <c r="AA453" s="335">
        <v>0.5</v>
      </c>
      <c r="AD453" s="353"/>
    </row>
    <row r="454" spans="1:30" outlineLevel="3" x14ac:dyDescent="0.25">
      <c r="B454" s="22"/>
      <c r="E454" s="35" t="s">
        <v>1457</v>
      </c>
      <c r="F454" s="35" t="s">
        <v>1287</v>
      </c>
      <c r="G454" s="35"/>
      <c r="H454" s="285">
        <f>IF(Checklist!J454="",0,Checklist!J454)</f>
        <v>0</v>
      </c>
      <c r="I454" s="285">
        <f>IF(Checklist!K454="",0,Checklist!K454)</f>
        <v>0</v>
      </c>
      <c r="J454" s="371"/>
      <c r="K454" s="371">
        <f>H454*AA454*J451</f>
        <v>0</v>
      </c>
      <c r="L454" s="331"/>
      <c r="M454" s="372">
        <f>I454*AA454*L451</f>
        <v>0</v>
      </c>
      <c r="N454" s="333"/>
      <c r="O454" s="333">
        <f>M454+K454</f>
        <v>0</v>
      </c>
      <c r="P454" s="353"/>
      <c r="Q454" s="285">
        <f>IF(Checklist!M454="",0,Checklist!M454)</f>
        <v>0</v>
      </c>
      <c r="R454" s="22"/>
      <c r="S454" s="377"/>
      <c r="T454" s="333">
        <f>Q454*AA454*S451</f>
        <v>0</v>
      </c>
      <c r="U454" s="353"/>
      <c r="V454" s="285">
        <f>IF(Checklist!P454="",0,Checklist!P454)</f>
        <v>0</v>
      </c>
      <c r="W454" s="22"/>
      <c r="X454" s="377"/>
      <c r="Y454" s="333">
        <f>V454*AA454*X451</f>
        <v>0</v>
      </c>
      <c r="Z454" s="353"/>
      <c r="AA454" s="335">
        <v>0</v>
      </c>
      <c r="AD454" s="353"/>
    </row>
    <row r="455" spans="1:30" outlineLevel="3" x14ac:dyDescent="0.25">
      <c r="B455" s="22"/>
      <c r="E455" s="35" t="s">
        <v>1458</v>
      </c>
      <c r="F455" s="35" t="s">
        <v>943</v>
      </c>
      <c r="G455" s="35"/>
      <c r="H455" s="285">
        <f>IF(Checklist!J455="",0,Checklist!J455)</f>
        <v>1</v>
      </c>
      <c r="I455" s="285">
        <f>IF(Checklist!K455="",0,Checklist!K455)</f>
        <v>1</v>
      </c>
      <c r="J455" s="371"/>
      <c r="K455" s="371">
        <f>H455*AA455*J451</f>
        <v>0</v>
      </c>
      <c r="L455" s="331"/>
      <c r="M455" s="372">
        <f>I455*AA455*L451</f>
        <v>0</v>
      </c>
      <c r="N455" s="333"/>
      <c r="O455" s="333">
        <f>M455+K455</f>
        <v>0</v>
      </c>
      <c r="P455" s="353"/>
      <c r="Q455" s="285">
        <f>IF(Checklist!M455="",0,Checklist!M455)</f>
        <v>1</v>
      </c>
      <c r="R455" s="22"/>
      <c r="S455" s="377"/>
      <c r="T455" s="333">
        <f>Q455*AA455*S451</f>
        <v>0</v>
      </c>
      <c r="U455" s="353"/>
      <c r="V455" s="285">
        <f>IF(Checklist!P455="",0,Checklist!P455)</f>
        <v>1</v>
      </c>
      <c r="W455" s="22"/>
      <c r="X455" s="377"/>
      <c r="Y455" s="333">
        <f>V455*AA455*X451</f>
        <v>0</v>
      </c>
      <c r="Z455" s="353"/>
      <c r="AA455" s="335">
        <v>0</v>
      </c>
      <c r="AD455" s="353"/>
    </row>
    <row r="456" spans="1:30" s="342" customFormat="1" outlineLevel="2" x14ac:dyDescent="0.25">
      <c r="A456" s="366"/>
      <c r="B456" s="366"/>
      <c r="C456" s="366"/>
      <c r="D456" s="36" t="s">
        <v>851</v>
      </c>
      <c r="E456" s="36" t="s">
        <v>1202</v>
      </c>
      <c r="F456" s="36"/>
      <c r="G456" s="36"/>
      <c r="H456" s="298" t="s">
        <v>731</v>
      </c>
      <c r="I456" s="297" t="s">
        <v>731</v>
      </c>
      <c r="J456" s="368">
        <f>N456*0.8</f>
        <v>0</v>
      </c>
      <c r="K456" s="368">
        <f>IF(SUM(K457:K460)&gt;J456,J456,SUM(K457:K460))</f>
        <v>0</v>
      </c>
      <c r="L456" s="369">
        <f t="shared" si="143"/>
        <v>0</v>
      </c>
      <c r="M456" s="369">
        <f>IF(SUM(M457:M460)&gt;L456,L456,SUM(M457:M460))</f>
        <v>0</v>
      </c>
      <c r="N456" s="370">
        <f>Ponderações!P91*100</f>
        <v>0</v>
      </c>
      <c r="O456" s="370">
        <f>IF(SUM(O457:O460)&gt;N456,N456,SUM(O457:O460))</f>
        <v>0</v>
      </c>
      <c r="P456" s="353"/>
      <c r="Q456" s="298" t="s">
        <v>731</v>
      </c>
      <c r="R456" s="366"/>
      <c r="S456" s="370">
        <f>N456</f>
        <v>0</v>
      </c>
      <c r="T456" s="370">
        <f>IF(SUM(T457:T460)&gt;S456,S456,SUM(T457:T460))</f>
        <v>0</v>
      </c>
      <c r="U456" s="353"/>
      <c r="V456" s="298" t="s">
        <v>731</v>
      </c>
      <c r="W456" s="366"/>
      <c r="X456" s="370">
        <f>S456</f>
        <v>0</v>
      </c>
      <c r="Y456" s="370">
        <f>IF(SUM(Y457:Y460)&gt;X456,X456,SUM(Y457:Y460))</f>
        <v>0</v>
      </c>
      <c r="Z456" s="353"/>
      <c r="AA456" s="327"/>
      <c r="AD456" s="353"/>
    </row>
    <row r="457" spans="1:30" ht="14.65" customHeight="1" outlineLevel="3" x14ac:dyDescent="0.25">
      <c r="B457" s="22"/>
      <c r="E457" s="35" t="s">
        <v>1459</v>
      </c>
      <c r="F457" s="35" t="s">
        <v>92</v>
      </c>
      <c r="G457" s="35"/>
      <c r="H457" s="285">
        <f>IF(Checklist!J457="",0,Checklist!J457)</f>
        <v>0</v>
      </c>
      <c r="I457" s="285">
        <f>IF(Checklist!K457="",0,Checklist!K457)</f>
        <v>0</v>
      </c>
      <c r="J457" s="371"/>
      <c r="K457" s="371">
        <f>H457*AA457*J456</f>
        <v>0</v>
      </c>
      <c r="L457" s="331"/>
      <c r="M457" s="372">
        <f>I457*AA457*L456</f>
        <v>0</v>
      </c>
      <c r="N457" s="333"/>
      <c r="O457" s="333">
        <f>M457+K457</f>
        <v>0</v>
      </c>
      <c r="P457" s="353"/>
      <c r="Q457" s="285">
        <f>IF(Checklist!M457="",0,Checklist!M457)</f>
        <v>0</v>
      </c>
      <c r="R457" s="22"/>
      <c r="S457" s="377"/>
      <c r="T457" s="333">
        <f>Q457*AA457*S456</f>
        <v>0</v>
      </c>
      <c r="U457" s="353"/>
      <c r="V457" s="285">
        <f>IF(Checklist!P457="",0,Checklist!P457)</f>
        <v>0</v>
      </c>
      <c r="W457" s="22"/>
      <c r="X457" s="377"/>
      <c r="Y457" s="333">
        <f>V457*AA457*X456</f>
        <v>0</v>
      </c>
      <c r="Z457" s="353"/>
      <c r="AA457" s="335">
        <v>1</v>
      </c>
      <c r="AD457" s="353"/>
    </row>
    <row r="458" spans="1:30" outlineLevel="3" x14ac:dyDescent="0.25">
      <c r="B458" s="22"/>
      <c r="E458" s="35" t="s">
        <v>1460</v>
      </c>
      <c r="F458" s="35" t="s">
        <v>1203</v>
      </c>
      <c r="G458" s="35"/>
      <c r="H458" s="285">
        <f>IF(Checklist!J458="",0,Checklist!J458)</f>
        <v>0</v>
      </c>
      <c r="I458" s="285">
        <f>IF(Checklist!K458="",0,Checklist!K458)</f>
        <v>0</v>
      </c>
      <c r="J458" s="371"/>
      <c r="K458" s="371">
        <f>H458*AA458*J456</f>
        <v>0</v>
      </c>
      <c r="L458" s="331"/>
      <c r="M458" s="372">
        <f>I458*AA458*L456</f>
        <v>0</v>
      </c>
      <c r="N458" s="333"/>
      <c r="O458" s="333">
        <f>M458+K458</f>
        <v>0</v>
      </c>
      <c r="P458" s="353"/>
      <c r="Q458" s="285">
        <f>IF(Checklist!M458="",0,Checklist!M458)</f>
        <v>0</v>
      </c>
      <c r="R458" s="22"/>
      <c r="S458" s="377"/>
      <c r="T458" s="333">
        <f>Q458*AA458*S456</f>
        <v>0</v>
      </c>
      <c r="U458" s="353"/>
      <c r="V458" s="285">
        <f>IF(Checklist!P458="",0,Checklist!P458)</f>
        <v>0</v>
      </c>
      <c r="W458" s="22"/>
      <c r="X458" s="377"/>
      <c r="Y458" s="333">
        <f>V458*AA458*X456</f>
        <v>0</v>
      </c>
      <c r="Z458" s="353"/>
      <c r="AA458" s="335">
        <v>0</v>
      </c>
      <c r="AD458" s="353"/>
    </row>
    <row r="459" spans="1:30" outlineLevel="3" x14ac:dyDescent="0.25">
      <c r="B459" s="22"/>
      <c r="E459" s="35" t="s">
        <v>1461</v>
      </c>
      <c r="F459" s="35" t="s">
        <v>107</v>
      </c>
      <c r="G459" s="35"/>
      <c r="H459" s="285">
        <f>IF(Checklist!J459="",0,Checklist!J459)</f>
        <v>0</v>
      </c>
      <c r="I459" s="285">
        <f>IF(Checklist!K459="",0,Checklist!K459)</f>
        <v>0</v>
      </c>
      <c r="J459" s="371"/>
      <c r="K459" s="371">
        <f>H459*AA459*J456</f>
        <v>0</v>
      </c>
      <c r="L459" s="331"/>
      <c r="M459" s="372">
        <f>I459*AA459*L456</f>
        <v>0</v>
      </c>
      <c r="N459" s="333"/>
      <c r="O459" s="333">
        <f>M459+K459</f>
        <v>0</v>
      </c>
      <c r="P459" s="353"/>
      <c r="Q459" s="285">
        <f>IF(Checklist!M459="",0,Checklist!M459)</f>
        <v>0</v>
      </c>
      <c r="R459" s="22"/>
      <c r="S459" s="377"/>
      <c r="T459" s="333">
        <f>Q459*AA459*S456</f>
        <v>0</v>
      </c>
      <c r="U459" s="353"/>
      <c r="V459" s="285">
        <f>IF(Checklist!P459="",0,Checklist!P459)</f>
        <v>0</v>
      </c>
      <c r="W459" s="22"/>
      <c r="X459" s="377"/>
      <c r="Y459" s="333">
        <f>V459*AA459*X456</f>
        <v>0</v>
      </c>
      <c r="Z459" s="353"/>
      <c r="AA459" s="335">
        <v>0</v>
      </c>
      <c r="AD459" s="353"/>
    </row>
    <row r="460" spans="1:30" outlineLevel="3" x14ac:dyDescent="0.25">
      <c r="B460" s="22"/>
      <c r="E460" s="35" t="s">
        <v>1462</v>
      </c>
      <c r="F460" s="35" t="s">
        <v>943</v>
      </c>
      <c r="G460" s="35"/>
      <c r="H460" s="285">
        <f>IF(Checklist!J460="",0,Checklist!J460)</f>
        <v>1</v>
      </c>
      <c r="I460" s="285">
        <f>IF(Checklist!K460="",0,Checklist!K460)</f>
        <v>1</v>
      </c>
      <c r="J460" s="371"/>
      <c r="K460" s="371">
        <f>H460*AA460*J456</f>
        <v>0</v>
      </c>
      <c r="L460" s="331"/>
      <c r="M460" s="372">
        <f>I460*AA460*L456</f>
        <v>0</v>
      </c>
      <c r="N460" s="333"/>
      <c r="O460" s="333">
        <f>M460+K460</f>
        <v>0</v>
      </c>
      <c r="P460" s="353"/>
      <c r="Q460" s="285">
        <f>IF(Checklist!M460="",0,Checklist!M460)</f>
        <v>1</v>
      </c>
      <c r="R460" s="22"/>
      <c r="S460" s="377"/>
      <c r="T460" s="333">
        <f>Q460*AA460*S456</f>
        <v>0</v>
      </c>
      <c r="U460" s="353"/>
      <c r="V460" s="285">
        <f>IF(Checklist!P460="",0,Checklist!P460)</f>
        <v>1</v>
      </c>
      <c r="W460" s="22"/>
      <c r="X460" s="377"/>
      <c r="Y460" s="333">
        <f>V460*AA460*X456</f>
        <v>0</v>
      </c>
      <c r="Z460" s="353"/>
      <c r="AA460" s="335">
        <v>0</v>
      </c>
      <c r="AD460" s="353"/>
    </row>
    <row r="461" spans="1:30" s="342" customFormat="1" outlineLevel="2" x14ac:dyDescent="0.25">
      <c r="A461" s="366"/>
      <c r="B461" s="366"/>
      <c r="C461" s="366"/>
      <c r="D461" s="36" t="s">
        <v>852</v>
      </c>
      <c r="E461" s="36" t="s">
        <v>1204</v>
      </c>
      <c r="F461" s="36"/>
      <c r="G461" s="36"/>
      <c r="H461" s="298" t="s">
        <v>731</v>
      </c>
      <c r="I461" s="297" t="s">
        <v>731</v>
      </c>
      <c r="J461" s="368">
        <f>N461*0.8</f>
        <v>0</v>
      </c>
      <c r="K461" s="368">
        <f>IF(SUM(K462:K465)&gt;J461,J461,SUM(K462:K465))</f>
        <v>0</v>
      </c>
      <c r="L461" s="369">
        <f>N461*0.2</f>
        <v>0</v>
      </c>
      <c r="M461" s="369">
        <f>IF(SUM(M462:M465)&gt;L461,L461,SUM(M462:M465))</f>
        <v>0</v>
      </c>
      <c r="N461" s="370">
        <f>Ponderações!P92*100</f>
        <v>0</v>
      </c>
      <c r="O461" s="370">
        <f>IF(SUM(O462:O465)&gt;N461,N461,SUM(O462:O465))</f>
        <v>0</v>
      </c>
      <c r="P461" s="353"/>
      <c r="Q461" s="298" t="s">
        <v>731</v>
      </c>
      <c r="R461" s="366"/>
      <c r="S461" s="370">
        <f>N461</f>
        <v>0</v>
      </c>
      <c r="T461" s="370">
        <f>IF(SUM(T462:T465)&gt;S461,S461,SUM(T462:T465))</f>
        <v>0</v>
      </c>
      <c r="U461" s="353"/>
      <c r="V461" s="298" t="s">
        <v>731</v>
      </c>
      <c r="W461" s="366"/>
      <c r="X461" s="370">
        <f>S461</f>
        <v>0</v>
      </c>
      <c r="Y461" s="370">
        <f>IF(SUM(Y462:Y465)&gt;X461,X461,SUM(Y462:Y465))</f>
        <v>0</v>
      </c>
      <c r="Z461" s="353"/>
      <c r="AA461" s="327"/>
      <c r="AD461" s="353"/>
    </row>
    <row r="462" spans="1:30" ht="14.65" customHeight="1" outlineLevel="3" x14ac:dyDescent="0.25">
      <c r="B462" s="22"/>
      <c r="E462" s="35" t="s">
        <v>1463</v>
      </c>
      <c r="F462" s="35" t="s">
        <v>1205</v>
      </c>
      <c r="G462" s="35"/>
      <c r="H462" s="285">
        <f>IF(Checklist!J462="",0,Checklist!J462)</f>
        <v>0</v>
      </c>
      <c r="I462" s="285">
        <f>IF(Checklist!K462="",0,Checklist!K462)</f>
        <v>0</v>
      </c>
      <c r="J462" s="337"/>
      <c r="K462" s="337">
        <f>H462*AA462*J461</f>
        <v>0</v>
      </c>
      <c r="L462" s="338"/>
      <c r="M462" s="339">
        <f>I462*AA462*L461</f>
        <v>0</v>
      </c>
      <c r="N462" s="333"/>
      <c r="O462" s="333">
        <f>M462+K462</f>
        <v>0</v>
      </c>
      <c r="P462" s="353"/>
      <c r="Q462" s="285">
        <f>IF(Checklist!M462="",0,Checklist!M462)</f>
        <v>0</v>
      </c>
      <c r="R462" s="22"/>
      <c r="S462" s="377"/>
      <c r="T462" s="333">
        <f>Q462*AA462*S461</f>
        <v>0</v>
      </c>
      <c r="U462" s="353"/>
      <c r="V462" s="285">
        <f>IF(Checklist!P462="",0,Checklist!P462)</f>
        <v>0</v>
      </c>
      <c r="W462" s="22"/>
      <c r="X462" s="377"/>
      <c r="Y462" s="333">
        <f>V462*AA462*X461</f>
        <v>0</v>
      </c>
      <c r="Z462" s="353"/>
      <c r="AA462" s="335">
        <v>1</v>
      </c>
      <c r="AD462" s="353"/>
    </row>
    <row r="463" spans="1:30" outlineLevel="3" x14ac:dyDescent="0.25">
      <c r="B463" s="22"/>
      <c r="E463" s="35" t="s">
        <v>1464</v>
      </c>
      <c r="F463" s="35" t="s">
        <v>1206</v>
      </c>
      <c r="G463" s="35"/>
      <c r="H463" s="285">
        <f>IF(Checklist!J463="",0,Checklist!J463)</f>
        <v>0</v>
      </c>
      <c r="I463" s="285">
        <f>IF(Checklist!K463="",0,Checklist!K463)</f>
        <v>0</v>
      </c>
      <c r="J463" s="337"/>
      <c r="K463" s="337">
        <f>H463*AA463*J461</f>
        <v>0</v>
      </c>
      <c r="L463" s="338"/>
      <c r="M463" s="339">
        <f>I463*AA463*L461</f>
        <v>0</v>
      </c>
      <c r="N463" s="333"/>
      <c r="O463" s="333">
        <f>M463+K463</f>
        <v>0</v>
      </c>
      <c r="P463" s="353"/>
      <c r="Q463" s="285">
        <f>IF(Checklist!M463="",0,Checklist!M463)</f>
        <v>0</v>
      </c>
      <c r="R463" s="22"/>
      <c r="S463" s="377"/>
      <c r="T463" s="333">
        <f>Q463*AA463*S461</f>
        <v>0</v>
      </c>
      <c r="U463" s="353"/>
      <c r="V463" s="285">
        <f>IF(Checklist!P463="",0,Checklist!P463)</f>
        <v>0</v>
      </c>
      <c r="W463" s="22"/>
      <c r="X463" s="377"/>
      <c r="Y463" s="333">
        <f>V463*AA463*X461</f>
        <v>0</v>
      </c>
      <c r="Z463" s="353"/>
      <c r="AA463" s="335">
        <v>0.5</v>
      </c>
      <c r="AD463" s="353"/>
    </row>
    <row r="464" spans="1:30" outlineLevel="3" x14ac:dyDescent="0.25">
      <c r="B464" s="22"/>
      <c r="E464" s="35" t="s">
        <v>1465</v>
      </c>
      <c r="F464" s="35" t="s">
        <v>1234</v>
      </c>
      <c r="G464" s="35"/>
      <c r="H464" s="285">
        <f>IF(Checklist!J464="",0,Checklist!J464)</f>
        <v>0</v>
      </c>
      <c r="I464" s="285">
        <f>IF(Checklist!K464="",0,Checklist!K464)</f>
        <v>0</v>
      </c>
      <c r="J464" s="337"/>
      <c r="K464" s="337">
        <f>H464*AA464*J461</f>
        <v>0</v>
      </c>
      <c r="L464" s="338"/>
      <c r="M464" s="339">
        <f>I464*AA464*L461</f>
        <v>0</v>
      </c>
      <c r="N464" s="333"/>
      <c r="O464" s="333">
        <f>M464+K464</f>
        <v>0</v>
      </c>
      <c r="P464" s="353"/>
      <c r="Q464" s="285">
        <f>IF(Checklist!M464="",0,Checklist!M464)</f>
        <v>0</v>
      </c>
      <c r="R464" s="22"/>
      <c r="S464" s="377"/>
      <c r="T464" s="333">
        <f>Q464*AA464*S461</f>
        <v>0</v>
      </c>
      <c r="U464" s="353"/>
      <c r="V464" s="285">
        <f>IF(Checklist!P464="",0,Checklist!P464)</f>
        <v>0</v>
      </c>
      <c r="W464" s="22"/>
      <c r="X464" s="377"/>
      <c r="Y464" s="333">
        <f>V464*AA464*X461</f>
        <v>0</v>
      </c>
      <c r="Z464" s="353"/>
      <c r="AA464" s="335">
        <v>0</v>
      </c>
      <c r="AD464" s="353"/>
    </row>
    <row r="465" spans="1:30" outlineLevel="3" x14ac:dyDescent="0.25">
      <c r="B465" s="22"/>
      <c r="E465" s="35" t="s">
        <v>1466</v>
      </c>
      <c r="F465" s="35" t="s">
        <v>943</v>
      </c>
      <c r="G465" s="35"/>
      <c r="H465" s="285">
        <f>IF(Checklist!J465="",0,Checklist!J465)</f>
        <v>1</v>
      </c>
      <c r="I465" s="285">
        <f>IF(Checklist!K465="",0,Checklist!K465)</f>
        <v>1</v>
      </c>
      <c r="J465" s="337"/>
      <c r="K465" s="337">
        <f>H465*AA465*J461</f>
        <v>0</v>
      </c>
      <c r="L465" s="338"/>
      <c r="M465" s="339">
        <f>I465*AA465*L461</f>
        <v>0</v>
      </c>
      <c r="N465" s="333"/>
      <c r="O465" s="333">
        <f>M465+K465</f>
        <v>0</v>
      </c>
      <c r="P465" s="353"/>
      <c r="Q465" s="285">
        <f>IF(Checklist!M465="",0,Checklist!M465)</f>
        <v>1</v>
      </c>
      <c r="R465" s="22"/>
      <c r="S465" s="377"/>
      <c r="T465" s="333">
        <f>Q465*AA465*S461</f>
        <v>0</v>
      </c>
      <c r="U465" s="353"/>
      <c r="V465" s="285">
        <f>IF(Checklist!P465="",0,Checklist!P465)</f>
        <v>1</v>
      </c>
      <c r="W465" s="22"/>
      <c r="X465" s="377"/>
      <c r="Y465" s="333">
        <f>V465*AA465*X461</f>
        <v>0</v>
      </c>
      <c r="Z465" s="353"/>
      <c r="AA465" s="335">
        <v>0</v>
      </c>
      <c r="AD465" s="353"/>
    </row>
    <row r="466" spans="1:30" outlineLevel="1" x14ac:dyDescent="0.25">
      <c r="B466" s="22"/>
      <c r="H466" s="22"/>
      <c r="I466" s="22"/>
      <c r="J466" s="22"/>
      <c r="K466" s="22"/>
      <c r="L466" s="22"/>
      <c r="M466" s="22"/>
      <c r="N466" s="379"/>
      <c r="O466" s="379"/>
      <c r="Q466" s="22"/>
      <c r="R466" s="22"/>
      <c r="S466" s="262"/>
      <c r="T466" s="379"/>
      <c r="V466" s="22"/>
      <c r="W466" s="22"/>
      <c r="X466" s="262"/>
      <c r="Y466" s="379"/>
      <c r="AA466" s="22"/>
    </row>
    <row r="467" spans="1:30" outlineLevel="1" x14ac:dyDescent="0.25">
      <c r="B467" s="22"/>
      <c r="C467" s="348" t="s">
        <v>853</v>
      </c>
      <c r="D467" s="275" t="s">
        <v>253</v>
      </c>
      <c r="E467" s="275"/>
      <c r="F467" s="275"/>
      <c r="G467" s="275"/>
      <c r="H467" s="276"/>
      <c r="I467" s="277"/>
      <c r="J467" s="319">
        <f>N467*0.8</f>
        <v>0</v>
      </c>
      <c r="K467" s="319">
        <f>K468+K476+K482+K487</f>
        <v>0</v>
      </c>
      <c r="L467" s="320">
        <f>N467*0.2</f>
        <v>0</v>
      </c>
      <c r="M467" s="320">
        <f>M468+M476+M482+M487</f>
        <v>0</v>
      </c>
      <c r="N467" s="321">
        <f>N468+N476+N482+N487</f>
        <v>0</v>
      </c>
      <c r="O467" s="321">
        <f>O468+O476+O482+O487</f>
        <v>0</v>
      </c>
      <c r="Q467" s="276"/>
      <c r="R467" s="22"/>
      <c r="S467" s="321">
        <f>N467</f>
        <v>0</v>
      </c>
      <c r="T467" s="321">
        <f>T468+T476+T482+T487</f>
        <v>0</v>
      </c>
      <c r="V467" s="276"/>
      <c r="W467" s="22"/>
      <c r="X467" s="321">
        <f>S467</f>
        <v>0</v>
      </c>
      <c r="Y467" s="321">
        <f>Y468+Y476+Y482+Y487</f>
        <v>0</v>
      </c>
      <c r="AA467" s="322"/>
      <c r="AB467" s="344"/>
    </row>
    <row r="468" spans="1:30" s="342" customFormat="1" ht="14.65" customHeight="1" outlineLevel="2" x14ac:dyDescent="0.25">
      <c r="A468" s="366"/>
      <c r="B468" s="366"/>
      <c r="C468" s="366"/>
      <c r="D468" s="367" t="s">
        <v>854</v>
      </c>
      <c r="E468" s="36" t="s">
        <v>1209</v>
      </c>
      <c r="F468" s="36"/>
      <c r="G468" s="36"/>
      <c r="H468" s="298" t="s">
        <v>732</v>
      </c>
      <c r="I468" s="297" t="s">
        <v>732</v>
      </c>
      <c r="J468" s="368">
        <f>N468*0.8</f>
        <v>0</v>
      </c>
      <c r="K468" s="368">
        <f>IF(SUM(K469:K475)&gt;J468,J468,SUM(K469:K475))</f>
        <v>0</v>
      </c>
      <c r="L468" s="369">
        <f>N468*0.2</f>
        <v>0</v>
      </c>
      <c r="M468" s="369">
        <f>IF(SUM(M469:M475)&gt;L468,L468,SUM(M469:M475))</f>
        <v>0</v>
      </c>
      <c r="N468" s="370">
        <f>Ponderações!P94*100</f>
        <v>0</v>
      </c>
      <c r="O468" s="370">
        <f>IF(SUM(O469:O475)&gt;N468,N468,SUM(O469:O475))</f>
        <v>0</v>
      </c>
      <c r="P468" s="353"/>
      <c r="Q468" s="298" t="s">
        <v>732</v>
      </c>
      <c r="R468" s="366"/>
      <c r="S468" s="370">
        <f>N468</f>
        <v>0</v>
      </c>
      <c r="T468" s="370">
        <f>IF(SUM(T469:T475)&gt;S468,S468,SUM(T469:T475))</f>
        <v>0</v>
      </c>
      <c r="U468" s="353"/>
      <c r="V468" s="298" t="s">
        <v>732</v>
      </c>
      <c r="W468" s="366"/>
      <c r="X468" s="370">
        <f>S468</f>
        <v>0</v>
      </c>
      <c r="Y468" s="370">
        <f>IF(SUM(Y469:Y475)&gt;X468,X468,SUM(Y469:Y475))</f>
        <v>0</v>
      </c>
      <c r="Z468" s="353"/>
      <c r="AA468" s="327"/>
      <c r="AD468" s="353"/>
    </row>
    <row r="469" spans="1:30" outlineLevel="3" x14ac:dyDescent="0.25">
      <c r="B469" s="22"/>
      <c r="E469" s="35" t="s">
        <v>1467</v>
      </c>
      <c r="F469" s="35" t="s">
        <v>1211</v>
      </c>
      <c r="G469" s="35"/>
      <c r="H469" s="285">
        <f>IF(Checklist!J469="",0,Checklist!J469)</f>
        <v>0</v>
      </c>
      <c r="I469" s="285">
        <f>IF(Checklist!K469="",0,Checklist!K469)</f>
        <v>0</v>
      </c>
      <c r="J469" s="371"/>
      <c r="K469" s="371">
        <f t="shared" ref="K469:K475" si="144">H469*AA469*$J$468</f>
        <v>0</v>
      </c>
      <c r="L469" s="331"/>
      <c r="M469" s="372">
        <f t="shared" ref="M469:M475" si="145">I469*AA469*$L$468</f>
        <v>0</v>
      </c>
      <c r="N469" s="333"/>
      <c r="O469" s="333">
        <f>M469+K469</f>
        <v>0</v>
      </c>
      <c r="P469" s="353"/>
      <c r="Q469" s="285">
        <f>IF(Checklist!M469="",0,Checklist!M469)</f>
        <v>0</v>
      </c>
      <c r="R469" s="22"/>
      <c r="S469" s="334"/>
      <c r="T469" s="333">
        <f>Q469*AA469*$S$468</f>
        <v>0</v>
      </c>
      <c r="U469" s="353"/>
      <c r="V469" s="285">
        <f>IF(Checklist!P469="",0,Checklist!P469)</f>
        <v>0</v>
      </c>
      <c r="W469" s="22"/>
      <c r="X469" s="334"/>
      <c r="Y469" s="333">
        <f t="shared" ref="Y469:Y475" si="146">V469*AA469*$X$468</f>
        <v>0</v>
      </c>
      <c r="Z469" s="353"/>
      <c r="AA469" s="335">
        <v>1</v>
      </c>
      <c r="AD469" s="353"/>
    </row>
    <row r="470" spans="1:30" outlineLevel="3" x14ac:dyDescent="0.25">
      <c r="B470" s="22"/>
      <c r="E470" s="35" t="s">
        <v>1468</v>
      </c>
      <c r="F470" s="35" t="s">
        <v>1194</v>
      </c>
      <c r="G470" s="35"/>
      <c r="H470" s="285">
        <f>IF(Checklist!J470="",0,Checklist!J470)</f>
        <v>0</v>
      </c>
      <c r="I470" s="285">
        <f>IF(Checklist!K470="",0,Checklist!K470)</f>
        <v>0</v>
      </c>
      <c r="J470" s="371"/>
      <c r="K470" s="371">
        <f t="shared" si="144"/>
        <v>0</v>
      </c>
      <c r="L470" s="331"/>
      <c r="M470" s="372">
        <f t="shared" si="145"/>
        <v>0</v>
      </c>
      <c r="N470" s="333"/>
      <c r="O470" s="333">
        <f t="shared" ref="O470:O475" si="147">M470+K470</f>
        <v>0</v>
      </c>
      <c r="P470" s="353"/>
      <c r="Q470" s="285">
        <f>IF(Checklist!M470="",0,Checklist!M470)</f>
        <v>0</v>
      </c>
      <c r="R470" s="22"/>
      <c r="S470" s="334"/>
      <c r="T470" s="333">
        <f t="shared" ref="T470:T475" si="148">Q470*AA470*$S$468</f>
        <v>0</v>
      </c>
      <c r="U470" s="353"/>
      <c r="V470" s="285">
        <f>IF(Checklist!P470="",0,Checklist!P470)</f>
        <v>0</v>
      </c>
      <c r="W470" s="22"/>
      <c r="X470" s="334"/>
      <c r="Y470" s="333">
        <f t="shared" si="146"/>
        <v>0</v>
      </c>
      <c r="Z470" s="353"/>
      <c r="AA470" s="335">
        <v>0.45</v>
      </c>
      <c r="AD470" s="353"/>
    </row>
    <row r="471" spans="1:30" outlineLevel="3" x14ac:dyDescent="0.25">
      <c r="B471" s="22"/>
      <c r="E471" s="35" t="s">
        <v>1469</v>
      </c>
      <c r="F471" s="35" t="s">
        <v>1195</v>
      </c>
      <c r="G471" s="35"/>
      <c r="H471" s="285">
        <f>IF(Checklist!J471="",0,Checklist!J471)</f>
        <v>0</v>
      </c>
      <c r="I471" s="285">
        <f>IF(Checklist!K471="",0,Checklist!K471)</f>
        <v>0</v>
      </c>
      <c r="J471" s="371"/>
      <c r="K471" s="371">
        <f t="shared" si="144"/>
        <v>0</v>
      </c>
      <c r="L471" s="331"/>
      <c r="M471" s="372">
        <f t="shared" si="145"/>
        <v>0</v>
      </c>
      <c r="N471" s="333"/>
      <c r="O471" s="333">
        <f t="shared" si="147"/>
        <v>0</v>
      </c>
      <c r="P471" s="353"/>
      <c r="Q471" s="285">
        <f>IF(Checklist!M471="",0,Checklist!M471)</f>
        <v>0</v>
      </c>
      <c r="R471" s="22"/>
      <c r="S471" s="334"/>
      <c r="T471" s="333">
        <f t="shared" si="148"/>
        <v>0</v>
      </c>
      <c r="U471" s="353"/>
      <c r="V471" s="285">
        <f>IF(Checklist!P471="",0,Checklist!P471)</f>
        <v>0</v>
      </c>
      <c r="W471" s="22"/>
      <c r="X471" s="334"/>
      <c r="Y471" s="333">
        <f t="shared" si="146"/>
        <v>0</v>
      </c>
      <c r="Z471" s="353"/>
      <c r="AA471" s="335">
        <v>0.1</v>
      </c>
      <c r="AD471" s="353"/>
    </row>
    <row r="472" spans="1:30" outlineLevel="3" x14ac:dyDescent="0.25">
      <c r="B472" s="22"/>
      <c r="E472" s="35" t="s">
        <v>1470</v>
      </c>
      <c r="F472" s="35" t="s">
        <v>1196</v>
      </c>
      <c r="G472" s="35"/>
      <c r="H472" s="285">
        <f>IF(Checklist!J472="",0,Checklist!J472)</f>
        <v>0</v>
      </c>
      <c r="I472" s="285">
        <f>IF(Checklist!K472="",0,Checklist!K472)</f>
        <v>0</v>
      </c>
      <c r="J472" s="371"/>
      <c r="K472" s="371">
        <f t="shared" si="144"/>
        <v>0</v>
      </c>
      <c r="L472" s="331"/>
      <c r="M472" s="372">
        <f t="shared" si="145"/>
        <v>0</v>
      </c>
      <c r="N472" s="333"/>
      <c r="O472" s="333">
        <f t="shared" si="147"/>
        <v>0</v>
      </c>
      <c r="P472" s="353"/>
      <c r="Q472" s="285">
        <f>IF(Checklist!M472="",0,Checklist!M472)</f>
        <v>0</v>
      </c>
      <c r="R472" s="22"/>
      <c r="S472" s="334"/>
      <c r="T472" s="333">
        <f>Q472*AA472*$S$468</f>
        <v>0</v>
      </c>
      <c r="U472" s="353"/>
      <c r="V472" s="285">
        <f>IF(Checklist!P472="",0,Checklist!P472)</f>
        <v>0</v>
      </c>
      <c r="W472" s="22"/>
      <c r="X472" s="334"/>
      <c r="Y472" s="333">
        <f t="shared" si="146"/>
        <v>0</v>
      </c>
      <c r="Z472" s="353"/>
      <c r="AA472" s="335">
        <v>0.1</v>
      </c>
      <c r="AD472" s="353"/>
    </row>
    <row r="473" spans="1:30" outlineLevel="3" x14ac:dyDescent="0.25">
      <c r="B473" s="22"/>
      <c r="E473" s="35" t="s">
        <v>1471</v>
      </c>
      <c r="F473" s="287" t="s">
        <v>1197</v>
      </c>
      <c r="G473" s="35"/>
      <c r="H473" s="285">
        <f>IF(Checklist!J473="",0,Checklist!J473)</f>
        <v>0</v>
      </c>
      <c r="I473" s="285">
        <f>IF(Checklist!K473="",0,Checklist!K473)</f>
        <v>0</v>
      </c>
      <c r="J473" s="371"/>
      <c r="K473" s="371">
        <f t="shared" si="144"/>
        <v>0</v>
      </c>
      <c r="L473" s="331"/>
      <c r="M473" s="372">
        <f t="shared" si="145"/>
        <v>0</v>
      </c>
      <c r="N473" s="333"/>
      <c r="O473" s="333">
        <f t="shared" si="147"/>
        <v>0</v>
      </c>
      <c r="P473" s="353"/>
      <c r="Q473" s="285">
        <f>IF(Checklist!M473="",0,Checklist!M473)</f>
        <v>0</v>
      </c>
      <c r="R473" s="22"/>
      <c r="S473" s="334"/>
      <c r="T473" s="333">
        <f>Q473*AA473*$S$468</f>
        <v>0</v>
      </c>
      <c r="U473" s="353"/>
      <c r="V473" s="285">
        <f>IF(Checklist!P473="",0,Checklist!P473)</f>
        <v>0</v>
      </c>
      <c r="W473" s="22"/>
      <c r="X473" s="334"/>
      <c r="Y473" s="333">
        <f t="shared" si="146"/>
        <v>0</v>
      </c>
      <c r="Z473" s="353"/>
      <c r="AA473" s="335">
        <v>0.45</v>
      </c>
      <c r="AD473" s="353"/>
    </row>
    <row r="474" spans="1:30" outlineLevel="3" x14ac:dyDescent="0.25">
      <c r="B474" s="22"/>
      <c r="E474" s="35" t="s">
        <v>1472</v>
      </c>
      <c r="F474" s="35" t="s">
        <v>941</v>
      </c>
      <c r="G474" s="35"/>
      <c r="H474" s="285">
        <f>IF(Checklist!J474="",0,Checklist!J474)</f>
        <v>0</v>
      </c>
      <c r="I474" s="285">
        <f>IF(Checklist!K474="",0,Checklist!K474)</f>
        <v>0</v>
      </c>
      <c r="J474" s="371"/>
      <c r="K474" s="371">
        <f t="shared" si="144"/>
        <v>0</v>
      </c>
      <c r="L474" s="331"/>
      <c r="M474" s="372">
        <f t="shared" si="145"/>
        <v>0</v>
      </c>
      <c r="N474" s="333"/>
      <c r="O474" s="333">
        <f t="shared" si="147"/>
        <v>0</v>
      </c>
      <c r="P474" s="353"/>
      <c r="Q474" s="285">
        <f>IF(Checklist!M474="",0,Checklist!M474)</f>
        <v>0</v>
      </c>
      <c r="R474" s="22"/>
      <c r="S474" s="334"/>
      <c r="T474" s="333">
        <f>Q474*AA474*$S$468</f>
        <v>0</v>
      </c>
      <c r="U474" s="353"/>
      <c r="V474" s="285">
        <f>IF(Checklist!P474="",0,Checklist!P474)</f>
        <v>0</v>
      </c>
      <c r="W474" s="22"/>
      <c r="X474" s="334"/>
      <c r="Y474" s="333">
        <f t="shared" si="146"/>
        <v>0</v>
      </c>
      <c r="Z474" s="353"/>
      <c r="AA474" s="335">
        <v>0</v>
      </c>
      <c r="AD474" s="353"/>
    </row>
    <row r="475" spans="1:30" outlineLevel="3" x14ac:dyDescent="0.25">
      <c r="B475" s="22"/>
      <c r="E475" s="35" t="s">
        <v>1473</v>
      </c>
      <c r="F475" s="35" t="s">
        <v>943</v>
      </c>
      <c r="G475" s="35"/>
      <c r="H475" s="285">
        <f>IF(Checklist!J475="",0,Checklist!J475)</f>
        <v>0</v>
      </c>
      <c r="I475" s="285">
        <f>IF(Checklist!K475="",0,Checklist!K475)</f>
        <v>0</v>
      </c>
      <c r="J475" s="371"/>
      <c r="K475" s="371">
        <f t="shared" si="144"/>
        <v>0</v>
      </c>
      <c r="L475" s="331"/>
      <c r="M475" s="372">
        <f t="shared" si="145"/>
        <v>0</v>
      </c>
      <c r="N475" s="333"/>
      <c r="O475" s="333">
        <f t="shared" si="147"/>
        <v>0</v>
      </c>
      <c r="P475" s="353"/>
      <c r="Q475" s="285">
        <f>IF(Checklist!M475="",0,Checklist!M475)</f>
        <v>0</v>
      </c>
      <c r="R475" s="22"/>
      <c r="S475" s="334"/>
      <c r="T475" s="333">
        <f t="shared" si="148"/>
        <v>0</v>
      </c>
      <c r="U475" s="353"/>
      <c r="V475" s="285">
        <f>IF(Checklist!P475="",0,Checklist!P475)</f>
        <v>0</v>
      </c>
      <c r="W475" s="22"/>
      <c r="X475" s="334"/>
      <c r="Y475" s="333">
        <f t="shared" si="146"/>
        <v>0</v>
      </c>
      <c r="Z475" s="353"/>
      <c r="AA475" s="335">
        <v>0</v>
      </c>
      <c r="AD475" s="353"/>
    </row>
    <row r="476" spans="1:30" s="342" customFormat="1" outlineLevel="2" x14ac:dyDescent="0.25">
      <c r="B476" s="374"/>
      <c r="D476" s="367" t="s">
        <v>855</v>
      </c>
      <c r="E476" s="367" t="s">
        <v>1198</v>
      </c>
      <c r="F476" s="367"/>
      <c r="G476" s="367"/>
      <c r="H476" s="298" t="s">
        <v>731</v>
      </c>
      <c r="I476" s="297" t="s">
        <v>731</v>
      </c>
      <c r="J476" s="368">
        <f>N476*0.8</f>
        <v>0</v>
      </c>
      <c r="K476" s="368">
        <f>IF(SUM(K477:K481)&gt;J476,J476,SUM(K477:K481))</f>
        <v>0</v>
      </c>
      <c r="L476" s="369">
        <f>N476*0.2</f>
        <v>0</v>
      </c>
      <c r="M476" s="369">
        <f>IF(SUM(M477:M481)&gt;L476,L476,SUM(M477:M481))</f>
        <v>0</v>
      </c>
      <c r="N476" s="370">
        <f>Ponderações!P95*100</f>
        <v>0</v>
      </c>
      <c r="O476" s="370">
        <f>IF(SUM(O477:O481)&gt;N476,N476,SUM(O477:O481))</f>
        <v>0</v>
      </c>
      <c r="P476" s="380"/>
      <c r="Q476" s="298" t="s">
        <v>731</v>
      </c>
      <c r="R476" s="366"/>
      <c r="S476" s="370">
        <f>N476</f>
        <v>0</v>
      </c>
      <c r="T476" s="370">
        <f>IF(SUM(T477:T481)&gt;S476,S476,SUM(T477:T481))</f>
        <v>0</v>
      </c>
      <c r="U476" s="380"/>
      <c r="V476" s="298" t="s">
        <v>731</v>
      </c>
      <c r="W476" s="366"/>
      <c r="X476" s="370">
        <f>S476</f>
        <v>0</v>
      </c>
      <c r="Y476" s="370">
        <f>IF(SUM(Y477:Y481)&gt;X476,X476,SUM(Y477:Y481))</f>
        <v>0</v>
      </c>
      <c r="Z476" s="380"/>
      <c r="AA476" s="327"/>
      <c r="AD476" s="353"/>
    </row>
    <row r="477" spans="1:30" outlineLevel="3" x14ac:dyDescent="0.25">
      <c r="B477" s="22"/>
      <c r="E477" s="35" t="s">
        <v>1474</v>
      </c>
      <c r="F477" s="35" t="s">
        <v>1765</v>
      </c>
      <c r="G477" s="35"/>
      <c r="H477" s="285">
        <f>IF(Checklist!J477="",0,Checklist!J477)</f>
        <v>0</v>
      </c>
      <c r="I477" s="285">
        <f>IF(Checklist!K477="",0,Checklist!K477)</f>
        <v>0</v>
      </c>
      <c r="J477" s="371"/>
      <c r="K477" s="371">
        <f>H477*AA477*$J$476</f>
        <v>0</v>
      </c>
      <c r="L477" s="331"/>
      <c r="M477" s="372">
        <f>I477*AA477*$L$476</f>
        <v>0</v>
      </c>
      <c r="N477" s="333"/>
      <c r="O477" s="333">
        <f>K477+M477</f>
        <v>0</v>
      </c>
      <c r="P477" s="353"/>
      <c r="Q477" s="285">
        <f>IF(Checklist!M477="",0,Checklist!M477)</f>
        <v>0</v>
      </c>
      <c r="R477" s="22"/>
      <c r="S477" s="334"/>
      <c r="T477" s="333">
        <f>Q477*AA477*$S$476</f>
        <v>0</v>
      </c>
      <c r="U477" s="353"/>
      <c r="V477" s="285">
        <f>IF(Checklist!P477="",0,Checklist!P477)</f>
        <v>0</v>
      </c>
      <c r="W477" s="22"/>
      <c r="X477" s="334"/>
      <c r="Y477" s="333">
        <f>V477*AA477*$X$476</f>
        <v>0</v>
      </c>
      <c r="Z477" s="353"/>
      <c r="AA477" s="335">
        <v>1</v>
      </c>
      <c r="AD477" s="353"/>
    </row>
    <row r="478" spans="1:30" outlineLevel="3" x14ac:dyDescent="0.25">
      <c r="B478" s="22"/>
      <c r="E478" s="35" t="s">
        <v>1475</v>
      </c>
      <c r="F478" s="35" t="s">
        <v>1199</v>
      </c>
      <c r="G478" s="35"/>
      <c r="H478" s="285">
        <f>IF(Checklist!J478="",0,Checklist!J478)</f>
        <v>0</v>
      </c>
      <c r="I478" s="285">
        <f>IF(Checklist!K478="",0,Checklist!K478)</f>
        <v>0</v>
      </c>
      <c r="J478" s="371"/>
      <c r="K478" s="371">
        <f t="shared" ref="K478:K481" si="149">H478*AA478*$J$476</f>
        <v>0</v>
      </c>
      <c r="L478" s="331"/>
      <c r="M478" s="372">
        <f t="shared" ref="M478:M481" si="150">I478*AA478*$L$476</f>
        <v>0</v>
      </c>
      <c r="N478" s="333"/>
      <c r="O478" s="333">
        <f t="shared" ref="O478:O481" si="151">K478+M478</f>
        <v>0</v>
      </c>
      <c r="P478" s="353"/>
      <c r="Q478" s="285">
        <f>IF(Checklist!M478="",0,Checklist!M478)</f>
        <v>0</v>
      </c>
      <c r="R478" s="22"/>
      <c r="S478" s="334"/>
      <c r="T478" s="333">
        <f t="shared" ref="T478:T480" si="152">Q478*AA478*$S$476</f>
        <v>0</v>
      </c>
      <c r="U478" s="353"/>
      <c r="V478" s="285">
        <f>IF(Checklist!P478="",0,Checklist!P478)</f>
        <v>0</v>
      </c>
      <c r="W478" s="22"/>
      <c r="X478" s="334"/>
      <c r="Y478" s="333">
        <f t="shared" ref="Y478:Y481" si="153">V478*AA478*$X$476</f>
        <v>0</v>
      </c>
      <c r="Z478" s="353"/>
      <c r="AA478" s="335">
        <v>0.75</v>
      </c>
      <c r="AD478" s="353"/>
    </row>
    <row r="479" spans="1:30" outlineLevel="3" x14ac:dyDescent="0.25">
      <c r="B479" s="22"/>
      <c r="E479" s="35" t="s">
        <v>1476</v>
      </c>
      <c r="F479" s="35" t="s">
        <v>1200</v>
      </c>
      <c r="G479" s="35"/>
      <c r="H479" s="285">
        <f>IF(Checklist!J479="",0,Checklist!J479)</f>
        <v>0</v>
      </c>
      <c r="I479" s="285">
        <f>IF(Checklist!K479="",0,Checklist!K479)</f>
        <v>0</v>
      </c>
      <c r="J479" s="371"/>
      <c r="K479" s="371">
        <f t="shared" si="149"/>
        <v>0</v>
      </c>
      <c r="L479" s="331"/>
      <c r="M479" s="372">
        <f t="shared" si="150"/>
        <v>0</v>
      </c>
      <c r="N479" s="333"/>
      <c r="O479" s="333">
        <f t="shared" si="151"/>
        <v>0</v>
      </c>
      <c r="P479" s="353"/>
      <c r="Q479" s="285">
        <f>IF(Checklist!M479="",0,Checklist!M479)</f>
        <v>0</v>
      </c>
      <c r="R479" s="22"/>
      <c r="S479" s="334"/>
      <c r="T479" s="333">
        <f>Q479*AA479*$S$476</f>
        <v>0</v>
      </c>
      <c r="U479" s="353"/>
      <c r="V479" s="285">
        <f>IF(Checklist!P479="",0,Checklist!P479)</f>
        <v>0</v>
      </c>
      <c r="W479" s="22"/>
      <c r="X479" s="334"/>
      <c r="Y479" s="333">
        <f t="shared" si="153"/>
        <v>0</v>
      </c>
      <c r="Z479" s="353"/>
      <c r="AA479" s="335">
        <v>0.25</v>
      </c>
      <c r="AD479" s="353"/>
    </row>
    <row r="480" spans="1:30" outlineLevel="3" x14ac:dyDescent="0.25">
      <c r="B480" s="22"/>
      <c r="E480" s="35" t="s">
        <v>1477</v>
      </c>
      <c r="F480" s="35" t="s">
        <v>1201</v>
      </c>
      <c r="G480" s="35"/>
      <c r="H480" s="285">
        <f>IF(Checklist!J480="",0,Checklist!J480)</f>
        <v>0</v>
      </c>
      <c r="I480" s="285">
        <f>IF(Checklist!K480="",0,Checklist!K480)</f>
        <v>0</v>
      </c>
      <c r="J480" s="371"/>
      <c r="K480" s="371">
        <f>H480*AA480*$J$476</f>
        <v>0</v>
      </c>
      <c r="L480" s="331"/>
      <c r="M480" s="372">
        <f>I480*AA480*$L$476</f>
        <v>0</v>
      </c>
      <c r="N480" s="333"/>
      <c r="O480" s="333">
        <f t="shared" si="151"/>
        <v>0</v>
      </c>
      <c r="P480" s="353"/>
      <c r="Q480" s="285">
        <f>IF(Checklist!M480="",0,Checklist!M480)</f>
        <v>0</v>
      </c>
      <c r="R480" s="22"/>
      <c r="S480" s="334"/>
      <c r="T480" s="333">
        <f t="shared" si="152"/>
        <v>0</v>
      </c>
      <c r="U480" s="353"/>
      <c r="V480" s="285">
        <f>IF(Checklist!P480="",0,Checklist!P480)</f>
        <v>0</v>
      </c>
      <c r="W480" s="22"/>
      <c r="X480" s="334"/>
      <c r="Y480" s="333">
        <f>V480*AA480*$X$476</f>
        <v>0</v>
      </c>
      <c r="Z480" s="353"/>
      <c r="AA480" s="335">
        <v>0</v>
      </c>
      <c r="AD480" s="353"/>
    </row>
    <row r="481" spans="2:30" outlineLevel="3" x14ac:dyDescent="0.25">
      <c r="B481" s="22"/>
      <c r="E481" s="35" t="s">
        <v>1478</v>
      </c>
      <c r="F481" s="35" t="s">
        <v>943</v>
      </c>
      <c r="G481" s="35"/>
      <c r="H481" s="285">
        <f>IF(Checklist!J481="",0,Checklist!J481)</f>
        <v>1</v>
      </c>
      <c r="I481" s="285">
        <f>IF(Checklist!K481="",0,Checklist!K481)</f>
        <v>1</v>
      </c>
      <c r="J481" s="371"/>
      <c r="K481" s="371">
        <f t="shared" si="149"/>
        <v>0</v>
      </c>
      <c r="L481" s="331"/>
      <c r="M481" s="372">
        <f t="shared" si="150"/>
        <v>0</v>
      </c>
      <c r="N481" s="333"/>
      <c r="O481" s="333">
        <f t="shared" si="151"/>
        <v>0</v>
      </c>
      <c r="P481" s="353"/>
      <c r="Q481" s="285">
        <f>IF(Checklist!M481="",0,Checklist!M481)</f>
        <v>1</v>
      </c>
      <c r="R481" s="22"/>
      <c r="S481" s="334"/>
      <c r="T481" s="333">
        <f>Q481*AA481*$S$476</f>
        <v>0</v>
      </c>
      <c r="U481" s="353"/>
      <c r="V481" s="285">
        <f>IF(Checklist!P481="",0,Checklist!P481)</f>
        <v>1</v>
      </c>
      <c r="W481" s="22"/>
      <c r="X481" s="334"/>
      <c r="Y481" s="333">
        <f t="shared" si="153"/>
        <v>0</v>
      </c>
      <c r="Z481" s="353"/>
      <c r="AA481" s="335">
        <v>0</v>
      </c>
      <c r="AD481" s="353"/>
    </row>
    <row r="482" spans="2:30" s="342" customFormat="1" outlineLevel="2" x14ac:dyDescent="0.25">
      <c r="B482" s="374"/>
      <c r="D482" s="367" t="s">
        <v>856</v>
      </c>
      <c r="E482" s="367" t="s">
        <v>1202</v>
      </c>
      <c r="F482" s="367"/>
      <c r="G482" s="367"/>
      <c r="H482" s="298" t="s">
        <v>731</v>
      </c>
      <c r="I482" s="297" t="s">
        <v>731</v>
      </c>
      <c r="J482" s="368">
        <f>N482*0.8</f>
        <v>0</v>
      </c>
      <c r="K482" s="368">
        <f>IF(SUM(K483:K486)&gt;J482,J482,SUM(K483:K486))</f>
        <v>0</v>
      </c>
      <c r="L482" s="369">
        <f>N482*0.2</f>
        <v>0</v>
      </c>
      <c r="M482" s="369">
        <f>IF(SUM(M483:M486)&gt;L482,L482,SUM(M483:M486))</f>
        <v>0</v>
      </c>
      <c r="N482" s="370">
        <f>Ponderações!P96*100</f>
        <v>0</v>
      </c>
      <c r="O482" s="370">
        <f>IF(SUM(O483:O486)&gt;N482,N482,SUM(O483:O486))</f>
        <v>0</v>
      </c>
      <c r="P482" s="380"/>
      <c r="Q482" s="298" t="s">
        <v>731</v>
      </c>
      <c r="R482" s="366"/>
      <c r="S482" s="370">
        <f>N482</f>
        <v>0</v>
      </c>
      <c r="T482" s="370">
        <f>IF(SUM(T483:T486)&gt;S482,S482,SUM(T483:T486))</f>
        <v>0</v>
      </c>
      <c r="U482" s="380"/>
      <c r="V482" s="298" t="s">
        <v>731</v>
      </c>
      <c r="W482" s="366"/>
      <c r="X482" s="370">
        <f>S482</f>
        <v>0</v>
      </c>
      <c r="Y482" s="370">
        <f>IF(SUM(Y483:Y486)&gt;X482,X482,SUM(Y483:Y486))</f>
        <v>0</v>
      </c>
      <c r="Z482" s="380"/>
      <c r="AA482" s="327"/>
      <c r="AD482" s="353"/>
    </row>
    <row r="483" spans="2:30" outlineLevel="3" x14ac:dyDescent="0.25">
      <c r="B483" s="22"/>
      <c r="E483" s="35" t="s">
        <v>1479</v>
      </c>
      <c r="F483" s="35" t="s">
        <v>92</v>
      </c>
      <c r="G483" s="35"/>
      <c r="H483" s="285">
        <f>IF(Checklist!J483="",0,Checklist!J483)</f>
        <v>0</v>
      </c>
      <c r="I483" s="285">
        <f>IF(Checklist!K483="",0,Checklist!K483)</f>
        <v>0</v>
      </c>
      <c r="J483" s="371"/>
      <c r="K483" s="371">
        <f>H483*AA483*$J$482</f>
        <v>0</v>
      </c>
      <c r="L483" s="331"/>
      <c r="M483" s="372">
        <f>I483*AA483*$L$482</f>
        <v>0</v>
      </c>
      <c r="N483" s="333"/>
      <c r="O483" s="333">
        <f>K483+M483</f>
        <v>0</v>
      </c>
      <c r="P483" s="353"/>
      <c r="Q483" s="285">
        <f>IF(Checklist!M483="",0,Checklist!M483)</f>
        <v>0</v>
      </c>
      <c r="R483" s="22"/>
      <c r="S483" s="334"/>
      <c r="T483" s="333">
        <f>Q483*AA483*$S$482</f>
        <v>0</v>
      </c>
      <c r="U483" s="353"/>
      <c r="V483" s="285">
        <f>IF(Checklist!P483="",0,Checklist!P483)</f>
        <v>0</v>
      </c>
      <c r="W483" s="22"/>
      <c r="X483" s="334"/>
      <c r="Y483" s="333">
        <f>V483*AA483*$X$482</f>
        <v>0</v>
      </c>
      <c r="Z483" s="353"/>
      <c r="AA483" s="335">
        <v>1</v>
      </c>
      <c r="AD483" s="353"/>
    </row>
    <row r="484" spans="2:30" outlineLevel="3" x14ac:dyDescent="0.25">
      <c r="B484" s="22"/>
      <c r="E484" s="35" t="s">
        <v>1480</v>
      </c>
      <c r="F484" s="35" t="s">
        <v>1203</v>
      </c>
      <c r="G484" s="35"/>
      <c r="H484" s="285">
        <f>IF(Checklist!J484="",0,Checklist!J484)</f>
        <v>0</v>
      </c>
      <c r="I484" s="285">
        <f>IF(Checklist!K484="",0,Checklist!K484)</f>
        <v>0</v>
      </c>
      <c r="J484" s="371"/>
      <c r="K484" s="371">
        <f t="shared" ref="K484:K486" si="154">H484*AA484*$J$482</f>
        <v>0</v>
      </c>
      <c r="L484" s="331"/>
      <c r="M484" s="372">
        <f>I484*AA484*$L$482</f>
        <v>0</v>
      </c>
      <c r="N484" s="333"/>
      <c r="O484" s="333">
        <f t="shared" ref="O484:O486" si="155">K484+M484</f>
        <v>0</v>
      </c>
      <c r="P484" s="353"/>
      <c r="Q484" s="285">
        <f>IF(Checklist!M484="",0,Checklist!M484)</f>
        <v>0</v>
      </c>
      <c r="R484" s="22"/>
      <c r="S484" s="334"/>
      <c r="T484" s="333">
        <f t="shared" ref="T484:T486" si="156">Q484*AA484*$S$482</f>
        <v>0</v>
      </c>
      <c r="U484" s="353"/>
      <c r="V484" s="285">
        <f>IF(Checklist!P484="",0,Checklist!P484)</f>
        <v>0</v>
      </c>
      <c r="W484" s="22"/>
      <c r="X484" s="334"/>
      <c r="Y484" s="333">
        <f>V484*AA484*$X$482</f>
        <v>0</v>
      </c>
      <c r="Z484" s="353"/>
      <c r="AA484" s="335">
        <v>0</v>
      </c>
      <c r="AD484" s="353"/>
    </row>
    <row r="485" spans="2:30" outlineLevel="3" x14ac:dyDescent="0.25">
      <c r="B485" s="22"/>
      <c r="E485" s="35" t="s">
        <v>1481</v>
      </c>
      <c r="F485" s="35" t="s">
        <v>107</v>
      </c>
      <c r="G485" s="35"/>
      <c r="H485" s="285">
        <f>IF(Checklist!J485="",0,Checklist!J485)</f>
        <v>0</v>
      </c>
      <c r="I485" s="285">
        <f>IF(Checklist!K485="",0,Checklist!K485)</f>
        <v>0</v>
      </c>
      <c r="J485" s="371"/>
      <c r="K485" s="371">
        <f>H485*AA485*$J$482</f>
        <v>0</v>
      </c>
      <c r="L485" s="331"/>
      <c r="M485" s="372">
        <f>I485*AA485*$L$482</f>
        <v>0</v>
      </c>
      <c r="N485" s="333"/>
      <c r="O485" s="333">
        <f>K485+M485</f>
        <v>0</v>
      </c>
      <c r="P485" s="353"/>
      <c r="Q485" s="285">
        <f>IF(Checklist!M485="",0,Checklist!M485)</f>
        <v>0</v>
      </c>
      <c r="R485" s="22"/>
      <c r="S485" s="334"/>
      <c r="T485" s="333">
        <f>Q485*AA485*$S$482</f>
        <v>0</v>
      </c>
      <c r="U485" s="353"/>
      <c r="V485" s="285">
        <f>IF(Checklist!P485="",0,Checklist!P485)</f>
        <v>0</v>
      </c>
      <c r="W485" s="22"/>
      <c r="X485" s="334"/>
      <c r="Y485" s="333">
        <f>V485*AA485*$X$482</f>
        <v>0</v>
      </c>
      <c r="Z485" s="353"/>
      <c r="AA485" s="335">
        <v>0</v>
      </c>
      <c r="AD485" s="353"/>
    </row>
    <row r="486" spans="2:30" outlineLevel="3" x14ac:dyDescent="0.25">
      <c r="B486" s="22"/>
      <c r="E486" s="35" t="s">
        <v>1482</v>
      </c>
      <c r="F486" s="35" t="s">
        <v>943</v>
      </c>
      <c r="G486" s="35"/>
      <c r="H486" s="285">
        <f>IF(Checklist!J486="",0,Checklist!J486)</f>
        <v>1</v>
      </c>
      <c r="I486" s="285">
        <f>IF(Checklist!K486="",0,Checklist!K486)</f>
        <v>1</v>
      </c>
      <c r="J486" s="371"/>
      <c r="K486" s="371">
        <f t="shared" si="154"/>
        <v>0</v>
      </c>
      <c r="L486" s="331"/>
      <c r="M486" s="372">
        <f>I486*AA486*$L$482</f>
        <v>0</v>
      </c>
      <c r="N486" s="333"/>
      <c r="O486" s="333">
        <f t="shared" si="155"/>
        <v>0</v>
      </c>
      <c r="P486" s="353"/>
      <c r="Q486" s="285">
        <f>IF(Checklist!M486="",0,Checklist!M486)</f>
        <v>1</v>
      </c>
      <c r="R486" s="22"/>
      <c r="S486" s="334"/>
      <c r="T486" s="333">
        <f t="shared" si="156"/>
        <v>0</v>
      </c>
      <c r="U486" s="353"/>
      <c r="V486" s="285">
        <f>IF(Checklist!P486="",0,Checklist!P486)</f>
        <v>1</v>
      </c>
      <c r="W486" s="22"/>
      <c r="X486" s="334"/>
      <c r="Y486" s="333">
        <f>V486*AA486*$X$482</f>
        <v>0</v>
      </c>
      <c r="Z486" s="353"/>
      <c r="AA486" s="335">
        <v>0</v>
      </c>
      <c r="AD486" s="353"/>
    </row>
    <row r="487" spans="2:30" s="342" customFormat="1" outlineLevel="2" x14ac:dyDescent="0.25">
      <c r="B487" s="374"/>
      <c r="D487" s="367" t="s">
        <v>857</v>
      </c>
      <c r="E487" s="367" t="s">
        <v>1204</v>
      </c>
      <c r="F487" s="367"/>
      <c r="G487" s="367"/>
      <c r="H487" s="298" t="s">
        <v>731</v>
      </c>
      <c r="I487" s="297" t="s">
        <v>731</v>
      </c>
      <c r="J487" s="368">
        <f>N487*0.8</f>
        <v>0</v>
      </c>
      <c r="K487" s="368">
        <f>IF(SUM(K488:K491)&gt;J487,J487,SUM(K488:K491))</f>
        <v>0</v>
      </c>
      <c r="L487" s="369">
        <f>N487*0.2</f>
        <v>0</v>
      </c>
      <c r="M487" s="369">
        <f>IF(SUM(M488:M491)&gt;L487,L487,SUM(M488:M491))</f>
        <v>0</v>
      </c>
      <c r="N487" s="370">
        <f>Ponderações!P97*100</f>
        <v>0</v>
      </c>
      <c r="O487" s="370">
        <f>IF(SUM(O488:O491)&gt;N487,N487,SUM(O488:O491))</f>
        <v>0</v>
      </c>
      <c r="P487" s="380"/>
      <c r="Q487" s="298" t="s">
        <v>731</v>
      </c>
      <c r="R487" s="366"/>
      <c r="S487" s="370">
        <f>N487</f>
        <v>0</v>
      </c>
      <c r="T487" s="370">
        <f>IF(SUM(T488:T491)&gt;S487,S487,SUM(T488:T491))</f>
        <v>0</v>
      </c>
      <c r="U487" s="380"/>
      <c r="V487" s="298" t="s">
        <v>731</v>
      </c>
      <c r="W487" s="366"/>
      <c r="X487" s="370">
        <f>S487</f>
        <v>0</v>
      </c>
      <c r="Y487" s="370">
        <f>IF(SUM(Y488:Y491)&gt;X487,X487,SUM(Y488:Y491))</f>
        <v>0</v>
      </c>
      <c r="Z487" s="380"/>
      <c r="AA487" s="327"/>
      <c r="AD487" s="353"/>
    </row>
    <row r="488" spans="2:30" outlineLevel="3" x14ac:dyDescent="0.25">
      <c r="B488" s="22"/>
      <c r="E488" s="35" t="s">
        <v>1483</v>
      </c>
      <c r="F488" s="35" t="s">
        <v>1205</v>
      </c>
      <c r="G488" s="35"/>
      <c r="H488" s="285">
        <f>IF(Checklist!J488="",0,Checklist!J488)</f>
        <v>0</v>
      </c>
      <c r="I488" s="285">
        <f>IF(Checklist!K488="",0,Checklist!K488)</f>
        <v>0</v>
      </c>
      <c r="J488" s="337"/>
      <c r="K488" s="337">
        <f>H488*AA488*$J$487</f>
        <v>0</v>
      </c>
      <c r="L488" s="338"/>
      <c r="M488" s="339">
        <f>I488*AA488*$L$487</f>
        <v>0</v>
      </c>
      <c r="N488" s="333"/>
      <c r="O488" s="333">
        <f>K488+M488</f>
        <v>0</v>
      </c>
      <c r="P488" s="353"/>
      <c r="Q488" s="285">
        <f>IF(Checklist!M488="",0,Checklist!M488)</f>
        <v>0</v>
      </c>
      <c r="R488" s="22"/>
      <c r="S488" s="334"/>
      <c r="T488" s="333">
        <f>Q488*AA488*$S$487</f>
        <v>0</v>
      </c>
      <c r="U488" s="353"/>
      <c r="V488" s="285">
        <f>IF(Checklist!P488="",0,Checklist!P488)</f>
        <v>0</v>
      </c>
      <c r="W488" s="22"/>
      <c r="X488" s="334"/>
      <c r="Y488" s="333">
        <f>V488*AA488*$X$487</f>
        <v>0</v>
      </c>
      <c r="Z488" s="353"/>
      <c r="AA488" s="335">
        <v>1</v>
      </c>
      <c r="AD488" s="353"/>
    </row>
    <row r="489" spans="2:30" outlineLevel="3" x14ac:dyDescent="0.25">
      <c r="B489" s="22"/>
      <c r="E489" s="35" t="s">
        <v>1484</v>
      </c>
      <c r="F489" s="35" t="s">
        <v>1206</v>
      </c>
      <c r="G489" s="35"/>
      <c r="H489" s="285">
        <f>IF(Checklist!J489="",0,Checklist!J489)</f>
        <v>0</v>
      </c>
      <c r="I489" s="285">
        <f>IF(Checklist!K489="",0,Checklist!K489)</f>
        <v>0</v>
      </c>
      <c r="J489" s="337"/>
      <c r="K489" s="337">
        <f t="shared" ref="K489" si="157">H489*AA489*$J$487</f>
        <v>0</v>
      </c>
      <c r="L489" s="338"/>
      <c r="M489" s="339">
        <f>I489*AA489*$L$487</f>
        <v>0</v>
      </c>
      <c r="N489" s="333"/>
      <c r="O489" s="333">
        <f t="shared" ref="O489" si="158">K489+M489</f>
        <v>0</v>
      </c>
      <c r="P489" s="353"/>
      <c r="Q489" s="285">
        <f>IF(Checklist!M489="",0,Checklist!M489)</f>
        <v>0</v>
      </c>
      <c r="R489" s="22"/>
      <c r="S489" s="334"/>
      <c r="T489" s="333">
        <f t="shared" ref="T489:T490" si="159">Q489*AA489*$S$487</f>
        <v>0</v>
      </c>
      <c r="U489" s="353"/>
      <c r="V489" s="285">
        <f>IF(Checklist!P489="",0,Checklist!P489)</f>
        <v>0</v>
      </c>
      <c r="W489" s="22"/>
      <c r="X489" s="334"/>
      <c r="Y489" s="333">
        <f>V489*AA489*$X$487</f>
        <v>0</v>
      </c>
      <c r="Z489" s="353"/>
      <c r="AA489" s="335">
        <v>0.5</v>
      </c>
      <c r="AD489" s="353"/>
    </row>
    <row r="490" spans="2:30" outlineLevel="3" x14ac:dyDescent="0.25">
      <c r="B490" s="22"/>
      <c r="E490" s="35" t="s">
        <v>1485</v>
      </c>
      <c r="F490" s="35" t="s">
        <v>1207</v>
      </c>
      <c r="G490" s="35"/>
      <c r="H490" s="285">
        <f>IF(Checklist!J490="",0,Checklist!J490)</f>
        <v>0</v>
      </c>
      <c r="I490" s="285">
        <f>IF(Checklist!K490="",0,Checklist!K490)</f>
        <v>0</v>
      </c>
      <c r="J490" s="337"/>
      <c r="K490" s="337">
        <f>H490*AA490*$J$487</f>
        <v>0</v>
      </c>
      <c r="L490" s="338"/>
      <c r="M490" s="339">
        <f>I490*AA490*$L$487</f>
        <v>0</v>
      </c>
      <c r="N490" s="333"/>
      <c r="O490" s="333">
        <f>K490+M490</f>
        <v>0</v>
      </c>
      <c r="P490" s="353"/>
      <c r="Q490" s="285">
        <f>IF(Checklist!M490="",0,Checklist!M490)</f>
        <v>0</v>
      </c>
      <c r="R490" s="22"/>
      <c r="S490" s="334"/>
      <c r="T490" s="333">
        <f t="shared" si="159"/>
        <v>0</v>
      </c>
      <c r="U490" s="353"/>
      <c r="V490" s="285">
        <f>IF(Checklist!P490="",0,Checklist!P490)</f>
        <v>0</v>
      </c>
      <c r="W490" s="22"/>
      <c r="X490" s="334"/>
      <c r="Y490" s="333">
        <f>V490*AA490*$X$487</f>
        <v>0</v>
      </c>
      <c r="Z490" s="353"/>
      <c r="AA490" s="335">
        <v>0</v>
      </c>
      <c r="AD490" s="353"/>
    </row>
    <row r="491" spans="2:30" outlineLevel="3" x14ac:dyDescent="0.25">
      <c r="B491" s="22"/>
      <c r="E491" s="35" t="s">
        <v>1486</v>
      </c>
      <c r="F491" s="35" t="s">
        <v>943</v>
      </c>
      <c r="G491" s="35"/>
      <c r="H491" s="285">
        <f>IF(Checklist!J491="",0,Checklist!J491)</f>
        <v>1</v>
      </c>
      <c r="I491" s="285">
        <f>IF(Checklist!K491="",0,Checklist!K491)</f>
        <v>1</v>
      </c>
      <c r="J491" s="337"/>
      <c r="K491" s="337">
        <f>H491*AA491*$J$487</f>
        <v>0</v>
      </c>
      <c r="L491" s="338"/>
      <c r="M491" s="339">
        <f>I491*AA491*$L$487</f>
        <v>0</v>
      </c>
      <c r="N491" s="333"/>
      <c r="O491" s="333">
        <f>K491+M491</f>
        <v>0</v>
      </c>
      <c r="P491" s="353"/>
      <c r="Q491" s="285">
        <f>IF(Checklist!M491="",0,Checklist!M491)</f>
        <v>1</v>
      </c>
      <c r="R491" s="22"/>
      <c r="S491" s="334"/>
      <c r="T491" s="333">
        <f>Q491*AA491*$S$487</f>
        <v>0</v>
      </c>
      <c r="U491" s="353"/>
      <c r="V491" s="285">
        <f>IF(Checklist!P491="",0,Checklist!P491)</f>
        <v>1</v>
      </c>
      <c r="W491" s="22"/>
      <c r="X491" s="334"/>
      <c r="Y491" s="333">
        <f>V491*AA491*$X$487</f>
        <v>0</v>
      </c>
      <c r="Z491" s="353"/>
      <c r="AA491" s="335">
        <v>0</v>
      </c>
      <c r="AD491" s="353"/>
    </row>
    <row r="492" spans="2:30" x14ac:dyDescent="0.25">
      <c r="H492" s="291"/>
      <c r="I492" s="291"/>
      <c r="J492" s="315"/>
      <c r="K492" s="315"/>
      <c r="L492" s="316"/>
      <c r="M492" s="315"/>
      <c r="N492" s="317"/>
      <c r="O492" s="317"/>
      <c r="Q492" s="291"/>
      <c r="R492" s="22"/>
      <c r="S492" s="315"/>
      <c r="T492" s="317"/>
      <c r="V492" s="291"/>
      <c r="W492" s="22"/>
      <c r="X492" s="315"/>
      <c r="Y492" s="317"/>
      <c r="AA492" s="318"/>
    </row>
    <row r="493" spans="2:30" x14ac:dyDescent="0.25">
      <c r="B493" s="270">
        <v>6</v>
      </c>
      <c r="C493" s="271" t="s">
        <v>858</v>
      </c>
      <c r="D493" s="271"/>
      <c r="E493" s="271"/>
      <c r="F493" s="271"/>
      <c r="G493" s="271"/>
      <c r="H493" s="272"/>
      <c r="I493" s="272"/>
      <c r="J493" s="312">
        <f t="shared" ref="J493:J562" si="160">N493*0.8</f>
        <v>0</v>
      </c>
      <c r="K493" s="312">
        <f>K495+K519</f>
        <v>0</v>
      </c>
      <c r="L493" s="312">
        <f t="shared" si="143"/>
        <v>0</v>
      </c>
      <c r="M493" s="312">
        <f>M495+M519</f>
        <v>0</v>
      </c>
      <c r="N493" s="312">
        <f>N495+N519</f>
        <v>0</v>
      </c>
      <c r="O493" s="312">
        <f>O495+O519</f>
        <v>0</v>
      </c>
      <c r="Q493" s="272"/>
      <c r="R493" s="22"/>
      <c r="S493" s="312">
        <f>N493</f>
        <v>0</v>
      </c>
      <c r="T493" s="312">
        <f>T495+T519</f>
        <v>0</v>
      </c>
      <c r="V493" s="272"/>
      <c r="W493" s="22"/>
      <c r="X493" s="312">
        <f>S493</f>
        <v>0</v>
      </c>
      <c r="Y493" s="312">
        <f>Y495+Y519</f>
        <v>0</v>
      </c>
      <c r="AA493" s="314"/>
    </row>
    <row r="494" spans="2:30" x14ac:dyDescent="0.25">
      <c r="B494" s="22"/>
      <c r="H494" s="291"/>
      <c r="I494" s="291"/>
      <c r="J494" s="315"/>
      <c r="K494" s="315"/>
      <c r="L494" s="316"/>
      <c r="M494" s="315"/>
      <c r="N494" s="317"/>
      <c r="O494" s="317"/>
      <c r="Q494" s="291"/>
      <c r="R494" s="22"/>
      <c r="S494" s="315"/>
      <c r="T494" s="317"/>
      <c r="V494" s="291"/>
      <c r="W494" s="22"/>
      <c r="X494" s="315"/>
      <c r="Y494" s="317"/>
      <c r="AA494" s="381"/>
      <c r="AB494" s="346"/>
    </row>
    <row r="495" spans="2:30" outlineLevel="1" x14ac:dyDescent="0.25">
      <c r="C495" s="348" t="s">
        <v>859</v>
      </c>
      <c r="D495" s="275" t="s">
        <v>860</v>
      </c>
      <c r="E495" s="275"/>
      <c r="F495" s="275"/>
      <c r="G495" s="275"/>
      <c r="H495" s="276"/>
      <c r="I495" s="277"/>
      <c r="J495" s="319">
        <f>N495*0.8</f>
        <v>0</v>
      </c>
      <c r="K495" s="319">
        <f>K496+K503+K508+K513</f>
        <v>0</v>
      </c>
      <c r="L495" s="320">
        <f t="shared" si="143"/>
        <v>0</v>
      </c>
      <c r="M495" s="320">
        <f>M496+M503+M508+M513</f>
        <v>0</v>
      </c>
      <c r="N495" s="321">
        <f>N496+N503+N508+N513</f>
        <v>0</v>
      </c>
      <c r="O495" s="321">
        <f>O496+O503+O508+O513</f>
        <v>0</v>
      </c>
      <c r="Q495" s="276"/>
      <c r="R495" s="22"/>
      <c r="S495" s="321">
        <f>N495</f>
        <v>0</v>
      </c>
      <c r="T495" s="321">
        <f>T496+T503+T508+T513</f>
        <v>0</v>
      </c>
      <c r="V495" s="276"/>
      <c r="W495" s="22"/>
      <c r="X495" s="321">
        <f>S495</f>
        <v>0</v>
      </c>
      <c r="Y495" s="321">
        <f>Y496+Y503+Y508+Y513</f>
        <v>0</v>
      </c>
      <c r="AA495" s="322"/>
      <c r="AB495" s="344"/>
    </row>
    <row r="496" spans="2:30" outlineLevel="2" x14ac:dyDescent="0.25">
      <c r="D496" s="284" t="s">
        <v>861</v>
      </c>
      <c r="E496" s="284" t="s">
        <v>1192</v>
      </c>
      <c r="F496" s="284"/>
      <c r="G496" s="284"/>
      <c r="H496" s="289" t="s">
        <v>732</v>
      </c>
      <c r="I496" s="288" t="s">
        <v>732</v>
      </c>
      <c r="J496" s="324">
        <f t="shared" si="160"/>
        <v>0</v>
      </c>
      <c r="K496" s="324">
        <f>IF(SUM(K497:K502)&gt;J496,J496,SUM(K497:K502))</f>
        <v>0</v>
      </c>
      <c r="L496" s="325">
        <f t="shared" si="143"/>
        <v>0</v>
      </c>
      <c r="M496" s="325">
        <f>IF(SUM(M497:M502)&gt;L496,L496,SUM(M497:M502))</f>
        <v>0</v>
      </c>
      <c r="N496" s="326">
        <f>Ponderações!P100*100</f>
        <v>0</v>
      </c>
      <c r="O496" s="326">
        <f>IF(SUM(O497:O502)&gt;N496,N496,SUM(O497:O502))</f>
        <v>0</v>
      </c>
      <c r="Q496" s="289" t="s">
        <v>732</v>
      </c>
      <c r="R496" s="22"/>
      <c r="S496" s="326">
        <f>N496</f>
        <v>0</v>
      </c>
      <c r="T496" s="326">
        <f>IF(SUM(T497:T502)&gt;S496,S496,SUM(T497:T502))</f>
        <v>0</v>
      </c>
      <c r="V496" s="289" t="s">
        <v>732</v>
      </c>
      <c r="W496" s="22"/>
      <c r="X496" s="326">
        <f>S496</f>
        <v>0</v>
      </c>
      <c r="Y496" s="326">
        <f>IF(SUM(Y497:Y502)&gt;X496,X496,SUM(Y497:Y502))</f>
        <v>0</v>
      </c>
      <c r="AA496" s="327"/>
      <c r="AB496" s="342"/>
    </row>
    <row r="497" spans="4:29" outlineLevel="3" x14ac:dyDescent="0.25">
      <c r="E497" s="35" t="s">
        <v>1487</v>
      </c>
      <c r="F497" s="35" t="s">
        <v>1194</v>
      </c>
      <c r="G497" s="35"/>
      <c r="H497" s="285">
        <f>IF(Checklist!J497="",0,Checklist!J497)</f>
        <v>0</v>
      </c>
      <c r="I497" s="285">
        <f>IF(Checklist!K497="",0,Checklist!K497)</f>
        <v>0</v>
      </c>
      <c r="J497" s="371"/>
      <c r="K497" s="371">
        <f>H497*AA497*J496</f>
        <v>0</v>
      </c>
      <c r="L497" s="331"/>
      <c r="M497" s="372">
        <f>I497*AA497*L496</f>
        <v>0</v>
      </c>
      <c r="N497" s="333"/>
      <c r="O497" s="333">
        <f t="shared" ref="O497:O502" si="161">M497+K497</f>
        <v>0</v>
      </c>
      <c r="Q497" s="285">
        <f>IF(Checklist!M497="",0,Checklist!M497)</f>
        <v>0</v>
      </c>
      <c r="R497" s="22"/>
      <c r="S497" s="377"/>
      <c r="T497" s="333">
        <f>Q497*AA497*S496</f>
        <v>0</v>
      </c>
      <c r="V497" s="285">
        <f>IF(Checklist!P497="",0,Checklist!P497)</f>
        <v>0</v>
      </c>
      <c r="W497" s="22"/>
      <c r="X497" s="377"/>
      <c r="Y497" s="333">
        <f>V497*AA497*X496</f>
        <v>0</v>
      </c>
      <c r="AA497" s="335">
        <v>0.45</v>
      </c>
    </row>
    <row r="498" spans="4:29" outlineLevel="3" x14ac:dyDescent="0.25">
      <c r="E498" s="35" t="s">
        <v>1488</v>
      </c>
      <c r="F498" s="35" t="s">
        <v>1195</v>
      </c>
      <c r="G498" s="35"/>
      <c r="H498" s="285">
        <f>IF(Checklist!J498="",0,Checklist!J498)</f>
        <v>0</v>
      </c>
      <c r="I498" s="285">
        <f>IF(Checklist!K498="",0,Checklist!K498)</f>
        <v>0</v>
      </c>
      <c r="J498" s="371"/>
      <c r="K498" s="371">
        <f>H498*AA498*J496</f>
        <v>0</v>
      </c>
      <c r="L498" s="331"/>
      <c r="M498" s="372">
        <f>I498*AA498*L496</f>
        <v>0</v>
      </c>
      <c r="N498" s="333"/>
      <c r="O498" s="333">
        <f t="shared" si="161"/>
        <v>0</v>
      </c>
      <c r="Q498" s="285">
        <f>IF(Checklist!M498="",0,Checklist!M498)</f>
        <v>0</v>
      </c>
      <c r="R498" s="22"/>
      <c r="S498" s="377"/>
      <c r="T498" s="333">
        <f>Q498*AA498*S496</f>
        <v>0</v>
      </c>
      <c r="V498" s="285">
        <f>IF(Checklist!P498="",0,Checklist!P498)</f>
        <v>0</v>
      </c>
      <c r="W498" s="22"/>
      <c r="X498" s="377"/>
      <c r="Y498" s="333">
        <f>V498*AA498*X496</f>
        <v>0</v>
      </c>
      <c r="AA498" s="335">
        <v>0.1</v>
      </c>
      <c r="AC498" s="343"/>
    </row>
    <row r="499" spans="4:29" outlineLevel="3" x14ac:dyDescent="0.25">
      <c r="E499" s="35" t="s">
        <v>1489</v>
      </c>
      <c r="F499" s="35" t="s">
        <v>1196</v>
      </c>
      <c r="G499" s="35"/>
      <c r="H499" s="285">
        <f>IF(Checklist!J499="",0,Checklist!J499)</f>
        <v>0</v>
      </c>
      <c r="I499" s="285">
        <f>IF(Checklist!K499="",0,Checklist!K499)</f>
        <v>0</v>
      </c>
      <c r="J499" s="371"/>
      <c r="K499" s="371">
        <f>H499*AA499*J496</f>
        <v>0</v>
      </c>
      <c r="L499" s="331"/>
      <c r="M499" s="372">
        <f>I499*AA499*L496</f>
        <v>0</v>
      </c>
      <c r="N499" s="333"/>
      <c r="O499" s="333">
        <f t="shared" si="161"/>
        <v>0</v>
      </c>
      <c r="Q499" s="285">
        <f>IF(Checklist!M499="",0,Checklist!M499)</f>
        <v>0</v>
      </c>
      <c r="R499" s="22"/>
      <c r="S499" s="377"/>
      <c r="T499" s="333">
        <f>Q499*AA499*S496</f>
        <v>0</v>
      </c>
      <c r="V499" s="285">
        <f>IF(Checklist!P499="",0,Checklist!P499)</f>
        <v>0</v>
      </c>
      <c r="W499" s="22"/>
      <c r="X499" s="377"/>
      <c r="Y499" s="333">
        <f>V499*AA499*X496</f>
        <v>0</v>
      </c>
      <c r="AA499" s="335">
        <v>0.45</v>
      </c>
      <c r="AB499" s="343"/>
    </row>
    <row r="500" spans="4:29" outlineLevel="3" x14ac:dyDescent="0.25">
      <c r="E500" s="35" t="s">
        <v>1490</v>
      </c>
      <c r="F500" s="35" t="s">
        <v>1197</v>
      </c>
      <c r="G500" s="35"/>
      <c r="H500" s="285">
        <f>IF(Checklist!J500="",0,Checklist!J500)</f>
        <v>0</v>
      </c>
      <c r="I500" s="285">
        <f>IF(Checklist!K500="",0,Checklist!K500)</f>
        <v>0</v>
      </c>
      <c r="J500" s="371"/>
      <c r="K500" s="371">
        <f>H500*AA500*J496</f>
        <v>0</v>
      </c>
      <c r="L500" s="331"/>
      <c r="M500" s="372">
        <f>I500*AA500*L496</f>
        <v>0</v>
      </c>
      <c r="N500" s="333"/>
      <c r="O500" s="333">
        <f t="shared" si="161"/>
        <v>0</v>
      </c>
      <c r="Q500" s="285">
        <f>IF(Checklist!M500="",0,Checklist!M500)</f>
        <v>0</v>
      </c>
      <c r="R500" s="22"/>
      <c r="S500" s="377"/>
      <c r="T500" s="333">
        <f>Q500*AA500*S496</f>
        <v>0</v>
      </c>
      <c r="V500" s="285">
        <f>IF(Checklist!P500="",0,Checklist!P500)</f>
        <v>0</v>
      </c>
      <c r="W500" s="22"/>
      <c r="X500" s="377"/>
      <c r="Y500" s="333">
        <f>V500*AA500*X496</f>
        <v>0</v>
      </c>
      <c r="AA500" s="335">
        <v>0.1</v>
      </c>
    </row>
    <row r="501" spans="4:29" outlineLevel="3" x14ac:dyDescent="0.25">
      <c r="E501" s="35" t="s">
        <v>1841</v>
      </c>
      <c r="F501" s="35" t="s">
        <v>941</v>
      </c>
      <c r="G501" s="35"/>
      <c r="H501" s="285">
        <f>IF(Checklist!J501="",0,Checklist!J501)</f>
        <v>0</v>
      </c>
      <c r="I501" s="285">
        <f>IF(Checklist!K501="",0,Checklist!K501)</f>
        <v>0</v>
      </c>
      <c r="J501" s="371"/>
      <c r="K501" s="371">
        <f>H501*AA501*J496</f>
        <v>0</v>
      </c>
      <c r="L501" s="331"/>
      <c r="M501" s="372">
        <f>I501*AA501*L496</f>
        <v>0</v>
      </c>
      <c r="N501" s="333"/>
      <c r="O501" s="333">
        <f t="shared" si="161"/>
        <v>0</v>
      </c>
      <c r="Q501" s="285">
        <f>IF(Checklist!M501="",0,Checklist!M501)</f>
        <v>0</v>
      </c>
      <c r="R501" s="22"/>
      <c r="S501" s="377"/>
      <c r="T501" s="333">
        <f>Q501*AA501*S496</f>
        <v>0</v>
      </c>
      <c r="V501" s="285">
        <f>IF(Checklist!P501="",0,Checklist!P501)</f>
        <v>0</v>
      </c>
      <c r="W501" s="22"/>
      <c r="X501" s="377"/>
      <c r="Y501" s="333">
        <f>V501*AA501*X496</f>
        <v>0</v>
      </c>
      <c r="AA501" s="335">
        <v>0</v>
      </c>
    </row>
    <row r="502" spans="4:29" outlineLevel="3" x14ac:dyDescent="0.25">
      <c r="E502" s="35" t="s">
        <v>1491</v>
      </c>
      <c r="F502" s="35" t="s">
        <v>943</v>
      </c>
      <c r="G502" s="35"/>
      <c r="H502" s="285">
        <f>IF(Checklist!J502="",0,Checklist!J502)</f>
        <v>0</v>
      </c>
      <c r="I502" s="285">
        <f>IF(Checklist!K502="",0,Checklist!K502)</f>
        <v>0</v>
      </c>
      <c r="J502" s="371"/>
      <c r="K502" s="371">
        <f>H502*AA502*J496</f>
        <v>0</v>
      </c>
      <c r="L502" s="331"/>
      <c r="M502" s="372">
        <f>I502*AA502*L496</f>
        <v>0</v>
      </c>
      <c r="N502" s="333"/>
      <c r="O502" s="333">
        <f t="shared" si="161"/>
        <v>0</v>
      </c>
      <c r="Q502" s="285">
        <f>IF(Checklist!M502="",0,Checklist!M502)</f>
        <v>0</v>
      </c>
      <c r="R502" s="22"/>
      <c r="S502" s="377"/>
      <c r="T502" s="333">
        <f>Q502*AA502*S496</f>
        <v>0</v>
      </c>
      <c r="V502" s="285">
        <f>IF(Checklist!P502="",0,Checklist!P502)</f>
        <v>0</v>
      </c>
      <c r="W502" s="22"/>
      <c r="X502" s="377"/>
      <c r="Y502" s="333">
        <f>V502*AA502*X496</f>
        <v>0</v>
      </c>
      <c r="AA502" s="335">
        <v>0</v>
      </c>
    </row>
    <row r="503" spans="4:29" outlineLevel="2" x14ac:dyDescent="0.25">
      <c r="D503" s="284" t="s">
        <v>862</v>
      </c>
      <c r="E503" s="284" t="s">
        <v>1198</v>
      </c>
      <c r="F503" s="284"/>
      <c r="G503" s="284"/>
      <c r="H503" s="289" t="s">
        <v>731</v>
      </c>
      <c r="I503" s="288" t="s">
        <v>731</v>
      </c>
      <c r="J503" s="324">
        <f t="shared" si="160"/>
        <v>0</v>
      </c>
      <c r="K503" s="324">
        <f>IF(SUM(K504:K507)&gt;J503,J503,SUM(K504:K507))</f>
        <v>0</v>
      </c>
      <c r="L503" s="325">
        <f t="shared" si="143"/>
        <v>0</v>
      </c>
      <c r="M503" s="325">
        <f>IF(SUM(M504:M507)&gt;L503,L503,SUM(M504:M507))</f>
        <v>0</v>
      </c>
      <c r="N503" s="326">
        <f>Ponderações!P101*100</f>
        <v>0</v>
      </c>
      <c r="O503" s="326">
        <f>IF(SUM(O504:O507)&gt;N503,N503,SUM(O504:O507))</f>
        <v>0</v>
      </c>
      <c r="Q503" s="289" t="s">
        <v>731</v>
      </c>
      <c r="R503" s="22"/>
      <c r="S503" s="326">
        <f>N503</f>
        <v>0</v>
      </c>
      <c r="T503" s="326">
        <f>IF(SUM(T504:T507)&gt;S503,S503,SUM(T504:T507))</f>
        <v>0</v>
      </c>
      <c r="V503" s="289" t="s">
        <v>731</v>
      </c>
      <c r="W503" s="22"/>
      <c r="X503" s="326">
        <f>S503</f>
        <v>0</v>
      </c>
      <c r="Y503" s="326">
        <f>IF(SUM(Y504:Y507)&gt;X503,X503,SUM(Y504:Y507))</f>
        <v>0</v>
      </c>
      <c r="AA503" s="327"/>
      <c r="AB503" s="342"/>
    </row>
    <row r="504" spans="4:29" outlineLevel="3" x14ac:dyDescent="0.25">
      <c r="E504" s="35" t="s">
        <v>1492</v>
      </c>
      <c r="F504" s="35" t="s">
        <v>1768</v>
      </c>
      <c r="G504" s="35"/>
      <c r="H504" s="285">
        <f>IF(Checklist!J504="",0,Checklist!J504)</f>
        <v>0</v>
      </c>
      <c r="I504" s="285">
        <f>IF(Checklist!K504="",0,Checklist!K504)</f>
        <v>0</v>
      </c>
      <c r="J504" s="371"/>
      <c r="K504" s="371">
        <f>H504*AA504*J503</f>
        <v>0</v>
      </c>
      <c r="L504" s="331"/>
      <c r="M504" s="372">
        <f>I504*AA504*L503</f>
        <v>0</v>
      </c>
      <c r="N504" s="333"/>
      <c r="O504" s="333">
        <f>M504+K504</f>
        <v>0</v>
      </c>
      <c r="Q504" s="285">
        <f>IF(Checklist!M504="",0,Checklist!M504)</f>
        <v>0</v>
      </c>
      <c r="R504" s="22"/>
      <c r="S504" s="377"/>
      <c r="T504" s="333">
        <f>Q504*AA504*S503</f>
        <v>0</v>
      </c>
      <c r="V504" s="285">
        <f>IF(Checklist!P504="",0,Checklist!P504)</f>
        <v>0</v>
      </c>
      <c r="W504" s="22"/>
      <c r="X504" s="377"/>
      <c r="Y504" s="333">
        <f>V504*AA504*X503</f>
        <v>0</v>
      </c>
      <c r="AA504" s="335">
        <v>1</v>
      </c>
    </row>
    <row r="505" spans="4:29" outlineLevel="3" x14ac:dyDescent="0.25">
      <c r="E505" s="35" t="s">
        <v>1493</v>
      </c>
      <c r="F505" s="35" t="s">
        <v>1494</v>
      </c>
      <c r="G505" s="35"/>
      <c r="H505" s="285">
        <f>IF(Checklist!J505="",0,Checklist!J505)</f>
        <v>0</v>
      </c>
      <c r="I505" s="285">
        <f>IF(Checklist!K505="",0,Checklist!K505)</f>
        <v>0</v>
      </c>
      <c r="J505" s="371"/>
      <c r="K505" s="371">
        <f>H505*AA505*J503</f>
        <v>0</v>
      </c>
      <c r="L505" s="331"/>
      <c r="M505" s="372">
        <f>I505*AA505*L503</f>
        <v>0</v>
      </c>
      <c r="N505" s="333"/>
      <c r="O505" s="333">
        <f>M505+K505</f>
        <v>0</v>
      </c>
      <c r="Q505" s="285">
        <f>IF(Checklist!M505="",0,Checklist!M505)</f>
        <v>0</v>
      </c>
      <c r="R505" s="22"/>
      <c r="S505" s="377"/>
      <c r="T505" s="333">
        <f>Q505*AA505*S503</f>
        <v>0</v>
      </c>
      <c r="V505" s="285">
        <f>IF(Checklist!P505="",0,Checklist!P505)</f>
        <v>0</v>
      </c>
      <c r="W505" s="22"/>
      <c r="X505" s="377"/>
      <c r="Y505" s="333">
        <f>V505*AA505*X503</f>
        <v>0</v>
      </c>
      <c r="AA505" s="335">
        <v>0.5</v>
      </c>
    </row>
    <row r="506" spans="4:29" outlineLevel="3" x14ac:dyDescent="0.25">
      <c r="E506" s="35" t="s">
        <v>1495</v>
      </c>
      <c r="F506" s="35" t="s">
        <v>1496</v>
      </c>
      <c r="G506" s="35"/>
      <c r="H506" s="285">
        <f>IF(Checklist!J506="",0,Checklist!J506)</f>
        <v>0</v>
      </c>
      <c r="I506" s="285">
        <f>IF(Checklist!K506="",0,Checklist!K506)</f>
        <v>0</v>
      </c>
      <c r="J506" s="371"/>
      <c r="K506" s="371">
        <f>H506*AA506*J503</f>
        <v>0</v>
      </c>
      <c r="L506" s="331"/>
      <c r="M506" s="372">
        <f>I506*AA506*L503</f>
        <v>0</v>
      </c>
      <c r="N506" s="333"/>
      <c r="O506" s="333">
        <f>M506+K506</f>
        <v>0</v>
      </c>
      <c r="Q506" s="285">
        <f>IF(Checklist!M506="",0,Checklist!M506)</f>
        <v>0</v>
      </c>
      <c r="R506" s="22"/>
      <c r="S506" s="377"/>
      <c r="T506" s="333">
        <f>Q506*AA506*S503</f>
        <v>0</v>
      </c>
      <c r="V506" s="285">
        <f>IF(Checklist!P506="",0,Checklist!P506)</f>
        <v>0</v>
      </c>
      <c r="W506" s="22"/>
      <c r="X506" s="377"/>
      <c r="Y506" s="333">
        <f>V506*AA506*X503</f>
        <v>0</v>
      </c>
      <c r="AA506" s="335">
        <v>0</v>
      </c>
    </row>
    <row r="507" spans="4:29" outlineLevel="3" x14ac:dyDescent="0.25">
      <c r="E507" s="35" t="s">
        <v>1497</v>
      </c>
      <c r="F507" s="35" t="s">
        <v>943</v>
      </c>
      <c r="G507" s="35"/>
      <c r="H507" s="285">
        <f>IF(Checklist!J507="",0,Checklist!J507)</f>
        <v>1</v>
      </c>
      <c r="I507" s="285">
        <f>IF(Checklist!K507="",0,Checklist!K507)</f>
        <v>1</v>
      </c>
      <c r="J507" s="371"/>
      <c r="K507" s="371">
        <f>H507*AA507*J503</f>
        <v>0</v>
      </c>
      <c r="L507" s="331"/>
      <c r="M507" s="372">
        <f>I507*AA507*L503</f>
        <v>0</v>
      </c>
      <c r="N507" s="333"/>
      <c r="O507" s="333">
        <f>M507+K507</f>
        <v>0</v>
      </c>
      <c r="Q507" s="285">
        <f>IF(Checklist!M507="",0,Checklist!M507)</f>
        <v>1</v>
      </c>
      <c r="R507" s="22"/>
      <c r="S507" s="377"/>
      <c r="T507" s="333">
        <f>Q507*AA507*S503</f>
        <v>0</v>
      </c>
      <c r="V507" s="285">
        <f>IF(Checklist!P507="",0,Checklist!P507)</f>
        <v>1</v>
      </c>
      <c r="W507" s="22"/>
      <c r="X507" s="377"/>
      <c r="Y507" s="333">
        <f>V507*AA507*X503</f>
        <v>0</v>
      </c>
      <c r="AA507" s="335">
        <v>0</v>
      </c>
    </row>
    <row r="508" spans="4:29" outlineLevel="2" x14ac:dyDescent="0.25">
      <c r="D508" s="284" t="s">
        <v>863</v>
      </c>
      <c r="E508" s="284" t="s">
        <v>1202</v>
      </c>
      <c r="F508" s="284"/>
      <c r="G508" s="284"/>
      <c r="H508" s="289" t="s">
        <v>731</v>
      </c>
      <c r="I508" s="302" t="s">
        <v>731</v>
      </c>
      <c r="J508" s="324">
        <f t="shared" si="160"/>
        <v>0</v>
      </c>
      <c r="K508" s="324">
        <f>IF(SUM(K509:K512)&gt;J508,J508,SUM(K509:K512))</f>
        <v>0</v>
      </c>
      <c r="L508" s="325">
        <f t="shared" si="143"/>
        <v>0</v>
      </c>
      <c r="M508" s="325">
        <f>IF(SUM(M509:M512)&gt;L508,L508,SUM(M509:M512))</f>
        <v>0</v>
      </c>
      <c r="N508" s="326">
        <f>Ponderações!P102*100</f>
        <v>0</v>
      </c>
      <c r="O508" s="326">
        <f>IF(SUM(O509:O512)&gt;N508,N508,SUM(O509:O512))</f>
        <v>0</v>
      </c>
      <c r="Q508" s="289" t="s">
        <v>731</v>
      </c>
      <c r="R508" s="22"/>
      <c r="S508" s="326">
        <f>N508</f>
        <v>0</v>
      </c>
      <c r="T508" s="326">
        <f>IF(SUM(T509:T512)&gt;S508,S508,SUM(T509:T512))</f>
        <v>0</v>
      </c>
      <c r="V508" s="289" t="s">
        <v>731</v>
      </c>
      <c r="W508" s="22"/>
      <c r="X508" s="326">
        <f>S508</f>
        <v>0</v>
      </c>
      <c r="Y508" s="326">
        <f>IF(SUM(Y509:Y512)&gt;X508,X508,SUM(Y509:Y512))</f>
        <v>0</v>
      </c>
      <c r="AA508" s="327"/>
      <c r="AB508" s="342"/>
    </row>
    <row r="509" spans="4:29" ht="14.65" customHeight="1" outlineLevel="3" x14ac:dyDescent="0.25">
      <c r="E509" s="35" t="s">
        <v>1498</v>
      </c>
      <c r="F509" s="35" t="s">
        <v>92</v>
      </c>
      <c r="G509" s="35"/>
      <c r="H509" s="285">
        <f>IF(Checklist!J509="",0,Checklist!J509)</f>
        <v>0</v>
      </c>
      <c r="I509" s="285">
        <f>IF(Checklist!K509="",0,Checklist!K509)</f>
        <v>0</v>
      </c>
      <c r="J509" s="371"/>
      <c r="K509" s="371">
        <f>H509*AA509*J508</f>
        <v>0</v>
      </c>
      <c r="L509" s="331"/>
      <c r="M509" s="372">
        <f>I509*AA509*L508</f>
        <v>0</v>
      </c>
      <c r="N509" s="333"/>
      <c r="O509" s="333">
        <f>M509+K509</f>
        <v>0</v>
      </c>
      <c r="Q509" s="285">
        <f>IF(Checklist!M509="",0,Checklist!M509)</f>
        <v>0</v>
      </c>
      <c r="R509" s="22"/>
      <c r="S509" s="377"/>
      <c r="T509" s="333">
        <f>Q509*AA509*S508</f>
        <v>0</v>
      </c>
      <c r="V509" s="285">
        <f>IF(Checklist!P509="",0,Checklist!P509)</f>
        <v>0</v>
      </c>
      <c r="W509" s="22"/>
      <c r="X509" s="377"/>
      <c r="Y509" s="333">
        <f>V509*AA509*X508</f>
        <v>0</v>
      </c>
      <c r="AA509" s="335">
        <v>1</v>
      </c>
    </row>
    <row r="510" spans="4:29" outlineLevel="3" x14ac:dyDescent="0.25">
      <c r="E510" s="35" t="s">
        <v>1499</v>
      </c>
      <c r="F510" s="35" t="s">
        <v>1203</v>
      </c>
      <c r="G510" s="35"/>
      <c r="H510" s="285">
        <f>IF(Checklist!J510="",0,Checklist!J510)</f>
        <v>0</v>
      </c>
      <c r="I510" s="285">
        <f>IF(Checklist!K510="",0,Checklist!K510)</f>
        <v>0</v>
      </c>
      <c r="J510" s="371"/>
      <c r="K510" s="371">
        <f>H510*AA510*J508</f>
        <v>0</v>
      </c>
      <c r="L510" s="331"/>
      <c r="M510" s="372">
        <f>I510*AA510*L508</f>
        <v>0</v>
      </c>
      <c r="N510" s="333"/>
      <c r="O510" s="333">
        <f>M510+K510</f>
        <v>0</v>
      </c>
      <c r="Q510" s="285">
        <f>IF(Checklist!M510="",0,Checklist!M510)</f>
        <v>0</v>
      </c>
      <c r="R510" s="22"/>
      <c r="S510" s="377"/>
      <c r="T510" s="333">
        <f>Q510*AA510*S508</f>
        <v>0</v>
      </c>
      <c r="V510" s="285">
        <f>IF(Checklist!P510="",0,Checklist!P510)</f>
        <v>0</v>
      </c>
      <c r="W510" s="22"/>
      <c r="X510" s="377"/>
      <c r="Y510" s="333">
        <f>V510*AA510*X508</f>
        <v>0</v>
      </c>
      <c r="AA510" s="335">
        <v>0</v>
      </c>
    </row>
    <row r="511" spans="4:29" outlineLevel="3" x14ac:dyDescent="0.25">
      <c r="E511" s="35" t="s">
        <v>1500</v>
      </c>
      <c r="F511" s="35" t="s">
        <v>107</v>
      </c>
      <c r="G511" s="35"/>
      <c r="H511" s="285">
        <f>IF(Checklist!J511="",0,Checklist!J511)</f>
        <v>0</v>
      </c>
      <c r="I511" s="285">
        <f>IF(Checklist!K511="",0,Checklist!K511)</f>
        <v>0</v>
      </c>
      <c r="J511" s="371"/>
      <c r="K511" s="371">
        <f>H511*AA511*J508</f>
        <v>0</v>
      </c>
      <c r="L511" s="331"/>
      <c r="M511" s="372">
        <f>I511*AA511*L508</f>
        <v>0</v>
      </c>
      <c r="N511" s="333"/>
      <c r="O511" s="333">
        <f>M511+K511</f>
        <v>0</v>
      </c>
      <c r="Q511" s="285">
        <f>IF(Checklist!M511="",0,Checklist!M511)</f>
        <v>0</v>
      </c>
      <c r="R511" s="22"/>
      <c r="S511" s="377"/>
      <c r="T511" s="333">
        <f>Q511*AA511*S508</f>
        <v>0</v>
      </c>
      <c r="V511" s="285">
        <f>IF(Checklist!P511="",0,Checklist!P511)</f>
        <v>0</v>
      </c>
      <c r="W511" s="22"/>
      <c r="X511" s="377"/>
      <c r="Y511" s="333">
        <f>V511*AA511*X508</f>
        <v>0</v>
      </c>
      <c r="AA511" s="335">
        <v>0</v>
      </c>
    </row>
    <row r="512" spans="4:29" outlineLevel="3" x14ac:dyDescent="0.25">
      <c r="E512" s="35" t="s">
        <v>1501</v>
      </c>
      <c r="F512" s="35" t="s">
        <v>943</v>
      </c>
      <c r="G512" s="35"/>
      <c r="H512" s="285">
        <f>IF(Checklist!J512="",0,Checklist!J512)</f>
        <v>1</v>
      </c>
      <c r="I512" s="285">
        <f>IF(Checklist!K512="",0,Checklist!K512)</f>
        <v>1</v>
      </c>
      <c r="J512" s="371"/>
      <c r="K512" s="371">
        <f>H512*AA512*J508</f>
        <v>0</v>
      </c>
      <c r="L512" s="331"/>
      <c r="M512" s="372">
        <f>I512*AA512*L508</f>
        <v>0</v>
      </c>
      <c r="N512" s="333"/>
      <c r="O512" s="333">
        <f>M512+K512</f>
        <v>0</v>
      </c>
      <c r="Q512" s="285">
        <f>IF(Checklist!M512="",0,Checklist!M512)</f>
        <v>1</v>
      </c>
      <c r="R512" s="22"/>
      <c r="S512" s="377"/>
      <c r="T512" s="333">
        <f>Q512*AA512*S508</f>
        <v>0</v>
      </c>
      <c r="V512" s="285">
        <f>IF(Checklist!P512="",0,Checklist!P512)</f>
        <v>1</v>
      </c>
      <c r="W512" s="22"/>
      <c r="X512" s="377"/>
      <c r="Y512" s="333">
        <f>V512*AA512*X508</f>
        <v>0</v>
      </c>
      <c r="AA512" s="335">
        <v>0</v>
      </c>
    </row>
    <row r="513" spans="1:28" outlineLevel="2" x14ac:dyDescent="0.25">
      <c r="D513" s="284" t="s">
        <v>864</v>
      </c>
      <c r="E513" s="284" t="s">
        <v>1204</v>
      </c>
      <c r="F513" s="284"/>
      <c r="G513" s="284"/>
      <c r="H513" s="289" t="s">
        <v>731</v>
      </c>
      <c r="I513" s="288" t="s">
        <v>731</v>
      </c>
      <c r="J513" s="324">
        <f t="shared" si="160"/>
        <v>0</v>
      </c>
      <c r="K513" s="324">
        <f>IF(SUM(K514:K517)&gt;J513,J513,SUM(K514:K517))</f>
        <v>0</v>
      </c>
      <c r="L513" s="325">
        <f t="shared" si="143"/>
        <v>0</v>
      </c>
      <c r="M513" s="325">
        <f>IF(SUM(M514:M517)&gt;L513,L513,SUM(M514:M517))</f>
        <v>0</v>
      </c>
      <c r="N513" s="326">
        <f>Ponderações!P103*100</f>
        <v>0</v>
      </c>
      <c r="O513" s="326">
        <f>IF(SUM(O514:O517)&gt;N513,N513,SUM(O514:O517))</f>
        <v>0</v>
      </c>
      <c r="Q513" s="289" t="s">
        <v>731</v>
      </c>
      <c r="R513" s="22"/>
      <c r="S513" s="326">
        <f>N513</f>
        <v>0</v>
      </c>
      <c r="T513" s="326">
        <f>IF(SUM(T514:T517)&gt;S513,S513,SUM(T514:T517))</f>
        <v>0</v>
      </c>
      <c r="V513" s="289" t="s">
        <v>731</v>
      </c>
      <c r="W513" s="22"/>
      <c r="X513" s="326">
        <f>S513</f>
        <v>0</v>
      </c>
      <c r="Y513" s="326">
        <f>IF(SUM(Y514:Y517)&gt;X513,X513,SUM(Y514:Y517))</f>
        <v>0</v>
      </c>
      <c r="AA513" s="327"/>
      <c r="AB513" s="342"/>
    </row>
    <row r="514" spans="1:28" ht="14.65" customHeight="1" outlineLevel="3" x14ac:dyDescent="0.25">
      <c r="E514" s="35" t="s">
        <v>1502</v>
      </c>
      <c r="F514" s="35" t="s">
        <v>1205</v>
      </c>
      <c r="G514" s="35"/>
      <c r="H514" s="285">
        <f>IF(Checklist!J514="",0,Checklist!J514)</f>
        <v>0</v>
      </c>
      <c r="I514" s="285">
        <f>IF(Checklist!K514="",0,Checklist!K514)</f>
        <v>0</v>
      </c>
      <c r="J514" s="337"/>
      <c r="K514" s="337">
        <f>H514*AA514*J513</f>
        <v>0</v>
      </c>
      <c r="L514" s="338"/>
      <c r="M514" s="339">
        <f>I514*AA514*L513</f>
        <v>0</v>
      </c>
      <c r="N514" s="333"/>
      <c r="O514" s="333">
        <f>M514+K514</f>
        <v>0</v>
      </c>
      <c r="Q514" s="285">
        <f>IF(Checklist!M514="",0,Checklist!M514)</f>
        <v>0</v>
      </c>
      <c r="R514" s="22"/>
      <c r="S514" s="377"/>
      <c r="T514" s="333">
        <f>Q514*AA514*S513</f>
        <v>0</v>
      </c>
      <c r="V514" s="285">
        <f>IF(Checklist!P514="",0,Checklist!P514)</f>
        <v>0</v>
      </c>
      <c r="W514" s="22"/>
      <c r="X514" s="377"/>
      <c r="Y514" s="333">
        <f>V514*AA514*X513</f>
        <v>0</v>
      </c>
      <c r="AA514" s="335">
        <v>1</v>
      </c>
    </row>
    <row r="515" spans="1:28" outlineLevel="3" x14ac:dyDescent="0.25">
      <c r="E515" s="35" t="s">
        <v>1503</v>
      </c>
      <c r="F515" s="35" t="s">
        <v>1206</v>
      </c>
      <c r="G515" s="35"/>
      <c r="H515" s="285">
        <f>IF(Checklist!J515="",0,Checklist!J515)</f>
        <v>0</v>
      </c>
      <c r="I515" s="285">
        <f>IF(Checklist!K515="",0,Checklist!K515)</f>
        <v>0</v>
      </c>
      <c r="J515" s="337"/>
      <c r="K515" s="337">
        <f>H515*AA515*J513</f>
        <v>0</v>
      </c>
      <c r="L515" s="338"/>
      <c r="M515" s="339">
        <f>I515*AA515*L513</f>
        <v>0</v>
      </c>
      <c r="N515" s="333"/>
      <c r="O515" s="333">
        <f>M515+K515</f>
        <v>0</v>
      </c>
      <c r="Q515" s="285">
        <f>IF(Checklist!M515="",0,Checklist!M515)</f>
        <v>0</v>
      </c>
      <c r="R515" s="22"/>
      <c r="S515" s="377"/>
      <c r="T515" s="333">
        <f>Q515*AA515*S513</f>
        <v>0</v>
      </c>
      <c r="V515" s="285">
        <f>IF(Checklist!P515="",0,Checklist!P515)</f>
        <v>0</v>
      </c>
      <c r="W515" s="22"/>
      <c r="X515" s="377"/>
      <c r="Y515" s="333">
        <f>V515*AA515*X513</f>
        <v>0</v>
      </c>
      <c r="AA515" s="335">
        <v>0.5</v>
      </c>
    </row>
    <row r="516" spans="1:28" outlineLevel="3" x14ac:dyDescent="0.25">
      <c r="E516" s="35" t="s">
        <v>1504</v>
      </c>
      <c r="F516" s="35" t="s">
        <v>1207</v>
      </c>
      <c r="G516" s="35"/>
      <c r="H516" s="285">
        <f>IF(Checklist!J516="",0,Checklist!J516)</f>
        <v>0</v>
      </c>
      <c r="I516" s="285">
        <f>IF(Checklist!K516="",0,Checklist!K516)</f>
        <v>0</v>
      </c>
      <c r="J516" s="337"/>
      <c r="K516" s="337">
        <f>H516*AA516*J513</f>
        <v>0</v>
      </c>
      <c r="L516" s="338"/>
      <c r="M516" s="339">
        <f>I516*AA516*L513</f>
        <v>0</v>
      </c>
      <c r="N516" s="333"/>
      <c r="O516" s="333">
        <f>M516+K516</f>
        <v>0</v>
      </c>
      <c r="Q516" s="285">
        <f>IF(Checklist!M516="",0,Checklist!M516)</f>
        <v>0</v>
      </c>
      <c r="R516" s="22"/>
      <c r="S516" s="377"/>
      <c r="T516" s="333">
        <f>Q516*AA516*S513</f>
        <v>0</v>
      </c>
      <c r="V516" s="285">
        <f>IF(Checklist!P516="",0,Checklist!P516)</f>
        <v>0</v>
      </c>
      <c r="W516" s="22"/>
      <c r="X516" s="377"/>
      <c r="Y516" s="333">
        <f>V516*AA516*X513</f>
        <v>0</v>
      </c>
      <c r="AA516" s="335">
        <v>0</v>
      </c>
    </row>
    <row r="517" spans="1:28" outlineLevel="3" x14ac:dyDescent="0.25">
      <c r="E517" s="35" t="s">
        <v>1505</v>
      </c>
      <c r="F517" s="35" t="s">
        <v>943</v>
      </c>
      <c r="G517" s="35"/>
      <c r="H517" s="285">
        <f>IF(Checklist!J517="",0,Checklist!J517)</f>
        <v>1</v>
      </c>
      <c r="I517" s="285">
        <f>IF(Checklist!K517="",0,Checklist!K517)</f>
        <v>1</v>
      </c>
      <c r="J517" s="337"/>
      <c r="K517" s="337">
        <f>H517*AA517*J513</f>
        <v>0</v>
      </c>
      <c r="L517" s="338"/>
      <c r="M517" s="339">
        <f>I517*AA517*L513</f>
        <v>0</v>
      </c>
      <c r="N517" s="333"/>
      <c r="O517" s="333">
        <f>M517+K517</f>
        <v>0</v>
      </c>
      <c r="Q517" s="285">
        <f>IF(Checklist!M517="",0,Checklist!M517)</f>
        <v>1</v>
      </c>
      <c r="R517" s="22"/>
      <c r="S517" s="377"/>
      <c r="T517" s="333">
        <f>Q517*AA517*S513</f>
        <v>0</v>
      </c>
      <c r="V517" s="285">
        <f>IF(Checklist!P517="",0,Checklist!P517)</f>
        <v>1</v>
      </c>
      <c r="W517" s="22"/>
      <c r="X517" s="377"/>
      <c r="Y517" s="333">
        <f>V517*AA517*X513</f>
        <v>0</v>
      </c>
      <c r="AA517" s="335">
        <v>0</v>
      </c>
    </row>
    <row r="518" spans="1:28" outlineLevel="1" x14ac:dyDescent="0.25">
      <c r="H518" s="273"/>
      <c r="I518" s="273"/>
      <c r="J518" s="315"/>
      <c r="K518" s="315"/>
      <c r="L518" s="316"/>
      <c r="M518" s="315"/>
      <c r="N518" s="317"/>
      <c r="O518" s="317"/>
      <c r="Q518" s="273"/>
      <c r="R518" s="22"/>
      <c r="S518" s="378"/>
      <c r="T518" s="317"/>
      <c r="V518" s="273"/>
      <c r="W518" s="22"/>
      <c r="X518" s="378"/>
      <c r="Y518" s="317"/>
      <c r="AA518" s="318"/>
    </row>
    <row r="519" spans="1:28" outlineLevel="1" x14ac:dyDescent="0.25">
      <c r="A519" s="292"/>
      <c r="C519" s="348" t="s">
        <v>865</v>
      </c>
      <c r="D519" s="275" t="s">
        <v>1506</v>
      </c>
      <c r="E519" s="275"/>
      <c r="F519" s="275"/>
      <c r="G519" s="275"/>
      <c r="H519" s="276"/>
      <c r="I519" s="277"/>
      <c r="J519" s="319">
        <f t="shared" si="160"/>
        <v>0</v>
      </c>
      <c r="K519" s="319">
        <f>K520+K525</f>
        <v>0</v>
      </c>
      <c r="L519" s="320">
        <f t="shared" si="143"/>
        <v>0</v>
      </c>
      <c r="M519" s="320">
        <f>M520+M525</f>
        <v>0</v>
      </c>
      <c r="N519" s="321">
        <f>N520+N525</f>
        <v>0</v>
      </c>
      <c r="O519" s="321">
        <f>O520+O525</f>
        <v>0</v>
      </c>
      <c r="Q519" s="276"/>
      <c r="R519" s="22"/>
      <c r="S519" s="321">
        <f>N519</f>
        <v>0</v>
      </c>
      <c r="T519" s="321">
        <f>T520+T525</f>
        <v>0</v>
      </c>
      <c r="V519" s="276"/>
      <c r="W519" s="22"/>
      <c r="X519" s="321">
        <f>S519</f>
        <v>0</v>
      </c>
      <c r="Y519" s="321">
        <f>Y520+Y525</f>
        <v>0</v>
      </c>
      <c r="AA519" s="322"/>
      <c r="AB519" s="344"/>
    </row>
    <row r="520" spans="1:28" ht="14.65" customHeight="1" outlineLevel="2" x14ac:dyDescent="0.25">
      <c r="A520" s="292"/>
      <c r="D520" s="284" t="s">
        <v>866</v>
      </c>
      <c r="E520" s="284" t="s">
        <v>1507</v>
      </c>
      <c r="F520" s="284"/>
      <c r="G520" s="284"/>
      <c r="H520" s="289" t="s">
        <v>731</v>
      </c>
      <c r="I520" s="288" t="s">
        <v>731</v>
      </c>
      <c r="J520" s="324">
        <f t="shared" si="160"/>
        <v>0</v>
      </c>
      <c r="K520" s="324">
        <f>IF(SUM(K521:K524)&gt;J520,J520,SUM(K521:K524))</f>
        <v>0</v>
      </c>
      <c r="L520" s="325">
        <f t="shared" si="143"/>
        <v>0</v>
      </c>
      <c r="M520" s="325">
        <f>IF(SUM(M521:M524)&gt;L520,L520,SUM(M521:M524))</f>
        <v>0</v>
      </c>
      <c r="N520" s="326">
        <f>Ponderações!P105*100</f>
        <v>0</v>
      </c>
      <c r="O520" s="326">
        <f>IF(SUM(O521:O524)&gt;N520,N520,SUM(O521:O524))</f>
        <v>0</v>
      </c>
      <c r="Q520" s="289" t="s">
        <v>731</v>
      </c>
      <c r="R520" s="22"/>
      <c r="S520" s="326">
        <f>N520</f>
        <v>0</v>
      </c>
      <c r="T520" s="326">
        <f>IF(SUM(T521:T524)&gt;S520,S520,SUM(T521:T524))</f>
        <v>0</v>
      </c>
      <c r="V520" s="289" t="s">
        <v>731</v>
      </c>
      <c r="W520" s="22"/>
      <c r="X520" s="326">
        <f>S520</f>
        <v>0</v>
      </c>
      <c r="Y520" s="326">
        <f>IF(SUM(Y521:Y524)&gt;X520,X520,SUM(Y521:Y524))</f>
        <v>0</v>
      </c>
      <c r="AA520" s="327"/>
      <c r="AB520" s="342"/>
    </row>
    <row r="521" spans="1:28" outlineLevel="3" x14ac:dyDescent="0.25">
      <c r="A521" s="292"/>
      <c r="E521" s="287" t="s">
        <v>1508</v>
      </c>
      <c r="F521" s="287" t="s">
        <v>1509</v>
      </c>
      <c r="G521" s="303"/>
      <c r="H521" s="285">
        <f>IF(Checklist!J521="",0,Checklist!J521)</f>
        <v>0</v>
      </c>
      <c r="I521" s="285">
        <f>IF(Checklist!K521="",0,Checklist!K521)</f>
        <v>0</v>
      </c>
      <c r="J521" s="371"/>
      <c r="K521" s="371">
        <f>H521*AA521*J520</f>
        <v>0</v>
      </c>
      <c r="L521" s="331"/>
      <c r="M521" s="372">
        <f>I521*AA521*L520</f>
        <v>0</v>
      </c>
      <c r="N521" s="333"/>
      <c r="O521" s="333">
        <f>M521+K521</f>
        <v>0</v>
      </c>
      <c r="Q521" s="285">
        <f>IF(Checklist!M521="",0,Checklist!M521)</f>
        <v>0</v>
      </c>
      <c r="R521" s="22"/>
      <c r="S521" s="334"/>
      <c r="T521" s="333">
        <f>Q521*AA521*S520</f>
        <v>0</v>
      </c>
      <c r="V521" s="285">
        <f>IF(Checklist!P521="",0,Checklist!P521)</f>
        <v>0</v>
      </c>
      <c r="W521" s="22"/>
      <c r="X521" s="334"/>
      <c r="Y521" s="333">
        <f>V521*AA521*X520</f>
        <v>0</v>
      </c>
      <c r="AA521" s="335">
        <v>1</v>
      </c>
    </row>
    <row r="522" spans="1:28" outlineLevel="3" x14ac:dyDescent="0.25">
      <c r="A522" s="292"/>
      <c r="B522" s="22"/>
      <c r="C522" s="304"/>
      <c r="E522" s="287" t="s">
        <v>1510</v>
      </c>
      <c r="F522" s="287" t="s">
        <v>1975</v>
      </c>
      <c r="G522" s="303"/>
      <c r="H522" s="285">
        <f>IF(Checklist!J522="",0,Checklist!J522)</f>
        <v>0</v>
      </c>
      <c r="I522" s="285">
        <f>IF(Checklist!K522="",0,Checklist!K522)</f>
        <v>0</v>
      </c>
      <c r="J522" s="371"/>
      <c r="K522" s="371">
        <f>H522*AA522*J520</f>
        <v>0</v>
      </c>
      <c r="L522" s="331"/>
      <c r="M522" s="372">
        <f>I522*AA522*L520</f>
        <v>0</v>
      </c>
      <c r="N522" s="333"/>
      <c r="O522" s="333">
        <f>M522+K522</f>
        <v>0</v>
      </c>
      <c r="Q522" s="285">
        <f>IF(Checklist!M522="",0,Checklist!M522)</f>
        <v>0</v>
      </c>
      <c r="R522" s="22"/>
      <c r="S522" s="334"/>
      <c r="T522" s="333">
        <f>Q522*AA522*S520</f>
        <v>0</v>
      </c>
      <c r="V522" s="285">
        <f>IF(Checklist!P522="",0,Checklist!P522)</f>
        <v>0</v>
      </c>
      <c r="W522" s="22"/>
      <c r="X522" s="334"/>
      <c r="Y522" s="333">
        <f>V522*AA522*X520</f>
        <v>0</v>
      </c>
      <c r="AA522" s="335">
        <v>0.5</v>
      </c>
    </row>
    <row r="523" spans="1:28" outlineLevel="3" x14ac:dyDescent="0.25">
      <c r="A523" s="292"/>
      <c r="E523" s="287" t="s">
        <v>1511</v>
      </c>
      <c r="F523" s="287" t="s">
        <v>1976</v>
      </c>
      <c r="G523" s="303"/>
      <c r="H523" s="285">
        <f>IF(Checklist!J523="",0,Checklist!J523)</f>
        <v>0</v>
      </c>
      <c r="I523" s="285">
        <f>IF(Checklist!K523="",0,Checklist!K523)</f>
        <v>0</v>
      </c>
      <c r="J523" s="371"/>
      <c r="K523" s="371">
        <f>H523*AA523*J520</f>
        <v>0</v>
      </c>
      <c r="L523" s="331"/>
      <c r="M523" s="372">
        <f>I523*AA523*L520</f>
        <v>0</v>
      </c>
      <c r="N523" s="333"/>
      <c r="O523" s="333">
        <f>M523+K523</f>
        <v>0</v>
      </c>
      <c r="Q523" s="285">
        <f>IF(Checklist!M523="",0,Checklist!M523)</f>
        <v>0</v>
      </c>
      <c r="R523" s="22"/>
      <c r="S523" s="334"/>
      <c r="T523" s="333">
        <f>Q523*AA523*S520</f>
        <v>0</v>
      </c>
      <c r="V523" s="285">
        <f>IF(Checklist!P523="",0,Checklist!P523)</f>
        <v>0</v>
      </c>
      <c r="W523" s="22"/>
      <c r="X523" s="334"/>
      <c r="Y523" s="333">
        <f>V523*AA523*X520</f>
        <v>0</v>
      </c>
      <c r="AA523" s="335">
        <v>0</v>
      </c>
    </row>
    <row r="524" spans="1:28" outlineLevel="3" x14ac:dyDescent="0.25">
      <c r="A524" s="292"/>
      <c r="E524" s="287" t="s">
        <v>1842</v>
      </c>
      <c r="F524" s="287" t="s">
        <v>943</v>
      </c>
      <c r="G524" s="303"/>
      <c r="H524" s="285">
        <f>IF(Checklist!J524="",0,Checklist!J524)</f>
        <v>1</v>
      </c>
      <c r="I524" s="285">
        <f>IF(Checklist!K524="",0,Checklist!K524)</f>
        <v>1</v>
      </c>
      <c r="J524" s="371"/>
      <c r="K524" s="371">
        <f>H524*AA524*J520</f>
        <v>0</v>
      </c>
      <c r="L524" s="331"/>
      <c r="M524" s="372">
        <f>I524*AA524*L520</f>
        <v>0</v>
      </c>
      <c r="N524" s="333"/>
      <c r="O524" s="333">
        <f>M524+K524</f>
        <v>0</v>
      </c>
      <c r="Q524" s="285">
        <f>IF(Checklist!M524="",0,Checklist!M524)</f>
        <v>1</v>
      </c>
      <c r="R524" s="22"/>
      <c r="S524" s="334"/>
      <c r="T524" s="333">
        <f>Q524*AA524*S520</f>
        <v>0</v>
      </c>
      <c r="V524" s="285">
        <f>IF(Checklist!P524="",0,Checklist!P524)</f>
        <v>1</v>
      </c>
      <c r="W524" s="22"/>
      <c r="X524" s="334"/>
      <c r="Y524" s="333">
        <f>V524*AA524*X520</f>
        <v>0</v>
      </c>
      <c r="AA524" s="335">
        <v>0</v>
      </c>
    </row>
    <row r="525" spans="1:28" outlineLevel="2" x14ac:dyDescent="0.25">
      <c r="A525" s="292"/>
      <c r="D525" s="284" t="s">
        <v>868</v>
      </c>
      <c r="E525" s="284" t="s">
        <v>1512</v>
      </c>
      <c r="F525" s="284"/>
      <c r="G525" s="284"/>
      <c r="H525" s="289" t="s">
        <v>731</v>
      </c>
      <c r="I525" s="288" t="s">
        <v>731</v>
      </c>
      <c r="J525" s="324">
        <f t="shared" si="160"/>
        <v>0</v>
      </c>
      <c r="K525" s="324">
        <f>IF(SUM(K526:K529)&gt;J525,J525,SUM(K526:K529))</f>
        <v>0</v>
      </c>
      <c r="L525" s="325">
        <f t="shared" si="143"/>
        <v>0</v>
      </c>
      <c r="M525" s="325">
        <f>IF(SUM(M526:M529)&gt;L525,L525,SUM(M526:M529))</f>
        <v>0</v>
      </c>
      <c r="N525" s="326">
        <f>Ponderações!P106*100</f>
        <v>0</v>
      </c>
      <c r="O525" s="326">
        <f>IF(SUM(O526:O529)&gt;N525,N525,SUM(O526:O529))</f>
        <v>0</v>
      </c>
      <c r="Q525" s="289" t="s">
        <v>731</v>
      </c>
      <c r="R525" s="22"/>
      <c r="S525" s="326">
        <f>N525</f>
        <v>0</v>
      </c>
      <c r="T525" s="326">
        <f>IF(SUM(T526:T529)&gt;S525,S525,SUM(T526:T529))</f>
        <v>0</v>
      </c>
      <c r="V525" s="289" t="s">
        <v>731</v>
      </c>
      <c r="W525" s="22"/>
      <c r="X525" s="326">
        <f>S525</f>
        <v>0</v>
      </c>
      <c r="Y525" s="326">
        <f>IF(SUM(Y526:Y529)&gt;X525,X525,SUM(Y526:Y529))</f>
        <v>0</v>
      </c>
      <c r="AA525" s="327"/>
      <c r="AB525" s="342"/>
    </row>
    <row r="526" spans="1:28" ht="14.65" customHeight="1" outlineLevel="3" x14ac:dyDescent="0.25">
      <c r="A526" s="292"/>
      <c r="E526" s="35" t="s">
        <v>1513</v>
      </c>
      <c r="F526" s="35" t="s">
        <v>1375</v>
      </c>
      <c r="G526" s="35"/>
      <c r="H526" s="285">
        <f>IF(Checklist!J526="",0,Checklist!J526)</f>
        <v>0</v>
      </c>
      <c r="I526" s="285">
        <f>IF(Checklist!K526="",0,Checklist!K526)</f>
        <v>0</v>
      </c>
      <c r="J526" s="337"/>
      <c r="K526" s="337">
        <f>H526*AA526*J525</f>
        <v>0</v>
      </c>
      <c r="L526" s="338"/>
      <c r="M526" s="339">
        <f>I526*AA526*L525</f>
        <v>0</v>
      </c>
      <c r="N526" s="333"/>
      <c r="O526" s="333">
        <f>M526+K526</f>
        <v>0</v>
      </c>
      <c r="Q526" s="285">
        <f>IF(Checklist!M526="",0,Checklist!M526)</f>
        <v>0</v>
      </c>
      <c r="R526" s="22"/>
      <c r="S526" s="334"/>
      <c r="T526" s="333">
        <f>Q526*AA526*S525</f>
        <v>0</v>
      </c>
      <c r="V526" s="285">
        <f>IF(Checklist!P526="",0,Checklist!P526)</f>
        <v>0</v>
      </c>
      <c r="W526" s="22"/>
      <c r="X526" s="334"/>
      <c r="Y526" s="333">
        <f>V526*AA526*X525</f>
        <v>0</v>
      </c>
      <c r="AA526" s="335">
        <v>1</v>
      </c>
    </row>
    <row r="527" spans="1:28" outlineLevel="3" x14ac:dyDescent="0.25">
      <c r="A527" s="292"/>
      <c r="E527" s="35" t="s">
        <v>1514</v>
      </c>
      <c r="F527" s="35" t="s">
        <v>1377</v>
      </c>
      <c r="G527" s="35"/>
      <c r="H527" s="285">
        <f>IF(Checklist!J527="",0,Checklist!J527)</f>
        <v>0</v>
      </c>
      <c r="I527" s="285">
        <f>IF(Checklist!K527="",0,Checklist!K527)</f>
        <v>0</v>
      </c>
      <c r="J527" s="337"/>
      <c r="K527" s="337">
        <f>H527*AA527*J525</f>
        <v>0</v>
      </c>
      <c r="L527" s="338"/>
      <c r="M527" s="339">
        <f>I527*AA527*L525</f>
        <v>0</v>
      </c>
      <c r="N527" s="333"/>
      <c r="O527" s="333">
        <f>M527+K527</f>
        <v>0</v>
      </c>
      <c r="Q527" s="285">
        <f>IF(Checklist!M527="",0,Checklist!M527)</f>
        <v>0</v>
      </c>
      <c r="R527" s="22"/>
      <c r="S527" s="334"/>
      <c r="T527" s="333">
        <f>Q527*AA527*S525</f>
        <v>0</v>
      </c>
      <c r="V527" s="285">
        <f>IF(Checklist!P527="",0,Checklist!P527)</f>
        <v>0</v>
      </c>
      <c r="W527" s="22"/>
      <c r="X527" s="334"/>
      <c r="Y527" s="333">
        <f>V527*AA527*X525</f>
        <v>0</v>
      </c>
      <c r="AA527" s="335">
        <v>0.5</v>
      </c>
    </row>
    <row r="528" spans="1:28" outlineLevel="3" x14ac:dyDescent="0.25">
      <c r="A528" s="292"/>
      <c r="E528" s="35" t="s">
        <v>1515</v>
      </c>
      <c r="F528" s="35" t="s">
        <v>1379</v>
      </c>
      <c r="G528" s="35"/>
      <c r="H528" s="285">
        <f>IF(Checklist!J528="",0,Checklist!J528)</f>
        <v>0</v>
      </c>
      <c r="I528" s="285">
        <f>IF(Checklist!K528="",0,Checklist!K528)</f>
        <v>0</v>
      </c>
      <c r="J528" s="337"/>
      <c r="K528" s="337">
        <f>H528*AA528*J525</f>
        <v>0</v>
      </c>
      <c r="L528" s="338"/>
      <c r="M528" s="339">
        <f>I528*AA528*L525</f>
        <v>0</v>
      </c>
      <c r="N528" s="333"/>
      <c r="O528" s="333">
        <f>M528+K528</f>
        <v>0</v>
      </c>
      <c r="Q528" s="285">
        <f>IF(Checklist!M528="",0,Checklist!M528)</f>
        <v>0</v>
      </c>
      <c r="R528" s="22"/>
      <c r="S528" s="334"/>
      <c r="T528" s="333">
        <f>Q528*AA528*S525</f>
        <v>0</v>
      </c>
      <c r="V528" s="285">
        <f>IF(Checklist!P528="",0,Checklist!P528)</f>
        <v>0</v>
      </c>
      <c r="W528" s="22"/>
      <c r="X528" s="334"/>
      <c r="Y528" s="333">
        <f>V528*AA528*X525</f>
        <v>0</v>
      </c>
      <c r="AA528" s="335">
        <v>0</v>
      </c>
    </row>
    <row r="529" spans="1:28" outlineLevel="3" x14ac:dyDescent="0.25">
      <c r="A529" s="292"/>
      <c r="E529" s="35" t="s">
        <v>1516</v>
      </c>
      <c r="F529" s="35" t="s">
        <v>943</v>
      </c>
      <c r="G529" s="35"/>
      <c r="H529" s="285">
        <f>IF(Checklist!J529="",0,Checklist!J529)</f>
        <v>1</v>
      </c>
      <c r="I529" s="285">
        <f>IF(Checklist!K529="",0,Checklist!K529)</f>
        <v>1</v>
      </c>
      <c r="J529" s="337"/>
      <c r="K529" s="337">
        <f>H529*AA529*J525</f>
        <v>0</v>
      </c>
      <c r="L529" s="338"/>
      <c r="M529" s="339">
        <f>I529*AA529*L525</f>
        <v>0</v>
      </c>
      <c r="N529" s="333"/>
      <c r="O529" s="333">
        <f>M529+K529</f>
        <v>0</v>
      </c>
      <c r="Q529" s="285">
        <f>IF(Checklist!M529="",0,Checklist!M529)</f>
        <v>1</v>
      </c>
      <c r="R529" s="22"/>
      <c r="S529" s="334"/>
      <c r="T529" s="333">
        <f>Q529*AA529*S525</f>
        <v>0</v>
      </c>
      <c r="V529" s="285">
        <f>IF(Checklist!P529="",0,Checklist!P529)</f>
        <v>1</v>
      </c>
      <c r="W529" s="22"/>
      <c r="X529" s="334"/>
      <c r="Y529" s="333">
        <f>V529*AA529*X525</f>
        <v>0</v>
      </c>
      <c r="AA529" s="335">
        <v>0</v>
      </c>
    </row>
    <row r="530" spans="1:28" outlineLevel="1" x14ac:dyDescent="0.25">
      <c r="A530" s="292"/>
      <c r="H530" s="273"/>
      <c r="I530" s="273"/>
      <c r="J530" s="315"/>
      <c r="K530" s="315"/>
      <c r="L530" s="316"/>
      <c r="M530" s="316"/>
      <c r="N530" s="317"/>
      <c r="O530" s="317"/>
      <c r="Q530" s="273"/>
      <c r="R530" s="22"/>
      <c r="S530" s="315"/>
      <c r="T530" s="317"/>
      <c r="V530" s="273"/>
      <c r="W530" s="22"/>
      <c r="X530" s="315"/>
      <c r="Y530" s="317"/>
      <c r="AA530" s="318"/>
    </row>
    <row r="531" spans="1:28" x14ac:dyDescent="0.25">
      <c r="B531" s="270">
        <v>7</v>
      </c>
      <c r="C531" s="271" t="s">
        <v>869</v>
      </c>
      <c r="D531" s="271"/>
      <c r="E531" s="271"/>
      <c r="F531" s="271"/>
      <c r="G531" s="271"/>
      <c r="H531" s="272"/>
      <c r="I531" s="272"/>
      <c r="J531" s="312">
        <f>N531*0.8</f>
        <v>1.1536781378062226</v>
      </c>
      <c r="K531" s="312">
        <f>K533+K550</f>
        <v>0</v>
      </c>
      <c r="L531" s="312">
        <f>N531*0.2</f>
        <v>0.28841953445155566</v>
      </c>
      <c r="M531" s="312">
        <f>M533+M550</f>
        <v>0</v>
      </c>
      <c r="N531" s="312">
        <f>N533+N550</f>
        <v>1.4420976722577783</v>
      </c>
      <c r="O531" s="312">
        <f>O533+O550</f>
        <v>0</v>
      </c>
      <c r="Q531" s="272"/>
      <c r="R531" s="22"/>
      <c r="S531" s="312">
        <f>N531</f>
        <v>1.4420976722577783</v>
      </c>
      <c r="T531" s="312">
        <f>T533+T550</f>
        <v>0</v>
      </c>
      <c r="V531" s="272"/>
      <c r="W531" s="22"/>
      <c r="X531" s="312">
        <f>S531</f>
        <v>1.4420976722577783</v>
      </c>
      <c r="Y531" s="312">
        <f>Y533+Y550</f>
        <v>0</v>
      </c>
      <c r="AA531" s="314"/>
    </row>
    <row r="532" spans="1:28" x14ac:dyDescent="0.25">
      <c r="B532" s="22"/>
      <c r="H532" s="291"/>
      <c r="I532" s="291"/>
      <c r="J532" s="315"/>
      <c r="K532" s="315"/>
      <c r="L532" s="316"/>
      <c r="M532" s="316"/>
      <c r="N532" s="317"/>
      <c r="O532" s="317"/>
      <c r="Q532" s="291"/>
      <c r="R532" s="22"/>
      <c r="S532" s="315"/>
      <c r="T532" s="317"/>
      <c r="V532" s="291"/>
      <c r="W532" s="22"/>
      <c r="X532" s="315"/>
      <c r="Y532" s="317"/>
      <c r="AA532" s="382"/>
      <c r="AB532" s="346"/>
    </row>
    <row r="533" spans="1:28" outlineLevel="1" x14ac:dyDescent="0.25">
      <c r="C533" s="348" t="s">
        <v>870</v>
      </c>
      <c r="D533" s="275" t="s">
        <v>834</v>
      </c>
      <c r="E533" s="275"/>
      <c r="F533" s="275"/>
      <c r="G533" s="275"/>
      <c r="H533" s="276"/>
      <c r="I533" s="277"/>
      <c r="J533" s="319">
        <f>N533*0.8</f>
        <v>0</v>
      </c>
      <c r="K533" s="319">
        <f>K534+K544</f>
        <v>0</v>
      </c>
      <c r="L533" s="320">
        <f>N533*0.2</f>
        <v>0</v>
      </c>
      <c r="M533" s="320">
        <f>M534+M544</f>
        <v>0</v>
      </c>
      <c r="N533" s="321">
        <f>N534+N544</f>
        <v>0</v>
      </c>
      <c r="O533" s="321">
        <f>O534+O544</f>
        <v>0</v>
      </c>
      <c r="Q533" s="276"/>
      <c r="R533" s="22"/>
      <c r="S533" s="321">
        <f>N533</f>
        <v>0</v>
      </c>
      <c r="T533" s="321">
        <f>T534+T544</f>
        <v>0</v>
      </c>
      <c r="V533" s="276"/>
      <c r="W533" s="22"/>
      <c r="X533" s="321">
        <f>S533</f>
        <v>0</v>
      </c>
      <c r="Y533" s="321">
        <f>Y534+Y544</f>
        <v>0</v>
      </c>
      <c r="AA533" s="322"/>
      <c r="AB533" s="344"/>
    </row>
    <row r="534" spans="1:28" outlineLevel="2" x14ac:dyDescent="0.25">
      <c r="A534" s="292"/>
      <c r="D534" s="284" t="s">
        <v>872</v>
      </c>
      <c r="E534" s="284" t="s">
        <v>1517</v>
      </c>
      <c r="F534" s="284"/>
      <c r="G534" s="284"/>
      <c r="H534" s="289" t="s">
        <v>732</v>
      </c>
      <c r="I534" s="288" t="s">
        <v>732</v>
      </c>
      <c r="J534" s="324">
        <f>N534*0.8</f>
        <v>0</v>
      </c>
      <c r="K534" s="324">
        <f>IF(SUM(K535:K543)&gt;J534,J534,SUM(K535:K543))</f>
        <v>0</v>
      </c>
      <c r="L534" s="325">
        <f>N534*0.2</f>
        <v>0</v>
      </c>
      <c r="M534" s="325">
        <f>IF(SUM(M535:M543)&gt;L534,L534,SUM(M535:M543))</f>
        <v>0</v>
      </c>
      <c r="N534" s="326">
        <f>Ponderações!P109*100</f>
        <v>0</v>
      </c>
      <c r="O534" s="326">
        <f>IF(SUM(O535:O543)&gt;N534,N534,SUM(O535:O543))</f>
        <v>0</v>
      </c>
      <c r="Q534" s="289" t="s">
        <v>732</v>
      </c>
      <c r="R534" s="22"/>
      <c r="S534" s="326">
        <f>N534</f>
        <v>0</v>
      </c>
      <c r="T534" s="326">
        <f>IF(SUM(T535:T543)&gt;S534,S534,SUM(T535:T543))</f>
        <v>0</v>
      </c>
      <c r="V534" s="289" t="s">
        <v>732</v>
      </c>
      <c r="W534" s="22"/>
      <c r="X534" s="326">
        <f>S534</f>
        <v>0</v>
      </c>
      <c r="Y534" s="326">
        <f>IF(SUM(Y535:Y543)&gt;X534,X534,SUM(Y535:Y543))</f>
        <v>0</v>
      </c>
      <c r="AA534" s="327"/>
      <c r="AB534" s="344"/>
    </row>
    <row r="535" spans="1:28" ht="14.65" customHeight="1" outlineLevel="3" x14ac:dyDescent="0.25">
      <c r="E535" s="35" t="s">
        <v>1518</v>
      </c>
      <c r="F535" s="35" t="s">
        <v>1382</v>
      </c>
      <c r="G535" s="35"/>
      <c r="H535" s="285">
        <f>IF(Checklist!J535="",0,Checklist!J535)</f>
        <v>0</v>
      </c>
      <c r="I535" s="285">
        <f>IF(Checklist!K535="",0,Checklist!K535)</f>
        <v>0</v>
      </c>
      <c r="J535" s="337"/>
      <c r="K535" s="337">
        <f>H535*AA535*J534</f>
        <v>0</v>
      </c>
      <c r="L535" s="338"/>
      <c r="M535" s="339">
        <f>I535*AA535*L534</f>
        <v>0</v>
      </c>
      <c r="N535" s="333"/>
      <c r="O535" s="333">
        <f>M535+K535</f>
        <v>0</v>
      </c>
      <c r="Q535" s="285">
        <f>IF(Checklist!M535="",0,Checklist!M535)</f>
        <v>0</v>
      </c>
      <c r="R535" s="22"/>
      <c r="S535" s="334"/>
      <c r="T535" s="333">
        <f>Q535*AA535*S534</f>
        <v>0</v>
      </c>
      <c r="V535" s="285">
        <f>IF(Checklist!P535="",0,Checklist!P535)</f>
        <v>0</v>
      </c>
      <c r="W535" s="22"/>
      <c r="X535" s="334"/>
      <c r="Y535" s="333">
        <f>V535*AA535*X534</f>
        <v>0</v>
      </c>
      <c r="AA535" s="335">
        <v>1</v>
      </c>
      <c r="AB535" s="344"/>
    </row>
    <row r="536" spans="1:28" outlineLevel="3" x14ac:dyDescent="0.25">
      <c r="E536" s="35" t="s">
        <v>1519</v>
      </c>
      <c r="F536" s="35" t="s">
        <v>1384</v>
      </c>
      <c r="G536" s="35"/>
      <c r="H536" s="285">
        <f>IF(Checklist!J536="",0,Checklist!J536)</f>
        <v>0</v>
      </c>
      <c r="I536" s="285">
        <f>IF(Checklist!K536="",0,Checklist!K536)</f>
        <v>0</v>
      </c>
      <c r="J536" s="337"/>
      <c r="K536" s="337">
        <f>H536*AA536*J534</f>
        <v>0</v>
      </c>
      <c r="L536" s="338"/>
      <c r="M536" s="339">
        <f>I536*AA536*L534</f>
        <v>0</v>
      </c>
      <c r="N536" s="333"/>
      <c r="O536" s="333">
        <f t="shared" ref="O536:O541" si="162">M536+K536</f>
        <v>0</v>
      </c>
      <c r="Q536" s="285">
        <f>IF(Checklist!M536="",0,Checklist!M536)</f>
        <v>0</v>
      </c>
      <c r="R536" s="22"/>
      <c r="S536" s="334"/>
      <c r="T536" s="333">
        <f>Q536*AA536*S534</f>
        <v>0</v>
      </c>
      <c r="V536" s="285">
        <f>IF(Checklist!P536="",0,Checklist!P536)</f>
        <v>0</v>
      </c>
      <c r="W536" s="22"/>
      <c r="X536" s="334"/>
      <c r="Y536" s="333">
        <f>V536*AA536*X534</f>
        <v>0</v>
      </c>
      <c r="AA536" s="335">
        <v>0.45</v>
      </c>
    </row>
    <row r="537" spans="1:28" outlineLevel="3" x14ac:dyDescent="0.25">
      <c r="E537" s="35" t="s">
        <v>1520</v>
      </c>
      <c r="F537" s="35" t="s">
        <v>1521</v>
      </c>
      <c r="G537" s="35"/>
      <c r="H537" s="285">
        <f>IF(Checklist!J537="",0,Checklist!J537)</f>
        <v>0</v>
      </c>
      <c r="I537" s="285">
        <f>IF(Checklist!K537="",0,Checklist!K537)</f>
        <v>0</v>
      </c>
      <c r="J537" s="337"/>
      <c r="K537" s="337">
        <f>H537*AA537*J534</f>
        <v>0</v>
      </c>
      <c r="L537" s="338"/>
      <c r="M537" s="339">
        <f>I537*AA537*L534</f>
        <v>0</v>
      </c>
      <c r="N537" s="333"/>
      <c r="O537" s="333">
        <f t="shared" si="162"/>
        <v>0</v>
      </c>
      <c r="Q537" s="285">
        <f>IF(Checklist!M537="",0,Checklist!M537)</f>
        <v>0</v>
      </c>
      <c r="R537" s="22"/>
      <c r="S537" s="334"/>
      <c r="T537" s="333">
        <f>Q537*AA537*S534</f>
        <v>0</v>
      </c>
      <c r="V537" s="285">
        <f>IF(Checklist!P537="",0,Checklist!P537)</f>
        <v>0</v>
      </c>
      <c r="W537" s="22"/>
      <c r="X537" s="334"/>
      <c r="Y537" s="333">
        <f>V537*AA537*X534</f>
        <v>0</v>
      </c>
      <c r="AA537" s="335">
        <v>0.15</v>
      </c>
    </row>
    <row r="538" spans="1:28" outlineLevel="3" x14ac:dyDescent="0.25">
      <c r="E538" s="35" t="s">
        <v>1522</v>
      </c>
      <c r="F538" s="35" t="s">
        <v>1525</v>
      </c>
      <c r="G538" s="35"/>
      <c r="H538" s="285">
        <f>IF(Checklist!J538="",0,Checklist!J538)</f>
        <v>0</v>
      </c>
      <c r="I538" s="285">
        <f>IF(Checklist!K538="",0,Checklist!K538)</f>
        <v>0</v>
      </c>
      <c r="J538" s="337"/>
      <c r="K538" s="337">
        <f>H538*AA538*J534</f>
        <v>0</v>
      </c>
      <c r="L538" s="338"/>
      <c r="M538" s="339">
        <f>I538*AA538*L534</f>
        <v>0</v>
      </c>
      <c r="N538" s="333"/>
      <c r="O538" s="333">
        <f t="shared" si="162"/>
        <v>0</v>
      </c>
      <c r="Q538" s="285">
        <f>IF(Checklist!M538="",0,Checklist!M538)</f>
        <v>0</v>
      </c>
      <c r="R538" s="22"/>
      <c r="S538" s="334"/>
      <c r="T538" s="333">
        <f>Q538*AA538*S534</f>
        <v>0</v>
      </c>
      <c r="V538" s="285">
        <f>IF(Checklist!P538="",0,Checklist!P538)</f>
        <v>0</v>
      </c>
      <c r="W538" s="22"/>
      <c r="X538" s="334"/>
      <c r="Y538" s="333">
        <f>V538*AA538*X534</f>
        <v>0</v>
      </c>
      <c r="AA538" s="335">
        <v>0.15</v>
      </c>
    </row>
    <row r="539" spans="1:28" outlineLevel="3" x14ac:dyDescent="0.25">
      <c r="E539" s="35" t="s">
        <v>1524</v>
      </c>
      <c r="F539" s="35" t="s">
        <v>1527</v>
      </c>
      <c r="G539" s="35"/>
      <c r="H539" s="285">
        <f>IF(Checklist!J539="",0,Checklist!J539)</f>
        <v>0</v>
      </c>
      <c r="I539" s="285">
        <f>IF(Checklist!K539="",0,Checklist!K539)</f>
        <v>0</v>
      </c>
      <c r="J539" s="337"/>
      <c r="K539" s="337">
        <f>H539*AA539*J534</f>
        <v>0</v>
      </c>
      <c r="L539" s="338"/>
      <c r="M539" s="339">
        <f>I539*AA539*L534</f>
        <v>0</v>
      </c>
      <c r="N539" s="333"/>
      <c r="O539" s="333">
        <f t="shared" si="162"/>
        <v>0</v>
      </c>
      <c r="Q539" s="285">
        <f>IF(Checklist!M539="",0,Checklist!M539)</f>
        <v>0</v>
      </c>
      <c r="R539" s="22"/>
      <c r="S539" s="334"/>
      <c r="T539" s="333">
        <f>Q539*AA539*S534</f>
        <v>0</v>
      </c>
      <c r="V539" s="285">
        <f>IF(Checklist!P539="",0,Checklist!P539)</f>
        <v>0</v>
      </c>
      <c r="W539" s="22"/>
      <c r="X539" s="334"/>
      <c r="Y539" s="333">
        <f>V539*AA539*X534</f>
        <v>0</v>
      </c>
      <c r="AA539" s="335">
        <v>0.15</v>
      </c>
    </row>
    <row r="540" spans="1:28" outlineLevel="3" x14ac:dyDescent="0.25">
      <c r="E540" s="35" t="s">
        <v>1526</v>
      </c>
      <c r="F540" s="35" t="s">
        <v>1523</v>
      </c>
      <c r="G540" s="35"/>
      <c r="H540" s="285">
        <f>IF(Checklist!J540="",0,Checklist!J540)</f>
        <v>0</v>
      </c>
      <c r="I540" s="285">
        <f>IF(Checklist!K540="",0,Checklist!K540)</f>
        <v>0</v>
      </c>
      <c r="J540" s="337"/>
      <c r="K540" s="337">
        <f>H540*AA540*J534</f>
        <v>0</v>
      </c>
      <c r="L540" s="338"/>
      <c r="M540" s="339">
        <f>I540*AA540*L534</f>
        <v>0</v>
      </c>
      <c r="N540" s="333"/>
      <c r="O540" s="333">
        <f t="shared" si="162"/>
        <v>0</v>
      </c>
      <c r="Q540" s="285">
        <f>IF(Checklist!M540="",0,Checklist!M540)</f>
        <v>0</v>
      </c>
      <c r="R540" s="22"/>
      <c r="S540" s="334"/>
      <c r="T540" s="333">
        <f>Q540*AA540*S534</f>
        <v>0</v>
      </c>
      <c r="V540" s="285">
        <f>IF(Checklist!P540="",0,Checklist!P540)</f>
        <v>0</v>
      </c>
      <c r="W540" s="22"/>
      <c r="X540" s="334"/>
      <c r="Y540" s="333">
        <f>V540*AA540*X534</f>
        <v>0</v>
      </c>
      <c r="AA540" s="335">
        <v>0.1</v>
      </c>
    </row>
    <row r="541" spans="1:28" outlineLevel="3" x14ac:dyDescent="0.25">
      <c r="E541" s="35" t="s">
        <v>1528</v>
      </c>
      <c r="F541" s="35" t="s">
        <v>1529</v>
      </c>
      <c r="G541" s="35"/>
      <c r="H541" s="285">
        <f>IF(Checklist!J541="",0,Checklist!J541)</f>
        <v>0</v>
      </c>
      <c r="I541" s="285">
        <f>IF(Checklist!K541="",0,Checklist!K541)</f>
        <v>0</v>
      </c>
      <c r="J541" s="337"/>
      <c r="K541" s="337">
        <f>H541*AA541*J534</f>
        <v>0</v>
      </c>
      <c r="L541" s="338"/>
      <c r="M541" s="339">
        <f>I541*AA541*L534</f>
        <v>0</v>
      </c>
      <c r="N541" s="333"/>
      <c r="O541" s="333">
        <f t="shared" si="162"/>
        <v>0</v>
      </c>
      <c r="Q541" s="285">
        <f>IF(Checklist!M541="",0,Checklist!M541)</f>
        <v>0</v>
      </c>
      <c r="R541" s="22"/>
      <c r="S541" s="334"/>
      <c r="T541" s="333">
        <f>Q541*AA541*S534</f>
        <v>0</v>
      </c>
      <c r="V541" s="285">
        <f>IF(Checklist!P541="",0,Checklist!P541)</f>
        <v>0</v>
      </c>
      <c r="W541" s="22"/>
      <c r="X541" s="334"/>
      <c r="Y541" s="333">
        <f>V541*AA541*X534</f>
        <v>0</v>
      </c>
      <c r="AA541" s="335">
        <v>0.05</v>
      </c>
    </row>
    <row r="542" spans="1:28" outlineLevel="3" x14ac:dyDescent="0.25">
      <c r="E542" s="35" t="s">
        <v>1530</v>
      </c>
      <c r="F542" s="35" t="s">
        <v>941</v>
      </c>
      <c r="G542" s="35"/>
      <c r="H542" s="285">
        <f>IF(Checklist!J542="",0,Checklist!J542)</f>
        <v>0</v>
      </c>
      <c r="I542" s="285">
        <f>IF(Checklist!K542="",0,Checklist!K542)</f>
        <v>0</v>
      </c>
      <c r="J542" s="337"/>
      <c r="K542" s="337">
        <f>H542*AA542*J534</f>
        <v>0</v>
      </c>
      <c r="L542" s="338"/>
      <c r="M542" s="339">
        <f>I542*AA542*L534</f>
        <v>0</v>
      </c>
      <c r="N542" s="333"/>
      <c r="O542" s="333">
        <f>M542+K542</f>
        <v>0</v>
      </c>
      <c r="Q542" s="285">
        <f>IF(Checklist!M542="",0,Checklist!M542)</f>
        <v>0</v>
      </c>
      <c r="R542" s="22"/>
      <c r="S542" s="334"/>
      <c r="T542" s="333">
        <f>Q542*AA542*S534</f>
        <v>0</v>
      </c>
      <c r="V542" s="285">
        <f>IF(Checklist!P542="",0,Checklist!P542)</f>
        <v>0</v>
      </c>
      <c r="W542" s="22"/>
      <c r="X542" s="334"/>
      <c r="Y542" s="333">
        <f>V542*AA542*X534</f>
        <v>0</v>
      </c>
      <c r="AA542" s="335">
        <v>0</v>
      </c>
    </row>
    <row r="543" spans="1:28" outlineLevel="3" x14ac:dyDescent="0.25">
      <c r="E543" s="35" t="s">
        <v>1827</v>
      </c>
      <c r="F543" s="35" t="s">
        <v>943</v>
      </c>
      <c r="G543" s="35"/>
      <c r="H543" s="285">
        <f>IF(Checklist!J543="",0,Checklist!J543)</f>
        <v>0</v>
      </c>
      <c r="I543" s="285">
        <f>IF(Checklist!K543="",0,Checklist!K543)</f>
        <v>0</v>
      </c>
      <c r="J543" s="337"/>
      <c r="K543" s="337">
        <f>H543*AA543*J534</f>
        <v>0</v>
      </c>
      <c r="L543" s="338"/>
      <c r="M543" s="339">
        <f>I543*AA543*L534</f>
        <v>0</v>
      </c>
      <c r="N543" s="333"/>
      <c r="O543" s="333">
        <f>M543+K543</f>
        <v>0</v>
      </c>
      <c r="Q543" s="285">
        <f>IF(Checklist!M543="",0,Checklist!M543)</f>
        <v>0</v>
      </c>
      <c r="R543" s="22"/>
      <c r="S543" s="334"/>
      <c r="T543" s="333">
        <f>Q543*AA543*S534</f>
        <v>0</v>
      </c>
      <c r="V543" s="285">
        <f>IF(Checklist!P543="",0,Checklist!P543)</f>
        <v>0</v>
      </c>
      <c r="W543" s="22"/>
      <c r="X543" s="334"/>
      <c r="Y543" s="333">
        <f>V543*AA543*X534</f>
        <v>0</v>
      </c>
      <c r="AA543" s="335">
        <v>0</v>
      </c>
    </row>
    <row r="544" spans="1:28" outlineLevel="2" x14ac:dyDescent="0.25">
      <c r="D544" s="284" t="s">
        <v>873</v>
      </c>
      <c r="E544" s="284" t="s">
        <v>1373</v>
      </c>
      <c r="F544" s="284"/>
      <c r="G544" s="284"/>
      <c r="H544" s="289" t="s">
        <v>731</v>
      </c>
      <c r="I544" s="288" t="s">
        <v>731</v>
      </c>
      <c r="J544" s="324">
        <f>N544*0.8</f>
        <v>0</v>
      </c>
      <c r="K544" s="324">
        <f>IF(SUM(K545:K548)&gt;J544,J544,SUM(K545:K548))</f>
        <v>0</v>
      </c>
      <c r="L544" s="325">
        <f>N544*0.2</f>
        <v>0</v>
      </c>
      <c r="M544" s="325">
        <f>IF(SUM(M545:M548)&gt;L544,L544,SUM(M545:M548))</f>
        <v>0</v>
      </c>
      <c r="N544" s="326">
        <f>Ponderações!P110*100</f>
        <v>0</v>
      </c>
      <c r="O544" s="326">
        <f>IF(SUM(O545:O548)&gt;N544,N544,SUM(O545:O548))</f>
        <v>0</v>
      </c>
      <c r="Q544" s="289" t="s">
        <v>731</v>
      </c>
      <c r="R544" s="22"/>
      <c r="S544" s="326">
        <f>N544</f>
        <v>0</v>
      </c>
      <c r="T544" s="326">
        <f>IF(SUM(T545:T548)&gt;S544,S544,SUM(T545:T548))</f>
        <v>0</v>
      </c>
      <c r="V544" s="289" t="s">
        <v>731</v>
      </c>
      <c r="W544" s="22"/>
      <c r="X544" s="326">
        <f>S544</f>
        <v>0</v>
      </c>
      <c r="Y544" s="326">
        <f>IF(SUM(Y545:Y548)&gt;X544,X544,SUM(Y545:Y548))</f>
        <v>0</v>
      </c>
      <c r="AA544" s="327"/>
      <c r="AB544" s="342"/>
    </row>
    <row r="545" spans="2:28" outlineLevel="3" x14ac:dyDescent="0.25">
      <c r="E545" s="35" t="s">
        <v>1531</v>
      </c>
      <c r="F545" s="35" t="s">
        <v>1375</v>
      </c>
      <c r="G545" s="35"/>
      <c r="H545" s="285">
        <f>IF(Checklist!J545="",0,Checklist!J545)</f>
        <v>0</v>
      </c>
      <c r="I545" s="285">
        <f>IF(Checklist!K545="",0,Checklist!K545)</f>
        <v>0</v>
      </c>
      <c r="J545" s="337"/>
      <c r="K545" s="337">
        <f>H545*AA545*J544</f>
        <v>0</v>
      </c>
      <c r="L545" s="338"/>
      <c r="M545" s="339">
        <f>I545*AA545*L544</f>
        <v>0</v>
      </c>
      <c r="N545" s="333"/>
      <c r="O545" s="333">
        <f>M545+K545</f>
        <v>0</v>
      </c>
      <c r="Q545" s="285">
        <f>IF(Checklist!M545="",0,Checklist!M545)</f>
        <v>0</v>
      </c>
      <c r="R545" s="22"/>
      <c r="S545" s="334"/>
      <c r="T545" s="333">
        <f>Q545*AA545*S544</f>
        <v>0</v>
      </c>
      <c r="V545" s="285">
        <f>IF(Checklist!P545="",0,Checklist!P545)</f>
        <v>0</v>
      </c>
      <c r="W545" s="22"/>
      <c r="X545" s="334"/>
      <c r="Y545" s="333">
        <f>V545*AA545*X544</f>
        <v>0</v>
      </c>
      <c r="AA545" s="335">
        <v>1</v>
      </c>
    </row>
    <row r="546" spans="2:28" outlineLevel="3" x14ac:dyDescent="0.25">
      <c r="E546" s="35" t="s">
        <v>1532</v>
      </c>
      <c r="F546" s="35" t="s">
        <v>1377</v>
      </c>
      <c r="G546" s="35"/>
      <c r="H546" s="285">
        <f>IF(Checklist!J546="",0,Checklist!J546)</f>
        <v>0</v>
      </c>
      <c r="I546" s="285">
        <f>IF(Checklist!K546="",0,Checklist!K546)</f>
        <v>0</v>
      </c>
      <c r="J546" s="337"/>
      <c r="K546" s="337">
        <f>H546*AA546*J544</f>
        <v>0</v>
      </c>
      <c r="L546" s="338"/>
      <c r="M546" s="339">
        <f>I546*AA546*L544</f>
        <v>0</v>
      </c>
      <c r="N546" s="333"/>
      <c r="O546" s="333">
        <f>M546+K546</f>
        <v>0</v>
      </c>
      <c r="Q546" s="285">
        <f>IF(Checklist!M546="",0,Checklist!M546)</f>
        <v>0</v>
      </c>
      <c r="R546" s="22"/>
      <c r="S546" s="334"/>
      <c r="T546" s="333">
        <f>Q546*AA546*S544</f>
        <v>0</v>
      </c>
      <c r="V546" s="285">
        <f>IF(Checklist!P546="",0,Checklist!P546)</f>
        <v>0</v>
      </c>
      <c r="W546" s="22"/>
      <c r="X546" s="334"/>
      <c r="Y546" s="333">
        <f>V546*AA546*X544</f>
        <v>0</v>
      </c>
      <c r="AA546" s="335">
        <v>0.5</v>
      </c>
    </row>
    <row r="547" spans="2:28" outlineLevel="3" x14ac:dyDescent="0.25">
      <c r="E547" s="35" t="s">
        <v>1533</v>
      </c>
      <c r="F547" s="35" t="s">
        <v>1379</v>
      </c>
      <c r="G547" s="35"/>
      <c r="H547" s="285">
        <f>IF(Checklist!J547="",0,Checklist!J547)</f>
        <v>0</v>
      </c>
      <c r="I547" s="285">
        <f>IF(Checklist!K547="",0,Checklist!K547)</f>
        <v>0</v>
      </c>
      <c r="J547" s="337"/>
      <c r="K547" s="337">
        <f>H547*AA547*J544</f>
        <v>0</v>
      </c>
      <c r="L547" s="338"/>
      <c r="M547" s="339">
        <f>I547*AA547*L544</f>
        <v>0</v>
      </c>
      <c r="N547" s="333"/>
      <c r="O547" s="333">
        <f>M547+K547</f>
        <v>0</v>
      </c>
      <c r="Q547" s="285">
        <f>IF(Checklist!M547="",0,Checklist!M547)</f>
        <v>0</v>
      </c>
      <c r="R547" s="22"/>
      <c r="S547" s="334"/>
      <c r="T547" s="333">
        <f>Q547*AA547*S544</f>
        <v>0</v>
      </c>
      <c r="V547" s="285">
        <f>IF(Checklist!P547="",0,Checklist!P547)</f>
        <v>0</v>
      </c>
      <c r="W547" s="22"/>
      <c r="X547" s="334"/>
      <c r="Y547" s="333">
        <f>V547*AA547*X544</f>
        <v>0</v>
      </c>
      <c r="AA547" s="335">
        <v>0</v>
      </c>
    </row>
    <row r="548" spans="2:28" outlineLevel="3" x14ac:dyDescent="0.25">
      <c r="E548" s="35" t="s">
        <v>1534</v>
      </c>
      <c r="F548" s="35" t="s">
        <v>943</v>
      </c>
      <c r="G548" s="35"/>
      <c r="H548" s="285">
        <f>IF(Checklist!J548="",0,Checklist!J548)</f>
        <v>1</v>
      </c>
      <c r="I548" s="285">
        <f>IF(Checklist!K548="",0,Checklist!K548)</f>
        <v>1</v>
      </c>
      <c r="J548" s="337"/>
      <c r="K548" s="337">
        <f>H548*AA548*J544</f>
        <v>0</v>
      </c>
      <c r="L548" s="338"/>
      <c r="M548" s="339">
        <f>I548*AA548*L544</f>
        <v>0</v>
      </c>
      <c r="N548" s="333"/>
      <c r="O548" s="333">
        <f>M548+K548</f>
        <v>0</v>
      </c>
      <c r="Q548" s="285">
        <f>IF(Checklist!M548="",0,Checklist!M548)</f>
        <v>1</v>
      </c>
      <c r="R548" s="22"/>
      <c r="S548" s="334"/>
      <c r="T548" s="333">
        <f>Q548*AA548*S544</f>
        <v>0</v>
      </c>
      <c r="V548" s="285">
        <f>IF(Checklist!P548="",0,Checklist!P548)</f>
        <v>1</v>
      </c>
      <c r="W548" s="22"/>
      <c r="X548" s="334"/>
      <c r="Y548" s="333">
        <f>V548*AA548*X544</f>
        <v>0</v>
      </c>
      <c r="AA548" s="335">
        <v>0</v>
      </c>
    </row>
    <row r="549" spans="2:28" outlineLevel="1" x14ac:dyDescent="0.25">
      <c r="B549" s="22"/>
      <c r="H549" s="291"/>
      <c r="I549" s="291"/>
      <c r="J549" s="315"/>
      <c r="K549" s="315"/>
      <c r="L549" s="316"/>
      <c r="M549" s="316"/>
      <c r="N549" s="317"/>
      <c r="O549" s="317"/>
      <c r="Q549" s="291"/>
      <c r="R549" s="22"/>
      <c r="S549" s="315"/>
      <c r="T549" s="317"/>
      <c r="V549" s="291"/>
      <c r="W549" s="22"/>
      <c r="X549" s="315"/>
      <c r="Y549" s="317"/>
      <c r="AA549" s="347"/>
    </row>
    <row r="550" spans="2:28" outlineLevel="1" x14ac:dyDescent="0.25">
      <c r="C550" s="348" t="s">
        <v>874</v>
      </c>
      <c r="D550" s="275" t="s">
        <v>875</v>
      </c>
      <c r="E550" s="275"/>
      <c r="F550" s="275"/>
      <c r="G550" s="275"/>
      <c r="H550" s="276"/>
      <c r="I550" s="277"/>
      <c r="J550" s="319">
        <f>N550*0.8</f>
        <v>1.1536781378062226</v>
      </c>
      <c r="K550" s="319">
        <f>K551</f>
        <v>0</v>
      </c>
      <c r="L550" s="320">
        <f>N550*0.2</f>
        <v>0.28841953445155566</v>
      </c>
      <c r="M550" s="320">
        <f>M551</f>
        <v>0</v>
      </c>
      <c r="N550" s="321">
        <f>N551</f>
        <v>1.4420976722577783</v>
      </c>
      <c r="O550" s="321">
        <f>O551</f>
        <v>0</v>
      </c>
      <c r="Q550" s="276"/>
      <c r="R550" s="22"/>
      <c r="S550" s="321">
        <f>N550</f>
        <v>1.4420976722577783</v>
      </c>
      <c r="T550" s="321">
        <f>T551</f>
        <v>0</v>
      </c>
      <c r="V550" s="276"/>
      <c r="W550" s="22"/>
      <c r="X550" s="321">
        <f>S550</f>
        <v>1.4420976722577783</v>
      </c>
      <c r="Y550" s="321">
        <f>Y551</f>
        <v>0</v>
      </c>
      <c r="AA550" s="322"/>
      <c r="AB550" s="344"/>
    </row>
    <row r="551" spans="2:28" outlineLevel="2" x14ac:dyDescent="0.25">
      <c r="D551" s="284" t="s">
        <v>876</v>
      </c>
      <c r="E551" s="284" t="s">
        <v>1535</v>
      </c>
      <c r="F551" s="284"/>
      <c r="G551" s="284"/>
      <c r="H551" s="289" t="s">
        <v>730</v>
      </c>
      <c r="I551" s="288" t="s">
        <v>730</v>
      </c>
      <c r="J551" s="324">
        <f>N551*0.8</f>
        <v>1.1536781378062226</v>
      </c>
      <c r="K551" s="324">
        <f>IF(SUM(K552:K557)&gt;J551,J551,SUM(K552:K557))</f>
        <v>0</v>
      </c>
      <c r="L551" s="325">
        <f>N551*0.2</f>
        <v>0.28841953445155566</v>
      </c>
      <c r="M551" s="325">
        <f>IF(SUM(M552:M557)&gt;L551,L551,SUM(M552:M557))</f>
        <v>0</v>
      </c>
      <c r="N551" s="326">
        <f>Ponderações!P112*100</f>
        <v>1.4420976722577783</v>
      </c>
      <c r="O551" s="326">
        <f>IF(SUM(O552:O557)&gt;N551,N551,SUM(O552:O557))</f>
        <v>0</v>
      </c>
      <c r="Q551" s="289" t="s">
        <v>730</v>
      </c>
      <c r="R551" s="22"/>
      <c r="S551" s="326">
        <f>N551</f>
        <v>1.4420976722577783</v>
      </c>
      <c r="T551" s="326">
        <f>IF(SUM(T552:T557)&gt;S551,S551,SUM(T552:T557))</f>
        <v>0</v>
      </c>
      <c r="V551" s="289" t="s">
        <v>730</v>
      </c>
      <c r="W551" s="22"/>
      <c r="X551" s="326">
        <f>S551</f>
        <v>1.4420976722577783</v>
      </c>
      <c r="Y551" s="326">
        <f>IF(SUM(Y552:Y557)&gt;X551,X551,SUM(Y552:Y557))</f>
        <v>0</v>
      </c>
      <c r="AA551" s="327"/>
      <c r="AB551" s="342"/>
    </row>
    <row r="552" spans="2:28" outlineLevel="3" x14ac:dyDescent="0.25">
      <c r="E552" s="35" t="s">
        <v>1536</v>
      </c>
      <c r="F552" s="35" t="s">
        <v>1537</v>
      </c>
      <c r="G552" s="35"/>
      <c r="H552" s="285">
        <f>IF(Checklist!J552="",0,Checklist!J552)</f>
        <v>0</v>
      </c>
      <c r="I552" s="285">
        <f>IF(Checklist!K552="",0,Checklist!K552)</f>
        <v>0</v>
      </c>
      <c r="J552" s="337"/>
      <c r="K552" s="337">
        <f>H552*AA552*J551</f>
        <v>0</v>
      </c>
      <c r="L552" s="338"/>
      <c r="M552" s="339">
        <f>I552*AA552*L551</f>
        <v>0</v>
      </c>
      <c r="N552" s="333"/>
      <c r="O552" s="333">
        <f>M552+K552</f>
        <v>0</v>
      </c>
      <c r="Q552" s="282">
        <f>IF(Checklist!M552="",0,Checklist!M552)</f>
        <v>0</v>
      </c>
      <c r="R552" s="22"/>
      <c r="S552" s="334"/>
      <c r="T552" s="333">
        <f>Q552*AA552*S551</f>
        <v>0</v>
      </c>
      <c r="V552" s="282">
        <f>IF(Checklist!P552="",0,Checklist!P552)</f>
        <v>0</v>
      </c>
      <c r="W552" s="22"/>
      <c r="X552" s="334"/>
      <c r="Y552" s="333">
        <f>V552*AA552*X551</f>
        <v>0</v>
      </c>
      <c r="AA552" s="335">
        <v>1</v>
      </c>
    </row>
    <row r="553" spans="2:28" outlineLevel="3" x14ac:dyDescent="0.25">
      <c r="E553" s="35" t="s">
        <v>1538</v>
      </c>
      <c r="F553" s="35" t="s">
        <v>1539</v>
      </c>
      <c r="G553" s="35"/>
      <c r="H553" s="285">
        <f>IF(Checklist!J553="",0,Checklist!J553)</f>
        <v>0</v>
      </c>
      <c r="I553" s="285">
        <f>IF(Checklist!K553="",0,Checklist!K553)</f>
        <v>0</v>
      </c>
      <c r="J553" s="337"/>
      <c r="K553" s="337">
        <f>H553*AA553*J551</f>
        <v>0</v>
      </c>
      <c r="L553" s="338"/>
      <c r="M553" s="339">
        <f>I553*AA553*L551</f>
        <v>0</v>
      </c>
      <c r="N553" s="333"/>
      <c r="O553" s="333">
        <f>M553+K553</f>
        <v>0</v>
      </c>
      <c r="Q553" s="282">
        <f>IF(Checklist!M553="",0,Checklist!M553)</f>
        <v>0</v>
      </c>
      <c r="R553" s="22"/>
      <c r="S553" s="334"/>
      <c r="T553" s="333">
        <f>Q553*AA553*S551</f>
        <v>0</v>
      </c>
      <c r="V553" s="282">
        <f>IF(Checklist!P553="",0,Checklist!P553)</f>
        <v>0</v>
      </c>
      <c r="W553" s="22"/>
      <c r="X553" s="334"/>
      <c r="Y553" s="333">
        <f>V553*AA553*X551</f>
        <v>0</v>
      </c>
      <c r="AA553" s="335">
        <v>0.75</v>
      </c>
    </row>
    <row r="554" spans="2:28" outlineLevel="3" x14ac:dyDescent="0.25">
      <c r="E554" s="35" t="s">
        <v>1540</v>
      </c>
      <c r="F554" s="35" t="s">
        <v>1541</v>
      </c>
      <c r="G554" s="35"/>
      <c r="H554" s="285">
        <f>IF(Checklist!J554="",0,Checklist!J554)</f>
        <v>0</v>
      </c>
      <c r="I554" s="285">
        <f>IF(Checklist!K554="",0,Checklist!K554)</f>
        <v>0</v>
      </c>
      <c r="J554" s="337"/>
      <c r="K554" s="337">
        <f>H554*AA554*J551</f>
        <v>0</v>
      </c>
      <c r="L554" s="338"/>
      <c r="M554" s="339">
        <f>I554*AA554*L551</f>
        <v>0</v>
      </c>
      <c r="N554" s="333"/>
      <c r="O554" s="333">
        <f t="shared" ref="O554:O557" si="163">M554+K554</f>
        <v>0</v>
      </c>
      <c r="Q554" s="282">
        <f>IF(Checklist!M554="",0,Checklist!M554)</f>
        <v>0</v>
      </c>
      <c r="R554" s="22"/>
      <c r="S554" s="334"/>
      <c r="T554" s="333">
        <f>Q554*AA554*S551</f>
        <v>0</v>
      </c>
      <c r="V554" s="282">
        <f>IF(Checklist!P554="",0,Checklist!P554)</f>
        <v>0</v>
      </c>
      <c r="W554" s="22"/>
      <c r="X554" s="334"/>
      <c r="Y554" s="333">
        <f>V554*AA554*X551</f>
        <v>0</v>
      </c>
      <c r="AA554" s="335">
        <v>0.25</v>
      </c>
    </row>
    <row r="555" spans="2:28" outlineLevel="3" x14ac:dyDescent="0.25">
      <c r="E555" s="35" t="s">
        <v>1542</v>
      </c>
      <c r="F555" s="35" t="s">
        <v>1543</v>
      </c>
      <c r="G555" s="35"/>
      <c r="H555" s="285">
        <f>IF(Checklist!J555="",0,Checklist!J555)</f>
        <v>0</v>
      </c>
      <c r="I555" s="285">
        <f>IF(Checklist!K555="",0,Checklist!K555)</f>
        <v>0</v>
      </c>
      <c r="J555" s="337"/>
      <c r="K555" s="337">
        <f>H555*AA555*J551</f>
        <v>0</v>
      </c>
      <c r="L555" s="338"/>
      <c r="M555" s="339">
        <f>I555*AA555*L551</f>
        <v>0</v>
      </c>
      <c r="N555" s="333"/>
      <c r="O555" s="333">
        <f t="shared" si="163"/>
        <v>0</v>
      </c>
      <c r="Q555" s="282">
        <f>IF(Checklist!M555="",0,Checklist!M555)</f>
        <v>0</v>
      </c>
      <c r="R555" s="22"/>
      <c r="S555" s="334"/>
      <c r="T555" s="333">
        <f>Q555*AA555*S551</f>
        <v>0</v>
      </c>
      <c r="V555" s="282">
        <f>IF(Checklist!P555="",0,Checklist!P555)</f>
        <v>0</v>
      </c>
      <c r="W555" s="22"/>
      <c r="X555" s="334"/>
      <c r="Y555" s="333">
        <f>V555*AA555*X551</f>
        <v>0</v>
      </c>
      <c r="AA555" s="335">
        <v>0</v>
      </c>
    </row>
    <row r="556" spans="2:28" outlineLevel="3" x14ac:dyDescent="0.25">
      <c r="E556" s="35" t="s">
        <v>1544</v>
      </c>
      <c r="F556" s="35" t="s">
        <v>941</v>
      </c>
      <c r="G556" s="35"/>
      <c r="H556" s="285">
        <f>IF(Checklist!J556="",0,Checklist!J556)</f>
        <v>0</v>
      </c>
      <c r="I556" s="285">
        <f>IF(Checklist!K556="",0,Checklist!K556)</f>
        <v>0</v>
      </c>
      <c r="J556" s="337"/>
      <c r="K556" s="337">
        <f>H556*AA556*J551</f>
        <v>0</v>
      </c>
      <c r="L556" s="338"/>
      <c r="M556" s="339">
        <f>I556*AA556*L551</f>
        <v>0</v>
      </c>
      <c r="N556" s="333"/>
      <c r="O556" s="333">
        <f t="shared" si="163"/>
        <v>0</v>
      </c>
      <c r="Q556" s="282">
        <f>IF(Checklist!M556="",0,Checklist!M556)</f>
        <v>0</v>
      </c>
      <c r="R556" s="22"/>
      <c r="S556" s="334"/>
      <c r="T556" s="333">
        <f>Q556*AA556*S551</f>
        <v>0</v>
      </c>
      <c r="V556" s="282">
        <f>IF(Checklist!P556="",0,Checklist!P556)</f>
        <v>0</v>
      </c>
      <c r="W556" s="22"/>
      <c r="X556" s="334"/>
      <c r="Y556" s="333">
        <f>V556*AA556*X551</f>
        <v>0</v>
      </c>
      <c r="AA556" s="335">
        <v>0</v>
      </c>
    </row>
    <row r="557" spans="2:28" outlineLevel="3" x14ac:dyDescent="0.25">
      <c r="E557" s="35" t="s">
        <v>1545</v>
      </c>
      <c r="F557" s="35" t="s">
        <v>943</v>
      </c>
      <c r="G557" s="35"/>
      <c r="H557" s="285">
        <f>IF(Checklist!J557="",0,Checklist!J557)</f>
        <v>0</v>
      </c>
      <c r="I557" s="285">
        <f>IF(Checklist!K557="",0,Checklist!K557)</f>
        <v>0</v>
      </c>
      <c r="J557" s="337"/>
      <c r="K557" s="337">
        <f>H557*AA557*J551</f>
        <v>0</v>
      </c>
      <c r="L557" s="338"/>
      <c r="M557" s="339">
        <f>I557*AA557*L551</f>
        <v>0</v>
      </c>
      <c r="N557" s="333"/>
      <c r="O557" s="333">
        <f t="shared" si="163"/>
        <v>0</v>
      </c>
      <c r="Q557" s="282">
        <f>IF(Checklist!M557="",0,Checklist!M557)</f>
        <v>0</v>
      </c>
      <c r="R557" s="22"/>
      <c r="S557" s="334"/>
      <c r="T557" s="333">
        <f>Q557*AA557*S551</f>
        <v>0</v>
      </c>
      <c r="V557" s="282">
        <f>IF(Checklist!P557="",0,Checklist!P557)</f>
        <v>0</v>
      </c>
      <c r="W557" s="22"/>
      <c r="X557" s="334"/>
      <c r="Y557" s="333">
        <f>V557*AA557*X551</f>
        <v>0</v>
      </c>
      <c r="AA557" s="335">
        <v>0</v>
      </c>
    </row>
    <row r="558" spans="2:28" outlineLevel="1" x14ac:dyDescent="0.25">
      <c r="H558" s="273"/>
      <c r="I558" s="273"/>
      <c r="J558" s="315"/>
      <c r="K558" s="315"/>
      <c r="L558" s="316"/>
      <c r="M558" s="316"/>
      <c r="N558" s="317"/>
      <c r="O558" s="317"/>
      <c r="Q558" s="273"/>
      <c r="R558" s="22"/>
      <c r="S558" s="315"/>
      <c r="T558" s="317"/>
      <c r="V558" s="273"/>
      <c r="W558" s="22"/>
      <c r="X558" s="315"/>
      <c r="Y558" s="317"/>
      <c r="AA558" s="347"/>
    </row>
    <row r="559" spans="2:28" x14ac:dyDescent="0.25">
      <c r="B559" s="270">
        <v>8</v>
      </c>
      <c r="C559" s="271" t="s">
        <v>86</v>
      </c>
      <c r="D559" s="271"/>
      <c r="E559" s="271"/>
      <c r="F559" s="271"/>
      <c r="G559" s="271"/>
      <c r="H559" s="272"/>
      <c r="I559" s="272"/>
      <c r="J559" s="312">
        <f t="shared" si="160"/>
        <v>0</v>
      </c>
      <c r="K559" s="312">
        <f>K561+K597+K620</f>
        <v>0</v>
      </c>
      <c r="L559" s="312">
        <f t="shared" si="143"/>
        <v>0</v>
      </c>
      <c r="M559" s="312">
        <f>M561+M597+M620</f>
        <v>0</v>
      </c>
      <c r="N559" s="312">
        <f>N561+N597+N620</f>
        <v>0</v>
      </c>
      <c r="O559" s="312">
        <f>O561+O597+O620</f>
        <v>0</v>
      </c>
      <c r="Q559" s="272"/>
      <c r="R559" s="22"/>
      <c r="S559" s="312">
        <f>N559</f>
        <v>0</v>
      </c>
      <c r="T559" s="312">
        <f>T561+T597+T620</f>
        <v>0</v>
      </c>
      <c r="V559" s="272"/>
      <c r="W559" s="22"/>
      <c r="X559" s="312">
        <f>S559</f>
        <v>0</v>
      </c>
      <c r="Y559" s="312">
        <f>Y561+Y597+Y620</f>
        <v>0</v>
      </c>
      <c r="AA559" s="314"/>
    </row>
    <row r="560" spans="2:28" x14ac:dyDescent="0.25">
      <c r="B560" s="22"/>
      <c r="H560" s="291"/>
      <c r="I560" s="291"/>
      <c r="J560" s="315"/>
      <c r="K560" s="315"/>
      <c r="L560" s="316"/>
      <c r="M560" s="315"/>
      <c r="N560" s="317"/>
      <c r="O560" s="317"/>
      <c r="Q560" s="291"/>
      <c r="R560" s="22"/>
      <c r="S560" s="315"/>
      <c r="T560" s="317"/>
      <c r="V560" s="291"/>
      <c r="W560" s="22"/>
      <c r="X560" s="315"/>
      <c r="Y560" s="317"/>
      <c r="AA560" s="382"/>
      <c r="AB560" s="346"/>
    </row>
    <row r="561" spans="2:28" outlineLevel="1" x14ac:dyDescent="0.25">
      <c r="C561" s="348" t="s">
        <v>878</v>
      </c>
      <c r="D561" s="275" t="s">
        <v>879</v>
      </c>
      <c r="E561" s="275"/>
      <c r="F561" s="275"/>
      <c r="G561" s="275"/>
      <c r="H561" s="276"/>
      <c r="I561" s="277"/>
      <c r="J561" s="319">
        <f t="shared" si="160"/>
        <v>0</v>
      </c>
      <c r="K561" s="319">
        <f>K562+K569+K575+K583+K588</f>
        <v>0</v>
      </c>
      <c r="L561" s="320">
        <f t="shared" si="143"/>
        <v>0</v>
      </c>
      <c r="M561" s="320">
        <f>M562+M569+M575+M583+M588</f>
        <v>0</v>
      </c>
      <c r="N561" s="321">
        <f>N562+N569+N575+N583+N588</f>
        <v>0</v>
      </c>
      <c r="O561" s="321">
        <f>O562+O569+O575+O583+O588</f>
        <v>0</v>
      </c>
      <c r="Q561" s="276"/>
      <c r="R561" s="22"/>
      <c r="S561" s="321">
        <f>N561</f>
        <v>0</v>
      </c>
      <c r="T561" s="321">
        <f>T562+T569+T575+T583+T588</f>
        <v>0</v>
      </c>
      <c r="V561" s="276"/>
      <c r="W561" s="22"/>
      <c r="X561" s="321">
        <f>S561</f>
        <v>0</v>
      </c>
      <c r="Y561" s="321">
        <f>Y562+Y569+Y575+Y583+Y588</f>
        <v>0</v>
      </c>
      <c r="AA561" s="322"/>
      <c r="AB561" s="344"/>
    </row>
    <row r="562" spans="2:28" outlineLevel="2" x14ac:dyDescent="0.25">
      <c r="D562" s="284" t="s">
        <v>880</v>
      </c>
      <c r="E562" s="284" t="s">
        <v>1546</v>
      </c>
      <c r="F562" s="284"/>
      <c r="G562" s="284"/>
      <c r="H562" s="289" t="s">
        <v>730</v>
      </c>
      <c r="I562" s="288" t="s">
        <v>730</v>
      </c>
      <c r="J562" s="324">
        <f t="shared" si="160"/>
        <v>0</v>
      </c>
      <c r="K562" s="324">
        <f>IF(SUM(K563:K568)&gt;J562,J562,SUM(K563:K568))</f>
        <v>0</v>
      </c>
      <c r="L562" s="325">
        <f t="shared" si="143"/>
        <v>0</v>
      </c>
      <c r="M562" s="325">
        <f>IF(SUM(M563:M568)&gt;L562,L562,SUM(M563:M568))</f>
        <v>0</v>
      </c>
      <c r="N562" s="326">
        <f>Ponderações!P115*100</f>
        <v>0</v>
      </c>
      <c r="O562" s="326">
        <f>IF(SUM(O563:O568)&gt;N562,N562,SUM(O563:O568))</f>
        <v>0</v>
      </c>
      <c r="Q562" s="289" t="s">
        <v>730</v>
      </c>
      <c r="R562" s="22"/>
      <c r="S562" s="326">
        <f>N562</f>
        <v>0</v>
      </c>
      <c r="T562" s="326">
        <f>IF(SUM(T563:T568)&gt;S562,S562,SUM(T563:T568))</f>
        <v>0</v>
      </c>
      <c r="V562" s="289" t="s">
        <v>730</v>
      </c>
      <c r="W562" s="22"/>
      <c r="X562" s="326">
        <f>S562</f>
        <v>0</v>
      </c>
      <c r="Y562" s="326">
        <f>IF(SUM(Y563:Y568)&gt;X562,X562,SUM(Y563:Y568))</f>
        <v>0</v>
      </c>
      <c r="AA562" s="327"/>
      <c r="AB562" s="342"/>
    </row>
    <row r="563" spans="2:28" ht="14.65" customHeight="1" outlineLevel="3" x14ac:dyDescent="0.25">
      <c r="B563" s="22"/>
      <c r="E563" s="35" t="s">
        <v>1547</v>
      </c>
      <c r="F563" s="35" t="s">
        <v>1548</v>
      </c>
      <c r="G563" s="35"/>
      <c r="H563" s="286">
        <f>IF(Checklist!J563="",0,Checklist!J563)</f>
        <v>0</v>
      </c>
      <c r="I563" s="286">
        <f>IF(Checklist!K563="",0,Checklist!K563)</f>
        <v>0</v>
      </c>
      <c r="J563" s="337"/>
      <c r="K563" s="337">
        <f>H563*AA563*J562</f>
        <v>0</v>
      </c>
      <c r="L563" s="338"/>
      <c r="M563" s="339">
        <f>I563*AA563*L562</f>
        <v>0</v>
      </c>
      <c r="N563" s="333"/>
      <c r="O563" s="333">
        <f t="shared" ref="O563:O568" si="164">M563+K563</f>
        <v>0</v>
      </c>
      <c r="Q563" s="286">
        <f>IF(Checklist!M563="",0,Checklist!M563)</f>
        <v>0</v>
      </c>
      <c r="R563" s="22"/>
      <c r="S563" s="334"/>
      <c r="T563" s="333">
        <f>Q563*AA563*S562</f>
        <v>0</v>
      </c>
      <c r="V563" s="286">
        <f>IF(Checklist!P563="",0,Checklist!P563)</f>
        <v>0</v>
      </c>
      <c r="W563" s="22"/>
      <c r="X563" s="334"/>
      <c r="Y563" s="333">
        <f>V563*AA563*X562</f>
        <v>0</v>
      </c>
      <c r="AA563" s="335">
        <v>1</v>
      </c>
    </row>
    <row r="564" spans="2:28" outlineLevel="3" x14ac:dyDescent="0.25">
      <c r="B564" s="292"/>
      <c r="E564" s="35" t="s">
        <v>1549</v>
      </c>
      <c r="F564" s="305" t="s">
        <v>1550</v>
      </c>
      <c r="G564" s="35"/>
      <c r="H564" s="286">
        <f>IF(Checklist!J564="",0,Checklist!J564)</f>
        <v>0</v>
      </c>
      <c r="I564" s="286">
        <f>IF(Checklist!K564="",0,Checklist!K564)</f>
        <v>0</v>
      </c>
      <c r="J564" s="337"/>
      <c r="K564" s="337">
        <f>H564*AA564*J562</f>
        <v>0</v>
      </c>
      <c r="L564" s="338"/>
      <c r="M564" s="339">
        <f>I564*AA564*L562</f>
        <v>0</v>
      </c>
      <c r="N564" s="333"/>
      <c r="O564" s="333">
        <f t="shared" si="164"/>
        <v>0</v>
      </c>
      <c r="Q564" s="286">
        <f>IF(Checklist!M564="",0,Checklist!M564)</f>
        <v>0</v>
      </c>
      <c r="R564" s="22"/>
      <c r="S564" s="334"/>
      <c r="T564" s="333">
        <f>Q564*AA564*S562</f>
        <v>0</v>
      </c>
      <c r="V564" s="286">
        <f>IF(Checklist!P564="",0,Checklist!P564)</f>
        <v>0</v>
      </c>
      <c r="W564" s="22"/>
      <c r="X564" s="334"/>
      <c r="Y564" s="333">
        <f>V564*AA564*X562</f>
        <v>0</v>
      </c>
      <c r="AA564" s="335">
        <v>0.75</v>
      </c>
    </row>
    <row r="565" spans="2:28" outlineLevel="3" x14ac:dyDescent="0.25">
      <c r="B565" s="292"/>
      <c r="E565" s="35" t="s">
        <v>1551</v>
      </c>
      <c r="F565" s="305" t="s">
        <v>1552</v>
      </c>
      <c r="G565" s="35"/>
      <c r="H565" s="286">
        <f>IF(Checklist!J565="",0,Checklist!J565)</f>
        <v>0</v>
      </c>
      <c r="I565" s="286">
        <f>IF(Checklist!K565="",0,Checklist!K565)</f>
        <v>0</v>
      </c>
      <c r="J565" s="337"/>
      <c r="K565" s="337">
        <f>H565*AA565*J562</f>
        <v>0</v>
      </c>
      <c r="L565" s="338"/>
      <c r="M565" s="339">
        <f>I565*AA565*L562</f>
        <v>0</v>
      </c>
      <c r="N565" s="333"/>
      <c r="O565" s="333">
        <f t="shared" si="164"/>
        <v>0</v>
      </c>
      <c r="Q565" s="286">
        <f>IF(Checklist!M565="",0,Checklist!M565)</f>
        <v>0</v>
      </c>
      <c r="R565" s="22"/>
      <c r="S565" s="334"/>
      <c r="T565" s="333">
        <f>Q565*AA565*S562</f>
        <v>0</v>
      </c>
      <c r="V565" s="286">
        <f>IF(Checklist!P565="",0,Checklist!P565)</f>
        <v>0</v>
      </c>
      <c r="W565" s="22"/>
      <c r="X565" s="334"/>
      <c r="Y565" s="333">
        <f>V565*AA565*X562</f>
        <v>0</v>
      </c>
      <c r="AA565" s="335">
        <v>0.5</v>
      </c>
    </row>
    <row r="566" spans="2:28" outlineLevel="3" x14ac:dyDescent="0.25">
      <c r="B566" s="292"/>
      <c r="E566" s="35" t="s">
        <v>1553</v>
      </c>
      <c r="F566" s="305" t="s">
        <v>1554</v>
      </c>
      <c r="G566" s="35"/>
      <c r="H566" s="286">
        <f>IF(Checklist!J566="",0,Checklist!J566)</f>
        <v>0</v>
      </c>
      <c r="I566" s="286">
        <f>IF(Checklist!K566="",0,Checklist!K566)</f>
        <v>0</v>
      </c>
      <c r="J566" s="337"/>
      <c r="K566" s="337">
        <f>H566*AA566*J562</f>
        <v>0</v>
      </c>
      <c r="L566" s="338"/>
      <c r="M566" s="339">
        <f>I566*AA566*L562</f>
        <v>0</v>
      </c>
      <c r="N566" s="333"/>
      <c r="O566" s="333">
        <f t="shared" si="164"/>
        <v>0</v>
      </c>
      <c r="Q566" s="286">
        <f>IF(Checklist!M566="",0,Checklist!M566)</f>
        <v>0</v>
      </c>
      <c r="R566" s="22"/>
      <c r="S566" s="334"/>
      <c r="T566" s="333">
        <f>Q566*AA566*S562</f>
        <v>0</v>
      </c>
      <c r="V566" s="286">
        <f>IF(Checklist!P566="",0,Checklist!P566)</f>
        <v>0</v>
      </c>
      <c r="W566" s="22"/>
      <c r="X566" s="334"/>
      <c r="Y566" s="333">
        <f>V566*AA566*X562</f>
        <v>0</v>
      </c>
      <c r="AA566" s="335">
        <v>0.25</v>
      </c>
    </row>
    <row r="567" spans="2:28" outlineLevel="3" x14ac:dyDescent="0.25">
      <c r="E567" s="35" t="s">
        <v>1555</v>
      </c>
      <c r="F567" s="35" t="s">
        <v>1817</v>
      </c>
      <c r="G567" s="35"/>
      <c r="H567" s="286">
        <f>IF(Checklist!J567="",0,Checklist!J567)</f>
        <v>0</v>
      </c>
      <c r="I567" s="286">
        <f>IF(Checklist!K567="",0,Checklist!K567)</f>
        <v>0</v>
      </c>
      <c r="J567" s="337"/>
      <c r="K567" s="337">
        <f>H567*AA567*J562</f>
        <v>0</v>
      </c>
      <c r="L567" s="338"/>
      <c r="M567" s="339">
        <f>I567*AA567*L562</f>
        <v>0</v>
      </c>
      <c r="N567" s="333"/>
      <c r="O567" s="333">
        <f t="shared" si="164"/>
        <v>0</v>
      </c>
      <c r="Q567" s="286">
        <f>IF(Checklist!M567="",0,Checklist!M567)</f>
        <v>0</v>
      </c>
      <c r="R567" s="22"/>
      <c r="S567" s="334"/>
      <c r="T567" s="333">
        <f>Q567*AA567*S562</f>
        <v>0</v>
      </c>
      <c r="V567" s="286">
        <f>IF(Checklist!P567="",0,Checklist!P567)</f>
        <v>0</v>
      </c>
      <c r="W567" s="22"/>
      <c r="X567" s="334"/>
      <c r="Y567" s="333">
        <f>V567*AA567*X562</f>
        <v>0</v>
      </c>
      <c r="AA567" s="335">
        <v>0</v>
      </c>
    </row>
    <row r="568" spans="2:28" outlineLevel="3" x14ac:dyDescent="0.25">
      <c r="E568" s="35" t="s">
        <v>1556</v>
      </c>
      <c r="F568" s="35" t="s">
        <v>943</v>
      </c>
      <c r="G568" s="35"/>
      <c r="H568" s="286">
        <f>IF(Checklist!J568="",0,Checklist!J568)</f>
        <v>0</v>
      </c>
      <c r="I568" s="286">
        <f>IF(Checklist!K568="",0,Checklist!K568)</f>
        <v>0</v>
      </c>
      <c r="J568" s="337"/>
      <c r="K568" s="337">
        <f>H568*AA568*J562</f>
        <v>0</v>
      </c>
      <c r="L568" s="338"/>
      <c r="M568" s="339">
        <f>I568*AA568*L562</f>
        <v>0</v>
      </c>
      <c r="N568" s="333"/>
      <c r="O568" s="333">
        <f t="shared" si="164"/>
        <v>0</v>
      </c>
      <c r="Q568" s="286">
        <f>IF(Checklist!M568="",0,Checklist!M568)</f>
        <v>0</v>
      </c>
      <c r="R568" s="22"/>
      <c r="S568" s="334"/>
      <c r="T568" s="333">
        <f>Q568*AA568*S562</f>
        <v>0</v>
      </c>
      <c r="V568" s="286">
        <f>IF(Checklist!P568="",0,Checklist!P568)</f>
        <v>0</v>
      </c>
      <c r="W568" s="22"/>
      <c r="X568" s="334"/>
      <c r="Y568" s="333">
        <f>V568*AA568*X562</f>
        <v>0</v>
      </c>
      <c r="AA568" s="335">
        <v>0</v>
      </c>
    </row>
    <row r="569" spans="2:28" outlineLevel="2" x14ac:dyDescent="0.25">
      <c r="D569" s="284" t="s">
        <v>882</v>
      </c>
      <c r="E569" s="284" t="s">
        <v>1557</v>
      </c>
      <c r="F569" s="284"/>
      <c r="G569" s="284"/>
      <c r="H569" s="289" t="s">
        <v>731</v>
      </c>
      <c r="I569" s="288" t="s">
        <v>731</v>
      </c>
      <c r="J569" s="324">
        <f t="shared" ref="J569:J628" si="165">N569*0.8</f>
        <v>0</v>
      </c>
      <c r="K569" s="324">
        <f>IF(SUM(K570:K574)&gt;J569,J569,SUM(K570:K574))</f>
        <v>0</v>
      </c>
      <c r="L569" s="325">
        <f t="shared" ref="L569:L628" si="166">N569*0.2</f>
        <v>0</v>
      </c>
      <c r="M569" s="325">
        <f>IF(SUM(M570:M574)&gt;L569,L569,SUM(M570:M574))</f>
        <v>0</v>
      </c>
      <c r="N569" s="326">
        <f>Ponderações!P116*100</f>
        <v>0</v>
      </c>
      <c r="O569" s="326">
        <f>IF(SUM(O570:O574)&gt;N569,N569,SUM(O570:O574))</f>
        <v>0</v>
      </c>
      <c r="Q569" s="289" t="s">
        <v>731</v>
      </c>
      <c r="R569" s="22"/>
      <c r="S569" s="326">
        <f>N569</f>
        <v>0</v>
      </c>
      <c r="T569" s="326">
        <f>IF(SUM(T570:T574)&gt;S569,S569,SUM(T570:T574))</f>
        <v>0</v>
      </c>
      <c r="V569" s="289" t="s">
        <v>731</v>
      </c>
      <c r="W569" s="22"/>
      <c r="X569" s="326">
        <f>S569</f>
        <v>0</v>
      </c>
      <c r="Y569" s="326">
        <f>IF(SUM(Y570:Y574)&gt;X569,X569,SUM(Y570:Y574))</f>
        <v>0</v>
      </c>
      <c r="AA569" s="327"/>
      <c r="AB569" s="342"/>
    </row>
    <row r="570" spans="2:28" outlineLevel="3" x14ac:dyDescent="0.25">
      <c r="B570" s="292"/>
      <c r="E570" s="35" t="s">
        <v>1558</v>
      </c>
      <c r="F570" s="35" t="s">
        <v>1559</v>
      </c>
      <c r="G570" s="35"/>
      <c r="H570" s="285">
        <f>IF(Checklist!J570="",0,Checklist!J570)</f>
        <v>0</v>
      </c>
      <c r="I570" s="285">
        <f>IF(Checklist!K570="",0,Checklist!K570)</f>
        <v>0</v>
      </c>
      <c r="J570" s="337"/>
      <c r="K570" s="337">
        <f>H570*AA570*J569</f>
        <v>0</v>
      </c>
      <c r="L570" s="338"/>
      <c r="M570" s="339">
        <f>I570*AA570*L569</f>
        <v>0</v>
      </c>
      <c r="N570" s="333"/>
      <c r="O570" s="333">
        <f>M570+K570</f>
        <v>0</v>
      </c>
      <c r="Q570" s="285">
        <f>IF(Checklist!M570="",0,Checklist!M570)</f>
        <v>0</v>
      </c>
      <c r="R570" s="22"/>
      <c r="S570" s="334"/>
      <c r="T570" s="333">
        <f>Q570*AA570*S569</f>
        <v>0</v>
      </c>
      <c r="V570" s="285">
        <f>IF(Checklist!P570="",0,Checklist!P570)</f>
        <v>0</v>
      </c>
      <c r="W570" s="22"/>
      <c r="X570" s="334"/>
      <c r="Y570" s="333">
        <f>V570*AA570*X569</f>
        <v>0</v>
      </c>
      <c r="AA570" s="335">
        <v>1</v>
      </c>
    </row>
    <row r="571" spans="2:28" outlineLevel="3" x14ac:dyDescent="0.25">
      <c r="E571" s="35" t="s">
        <v>1560</v>
      </c>
      <c r="F571" s="35" t="s">
        <v>1561</v>
      </c>
      <c r="G571" s="35"/>
      <c r="H571" s="285">
        <f>IF(Checklist!J571="",0,Checklist!J571)</f>
        <v>0</v>
      </c>
      <c r="I571" s="285">
        <f>IF(Checklist!K571="",0,Checklist!K571)</f>
        <v>0</v>
      </c>
      <c r="J571" s="337"/>
      <c r="K571" s="337">
        <f>H571*AA571*J569</f>
        <v>0</v>
      </c>
      <c r="L571" s="338"/>
      <c r="M571" s="339">
        <f>I571*AA571*L569</f>
        <v>0</v>
      </c>
      <c r="N571" s="333"/>
      <c r="O571" s="333">
        <f>M571+K571</f>
        <v>0</v>
      </c>
      <c r="Q571" s="285">
        <f>IF(Checklist!M571="",0,Checklist!M571)</f>
        <v>0</v>
      </c>
      <c r="R571" s="22"/>
      <c r="S571" s="334"/>
      <c r="T571" s="333">
        <f>Q571*AA571*S569</f>
        <v>0</v>
      </c>
      <c r="V571" s="285">
        <f>IF(Checklist!P571="",0,Checklist!P571)</f>
        <v>0</v>
      </c>
      <c r="W571" s="22"/>
      <c r="X571" s="334"/>
      <c r="Y571" s="333">
        <f>V571*AA571*X569</f>
        <v>0</v>
      </c>
      <c r="AA571" s="335">
        <v>0.75</v>
      </c>
    </row>
    <row r="572" spans="2:28" outlineLevel="3" x14ac:dyDescent="0.25">
      <c r="E572" s="35" t="s">
        <v>1562</v>
      </c>
      <c r="F572" s="35" t="s">
        <v>1563</v>
      </c>
      <c r="G572" s="35"/>
      <c r="H572" s="285">
        <f>IF(Checklist!J572="",0,Checklist!J572)</f>
        <v>0</v>
      </c>
      <c r="I572" s="285">
        <f>IF(Checklist!K572="",0,Checklist!K572)</f>
        <v>0</v>
      </c>
      <c r="J572" s="337"/>
      <c r="K572" s="337">
        <f>H572*AA572*J569</f>
        <v>0</v>
      </c>
      <c r="L572" s="338"/>
      <c r="M572" s="339">
        <f>I572*AA572*L569</f>
        <v>0</v>
      </c>
      <c r="N572" s="333"/>
      <c r="O572" s="333">
        <f>M572+K572</f>
        <v>0</v>
      </c>
      <c r="Q572" s="285">
        <f>IF(Checklist!M572="",0,Checklist!M572)</f>
        <v>0</v>
      </c>
      <c r="R572" s="22"/>
      <c r="S572" s="334"/>
      <c r="T572" s="333">
        <f>Q572*AA572*S569</f>
        <v>0</v>
      </c>
      <c r="V572" s="285">
        <f>IF(Checklist!P572="",0,Checklist!P572)</f>
        <v>0</v>
      </c>
      <c r="W572" s="22"/>
      <c r="X572" s="334"/>
      <c r="Y572" s="333">
        <f>V572*AA572*X569</f>
        <v>0</v>
      </c>
      <c r="AA572" s="335">
        <v>0.25</v>
      </c>
    </row>
    <row r="573" spans="2:28" outlineLevel="3" x14ac:dyDescent="0.25">
      <c r="E573" s="35" t="s">
        <v>1564</v>
      </c>
      <c r="F573" s="35" t="s">
        <v>1565</v>
      </c>
      <c r="G573" s="35"/>
      <c r="H573" s="285">
        <f>IF(Checklist!J573="",0,Checklist!J573)</f>
        <v>0</v>
      </c>
      <c r="I573" s="285">
        <f>IF(Checklist!K573="",0,Checklist!K573)</f>
        <v>0</v>
      </c>
      <c r="J573" s="337"/>
      <c r="K573" s="337">
        <f>H573*AA573*J569</f>
        <v>0</v>
      </c>
      <c r="L573" s="338"/>
      <c r="M573" s="339">
        <f>I573*AA573*L569</f>
        <v>0</v>
      </c>
      <c r="N573" s="333"/>
      <c r="O573" s="333">
        <f>M573+K573</f>
        <v>0</v>
      </c>
      <c r="Q573" s="285">
        <f>IF(Checklist!M573="",0,Checklist!M573)</f>
        <v>0</v>
      </c>
      <c r="R573" s="22"/>
      <c r="S573" s="334"/>
      <c r="T573" s="333">
        <f>Q573*AA573*S569</f>
        <v>0</v>
      </c>
      <c r="V573" s="285">
        <f>IF(Checklist!P573="",0,Checklist!P573)</f>
        <v>0</v>
      </c>
      <c r="W573" s="22"/>
      <c r="X573" s="334"/>
      <c r="Y573" s="333">
        <f>V573*AA573*X569</f>
        <v>0</v>
      </c>
      <c r="AA573" s="335">
        <v>0</v>
      </c>
    </row>
    <row r="574" spans="2:28" outlineLevel="3" x14ac:dyDescent="0.25">
      <c r="E574" s="35" t="s">
        <v>1566</v>
      </c>
      <c r="F574" s="35" t="s">
        <v>943</v>
      </c>
      <c r="G574" s="35"/>
      <c r="H574" s="285">
        <f>IF(Checklist!J574="",0,Checklist!J574)</f>
        <v>0</v>
      </c>
      <c r="I574" s="285">
        <f>IF(Checklist!K574="",0,Checklist!K574)</f>
        <v>0</v>
      </c>
      <c r="J574" s="337"/>
      <c r="K574" s="337">
        <f>H574*AA574*J569</f>
        <v>0</v>
      </c>
      <c r="L574" s="338"/>
      <c r="M574" s="339">
        <f>I574*AA574*L569</f>
        <v>0</v>
      </c>
      <c r="N574" s="333"/>
      <c r="O574" s="333">
        <f>M574+K574</f>
        <v>0</v>
      </c>
      <c r="Q574" s="285">
        <f>IF(Checklist!M574="",0,Checklist!M574)</f>
        <v>0</v>
      </c>
      <c r="R574" s="22"/>
      <c r="S574" s="334"/>
      <c r="T574" s="333">
        <f>Q574*AA574*S569</f>
        <v>0</v>
      </c>
      <c r="V574" s="285">
        <f>IF(Checklist!P574="",0,Checklist!P574)</f>
        <v>0</v>
      </c>
      <c r="W574" s="22"/>
      <c r="X574" s="334"/>
      <c r="Y574" s="333">
        <f>V574*AA574*X569</f>
        <v>0</v>
      </c>
      <c r="AA574" s="335">
        <v>0</v>
      </c>
    </row>
    <row r="575" spans="2:28" ht="14.65" customHeight="1" outlineLevel="2" x14ac:dyDescent="0.25">
      <c r="C575" s="274"/>
      <c r="D575" s="284" t="s">
        <v>884</v>
      </c>
      <c r="E575" s="284" t="s">
        <v>1040</v>
      </c>
      <c r="F575" s="284"/>
      <c r="G575" s="284"/>
      <c r="H575" s="289" t="s">
        <v>731</v>
      </c>
      <c r="I575" s="288" t="s">
        <v>731</v>
      </c>
      <c r="J575" s="324">
        <f t="shared" si="165"/>
        <v>0</v>
      </c>
      <c r="K575" s="324">
        <f>IF(SUM(K576:K582)&gt;J575,J575,SUM(K576:K582))</f>
        <v>0</v>
      </c>
      <c r="L575" s="325">
        <f t="shared" si="166"/>
        <v>0</v>
      </c>
      <c r="M575" s="325">
        <f>IF(SUM(M576:M582)&gt;L575,L575,SUM(M576:M582))</f>
        <v>0</v>
      </c>
      <c r="N575" s="326">
        <f>Ponderações!P117*100</f>
        <v>0</v>
      </c>
      <c r="O575" s="326">
        <f>IF(SUM(O576:O582)&gt;N575,N575,SUM(O576:O582))</f>
        <v>0</v>
      </c>
      <c r="Q575" s="289" t="s">
        <v>731</v>
      </c>
      <c r="R575" s="22"/>
      <c r="S575" s="326">
        <f>N575</f>
        <v>0</v>
      </c>
      <c r="T575" s="326">
        <f>IF(SUM(T576:T582)&gt;S575,S575,SUM(T576:T582))</f>
        <v>0</v>
      </c>
      <c r="V575" s="289" t="s">
        <v>731</v>
      </c>
      <c r="W575" s="22"/>
      <c r="X575" s="326">
        <f>S575</f>
        <v>0</v>
      </c>
      <c r="Y575" s="326">
        <f>IF(SUM(Y576:Y582)&gt;X575,X575,SUM(Y576:Y582))</f>
        <v>0</v>
      </c>
      <c r="AA575" s="327"/>
      <c r="AB575" s="342"/>
    </row>
    <row r="576" spans="2:28" outlineLevel="3" x14ac:dyDescent="0.25">
      <c r="E576" s="35" t="s">
        <v>1567</v>
      </c>
      <c r="F576" s="35" t="s">
        <v>1568</v>
      </c>
      <c r="G576" s="35"/>
      <c r="H576" s="285">
        <f>IF(Checklist!J576="",0,Checklist!J576)</f>
        <v>0</v>
      </c>
      <c r="I576" s="285">
        <f>IF(Checklist!K576="",0,Checklist!K576)</f>
        <v>0</v>
      </c>
      <c r="J576" s="337"/>
      <c r="K576" s="337">
        <f t="shared" ref="K576:K582" si="167">H576*AA576*$J$575</f>
        <v>0</v>
      </c>
      <c r="L576" s="338"/>
      <c r="M576" s="339">
        <f t="shared" ref="M576:M582" si="168">I576*AA576*$L$575</f>
        <v>0</v>
      </c>
      <c r="N576" s="333"/>
      <c r="O576" s="333">
        <f t="shared" ref="O576" si="169">M576+K576</f>
        <v>0</v>
      </c>
      <c r="Q576" s="285">
        <f>IF(Checklist!M576="",0,Checklist!M576)</f>
        <v>0</v>
      </c>
      <c r="R576" s="22"/>
      <c r="S576" s="334"/>
      <c r="T576" s="333">
        <f t="shared" ref="T576:T582" si="170">Q576*AA576*$S$575</f>
        <v>0</v>
      </c>
      <c r="V576" s="285">
        <f>IF(Checklist!P576="",0,Checklist!P576)</f>
        <v>0</v>
      </c>
      <c r="W576" s="22"/>
      <c r="X576" s="334"/>
      <c r="Y576" s="333">
        <f t="shared" ref="Y576:Y582" si="171">V576*AA576*$X$575</f>
        <v>0</v>
      </c>
      <c r="AA576" s="335">
        <v>1</v>
      </c>
    </row>
    <row r="577" spans="2:28" outlineLevel="3" x14ac:dyDescent="0.25">
      <c r="E577" s="35" t="s">
        <v>1569</v>
      </c>
      <c r="F577" s="35" t="s">
        <v>1044</v>
      </c>
      <c r="G577" s="35"/>
      <c r="H577" s="285">
        <f>IF(Checklist!J577="",0,Checklist!J577)</f>
        <v>0</v>
      </c>
      <c r="I577" s="285">
        <f>IF(Checklist!K577="",0,Checklist!K577)</f>
        <v>0</v>
      </c>
      <c r="J577" s="337"/>
      <c r="K577" s="337">
        <f t="shared" si="167"/>
        <v>0</v>
      </c>
      <c r="L577" s="338"/>
      <c r="M577" s="339">
        <f t="shared" si="168"/>
        <v>0</v>
      </c>
      <c r="N577" s="333"/>
      <c r="O577" s="333">
        <f t="shared" ref="O577:O582" si="172">M577+K577</f>
        <v>0</v>
      </c>
      <c r="Q577" s="285">
        <f>IF(Checklist!M577="",0,Checklist!M577)</f>
        <v>0</v>
      </c>
      <c r="R577" s="22"/>
      <c r="S577" s="334"/>
      <c r="T577" s="333">
        <f t="shared" si="170"/>
        <v>0</v>
      </c>
      <c r="V577" s="285">
        <f>IF(Checklist!P577="",0,Checklist!P577)</f>
        <v>0</v>
      </c>
      <c r="W577" s="22"/>
      <c r="X577" s="334"/>
      <c r="Y577" s="333">
        <f t="shared" si="171"/>
        <v>0</v>
      </c>
      <c r="AA577" s="335">
        <v>0.75</v>
      </c>
    </row>
    <row r="578" spans="2:28" outlineLevel="3" x14ac:dyDescent="0.25">
      <c r="E578" s="35" t="s">
        <v>1570</v>
      </c>
      <c r="F578" s="35" t="s">
        <v>1571</v>
      </c>
      <c r="G578" s="35"/>
      <c r="H578" s="285">
        <f>IF(Checklist!J578="",0,Checklist!J578)</f>
        <v>0</v>
      </c>
      <c r="I578" s="285">
        <f>IF(Checklist!K578="",0,Checklist!K578)</f>
        <v>0</v>
      </c>
      <c r="J578" s="337"/>
      <c r="K578" s="337">
        <f t="shared" si="167"/>
        <v>0</v>
      </c>
      <c r="L578" s="338"/>
      <c r="M578" s="339">
        <f t="shared" si="168"/>
        <v>0</v>
      </c>
      <c r="N578" s="333"/>
      <c r="O578" s="333">
        <f t="shared" si="172"/>
        <v>0</v>
      </c>
      <c r="Q578" s="285">
        <f>IF(Checklist!M578="",0,Checklist!M578)</f>
        <v>0</v>
      </c>
      <c r="R578" s="22"/>
      <c r="S578" s="334"/>
      <c r="T578" s="333">
        <f t="shared" si="170"/>
        <v>0</v>
      </c>
      <c r="V578" s="285">
        <f>IF(Checklist!P578="",0,Checklist!P578)</f>
        <v>0</v>
      </c>
      <c r="W578" s="22"/>
      <c r="X578" s="334"/>
      <c r="Y578" s="333">
        <f t="shared" si="171"/>
        <v>0</v>
      </c>
      <c r="AA578" s="335">
        <v>0.5</v>
      </c>
    </row>
    <row r="579" spans="2:28" outlineLevel="3" x14ac:dyDescent="0.25">
      <c r="E579" s="35" t="s">
        <v>1572</v>
      </c>
      <c r="F579" s="35" t="s">
        <v>1045</v>
      </c>
      <c r="G579" s="35"/>
      <c r="H579" s="285">
        <f>IF(Checklist!J579="",0,Checklist!J579)</f>
        <v>0</v>
      </c>
      <c r="I579" s="285">
        <f>IF(Checklist!K579="",0,Checklist!K579)</f>
        <v>0</v>
      </c>
      <c r="J579" s="337"/>
      <c r="K579" s="337">
        <f t="shared" si="167"/>
        <v>0</v>
      </c>
      <c r="L579" s="338"/>
      <c r="M579" s="339">
        <f t="shared" si="168"/>
        <v>0</v>
      </c>
      <c r="N579" s="333"/>
      <c r="O579" s="333">
        <f t="shared" si="172"/>
        <v>0</v>
      </c>
      <c r="Q579" s="285">
        <f>IF(Checklist!M579="",0,Checklist!M579)</f>
        <v>0</v>
      </c>
      <c r="R579" s="22"/>
      <c r="S579" s="334"/>
      <c r="T579" s="333">
        <f t="shared" si="170"/>
        <v>0</v>
      </c>
      <c r="V579" s="285">
        <f>IF(Checklist!P579="",0,Checklist!P579)</f>
        <v>0</v>
      </c>
      <c r="W579" s="22"/>
      <c r="X579" s="334"/>
      <c r="Y579" s="333">
        <f t="shared" si="171"/>
        <v>0</v>
      </c>
      <c r="AA579" s="335">
        <v>0.25</v>
      </c>
    </row>
    <row r="580" spans="2:28" outlineLevel="3" x14ac:dyDescent="0.25">
      <c r="E580" s="35" t="s">
        <v>1573</v>
      </c>
      <c r="F580" s="35" t="s">
        <v>1574</v>
      </c>
      <c r="G580" s="35"/>
      <c r="H580" s="285">
        <f>IF(Checklist!J580="",0,Checklist!J580)</f>
        <v>0</v>
      </c>
      <c r="I580" s="285">
        <f>IF(Checklist!K580="",0,Checklist!K580)</f>
        <v>0</v>
      </c>
      <c r="J580" s="337"/>
      <c r="K580" s="337">
        <f t="shared" si="167"/>
        <v>0</v>
      </c>
      <c r="L580" s="338"/>
      <c r="M580" s="339">
        <f t="shared" si="168"/>
        <v>0</v>
      </c>
      <c r="N580" s="333"/>
      <c r="O580" s="333">
        <f t="shared" si="172"/>
        <v>0</v>
      </c>
      <c r="Q580" s="285">
        <f>IF(Checklist!M580="",0,Checklist!M580)</f>
        <v>0</v>
      </c>
      <c r="R580" s="22"/>
      <c r="S580" s="334"/>
      <c r="T580" s="333">
        <f t="shared" si="170"/>
        <v>0</v>
      </c>
      <c r="V580" s="285">
        <f>IF(Checklist!P580="",0,Checklist!P580)</f>
        <v>0</v>
      </c>
      <c r="W580" s="22"/>
      <c r="X580" s="334"/>
      <c r="Y580" s="333">
        <f t="shared" si="171"/>
        <v>0</v>
      </c>
      <c r="AA580" s="335">
        <v>0</v>
      </c>
    </row>
    <row r="581" spans="2:28" outlineLevel="3" x14ac:dyDescent="0.25">
      <c r="E581" s="35" t="s">
        <v>1575</v>
      </c>
      <c r="F581" s="35" t="s">
        <v>941</v>
      </c>
      <c r="G581" s="35"/>
      <c r="H581" s="285">
        <f>IF(Checklist!J581="",0,Checklist!J581)</f>
        <v>0</v>
      </c>
      <c r="I581" s="285">
        <f>IF(Checklist!K581="",0,Checklist!K581)</f>
        <v>0</v>
      </c>
      <c r="J581" s="337"/>
      <c r="K581" s="337">
        <f t="shared" si="167"/>
        <v>0</v>
      </c>
      <c r="L581" s="338"/>
      <c r="M581" s="339">
        <f t="shared" si="168"/>
        <v>0</v>
      </c>
      <c r="N581" s="333"/>
      <c r="O581" s="333">
        <f t="shared" si="172"/>
        <v>0</v>
      </c>
      <c r="Q581" s="285">
        <f>IF(Checklist!M581="",0,Checklist!M581)</f>
        <v>0</v>
      </c>
      <c r="R581" s="22"/>
      <c r="S581" s="334"/>
      <c r="T581" s="333">
        <f t="shared" si="170"/>
        <v>0</v>
      </c>
      <c r="V581" s="285">
        <f>IF(Checklist!P581="",0,Checklist!P581)</f>
        <v>0</v>
      </c>
      <c r="W581" s="22"/>
      <c r="X581" s="334"/>
      <c r="Y581" s="333">
        <f t="shared" si="171"/>
        <v>0</v>
      </c>
      <c r="AA581" s="335">
        <v>0</v>
      </c>
    </row>
    <row r="582" spans="2:28" outlineLevel="3" x14ac:dyDescent="0.25">
      <c r="E582" s="35" t="s">
        <v>1576</v>
      </c>
      <c r="F582" s="35" t="s">
        <v>943</v>
      </c>
      <c r="G582" s="35"/>
      <c r="H582" s="285">
        <f>IF(Checklist!J582="",0,Checklist!J582)</f>
        <v>0</v>
      </c>
      <c r="I582" s="285">
        <f>IF(Checklist!K582="",0,Checklist!K582)</f>
        <v>0</v>
      </c>
      <c r="J582" s="337"/>
      <c r="K582" s="337">
        <f t="shared" si="167"/>
        <v>0</v>
      </c>
      <c r="L582" s="338"/>
      <c r="M582" s="339">
        <f t="shared" si="168"/>
        <v>0</v>
      </c>
      <c r="N582" s="333"/>
      <c r="O582" s="333">
        <f t="shared" si="172"/>
        <v>0</v>
      </c>
      <c r="Q582" s="285">
        <f>IF(Checklist!M582="",0,Checklist!M582)</f>
        <v>0</v>
      </c>
      <c r="R582" s="22"/>
      <c r="S582" s="334"/>
      <c r="T582" s="333">
        <f t="shared" si="170"/>
        <v>0</v>
      </c>
      <c r="V582" s="285">
        <f>IF(Checklist!P582="",0,Checklist!P582)</f>
        <v>0</v>
      </c>
      <c r="W582" s="22"/>
      <c r="X582" s="334"/>
      <c r="Y582" s="333">
        <f t="shared" si="171"/>
        <v>0</v>
      </c>
      <c r="AA582" s="335">
        <v>0</v>
      </c>
    </row>
    <row r="583" spans="2:28" outlineLevel="2" x14ac:dyDescent="0.25">
      <c r="D583" s="284" t="s">
        <v>886</v>
      </c>
      <c r="E583" s="284" t="s">
        <v>1577</v>
      </c>
      <c r="F583" s="284"/>
      <c r="G583" s="284"/>
      <c r="H583" s="289" t="s">
        <v>730</v>
      </c>
      <c r="I583" s="288" t="s">
        <v>730</v>
      </c>
      <c r="J583" s="324">
        <f t="shared" si="165"/>
        <v>0</v>
      </c>
      <c r="K583" s="324">
        <f>IF(SUM(K584:K587)&gt;J583,J583,SUM(K584:K587))</f>
        <v>0</v>
      </c>
      <c r="L583" s="325">
        <f t="shared" si="166"/>
        <v>0</v>
      </c>
      <c r="M583" s="325">
        <f>IF(SUM(M584:M587)&gt;L583,L583,SUM(M584:M587))</f>
        <v>0</v>
      </c>
      <c r="N583" s="326">
        <f>Ponderações!P118*100</f>
        <v>0</v>
      </c>
      <c r="O583" s="326">
        <f>IF(SUM(O584:O587)&gt;N583,N583,SUM(O584:O587))</f>
        <v>0</v>
      </c>
      <c r="Q583" s="289" t="s">
        <v>730</v>
      </c>
      <c r="R583" s="22"/>
      <c r="S583" s="326">
        <f>N583</f>
        <v>0</v>
      </c>
      <c r="T583" s="326">
        <f>IF(SUM(T584:T587)&gt;S583,S583,SUM(T584:T587))</f>
        <v>0</v>
      </c>
      <c r="V583" s="289" t="s">
        <v>730</v>
      </c>
      <c r="W583" s="22"/>
      <c r="X583" s="326">
        <f>S583</f>
        <v>0</v>
      </c>
      <c r="Y583" s="326">
        <f>IF(SUM(Y584:Y587)&gt;X583,X583,SUM(Y584:Y587))</f>
        <v>0</v>
      </c>
      <c r="AA583" s="327"/>
      <c r="AB583" s="342"/>
    </row>
    <row r="584" spans="2:28" ht="14.65" customHeight="1" outlineLevel="3" x14ac:dyDescent="0.25">
      <c r="B584" s="22"/>
      <c r="E584" s="35" t="s">
        <v>1578</v>
      </c>
      <c r="F584" s="305" t="s">
        <v>1579</v>
      </c>
      <c r="G584" s="35"/>
      <c r="H584" s="286">
        <f>IF(Checklist!J584="",0,Checklist!J584)</f>
        <v>0</v>
      </c>
      <c r="I584" s="286">
        <f>IF(Checklist!K584="",0,Checklist!K584)</f>
        <v>0</v>
      </c>
      <c r="J584" s="337"/>
      <c r="K584" s="337">
        <f>H584*AA584*J583</f>
        <v>0</v>
      </c>
      <c r="L584" s="338"/>
      <c r="M584" s="339">
        <f>I584*AA584*L583</f>
        <v>0</v>
      </c>
      <c r="N584" s="333"/>
      <c r="O584" s="333">
        <f>M584+K584</f>
        <v>0</v>
      </c>
      <c r="Q584" s="286">
        <f>IF(Checklist!M584="",0,Checklist!M584)</f>
        <v>0</v>
      </c>
      <c r="R584" s="22"/>
      <c r="S584" s="334"/>
      <c r="T584" s="333">
        <f>Q584*AA584*S583</f>
        <v>0</v>
      </c>
      <c r="V584" s="286">
        <f>IF(Checklist!P584="",0,Checklist!P584)</f>
        <v>0</v>
      </c>
      <c r="W584" s="22"/>
      <c r="X584" s="334"/>
      <c r="Y584" s="333">
        <f>V584*AA584*X583</f>
        <v>0</v>
      </c>
      <c r="AA584" s="335">
        <v>1</v>
      </c>
    </row>
    <row r="585" spans="2:28" outlineLevel="3" x14ac:dyDescent="0.25">
      <c r="B585" s="292"/>
      <c r="E585" s="35" t="s">
        <v>1580</v>
      </c>
      <c r="F585" s="305" t="s">
        <v>1581</v>
      </c>
      <c r="G585" s="35"/>
      <c r="H585" s="286">
        <f>IF(Checklist!J585="",0,Checklist!J585)</f>
        <v>0</v>
      </c>
      <c r="I585" s="286">
        <f>IF(Checklist!K585="",0,Checklist!K585)</f>
        <v>0</v>
      </c>
      <c r="J585" s="337"/>
      <c r="K585" s="337">
        <f>H585*AA585*J583</f>
        <v>0</v>
      </c>
      <c r="L585" s="338"/>
      <c r="M585" s="339">
        <f>I585*AA585*L583</f>
        <v>0</v>
      </c>
      <c r="N585" s="333"/>
      <c r="O585" s="333">
        <f>M585+K585</f>
        <v>0</v>
      </c>
      <c r="Q585" s="286">
        <f>IF(Checklist!M585="",0,Checklist!M585)</f>
        <v>0</v>
      </c>
      <c r="R585" s="22"/>
      <c r="S585" s="334"/>
      <c r="T585" s="333">
        <f>Q585*AA585*S583</f>
        <v>0</v>
      </c>
      <c r="V585" s="286">
        <f>IF(Checklist!P585="",0,Checklist!P585)</f>
        <v>0</v>
      </c>
      <c r="W585" s="22"/>
      <c r="X585" s="334"/>
      <c r="Y585" s="333">
        <f>V585*AA585*X583</f>
        <v>0</v>
      </c>
      <c r="AA585" s="335">
        <v>0.5</v>
      </c>
    </row>
    <row r="586" spans="2:28" outlineLevel="3" x14ac:dyDescent="0.25">
      <c r="E586" s="35" t="s">
        <v>1582</v>
      </c>
      <c r="F586" s="305" t="s">
        <v>1583</v>
      </c>
      <c r="G586" s="35"/>
      <c r="H586" s="286">
        <f>IF(Checklist!J586="",0,Checklist!J586)</f>
        <v>0</v>
      </c>
      <c r="I586" s="286">
        <f>IF(Checklist!K586="",0,Checklist!K586)</f>
        <v>0</v>
      </c>
      <c r="J586" s="337"/>
      <c r="K586" s="337">
        <f>H586*AA586*J583</f>
        <v>0</v>
      </c>
      <c r="L586" s="338"/>
      <c r="M586" s="339">
        <f>I586*AA586*L583</f>
        <v>0</v>
      </c>
      <c r="N586" s="333"/>
      <c r="O586" s="333">
        <f>M586+K586</f>
        <v>0</v>
      </c>
      <c r="Q586" s="286">
        <f>IF(Checklist!M586="",0,Checklist!M586)</f>
        <v>0</v>
      </c>
      <c r="R586" s="22"/>
      <c r="S586" s="334"/>
      <c r="T586" s="333">
        <f>Q586*AA586*S583</f>
        <v>0</v>
      </c>
      <c r="V586" s="286">
        <f>IF(Checklist!P586="",0,Checklist!P586)</f>
        <v>0</v>
      </c>
      <c r="W586" s="22"/>
      <c r="X586" s="334"/>
      <c r="Y586" s="333">
        <f>V586*AA586*X583</f>
        <v>0</v>
      </c>
      <c r="AA586" s="335">
        <v>0</v>
      </c>
    </row>
    <row r="587" spans="2:28" outlineLevel="3" x14ac:dyDescent="0.25">
      <c r="E587" s="35" t="s">
        <v>1584</v>
      </c>
      <c r="F587" s="35" t="s">
        <v>943</v>
      </c>
      <c r="G587" s="35"/>
      <c r="H587" s="286">
        <f>IF(Checklist!J587="",0,Checklist!J587)</f>
        <v>0</v>
      </c>
      <c r="I587" s="286">
        <f>IF(Checklist!K587="",0,Checklist!K587)</f>
        <v>0</v>
      </c>
      <c r="J587" s="337"/>
      <c r="K587" s="337">
        <f>H587*AA587*J583</f>
        <v>0</v>
      </c>
      <c r="L587" s="338"/>
      <c r="M587" s="339">
        <f>I587*AA587*L583</f>
        <v>0</v>
      </c>
      <c r="N587" s="333"/>
      <c r="O587" s="333">
        <f>M587+K587</f>
        <v>0</v>
      </c>
      <c r="Q587" s="286">
        <f>IF(Checklist!M587="",0,Checklist!M587)</f>
        <v>0</v>
      </c>
      <c r="R587" s="22"/>
      <c r="S587" s="334"/>
      <c r="T587" s="333">
        <f>Q587*AA587*S583</f>
        <v>0</v>
      </c>
      <c r="V587" s="286">
        <f>IF(Checklist!P587="",0,Checklist!P587)</f>
        <v>0</v>
      </c>
      <c r="W587" s="22"/>
      <c r="X587" s="334"/>
      <c r="Y587" s="333">
        <f>V587*AA587*X583</f>
        <v>0</v>
      </c>
      <c r="AA587" s="335">
        <v>0</v>
      </c>
    </row>
    <row r="588" spans="2:28" ht="29.1" customHeight="1" outlineLevel="2" x14ac:dyDescent="0.25">
      <c r="D588" s="306" t="s">
        <v>888</v>
      </c>
      <c r="E588" s="494" t="s">
        <v>1585</v>
      </c>
      <c r="F588" s="494"/>
      <c r="G588" s="494"/>
      <c r="H588" s="289" t="s">
        <v>1818</v>
      </c>
      <c r="I588" s="288" t="s">
        <v>1818</v>
      </c>
      <c r="J588" s="324">
        <f t="shared" si="165"/>
        <v>0</v>
      </c>
      <c r="K588" s="324">
        <f>IF(SUM(K589:K595)&gt;J588,J588,SUM(K589:K595))</f>
        <v>0</v>
      </c>
      <c r="L588" s="325">
        <f t="shared" si="166"/>
        <v>0</v>
      </c>
      <c r="M588" s="325">
        <f>IF(SUM(M589:M595)&gt;L588,L588,SUM(M589:M595))</f>
        <v>0</v>
      </c>
      <c r="N588" s="326">
        <f>Ponderações!P119*100</f>
        <v>0</v>
      </c>
      <c r="O588" s="326">
        <f>IF(SUM(O589:O595)&gt;N588,N588,SUM(O589:O595))</f>
        <v>0</v>
      </c>
      <c r="Q588" s="289" t="s">
        <v>1818</v>
      </c>
      <c r="R588" s="22"/>
      <c r="S588" s="326">
        <f>N588</f>
        <v>0</v>
      </c>
      <c r="T588" s="326">
        <f>IF(SUM(T589:T595)&gt;S588,S588,SUM(T589:T595))</f>
        <v>0</v>
      </c>
      <c r="V588" s="289" t="s">
        <v>1818</v>
      </c>
      <c r="W588" s="22"/>
      <c r="X588" s="326">
        <f>S588</f>
        <v>0</v>
      </c>
      <c r="Y588" s="326">
        <f>IF(SUM(Y589:Y595)&gt;X588,X588,SUM(Y589:Y595))</f>
        <v>0</v>
      </c>
      <c r="AA588" s="327"/>
      <c r="AB588" s="342"/>
    </row>
    <row r="589" spans="2:28" ht="17.25" outlineLevel="3" x14ac:dyDescent="0.25">
      <c r="E589" s="287" t="s">
        <v>1586</v>
      </c>
      <c r="F589" s="287" t="s">
        <v>1983</v>
      </c>
      <c r="G589" s="287"/>
      <c r="H589" s="285">
        <f>IF(Checklist!J589="",0,Checklist!J589)</f>
        <v>0</v>
      </c>
      <c r="I589" s="285">
        <f>IF(Checklist!K589="",0,Checklist!K589)</f>
        <v>0</v>
      </c>
      <c r="J589" s="337"/>
      <c r="K589" s="337">
        <f>H589*AA589*J588</f>
        <v>0</v>
      </c>
      <c r="L589" s="338"/>
      <c r="M589" s="339">
        <f>I589*AA589*L588</f>
        <v>0</v>
      </c>
      <c r="N589" s="333"/>
      <c r="O589" s="333">
        <f t="shared" ref="O589:O595" si="173">M589+K589</f>
        <v>0</v>
      </c>
      <c r="Q589" s="285">
        <f>IF(Checklist!M589="",0,Checklist!M589)</f>
        <v>0</v>
      </c>
      <c r="R589" s="22"/>
      <c r="S589" s="334"/>
      <c r="T589" s="333">
        <f>Q589*AA589*S588</f>
        <v>0</v>
      </c>
      <c r="V589" s="285">
        <f>IF(Checklist!P589="",0,Checklist!P589)</f>
        <v>0</v>
      </c>
      <c r="W589" s="22"/>
      <c r="X589" s="334"/>
      <c r="Y589" s="333">
        <f>V589*AA589*X588</f>
        <v>0</v>
      </c>
      <c r="AA589" s="335">
        <v>1</v>
      </c>
    </row>
    <row r="590" spans="2:28" ht="17.25" outlineLevel="3" x14ac:dyDescent="0.25">
      <c r="B590" s="22"/>
      <c r="E590" s="287" t="s">
        <v>1587</v>
      </c>
      <c r="F590" s="287" t="s">
        <v>1984</v>
      </c>
      <c r="G590" s="287"/>
      <c r="H590" s="285">
        <f>IF(Checklist!J590="",0,Checklist!J590)</f>
        <v>0</v>
      </c>
      <c r="I590" s="285">
        <f>IF(Checklist!K590="",0,Checklist!K590)</f>
        <v>0</v>
      </c>
      <c r="J590" s="337"/>
      <c r="K590" s="337">
        <f>H590*AA590*J588</f>
        <v>0</v>
      </c>
      <c r="L590" s="338"/>
      <c r="M590" s="339">
        <f>I590*AA590*L588</f>
        <v>0</v>
      </c>
      <c r="N590" s="333"/>
      <c r="O590" s="333">
        <f t="shared" si="173"/>
        <v>0</v>
      </c>
      <c r="Q590" s="285">
        <f>IF(Checklist!M590="",0,Checklist!M590)</f>
        <v>0</v>
      </c>
      <c r="R590" s="22"/>
      <c r="S590" s="334"/>
      <c r="T590" s="333">
        <f>Q590*AA590*S588</f>
        <v>0</v>
      </c>
      <c r="V590" s="285">
        <f>IF(Checklist!P590="",0,Checklist!P590)</f>
        <v>0</v>
      </c>
      <c r="W590" s="22"/>
      <c r="X590" s="334"/>
      <c r="Y590" s="333">
        <f>V590*AA590*X588</f>
        <v>0</v>
      </c>
      <c r="AA590" s="335">
        <v>0.8</v>
      </c>
    </row>
    <row r="591" spans="2:28" ht="17.25" outlineLevel="3" x14ac:dyDescent="0.25">
      <c r="E591" s="287" t="s">
        <v>1588</v>
      </c>
      <c r="F591" s="287" t="s">
        <v>1985</v>
      </c>
      <c r="G591" s="287"/>
      <c r="H591" s="285">
        <f>IF(Checklist!J591="",0,Checklist!J591)</f>
        <v>0</v>
      </c>
      <c r="I591" s="285">
        <f>IF(Checklist!K591="",0,Checklist!K591)</f>
        <v>0</v>
      </c>
      <c r="J591" s="337"/>
      <c r="K591" s="337">
        <f>H591*AA591*J588</f>
        <v>0</v>
      </c>
      <c r="L591" s="338"/>
      <c r="M591" s="339">
        <f>I591*AA591*L588</f>
        <v>0</v>
      </c>
      <c r="N591" s="333"/>
      <c r="O591" s="333">
        <f t="shared" si="173"/>
        <v>0</v>
      </c>
      <c r="Q591" s="285">
        <f>IF(Checklist!M591="",0,Checklist!M591)</f>
        <v>0</v>
      </c>
      <c r="R591" s="22"/>
      <c r="S591" s="334"/>
      <c r="T591" s="333">
        <f>Q591*AA591*S588</f>
        <v>0</v>
      </c>
      <c r="V591" s="285">
        <f>IF(Checklist!P591="",0,Checklist!P591)</f>
        <v>0</v>
      </c>
      <c r="W591" s="22"/>
      <c r="X591" s="334"/>
      <c r="Y591" s="333">
        <f>V591*AA591*X588</f>
        <v>0</v>
      </c>
      <c r="AA591" s="335">
        <v>0.6</v>
      </c>
    </row>
    <row r="592" spans="2:28" ht="17.25" outlineLevel="3" x14ac:dyDescent="0.25">
      <c r="E592" s="287" t="s">
        <v>1589</v>
      </c>
      <c r="F592" s="287" t="s">
        <v>1986</v>
      </c>
      <c r="G592" s="287"/>
      <c r="H592" s="285">
        <f>IF(Checklist!J592="",0,Checklist!J592)</f>
        <v>0</v>
      </c>
      <c r="I592" s="285">
        <f>IF(Checklist!K592="",0,Checklist!K592)</f>
        <v>0</v>
      </c>
      <c r="J592" s="337"/>
      <c r="K592" s="337">
        <f>H592*AA592*J588</f>
        <v>0</v>
      </c>
      <c r="L592" s="338"/>
      <c r="M592" s="339">
        <f>I592*AA592*L588</f>
        <v>0</v>
      </c>
      <c r="N592" s="333"/>
      <c r="O592" s="333">
        <f t="shared" si="173"/>
        <v>0</v>
      </c>
      <c r="Q592" s="285">
        <f>IF(Checklist!M592="",0,Checklist!M592)</f>
        <v>0</v>
      </c>
      <c r="R592" s="22"/>
      <c r="S592" s="334"/>
      <c r="T592" s="333">
        <f>Q592*AA592*S588</f>
        <v>0</v>
      </c>
      <c r="V592" s="285">
        <f>IF(Checklist!P592="",0,Checklist!P592)</f>
        <v>0</v>
      </c>
      <c r="W592" s="22"/>
      <c r="X592" s="334"/>
      <c r="Y592" s="333">
        <f>V592*AA592*X588</f>
        <v>0</v>
      </c>
      <c r="AA592" s="335">
        <v>0.4</v>
      </c>
    </row>
    <row r="593" spans="2:29" ht="17.25" outlineLevel="3" x14ac:dyDescent="0.25">
      <c r="E593" s="287" t="s">
        <v>1590</v>
      </c>
      <c r="F593" s="287" t="s">
        <v>1987</v>
      </c>
      <c r="G593" s="287"/>
      <c r="H593" s="285">
        <f>IF(Checklist!J593="",0,Checklist!J593)</f>
        <v>0</v>
      </c>
      <c r="I593" s="285">
        <f>IF(Checklist!K593="",0,Checklist!K593)</f>
        <v>0</v>
      </c>
      <c r="J593" s="337"/>
      <c r="K593" s="337">
        <f>H593*AA593*J588</f>
        <v>0</v>
      </c>
      <c r="L593" s="338"/>
      <c r="M593" s="339">
        <f>I593*AA593*L588</f>
        <v>0</v>
      </c>
      <c r="N593" s="333"/>
      <c r="O593" s="333">
        <f t="shared" si="173"/>
        <v>0</v>
      </c>
      <c r="Q593" s="285">
        <f>IF(Checklist!M593="",0,Checklist!M593)</f>
        <v>0</v>
      </c>
      <c r="R593" s="22"/>
      <c r="S593" s="334"/>
      <c r="T593" s="333">
        <f>Q593*AA593*S588</f>
        <v>0</v>
      </c>
      <c r="V593" s="285">
        <f>IF(Checklist!P593="",0,Checklist!P593)</f>
        <v>0</v>
      </c>
      <c r="W593" s="22"/>
      <c r="X593" s="334"/>
      <c r="Y593" s="333">
        <f>V593*AA593*X588</f>
        <v>0</v>
      </c>
      <c r="AA593" s="335">
        <v>0.2</v>
      </c>
    </row>
    <row r="594" spans="2:29" ht="17.25" outlineLevel="3" x14ac:dyDescent="0.25">
      <c r="E594" s="287" t="s">
        <v>1591</v>
      </c>
      <c r="F594" s="287" t="s">
        <v>1988</v>
      </c>
      <c r="G594" s="287"/>
      <c r="H594" s="285">
        <f>IF(Checklist!J594="",0,Checklist!J594)</f>
        <v>0</v>
      </c>
      <c r="I594" s="285">
        <f>IF(Checklist!K594="",0,Checklist!K594)</f>
        <v>0</v>
      </c>
      <c r="J594" s="337"/>
      <c r="K594" s="337">
        <f>H594*AA594*J588</f>
        <v>0</v>
      </c>
      <c r="L594" s="338"/>
      <c r="M594" s="339">
        <f>I594*AA594*L588</f>
        <v>0</v>
      </c>
      <c r="N594" s="333"/>
      <c r="O594" s="333">
        <f t="shared" si="173"/>
        <v>0</v>
      </c>
      <c r="Q594" s="285">
        <f>IF(Checklist!M594="",0,Checklist!M594)</f>
        <v>0</v>
      </c>
      <c r="R594" s="22"/>
      <c r="S594" s="334"/>
      <c r="T594" s="333">
        <f>Q594*AA594*S588</f>
        <v>0</v>
      </c>
      <c r="V594" s="285">
        <f>IF(Checklist!P594="",0,Checklist!P594)</f>
        <v>0</v>
      </c>
      <c r="W594" s="22"/>
      <c r="X594" s="334"/>
      <c r="Y594" s="333">
        <f>V594*AA594*X588</f>
        <v>0</v>
      </c>
      <c r="AA594" s="335">
        <v>0</v>
      </c>
    </row>
    <row r="595" spans="2:29" outlineLevel="3" x14ac:dyDescent="0.25">
      <c r="E595" s="287" t="s">
        <v>1592</v>
      </c>
      <c r="F595" s="287" t="s">
        <v>943</v>
      </c>
      <c r="G595" s="287"/>
      <c r="H595" s="285">
        <f>IF(Checklist!J595="",0,Checklist!J595)</f>
        <v>1</v>
      </c>
      <c r="I595" s="285">
        <f>IF(Checklist!K595="",0,Checklist!K595)</f>
        <v>1</v>
      </c>
      <c r="J595" s="337"/>
      <c r="K595" s="337">
        <f>H595*AA595*J588</f>
        <v>0</v>
      </c>
      <c r="L595" s="338"/>
      <c r="M595" s="339">
        <f>I595*AA595*L588</f>
        <v>0</v>
      </c>
      <c r="N595" s="333"/>
      <c r="O595" s="333">
        <f t="shared" si="173"/>
        <v>0</v>
      </c>
      <c r="Q595" s="285">
        <f>IF(Checklist!M595="",0,Checklist!M595)</f>
        <v>1</v>
      </c>
      <c r="R595" s="22"/>
      <c r="S595" s="334"/>
      <c r="T595" s="333">
        <f>Q595*AA595*S588</f>
        <v>0</v>
      </c>
      <c r="V595" s="285">
        <f>IF(Checklist!P595="",0,Checklist!P595)</f>
        <v>1</v>
      </c>
      <c r="W595" s="22"/>
      <c r="X595" s="334"/>
      <c r="Y595" s="333">
        <f>V595*AA595*X588</f>
        <v>0</v>
      </c>
      <c r="AA595" s="335">
        <v>0</v>
      </c>
    </row>
    <row r="596" spans="2:29" outlineLevel="1" x14ac:dyDescent="0.25">
      <c r="B596" s="22"/>
      <c r="H596" s="291"/>
      <c r="I596" s="291"/>
      <c r="J596" s="315"/>
      <c r="K596" s="315"/>
      <c r="L596" s="316"/>
      <c r="M596" s="316"/>
      <c r="N596" s="317"/>
      <c r="O596" s="317"/>
      <c r="Q596" s="291"/>
      <c r="R596" s="22"/>
      <c r="S596" s="315"/>
      <c r="T596" s="317"/>
      <c r="V596" s="291"/>
      <c r="W596" s="22"/>
      <c r="X596" s="315"/>
      <c r="Y596" s="317"/>
      <c r="AA596" s="347"/>
    </row>
    <row r="597" spans="2:29" outlineLevel="1" x14ac:dyDescent="0.25">
      <c r="C597" s="348" t="s">
        <v>889</v>
      </c>
      <c r="D597" s="275" t="s">
        <v>1850</v>
      </c>
      <c r="E597" s="275"/>
      <c r="F597" s="275"/>
      <c r="G597" s="275"/>
      <c r="H597" s="276"/>
      <c r="I597" s="277"/>
      <c r="J597" s="319">
        <f t="shared" si="165"/>
        <v>0</v>
      </c>
      <c r="K597" s="319">
        <f>K598+K605+K612</f>
        <v>0</v>
      </c>
      <c r="L597" s="320">
        <f t="shared" si="166"/>
        <v>0</v>
      </c>
      <c r="M597" s="320">
        <f>M598+M605+M612</f>
        <v>0</v>
      </c>
      <c r="N597" s="321">
        <f>N598+N605+N612</f>
        <v>0</v>
      </c>
      <c r="O597" s="321">
        <f>O598+O605+O612</f>
        <v>0</v>
      </c>
      <c r="Q597" s="276"/>
      <c r="R597" s="22"/>
      <c r="S597" s="321">
        <f>N597</f>
        <v>0</v>
      </c>
      <c r="T597" s="321">
        <f>T598+T605+T612</f>
        <v>0</v>
      </c>
      <c r="V597" s="276"/>
      <c r="W597" s="22"/>
      <c r="X597" s="321">
        <f>S597</f>
        <v>0</v>
      </c>
      <c r="Y597" s="321">
        <f>Y598+Y605+Y612</f>
        <v>0</v>
      </c>
      <c r="AA597" s="322"/>
      <c r="AB597" s="344"/>
    </row>
    <row r="598" spans="2:29" ht="29.1" customHeight="1" outlineLevel="2" x14ac:dyDescent="0.25">
      <c r="D598" s="278" t="s">
        <v>890</v>
      </c>
      <c r="E598" s="505" t="s">
        <v>1593</v>
      </c>
      <c r="F598" s="505"/>
      <c r="G598" s="505"/>
      <c r="H598" s="289" t="s">
        <v>729</v>
      </c>
      <c r="I598" s="288" t="s">
        <v>729</v>
      </c>
      <c r="J598" s="324">
        <f t="shared" si="165"/>
        <v>0</v>
      </c>
      <c r="K598" s="324">
        <f>IF(SUM(K599:K604)&gt;J598,J598,SUM(K599:K604))</f>
        <v>0</v>
      </c>
      <c r="L598" s="325">
        <f t="shared" si="166"/>
        <v>0</v>
      </c>
      <c r="M598" s="325">
        <f>IF(SUM(M599:M604)&gt;L598,L598,SUM(M599:M604))</f>
        <v>0</v>
      </c>
      <c r="N598" s="326">
        <f>Ponderações!P121*100</f>
        <v>0</v>
      </c>
      <c r="O598" s="326">
        <f>IF(SUM(O599:O604)&gt;N598,N598,SUM(O599:O604))</f>
        <v>0</v>
      </c>
      <c r="Q598" s="289" t="s">
        <v>729</v>
      </c>
      <c r="R598" s="22"/>
      <c r="S598" s="326">
        <f>N598</f>
        <v>0</v>
      </c>
      <c r="T598" s="326">
        <f>IF(SUM(T599:T604)&gt;S598,S598,SUM(T599:T604))</f>
        <v>0</v>
      </c>
      <c r="V598" s="289" t="s">
        <v>729</v>
      </c>
      <c r="W598" s="22"/>
      <c r="X598" s="326">
        <f>S598</f>
        <v>0</v>
      </c>
      <c r="Y598" s="326">
        <f>IF(SUM(Y599:Y604)&gt;X598,X598,SUM(Y599:Y604))</f>
        <v>0</v>
      </c>
      <c r="AA598" s="327"/>
      <c r="AB598" s="327">
        <f>SUMPRODUCT(AB599:AB604,AC599:AC604)</f>
        <v>1.45</v>
      </c>
    </row>
    <row r="599" spans="2:29" outlineLevel="3" x14ac:dyDescent="0.25">
      <c r="E599" s="35" t="s">
        <v>1594</v>
      </c>
      <c r="F599" s="35" t="s">
        <v>935</v>
      </c>
      <c r="G599" s="35"/>
      <c r="H599" s="282">
        <f>IF(Checklist!J599="",0,Checklist!J599)</f>
        <v>0</v>
      </c>
      <c r="I599" s="282">
        <f>IF(Checklist!K599="",0,Checklist!K599)</f>
        <v>0</v>
      </c>
      <c r="J599" s="337"/>
      <c r="K599" s="337">
        <f>H599*AA599*J598</f>
        <v>0</v>
      </c>
      <c r="L599" s="338"/>
      <c r="M599" s="339">
        <f>I599*AA599*L598</f>
        <v>0</v>
      </c>
      <c r="N599" s="333"/>
      <c r="O599" s="333">
        <f t="shared" ref="O599:O604" si="174">M599+K599</f>
        <v>0</v>
      </c>
      <c r="Q599" s="282">
        <f>IF(Checklist!M599="",0,Checklist!M599)</f>
        <v>0</v>
      </c>
      <c r="R599" s="22"/>
      <c r="S599" s="334"/>
      <c r="T599" s="333">
        <f>Q599*AA599*S598</f>
        <v>0</v>
      </c>
      <c r="V599" s="282">
        <f>IF(Checklist!P599="",0,Checklist!P599)</f>
        <v>0</v>
      </c>
      <c r="W599" s="22"/>
      <c r="X599" s="334"/>
      <c r="Y599" s="333">
        <f>V599*AA599*X598</f>
        <v>0</v>
      </c>
      <c r="AA599" s="335">
        <f>IF($AB$598&lt;100%,AB599*AC599/$AB$598,AC599)</f>
        <v>0.35</v>
      </c>
      <c r="AB599" s="336">
        <v>1</v>
      </c>
      <c r="AC599" s="335">
        <v>0.35</v>
      </c>
    </row>
    <row r="600" spans="2:29" outlineLevel="3" x14ac:dyDescent="0.25">
      <c r="E600" s="35" t="s">
        <v>1595</v>
      </c>
      <c r="F600" s="35" t="s">
        <v>989</v>
      </c>
      <c r="G600" s="35"/>
      <c r="H600" s="282">
        <f>IF(Checklist!J600="",0,Checklist!J600)</f>
        <v>0</v>
      </c>
      <c r="I600" s="282">
        <f>IF(Checklist!K600="",0,Checklist!K600)</f>
        <v>0</v>
      </c>
      <c r="J600" s="337"/>
      <c r="K600" s="337">
        <f>H600*AA600*J598</f>
        <v>0</v>
      </c>
      <c r="L600" s="338"/>
      <c r="M600" s="339">
        <f>I600*AA600*L598</f>
        <v>0</v>
      </c>
      <c r="N600" s="333"/>
      <c r="O600" s="333">
        <f t="shared" si="174"/>
        <v>0</v>
      </c>
      <c r="Q600" s="282">
        <f>IF(Checklist!M600="",0,Checklist!M600)</f>
        <v>0</v>
      </c>
      <c r="R600" s="22"/>
      <c r="S600" s="334"/>
      <c r="T600" s="333">
        <f>Q600*AA600*S598</f>
        <v>0</v>
      </c>
      <c r="V600" s="282">
        <f>IF(Checklist!P600="",0,Checklist!P600)</f>
        <v>0</v>
      </c>
      <c r="W600" s="22"/>
      <c r="X600" s="334"/>
      <c r="Y600" s="333">
        <f>V600*AA600*X598</f>
        <v>0</v>
      </c>
      <c r="AA600" s="335">
        <f t="shared" ref="AA600:AA604" si="175">IF($AB$598&lt;100%,AB600*AC600/$AB$598,AC600)</f>
        <v>0.45</v>
      </c>
      <c r="AB600" s="336">
        <v>1</v>
      </c>
      <c r="AC600" s="335">
        <v>0.45</v>
      </c>
    </row>
    <row r="601" spans="2:29" outlineLevel="3" x14ac:dyDescent="0.25">
      <c r="E601" s="35" t="s">
        <v>1596</v>
      </c>
      <c r="F601" s="281" t="s">
        <v>1878</v>
      </c>
      <c r="G601" s="35"/>
      <c r="H601" s="282">
        <f>IF(Checklist!J601="",0,Checklist!J601)</f>
        <v>0</v>
      </c>
      <c r="I601" s="282">
        <f>IF(Checklist!K601="",0,Checklist!K601)</f>
        <v>0</v>
      </c>
      <c r="J601" s="337"/>
      <c r="K601" s="337">
        <f>H601*AA601*J598</f>
        <v>0</v>
      </c>
      <c r="L601" s="338"/>
      <c r="M601" s="339">
        <f>I601*AA601*L598</f>
        <v>0</v>
      </c>
      <c r="N601" s="333"/>
      <c r="O601" s="333">
        <f t="shared" si="174"/>
        <v>0</v>
      </c>
      <c r="Q601" s="282">
        <f>IF(Checklist!M601="",0,Checklist!M601)</f>
        <v>0</v>
      </c>
      <c r="R601" s="22"/>
      <c r="S601" s="334"/>
      <c r="T601" s="333">
        <f>Q601*AA601*S598</f>
        <v>0</v>
      </c>
      <c r="V601" s="282">
        <f>IF(Checklist!P601="",0,Checklist!P601)</f>
        <v>0</v>
      </c>
      <c r="W601" s="22"/>
      <c r="X601" s="334"/>
      <c r="Y601" s="333">
        <f>V601*AA601*X598</f>
        <v>0</v>
      </c>
      <c r="AA601" s="335">
        <f>IF(AB601=0,0%,AC601)</f>
        <v>0.45</v>
      </c>
      <c r="AB601" s="336">
        <v>1</v>
      </c>
      <c r="AC601" s="335">
        <v>0.45</v>
      </c>
    </row>
    <row r="602" spans="2:29" outlineLevel="3" x14ac:dyDescent="0.25">
      <c r="E602" s="35" t="s">
        <v>1597</v>
      </c>
      <c r="F602" s="35" t="s">
        <v>939</v>
      </c>
      <c r="G602" s="35"/>
      <c r="H602" s="282">
        <f>IF(Checklist!J602="",0,Checklist!J602)</f>
        <v>0</v>
      </c>
      <c r="I602" s="282">
        <f>IF(Checklist!K602="",0,Checklist!K602)</f>
        <v>0</v>
      </c>
      <c r="J602" s="337"/>
      <c r="K602" s="337">
        <f>H602*AA602*J598</f>
        <v>0</v>
      </c>
      <c r="L602" s="338"/>
      <c r="M602" s="339">
        <f>I602*AA602*L598</f>
        <v>0</v>
      </c>
      <c r="N602" s="333"/>
      <c r="O602" s="333">
        <f t="shared" si="174"/>
        <v>0</v>
      </c>
      <c r="Q602" s="282">
        <f>IF(Checklist!M602="",0,Checklist!M602)</f>
        <v>0</v>
      </c>
      <c r="R602" s="22"/>
      <c r="S602" s="334"/>
      <c r="T602" s="333">
        <f>Q602*AA602*S598</f>
        <v>0</v>
      </c>
      <c r="V602" s="282">
        <f>IF(Checklist!P602="",0,Checklist!P602)</f>
        <v>0</v>
      </c>
      <c r="W602" s="22"/>
      <c r="X602" s="334"/>
      <c r="Y602" s="333">
        <f>V602*AA602*X598</f>
        <v>0</v>
      </c>
      <c r="AA602" s="335">
        <f>IF(AB602=0,0%,AC602)</f>
        <v>0.2</v>
      </c>
      <c r="AB602" s="336">
        <v>1</v>
      </c>
      <c r="AC602" s="335">
        <v>0.2</v>
      </c>
    </row>
    <row r="603" spans="2:29" outlineLevel="3" x14ac:dyDescent="0.25">
      <c r="E603" s="35" t="s">
        <v>1598</v>
      </c>
      <c r="F603" s="35" t="s">
        <v>941</v>
      </c>
      <c r="G603" s="35"/>
      <c r="H603" s="282">
        <f>IF(Checklist!J603="",0,Checklist!J603)</f>
        <v>0</v>
      </c>
      <c r="I603" s="282">
        <f>IF(Checklist!K603="",0,Checklist!K603)</f>
        <v>0</v>
      </c>
      <c r="J603" s="337"/>
      <c r="K603" s="337">
        <f>H603*AA603*J598</f>
        <v>0</v>
      </c>
      <c r="L603" s="338"/>
      <c r="M603" s="339">
        <f>I603*AA603*L598</f>
        <v>0</v>
      </c>
      <c r="N603" s="333"/>
      <c r="O603" s="333">
        <f t="shared" si="174"/>
        <v>0</v>
      </c>
      <c r="Q603" s="282">
        <f>IF(Checklist!M603="",0,Checklist!M603)</f>
        <v>0</v>
      </c>
      <c r="R603" s="22"/>
      <c r="S603" s="334"/>
      <c r="T603" s="333">
        <f>Q603*AA603*S598</f>
        <v>0</v>
      </c>
      <c r="V603" s="282">
        <f>IF(Checklist!P603="",0,Checklist!P603)</f>
        <v>0</v>
      </c>
      <c r="W603" s="22"/>
      <c r="X603" s="334"/>
      <c r="Y603" s="333">
        <f>V603*AA603*X598</f>
        <v>0</v>
      </c>
      <c r="AA603" s="335">
        <f t="shared" si="175"/>
        <v>0</v>
      </c>
      <c r="AB603" s="336">
        <v>1</v>
      </c>
      <c r="AC603" s="335">
        <v>0</v>
      </c>
    </row>
    <row r="604" spans="2:29" outlineLevel="3" x14ac:dyDescent="0.25">
      <c r="E604" s="35" t="s">
        <v>1599</v>
      </c>
      <c r="F604" s="35" t="s">
        <v>943</v>
      </c>
      <c r="G604" s="35"/>
      <c r="H604" s="282">
        <f>IF(Checklist!J604="",0,Checklist!J604)</f>
        <v>0</v>
      </c>
      <c r="I604" s="282">
        <f>IF(Checklist!K604="",0,Checklist!K604)</f>
        <v>0</v>
      </c>
      <c r="J604" s="337"/>
      <c r="K604" s="337">
        <f>H604*AA604*J598</f>
        <v>0</v>
      </c>
      <c r="L604" s="338"/>
      <c r="M604" s="339">
        <f>I604*AA604*L598</f>
        <v>0</v>
      </c>
      <c r="N604" s="333"/>
      <c r="O604" s="333">
        <f t="shared" si="174"/>
        <v>0</v>
      </c>
      <c r="Q604" s="282">
        <f>IF(Checklist!M604="",0,Checklist!M604)</f>
        <v>0</v>
      </c>
      <c r="R604" s="22"/>
      <c r="S604" s="334"/>
      <c r="T604" s="333">
        <f>Q604*AA604*S598</f>
        <v>0</v>
      </c>
      <c r="V604" s="282">
        <f>IF(Checklist!P604="",0,Checklist!P604)</f>
        <v>0</v>
      </c>
      <c r="W604" s="22"/>
      <c r="X604" s="334"/>
      <c r="Y604" s="333">
        <f>V604*AA604*X598</f>
        <v>0</v>
      </c>
      <c r="AA604" s="335">
        <f t="shared" si="175"/>
        <v>0</v>
      </c>
      <c r="AB604" s="336">
        <v>1</v>
      </c>
      <c r="AC604" s="335">
        <v>0</v>
      </c>
    </row>
    <row r="605" spans="2:29" s="214" customFormat="1" ht="29.65" customHeight="1" outlineLevel="2" x14ac:dyDescent="0.25">
      <c r="B605" s="265"/>
      <c r="D605" s="278" t="s">
        <v>891</v>
      </c>
      <c r="E605" s="495" t="s">
        <v>1893</v>
      </c>
      <c r="F605" s="495"/>
      <c r="G605" s="496"/>
      <c r="H605" s="279" t="s">
        <v>730</v>
      </c>
      <c r="I605" s="280" t="s">
        <v>730</v>
      </c>
      <c r="J605" s="324">
        <f t="shared" si="165"/>
        <v>0</v>
      </c>
      <c r="K605" s="324">
        <f>IF(SUM(K606:K611)&gt;J605,J605,SUM(K606:K611))</f>
        <v>0</v>
      </c>
      <c r="L605" s="325">
        <f t="shared" si="166"/>
        <v>0</v>
      </c>
      <c r="M605" s="325">
        <f>IF(SUM(M606:M611)&gt;L605,L605,SUM(M606:M611))</f>
        <v>0</v>
      </c>
      <c r="N605" s="326">
        <f>Ponderações!P122*100</f>
        <v>0</v>
      </c>
      <c r="O605" s="326">
        <f>IF(SUM(O606:O611)&gt;N605,N605,SUM(O606:O611))</f>
        <v>0</v>
      </c>
      <c r="Q605" s="279" t="s">
        <v>730</v>
      </c>
      <c r="S605" s="326">
        <f>N605</f>
        <v>0</v>
      </c>
      <c r="T605" s="326">
        <f>IF(SUM(T606:T611)&gt;S605,S605,SUM(T606:T611))</f>
        <v>0</v>
      </c>
      <c r="V605" s="279" t="s">
        <v>730</v>
      </c>
      <c r="X605" s="326">
        <f>S605</f>
        <v>0</v>
      </c>
      <c r="Y605" s="326">
        <f>IF(SUM(Y606:Y611)&gt;X605,X605,SUM(Y606:Y611))</f>
        <v>0</v>
      </c>
      <c r="AA605" s="327"/>
      <c r="AB605" s="383"/>
    </row>
    <row r="606" spans="2:29" outlineLevel="3" x14ac:dyDescent="0.25">
      <c r="E606" s="35" t="s">
        <v>1600</v>
      </c>
      <c r="F606" s="35" t="s">
        <v>1601</v>
      </c>
      <c r="G606" s="35"/>
      <c r="H606" s="286">
        <f>IF(Checklist!J606="",0,Checklist!J606)</f>
        <v>0</v>
      </c>
      <c r="I606" s="286">
        <f>IF(Checklist!K606="",0,Checklist!K606)</f>
        <v>0</v>
      </c>
      <c r="J606" s="337"/>
      <c r="K606" s="337">
        <f>H606*AA606*J605</f>
        <v>0</v>
      </c>
      <c r="L606" s="338"/>
      <c r="M606" s="339">
        <f>I606*AA606*L605</f>
        <v>0</v>
      </c>
      <c r="N606" s="333"/>
      <c r="O606" s="333">
        <f t="shared" ref="O606:O611" si="176">M606+K606</f>
        <v>0</v>
      </c>
      <c r="Q606" s="286">
        <f>IF(Checklist!M606="",0,Checklist!M606)</f>
        <v>0</v>
      </c>
      <c r="R606" s="22"/>
      <c r="S606" s="334"/>
      <c r="T606" s="333">
        <f>Q606*AA606*S605</f>
        <v>0</v>
      </c>
      <c r="V606" s="286">
        <f>IF(Checklist!P606="",0,Checklist!P606)</f>
        <v>0</v>
      </c>
      <c r="W606" s="22"/>
      <c r="X606" s="334"/>
      <c r="Y606" s="333">
        <f>V606*AA606*X605</f>
        <v>0</v>
      </c>
      <c r="AA606" s="335">
        <v>1</v>
      </c>
    </row>
    <row r="607" spans="2:29" outlineLevel="3" x14ac:dyDescent="0.25">
      <c r="E607" s="35" t="s">
        <v>1602</v>
      </c>
      <c r="F607" s="35" t="s">
        <v>1819</v>
      </c>
      <c r="G607" s="35"/>
      <c r="H607" s="286">
        <f>IF(Checklist!J607="",0,Checklist!J607)</f>
        <v>0</v>
      </c>
      <c r="I607" s="286">
        <f>IF(Checklist!K607="",0,Checklist!K607)</f>
        <v>0</v>
      </c>
      <c r="J607" s="337"/>
      <c r="K607" s="337">
        <f>H607*AA607*J605</f>
        <v>0</v>
      </c>
      <c r="L607" s="338"/>
      <c r="M607" s="339">
        <f>I607*AA607*L605</f>
        <v>0</v>
      </c>
      <c r="N607" s="333"/>
      <c r="O607" s="333">
        <f t="shared" si="176"/>
        <v>0</v>
      </c>
      <c r="Q607" s="286">
        <f>IF(Checklist!M607="",0,Checklist!M607)</f>
        <v>0</v>
      </c>
      <c r="R607" s="22"/>
      <c r="S607" s="334"/>
      <c r="T607" s="333">
        <f>Q607*AA607*S605</f>
        <v>0</v>
      </c>
      <c r="V607" s="286">
        <f>IF(Checklist!P607="",0,Checklist!P607)</f>
        <v>0</v>
      </c>
      <c r="W607" s="22"/>
      <c r="X607" s="334"/>
      <c r="Y607" s="333">
        <f>V607*AA607*X605</f>
        <v>0</v>
      </c>
      <c r="AA607" s="335">
        <v>0.75</v>
      </c>
    </row>
    <row r="608" spans="2:29" outlineLevel="3" x14ac:dyDescent="0.25">
      <c r="E608" s="35" t="s">
        <v>1603</v>
      </c>
      <c r="F608" s="35" t="s">
        <v>1820</v>
      </c>
      <c r="G608" s="35"/>
      <c r="H608" s="286">
        <f>IF(Checklist!J608="",0,Checklist!J608)</f>
        <v>0</v>
      </c>
      <c r="I608" s="286">
        <f>IF(Checklist!K608="",0,Checklist!K608)</f>
        <v>0</v>
      </c>
      <c r="J608" s="337"/>
      <c r="K608" s="337">
        <f>H608*AA608*J605</f>
        <v>0</v>
      </c>
      <c r="L608" s="338"/>
      <c r="M608" s="339">
        <f>I608*AA608*L605</f>
        <v>0</v>
      </c>
      <c r="N608" s="333"/>
      <c r="O608" s="333">
        <f t="shared" si="176"/>
        <v>0</v>
      </c>
      <c r="Q608" s="286">
        <f>IF(Checklist!M608="",0,Checklist!M608)</f>
        <v>0</v>
      </c>
      <c r="R608" s="22"/>
      <c r="S608" s="334"/>
      <c r="T608" s="333">
        <f>Q608*AA608*S605</f>
        <v>0</v>
      </c>
      <c r="V608" s="286">
        <f>IF(Checklist!P608="",0,Checklist!P608)</f>
        <v>0</v>
      </c>
      <c r="W608" s="22"/>
      <c r="X608" s="334"/>
      <c r="Y608" s="333">
        <f>V608*AA608*X605</f>
        <v>0</v>
      </c>
      <c r="AA608" s="335">
        <v>0.5</v>
      </c>
    </row>
    <row r="609" spans="2:28" outlineLevel="3" x14ac:dyDescent="0.25">
      <c r="E609" s="35" t="s">
        <v>1604</v>
      </c>
      <c r="F609" s="35" t="s">
        <v>1821</v>
      </c>
      <c r="G609" s="35"/>
      <c r="H609" s="286">
        <f>IF(Checklist!J609="",0,Checklist!J609)</f>
        <v>0</v>
      </c>
      <c r="I609" s="286">
        <f>IF(Checklist!K609="",0,Checklist!K609)</f>
        <v>0</v>
      </c>
      <c r="J609" s="337"/>
      <c r="K609" s="337">
        <f>H609*AA609*J605</f>
        <v>0</v>
      </c>
      <c r="L609" s="338"/>
      <c r="M609" s="339">
        <f>I609*AA609*L605</f>
        <v>0</v>
      </c>
      <c r="N609" s="333"/>
      <c r="O609" s="333">
        <f t="shared" si="176"/>
        <v>0</v>
      </c>
      <c r="Q609" s="286">
        <f>IF(Checklist!M609="",0,Checklist!M609)</f>
        <v>0</v>
      </c>
      <c r="R609" s="22"/>
      <c r="S609" s="334"/>
      <c r="T609" s="333">
        <f>Q609*AA609*S605</f>
        <v>0</v>
      </c>
      <c r="V609" s="286">
        <f>IF(Checklist!P609="",0,Checklist!P609)</f>
        <v>0</v>
      </c>
      <c r="W609" s="22"/>
      <c r="X609" s="334"/>
      <c r="Y609" s="333">
        <f>V609*AA609*X605</f>
        <v>0</v>
      </c>
      <c r="AA609" s="335">
        <v>0.25</v>
      </c>
    </row>
    <row r="610" spans="2:28" outlineLevel="3" x14ac:dyDescent="0.25">
      <c r="E610" s="35" t="s">
        <v>1605</v>
      </c>
      <c r="F610" s="35" t="s">
        <v>1606</v>
      </c>
      <c r="G610" s="35"/>
      <c r="H610" s="286">
        <f>IF(Checklist!J610="",0,Checklist!J610)</f>
        <v>0</v>
      </c>
      <c r="I610" s="286">
        <f>IF(Checklist!K610="",0,Checklist!K610)</f>
        <v>0</v>
      </c>
      <c r="J610" s="337"/>
      <c r="K610" s="337">
        <f>H610*AA610*J605</f>
        <v>0</v>
      </c>
      <c r="L610" s="338"/>
      <c r="M610" s="339">
        <f>I610*AA610*L605</f>
        <v>0</v>
      </c>
      <c r="N610" s="333"/>
      <c r="O610" s="333">
        <f t="shared" si="176"/>
        <v>0</v>
      </c>
      <c r="Q610" s="286">
        <f>IF(Checklist!M610="",0,Checklist!M610)</f>
        <v>0</v>
      </c>
      <c r="R610" s="22"/>
      <c r="S610" s="334"/>
      <c r="T610" s="333">
        <f>Q610*AA610*S605</f>
        <v>0</v>
      </c>
      <c r="V610" s="286">
        <f>IF(Checklist!P610="",0,Checklist!P610)</f>
        <v>0</v>
      </c>
      <c r="W610" s="22"/>
      <c r="X610" s="334"/>
      <c r="Y610" s="333">
        <f>V610*AA610*X605</f>
        <v>0</v>
      </c>
      <c r="AA610" s="335">
        <v>0</v>
      </c>
    </row>
    <row r="611" spans="2:28" outlineLevel="3" x14ac:dyDescent="0.25">
      <c r="E611" s="35" t="s">
        <v>1607</v>
      </c>
      <c r="F611" s="35" t="s">
        <v>943</v>
      </c>
      <c r="G611" s="35"/>
      <c r="H611" s="286">
        <f>IF(Checklist!J611="",0,Checklist!J611)</f>
        <v>0</v>
      </c>
      <c r="I611" s="286">
        <f>IF(Checklist!K611="",0,Checklist!K611)</f>
        <v>0</v>
      </c>
      <c r="J611" s="337"/>
      <c r="K611" s="337">
        <f>H611*AA611*J605</f>
        <v>0</v>
      </c>
      <c r="L611" s="338"/>
      <c r="M611" s="339">
        <f>I611*AA611*L605</f>
        <v>0</v>
      </c>
      <c r="N611" s="333"/>
      <c r="O611" s="333">
        <f t="shared" si="176"/>
        <v>0</v>
      </c>
      <c r="Q611" s="286">
        <f>IF(Checklist!M611="",0,Checklist!M611)</f>
        <v>0</v>
      </c>
      <c r="R611" s="22"/>
      <c r="S611" s="334"/>
      <c r="T611" s="333">
        <f>Q611*AA611*S605</f>
        <v>0</v>
      </c>
      <c r="V611" s="286">
        <f>IF(Checklist!P611="",0,Checklist!P611)</f>
        <v>0</v>
      </c>
      <c r="W611" s="22"/>
      <c r="X611" s="334"/>
      <c r="Y611" s="333">
        <f>V611*AA611*X605</f>
        <v>0</v>
      </c>
      <c r="AA611" s="335">
        <v>0</v>
      </c>
    </row>
    <row r="612" spans="2:28" ht="29.1" customHeight="1" outlineLevel="2" x14ac:dyDescent="0.25">
      <c r="D612" s="278" t="s">
        <v>892</v>
      </c>
      <c r="E612" s="505" t="s">
        <v>1851</v>
      </c>
      <c r="F612" s="505"/>
      <c r="G612" s="505"/>
      <c r="H612" s="289" t="s">
        <v>730</v>
      </c>
      <c r="I612" s="288" t="s">
        <v>730</v>
      </c>
      <c r="J612" s="324">
        <f t="shared" si="165"/>
        <v>0</v>
      </c>
      <c r="K612" s="324">
        <f>IF(SUM(K613:K618)&gt;J612,J612,SUM(K613:K618))</f>
        <v>0</v>
      </c>
      <c r="L612" s="325">
        <f t="shared" si="166"/>
        <v>0</v>
      </c>
      <c r="M612" s="325">
        <f>IF(SUM(M613:M618)&gt;L612,L612,SUM(M613:M618))</f>
        <v>0</v>
      </c>
      <c r="N612" s="326">
        <f>Ponderações!P123*100</f>
        <v>0</v>
      </c>
      <c r="O612" s="326">
        <f>IF(SUM(O613:O618)&gt;N612,N612,SUM(O613:O618))</f>
        <v>0</v>
      </c>
      <c r="Q612" s="289" t="s">
        <v>730</v>
      </c>
      <c r="R612" s="22"/>
      <c r="S612" s="326">
        <f>N612</f>
        <v>0</v>
      </c>
      <c r="T612" s="326">
        <f>IF(SUM(T613:T618)&gt;S612,S612,SUM(T613:T618))</f>
        <v>0</v>
      </c>
      <c r="V612" s="289" t="s">
        <v>730</v>
      </c>
      <c r="W612" s="22"/>
      <c r="X612" s="326">
        <f>S612</f>
        <v>0</v>
      </c>
      <c r="Y612" s="326">
        <f>IF(SUM(Y613:Y618)&gt;X612,X612,SUM(Y613:Y618))</f>
        <v>0</v>
      </c>
      <c r="AA612" s="327"/>
      <c r="AB612" s="342"/>
    </row>
    <row r="613" spans="2:28" outlineLevel="3" x14ac:dyDescent="0.25">
      <c r="E613" s="35" t="s">
        <v>1608</v>
      </c>
      <c r="F613" s="35" t="s">
        <v>1609</v>
      </c>
      <c r="G613" s="35"/>
      <c r="H613" s="285">
        <f>IF(Checklist!J613="",0,Checklist!J613)</f>
        <v>0</v>
      </c>
      <c r="I613" s="285">
        <f>IF(Checklist!K613="",0,Checklist!K613)</f>
        <v>0</v>
      </c>
      <c r="J613" s="337"/>
      <c r="K613" s="337">
        <f>H613*AA613*J612</f>
        <v>0</v>
      </c>
      <c r="L613" s="338"/>
      <c r="M613" s="339">
        <f>I613*AA613*L612</f>
        <v>0</v>
      </c>
      <c r="N613" s="333"/>
      <c r="O613" s="333">
        <f t="shared" ref="O613:O618" si="177">M613+K613</f>
        <v>0</v>
      </c>
      <c r="Q613" s="285">
        <f>IF(Checklist!M613="",0,Checklist!M613)</f>
        <v>0</v>
      </c>
      <c r="R613" s="22"/>
      <c r="S613" s="334"/>
      <c r="T613" s="333">
        <f>Q613*AA613*S612</f>
        <v>0</v>
      </c>
      <c r="V613" s="285">
        <f>IF(Checklist!P613="",0,Checklist!P613)</f>
        <v>0</v>
      </c>
      <c r="W613" s="22"/>
      <c r="X613" s="334"/>
      <c r="Y613" s="333">
        <f>V613*AA613*X612</f>
        <v>0</v>
      </c>
      <c r="AA613" s="335">
        <v>1</v>
      </c>
    </row>
    <row r="614" spans="2:28" outlineLevel="3" x14ac:dyDescent="0.25">
      <c r="E614" s="35" t="s">
        <v>1610</v>
      </c>
      <c r="F614" s="35" t="s">
        <v>1611</v>
      </c>
      <c r="G614" s="35"/>
      <c r="H614" s="285">
        <f>IF(Checklist!J614="",0,Checklist!J614)</f>
        <v>0</v>
      </c>
      <c r="I614" s="285">
        <f>IF(Checklist!K614="",0,Checklist!K614)</f>
        <v>0</v>
      </c>
      <c r="J614" s="337"/>
      <c r="K614" s="337">
        <f>H614*AA614*J612</f>
        <v>0</v>
      </c>
      <c r="L614" s="338"/>
      <c r="M614" s="339">
        <f>I614*AA614*L612</f>
        <v>0</v>
      </c>
      <c r="N614" s="333"/>
      <c r="O614" s="333">
        <f t="shared" si="177"/>
        <v>0</v>
      </c>
      <c r="Q614" s="285">
        <f>IF(Checklist!M614="",0,Checklist!M614)</f>
        <v>0</v>
      </c>
      <c r="R614" s="22"/>
      <c r="S614" s="334"/>
      <c r="T614" s="333">
        <f>Q614*AA614*S612</f>
        <v>0</v>
      </c>
      <c r="V614" s="285">
        <f>IF(Checklist!P614="",0,Checklist!P614)</f>
        <v>0</v>
      </c>
      <c r="W614" s="22"/>
      <c r="X614" s="334"/>
      <c r="Y614" s="333">
        <f>V614*AA614*X612</f>
        <v>0</v>
      </c>
      <c r="AA614" s="335">
        <v>0.75</v>
      </c>
    </row>
    <row r="615" spans="2:28" outlineLevel="3" x14ac:dyDescent="0.25">
      <c r="E615" s="35" t="s">
        <v>1612</v>
      </c>
      <c r="F615" s="35" t="s">
        <v>1613</v>
      </c>
      <c r="G615" s="35"/>
      <c r="H615" s="285">
        <f>IF(Checklist!J615="",0,Checklist!J615)</f>
        <v>0</v>
      </c>
      <c r="I615" s="285">
        <f>IF(Checklist!K615="",0,Checklist!K615)</f>
        <v>0</v>
      </c>
      <c r="J615" s="337"/>
      <c r="K615" s="337">
        <f>H615*AA615*J612</f>
        <v>0</v>
      </c>
      <c r="L615" s="338"/>
      <c r="M615" s="339">
        <f>I615*AA615*L612</f>
        <v>0</v>
      </c>
      <c r="N615" s="333"/>
      <c r="O615" s="333">
        <f t="shared" si="177"/>
        <v>0</v>
      </c>
      <c r="Q615" s="285">
        <f>IF(Checklist!M615="",0,Checklist!M615)</f>
        <v>0</v>
      </c>
      <c r="R615" s="22"/>
      <c r="S615" s="334"/>
      <c r="T615" s="333">
        <f>Q615*AA615*S612</f>
        <v>0</v>
      </c>
      <c r="V615" s="285">
        <f>IF(Checklist!P615="",0,Checklist!P615)</f>
        <v>0</v>
      </c>
      <c r="W615" s="22"/>
      <c r="X615" s="334"/>
      <c r="Y615" s="333">
        <f>V615*AA615*X612</f>
        <v>0</v>
      </c>
      <c r="AA615" s="335">
        <v>0.5</v>
      </c>
    </row>
    <row r="616" spans="2:28" outlineLevel="3" x14ac:dyDescent="0.25">
      <c r="E616" s="35" t="s">
        <v>1614</v>
      </c>
      <c r="F616" s="35" t="s">
        <v>1615</v>
      </c>
      <c r="G616" s="35"/>
      <c r="H616" s="285">
        <f>IF(Checklist!J616="",0,Checklist!J616)</f>
        <v>0</v>
      </c>
      <c r="I616" s="285">
        <f>IF(Checklist!K616="",0,Checklist!K616)</f>
        <v>0</v>
      </c>
      <c r="J616" s="337"/>
      <c r="K616" s="337">
        <f>H616*AA616*J612</f>
        <v>0</v>
      </c>
      <c r="L616" s="338"/>
      <c r="M616" s="339">
        <f>I616*AA616*L612</f>
        <v>0</v>
      </c>
      <c r="N616" s="333"/>
      <c r="O616" s="333">
        <f t="shared" si="177"/>
        <v>0</v>
      </c>
      <c r="Q616" s="285">
        <f>IF(Checklist!M616="",0,Checklist!M616)</f>
        <v>0</v>
      </c>
      <c r="R616" s="22"/>
      <c r="S616" s="334"/>
      <c r="T616" s="333">
        <f>Q616*AA616*S612</f>
        <v>0</v>
      </c>
      <c r="V616" s="285">
        <f>IF(Checklist!P616="",0,Checklist!P616)</f>
        <v>0</v>
      </c>
      <c r="W616" s="22"/>
      <c r="X616" s="334"/>
      <c r="Y616" s="333">
        <f>V616*AA616*X612</f>
        <v>0</v>
      </c>
      <c r="AA616" s="335">
        <v>0.25</v>
      </c>
    </row>
    <row r="617" spans="2:28" outlineLevel="3" x14ac:dyDescent="0.25">
      <c r="E617" s="35" t="s">
        <v>1616</v>
      </c>
      <c r="F617" s="35" t="s">
        <v>1617</v>
      </c>
      <c r="G617" s="35"/>
      <c r="H617" s="285">
        <f>IF(Checklist!J617="",0,Checklist!J617)</f>
        <v>0</v>
      </c>
      <c r="I617" s="285">
        <f>IF(Checklist!K617="",0,Checklist!K617)</f>
        <v>0</v>
      </c>
      <c r="J617" s="337"/>
      <c r="K617" s="337">
        <f>H617*AA617*J612</f>
        <v>0</v>
      </c>
      <c r="L617" s="338"/>
      <c r="M617" s="339">
        <f>I617*AA617*L612</f>
        <v>0</v>
      </c>
      <c r="N617" s="333"/>
      <c r="O617" s="333">
        <f t="shared" si="177"/>
        <v>0</v>
      </c>
      <c r="Q617" s="285">
        <f>IF(Checklist!M615="",0,Checklist!M615)</f>
        <v>0</v>
      </c>
      <c r="R617" s="22"/>
      <c r="S617" s="334"/>
      <c r="T617" s="333">
        <f>Q617*AA617*S612</f>
        <v>0</v>
      </c>
      <c r="V617" s="285">
        <f>IF(Checklist!P615="",0,Checklist!P615)</f>
        <v>0</v>
      </c>
      <c r="W617" s="22"/>
      <c r="X617" s="334"/>
      <c r="Y617" s="333">
        <f>V617*AA617*X612</f>
        <v>0</v>
      </c>
      <c r="AA617" s="335">
        <v>0</v>
      </c>
    </row>
    <row r="618" spans="2:28" outlineLevel="3" x14ac:dyDescent="0.25">
      <c r="E618" s="35" t="s">
        <v>1618</v>
      </c>
      <c r="F618" s="35" t="s">
        <v>943</v>
      </c>
      <c r="G618" s="35"/>
      <c r="H618" s="285">
        <f>IF(Checklist!J618="",0,Checklist!J618)</f>
        <v>0</v>
      </c>
      <c r="I618" s="285">
        <f>IF(Checklist!K618="",0,Checklist!K618)</f>
        <v>0</v>
      </c>
      <c r="J618" s="337"/>
      <c r="K618" s="337">
        <f>H618*AA618*J612</f>
        <v>0</v>
      </c>
      <c r="L618" s="338"/>
      <c r="M618" s="339">
        <f>I618*AA618*L612</f>
        <v>0</v>
      </c>
      <c r="N618" s="333"/>
      <c r="O618" s="333">
        <f t="shared" si="177"/>
        <v>0</v>
      </c>
      <c r="Q618" s="285">
        <f>IF(Checklist!M618="",0,Checklist!M618)</f>
        <v>0</v>
      </c>
      <c r="R618" s="22"/>
      <c r="S618" s="334"/>
      <c r="T618" s="333">
        <f>Q618*AA618*S612</f>
        <v>0</v>
      </c>
      <c r="V618" s="285">
        <f>IF(Checklist!P618="",0,Checklist!P618)</f>
        <v>0</v>
      </c>
      <c r="W618" s="22"/>
      <c r="X618" s="334"/>
      <c r="Y618" s="333">
        <f>V618*AA618*X612</f>
        <v>0</v>
      </c>
      <c r="AA618" s="335">
        <v>0</v>
      </c>
    </row>
    <row r="619" spans="2:28" outlineLevel="1" x14ac:dyDescent="0.25">
      <c r="B619" s="22"/>
      <c r="H619" s="291"/>
      <c r="I619" s="291"/>
      <c r="J619" s="315"/>
      <c r="K619" s="315"/>
      <c r="L619" s="316"/>
      <c r="M619" s="316"/>
      <c r="N619" s="317"/>
      <c r="O619" s="317"/>
      <c r="Q619" s="291"/>
      <c r="R619" s="22"/>
      <c r="S619" s="315"/>
      <c r="T619" s="317"/>
      <c r="V619" s="291"/>
      <c r="W619" s="22"/>
      <c r="X619" s="315"/>
      <c r="Y619" s="317"/>
      <c r="AA619" s="347"/>
    </row>
    <row r="620" spans="2:28" outlineLevel="1" x14ac:dyDescent="0.25">
      <c r="C620" s="348" t="s">
        <v>893</v>
      </c>
      <c r="D620" s="275" t="s">
        <v>894</v>
      </c>
      <c r="E620" s="275"/>
      <c r="F620" s="275"/>
      <c r="G620" s="275"/>
      <c r="H620" s="276"/>
      <c r="I620" s="277"/>
      <c r="J620" s="319">
        <f t="shared" si="165"/>
        <v>0</v>
      </c>
      <c r="K620" s="319">
        <f>K621+K628</f>
        <v>0</v>
      </c>
      <c r="L620" s="320">
        <f t="shared" si="166"/>
        <v>0</v>
      </c>
      <c r="M620" s="320">
        <f>M621+M628</f>
        <v>0</v>
      </c>
      <c r="N620" s="321">
        <f>N621+N628</f>
        <v>0</v>
      </c>
      <c r="O620" s="321">
        <f>O621+O628</f>
        <v>0</v>
      </c>
      <c r="Q620" s="276"/>
      <c r="R620" s="22"/>
      <c r="S620" s="321">
        <f>N620</f>
        <v>0</v>
      </c>
      <c r="T620" s="321">
        <f>T621+T628</f>
        <v>0</v>
      </c>
      <c r="V620" s="276"/>
      <c r="W620" s="22"/>
      <c r="X620" s="321">
        <f>S620</f>
        <v>0</v>
      </c>
      <c r="Y620" s="321">
        <f>Y621+Y628</f>
        <v>0</v>
      </c>
      <c r="AA620" s="322"/>
      <c r="AB620" s="344"/>
    </row>
    <row r="621" spans="2:28" outlineLevel="2" x14ac:dyDescent="0.25">
      <c r="D621" s="284" t="s">
        <v>895</v>
      </c>
      <c r="E621" s="284" t="s">
        <v>1619</v>
      </c>
      <c r="F621" s="284"/>
      <c r="G621" s="284"/>
      <c r="H621" s="289" t="s">
        <v>729</v>
      </c>
      <c r="I621" s="288" t="s">
        <v>729</v>
      </c>
      <c r="J621" s="324">
        <f>N621*0.8</f>
        <v>0</v>
      </c>
      <c r="K621" s="324">
        <f>IF(SUM(K622:K627)&gt;J621,J621,SUM(K622:K627))</f>
        <v>0</v>
      </c>
      <c r="L621" s="325">
        <f t="shared" si="166"/>
        <v>0</v>
      </c>
      <c r="M621" s="325">
        <f>IF(SUM(M622:M627)&gt;L621,L621,SUM(M622:M627))</f>
        <v>0</v>
      </c>
      <c r="N621" s="326">
        <f>Ponderações!P125*100</f>
        <v>0</v>
      </c>
      <c r="O621" s="326">
        <f>IF(SUM(O622:O627)&gt;N621,N621,SUM(O622:O627))</f>
        <v>0</v>
      </c>
      <c r="Q621" s="289" t="s">
        <v>729</v>
      </c>
      <c r="R621" s="22"/>
      <c r="S621" s="326">
        <f>N621</f>
        <v>0</v>
      </c>
      <c r="T621" s="326">
        <f>IF(SUM(T622:T627)&gt;S621,S621,SUM(T622:T627))</f>
        <v>0</v>
      </c>
      <c r="V621" s="289" t="s">
        <v>729</v>
      </c>
      <c r="W621" s="22"/>
      <c r="X621" s="326">
        <f>S621</f>
        <v>0</v>
      </c>
      <c r="Y621" s="326">
        <f>IF(SUM(Y622:Y627)&gt;X621,X621,SUM(Y622:Y627))</f>
        <v>0</v>
      </c>
      <c r="AA621" s="327"/>
      <c r="AB621" s="342"/>
    </row>
    <row r="622" spans="2:28" outlineLevel="3" x14ac:dyDescent="0.25">
      <c r="E622" s="35" t="s">
        <v>1620</v>
      </c>
      <c r="F622" s="384" t="s">
        <v>1621</v>
      </c>
      <c r="G622" s="35"/>
      <c r="H622" s="282">
        <f>IF(Checklist!J622="",0,Checklist!J622)</f>
        <v>0</v>
      </c>
      <c r="I622" s="282">
        <f>IF(Checklist!K622="",0,Checklist!K622)</f>
        <v>0</v>
      </c>
      <c r="J622" s="337"/>
      <c r="K622" s="337">
        <f>H622*AA622*J621</f>
        <v>0</v>
      </c>
      <c r="L622" s="338"/>
      <c r="M622" s="339">
        <f>I622*AA622*L621</f>
        <v>0</v>
      </c>
      <c r="N622" s="333"/>
      <c r="O622" s="333">
        <f t="shared" ref="O622:O627" si="178">M622+K622</f>
        <v>0</v>
      </c>
      <c r="Q622" s="282">
        <f>IF(Checklist!M622="",0,Checklist!M622)</f>
        <v>0</v>
      </c>
      <c r="R622" s="22"/>
      <c r="S622" s="334"/>
      <c r="T622" s="333">
        <f>Q622*AA622*S621</f>
        <v>0</v>
      </c>
      <c r="V622" s="282">
        <f>IF(Checklist!P622="",0,Checklist!P622)</f>
        <v>0</v>
      </c>
      <c r="W622" s="22"/>
      <c r="X622" s="334"/>
      <c r="Y622" s="333">
        <f>V622*AA622*X621</f>
        <v>0</v>
      </c>
      <c r="AA622" s="335">
        <v>0.5</v>
      </c>
    </row>
    <row r="623" spans="2:28" outlineLevel="3" x14ac:dyDescent="0.25">
      <c r="E623" s="35" t="s">
        <v>1622</v>
      </c>
      <c r="F623" s="384" t="s">
        <v>1623</v>
      </c>
      <c r="G623" s="35"/>
      <c r="H623" s="282">
        <f>IF(Checklist!J623="",0,Checklist!J623)</f>
        <v>0</v>
      </c>
      <c r="I623" s="282">
        <f>IF(Checklist!K623="",0,Checklist!K623)</f>
        <v>0</v>
      </c>
      <c r="J623" s="337"/>
      <c r="K623" s="337">
        <f>H623*AA623*J621</f>
        <v>0</v>
      </c>
      <c r="L623" s="338"/>
      <c r="M623" s="339">
        <f>I623*AA623*L621</f>
        <v>0</v>
      </c>
      <c r="N623" s="333"/>
      <c r="O623" s="333">
        <f t="shared" si="178"/>
        <v>0</v>
      </c>
      <c r="Q623" s="282">
        <f>IF(Checklist!M623="",0,Checklist!M623)</f>
        <v>0</v>
      </c>
      <c r="R623" s="22"/>
      <c r="S623" s="334"/>
      <c r="T623" s="333">
        <f>Q623*AA623*S621</f>
        <v>0</v>
      </c>
      <c r="V623" s="282">
        <f>IF(Checklist!P623="",0,Checklist!P623)</f>
        <v>0</v>
      </c>
      <c r="W623" s="22"/>
      <c r="X623" s="334"/>
      <c r="Y623" s="333">
        <f>V623*AA623*X621</f>
        <v>0</v>
      </c>
      <c r="AA623" s="335">
        <v>0.3</v>
      </c>
    </row>
    <row r="624" spans="2:28" outlineLevel="3" x14ac:dyDescent="0.25">
      <c r="E624" s="35" t="s">
        <v>1624</v>
      </c>
      <c r="F624" s="384" t="s">
        <v>1625</v>
      </c>
      <c r="G624" s="35"/>
      <c r="H624" s="282">
        <f>IF(Checklist!J624="",0,Checklist!J624)</f>
        <v>0</v>
      </c>
      <c r="I624" s="282">
        <f>IF(Checklist!K624="",0,Checklist!K624)</f>
        <v>0</v>
      </c>
      <c r="J624" s="337"/>
      <c r="K624" s="337">
        <f>H624*AA624*J621</f>
        <v>0</v>
      </c>
      <c r="L624" s="338"/>
      <c r="M624" s="339">
        <f>I624*AA624*L621</f>
        <v>0</v>
      </c>
      <c r="N624" s="333"/>
      <c r="O624" s="333">
        <f t="shared" si="178"/>
        <v>0</v>
      </c>
      <c r="Q624" s="282">
        <f>IF(Checklist!M624="",0,Checklist!M624)</f>
        <v>0</v>
      </c>
      <c r="R624" s="22"/>
      <c r="S624" s="334"/>
      <c r="T624" s="333">
        <f>Q624*AA624*S621</f>
        <v>0</v>
      </c>
      <c r="V624" s="282">
        <f>IF(Checklist!P624="",0,Checklist!P624)</f>
        <v>0</v>
      </c>
      <c r="W624" s="22"/>
      <c r="X624" s="334"/>
      <c r="Y624" s="333">
        <f>V624*AA624*X621</f>
        <v>0</v>
      </c>
      <c r="AA624" s="335">
        <v>0.1</v>
      </c>
    </row>
    <row r="625" spans="2:28" outlineLevel="3" x14ac:dyDescent="0.25">
      <c r="E625" s="35" t="s">
        <v>1626</v>
      </c>
      <c r="F625" s="384" t="s">
        <v>1627</v>
      </c>
      <c r="G625" s="35"/>
      <c r="H625" s="282">
        <f>IF(Checklist!J625="",0,Checklist!J625)</f>
        <v>0</v>
      </c>
      <c r="I625" s="282">
        <f>IF(Checklist!K625="",0,Checklist!K625)</f>
        <v>0</v>
      </c>
      <c r="J625" s="337"/>
      <c r="K625" s="337">
        <f>H625*AA625*J621</f>
        <v>0</v>
      </c>
      <c r="L625" s="338"/>
      <c r="M625" s="339">
        <f>I625*AA625*L621</f>
        <v>0</v>
      </c>
      <c r="N625" s="333"/>
      <c r="O625" s="333">
        <f t="shared" si="178"/>
        <v>0</v>
      </c>
      <c r="Q625" s="282">
        <f>IF(Checklist!M625="",0,Checklist!M625)</f>
        <v>0</v>
      </c>
      <c r="R625" s="22"/>
      <c r="S625" s="334"/>
      <c r="T625" s="333">
        <f>Q625*AA625*S621</f>
        <v>0</v>
      </c>
      <c r="V625" s="282">
        <f>IF(Checklist!P625="",0,Checklist!P625)</f>
        <v>0</v>
      </c>
      <c r="W625" s="22"/>
      <c r="X625" s="334"/>
      <c r="Y625" s="333">
        <f>V625*AA625*X621</f>
        <v>0</v>
      </c>
      <c r="AA625" s="335">
        <v>0.1</v>
      </c>
    </row>
    <row r="626" spans="2:28" outlineLevel="3" x14ac:dyDescent="0.25">
      <c r="E626" s="35" t="s">
        <v>1628</v>
      </c>
      <c r="F626" s="35" t="s">
        <v>941</v>
      </c>
      <c r="G626" s="35"/>
      <c r="H626" s="282">
        <f>IF(Checklist!J626="",0,Checklist!J626)</f>
        <v>0</v>
      </c>
      <c r="I626" s="282">
        <f>IF(Checklist!K626="",0,Checklist!K626)</f>
        <v>0</v>
      </c>
      <c r="J626" s="337"/>
      <c r="K626" s="337">
        <f>H626*AA626*J621</f>
        <v>0</v>
      </c>
      <c r="L626" s="338"/>
      <c r="M626" s="339">
        <f>I626*AA626*L621</f>
        <v>0</v>
      </c>
      <c r="N626" s="333"/>
      <c r="O626" s="333">
        <f t="shared" si="178"/>
        <v>0</v>
      </c>
      <c r="Q626" s="282">
        <f>IF(Checklist!M626="",0,Checklist!M626)</f>
        <v>0</v>
      </c>
      <c r="R626" s="22"/>
      <c r="S626" s="334"/>
      <c r="T626" s="333">
        <f>Q626*AA626*S621</f>
        <v>0</v>
      </c>
      <c r="V626" s="282">
        <f>IF(Checklist!P626="",0,Checklist!P626)</f>
        <v>0</v>
      </c>
      <c r="W626" s="22"/>
      <c r="X626" s="334"/>
      <c r="Y626" s="333">
        <f>V626*AA626*X621</f>
        <v>0</v>
      </c>
      <c r="AA626" s="335">
        <v>0</v>
      </c>
    </row>
    <row r="627" spans="2:28" outlineLevel="3" x14ac:dyDescent="0.25">
      <c r="E627" s="35" t="s">
        <v>1822</v>
      </c>
      <c r="F627" s="35" t="s">
        <v>943</v>
      </c>
      <c r="G627" s="35"/>
      <c r="H627" s="282">
        <f>IF(Checklist!J627="",0,Checklist!J627)</f>
        <v>0</v>
      </c>
      <c r="I627" s="282">
        <f>IF(Checklist!K627="",0,Checklist!K627)</f>
        <v>0</v>
      </c>
      <c r="J627" s="337"/>
      <c r="K627" s="337">
        <f>H627*AA627*J621</f>
        <v>0</v>
      </c>
      <c r="L627" s="338"/>
      <c r="M627" s="339">
        <f>I627*AA627*L621</f>
        <v>0</v>
      </c>
      <c r="N627" s="333"/>
      <c r="O627" s="333">
        <f t="shared" si="178"/>
        <v>0</v>
      </c>
      <c r="Q627" s="282">
        <f>IF(Checklist!M627="",0,Checklist!M627)</f>
        <v>0</v>
      </c>
      <c r="R627" s="22"/>
      <c r="S627" s="334"/>
      <c r="T627" s="333">
        <f>Q627*AA627*S621</f>
        <v>0</v>
      </c>
      <c r="V627" s="282">
        <f>IF(Checklist!P627="",0,Checklist!P627)</f>
        <v>0</v>
      </c>
      <c r="W627" s="22"/>
      <c r="X627" s="334"/>
      <c r="Y627" s="333">
        <f>V627*AA627*X621</f>
        <v>0</v>
      </c>
      <c r="AA627" s="335">
        <v>0</v>
      </c>
    </row>
    <row r="628" spans="2:28" outlineLevel="2" x14ac:dyDescent="0.25">
      <c r="D628" s="284" t="s">
        <v>897</v>
      </c>
      <c r="E628" s="284" t="s">
        <v>1894</v>
      </c>
      <c r="F628" s="284"/>
      <c r="G628" s="284"/>
      <c r="H628" s="289" t="s">
        <v>730</v>
      </c>
      <c r="I628" s="288" t="s">
        <v>730</v>
      </c>
      <c r="J628" s="324">
        <f t="shared" si="165"/>
        <v>0</v>
      </c>
      <c r="K628" s="324">
        <f>IF(SUM(K629:K633)&gt;J628,J628,SUM(K629:K633))</f>
        <v>0</v>
      </c>
      <c r="L628" s="325">
        <f t="shared" si="166"/>
        <v>0</v>
      </c>
      <c r="M628" s="325">
        <f>IF(SUM(M629:M633)&gt;L628,L628,SUM(M629:M633))</f>
        <v>0</v>
      </c>
      <c r="N628" s="326">
        <f>Ponderações!P126*100</f>
        <v>0</v>
      </c>
      <c r="O628" s="326">
        <f>IF(SUM(O629:O633)&gt;N628,N628,SUM(O629:O633))</f>
        <v>0</v>
      </c>
      <c r="Q628" s="289" t="s">
        <v>730</v>
      </c>
      <c r="R628" s="22"/>
      <c r="S628" s="326">
        <f>N628</f>
        <v>0</v>
      </c>
      <c r="T628" s="326">
        <f>IF(SUM(T629:T633)&gt;S628,S628,SUM(T629:T633))</f>
        <v>0</v>
      </c>
      <c r="V628" s="289" t="s">
        <v>730</v>
      </c>
      <c r="W628" s="22"/>
      <c r="X628" s="326">
        <f>S628</f>
        <v>0</v>
      </c>
      <c r="Y628" s="326">
        <f>IF(SUM(Y629:Y633)&gt;X628,X628,SUM(Y629:Y633))</f>
        <v>0</v>
      </c>
      <c r="AA628" s="327"/>
      <c r="AB628" s="342"/>
    </row>
    <row r="629" spans="2:28" outlineLevel="3" x14ac:dyDescent="0.25">
      <c r="E629" s="35" t="s">
        <v>1629</v>
      </c>
      <c r="F629" s="35" t="s">
        <v>1633</v>
      </c>
      <c r="G629" s="35"/>
      <c r="H629" s="282">
        <f>IF(Checklist!J629="",0,Checklist!J629)</f>
        <v>1</v>
      </c>
      <c r="I629" s="282">
        <f>IF(Checklist!K629="",0,Checklist!K629)</f>
        <v>1</v>
      </c>
      <c r="J629" s="337"/>
      <c r="K629" s="337">
        <f>H629*AA629*J628</f>
        <v>0</v>
      </c>
      <c r="L629" s="338"/>
      <c r="M629" s="339">
        <f>I629*AA629*L628</f>
        <v>0</v>
      </c>
      <c r="N629" s="333"/>
      <c r="O629" s="333">
        <f>M629+K629</f>
        <v>0</v>
      </c>
      <c r="Q629" s="282">
        <f>IF(Checklist!M629="",0,Checklist!M629)</f>
        <v>1</v>
      </c>
      <c r="R629" s="22"/>
      <c r="S629" s="334"/>
      <c r="T629" s="333">
        <f>Q629*AA629*S628</f>
        <v>0</v>
      </c>
      <c r="V629" s="282">
        <f>IF(Checklist!P629="",0,Checklist!P629)</f>
        <v>1</v>
      </c>
      <c r="W629" s="22"/>
      <c r="X629" s="334"/>
      <c r="Y629" s="333">
        <f>V629*AA629*X628</f>
        <v>0</v>
      </c>
      <c r="AA629" s="335">
        <v>1</v>
      </c>
    </row>
    <row r="630" spans="2:28" outlineLevel="3" x14ac:dyDescent="0.25">
      <c r="E630" s="35" t="s">
        <v>1630</v>
      </c>
      <c r="F630" s="35" t="s">
        <v>1896</v>
      </c>
      <c r="G630" s="35"/>
      <c r="H630" s="282">
        <f>IF(Checklist!J630="",0,Checklist!J630)</f>
        <v>0</v>
      </c>
      <c r="I630" s="282">
        <f>IF(Checklist!K630="",0,Checklist!K630)</f>
        <v>0</v>
      </c>
      <c r="J630" s="337"/>
      <c r="K630" s="337">
        <f>H630*AA630*J628</f>
        <v>0</v>
      </c>
      <c r="L630" s="338"/>
      <c r="M630" s="339">
        <f>I630*AA630*L628</f>
        <v>0</v>
      </c>
      <c r="N630" s="333"/>
      <c r="O630" s="333">
        <f>M630+K630</f>
        <v>0</v>
      </c>
      <c r="Q630" s="282">
        <f>IF(Checklist!M630="",0,Checklist!M630)</f>
        <v>0</v>
      </c>
      <c r="R630" s="22"/>
      <c r="S630" s="334"/>
      <c r="T630" s="333">
        <f>Q630*AA630*S628</f>
        <v>0</v>
      </c>
      <c r="V630" s="282">
        <f>IF(Checklist!P630="",0,Checklist!P630)</f>
        <v>0</v>
      </c>
      <c r="W630" s="22"/>
      <c r="X630" s="334"/>
      <c r="Y630" s="333">
        <f>V630*AA630*X628</f>
        <v>0</v>
      </c>
      <c r="AA630" s="335">
        <v>0.75</v>
      </c>
    </row>
    <row r="631" spans="2:28" outlineLevel="3" x14ac:dyDescent="0.25">
      <c r="E631" s="35" t="s">
        <v>1631</v>
      </c>
      <c r="F631" s="35" t="s">
        <v>1897</v>
      </c>
      <c r="G631" s="35"/>
      <c r="H631" s="282">
        <f>IF(Checklist!J631="",0,Checklist!J631)</f>
        <v>0</v>
      </c>
      <c r="I631" s="282">
        <f>IF(Checklist!K631="",0,Checklist!K631)</f>
        <v>0</v>
      </c>
      <c r="J631" s="337"/>
      <c r="K631" s="337">
        <f>H631*AA631*J628</f>
        <v>0</v>
      </c>
      <c r="L631" s="338"/>
      <c r="M631" s="339">
        <f>I631*AA631*L628</f>
        <v>0</v>
      </c>
      <c r="N631" s="333"/>
      <c r="O631" s="333">
        <f>M631+K631</f>
        <v>0</v>
      </c>
      <c r="Q631" s="282">
        <f>IF(Checklist!M631="",0,Checklist!M631)</f>
        <v>0</v>
      </c>
      <c r="R631" s="22"/>
      <c r="S631" s="334"/>
      <c r="T631" s="333">
        <f>Q631*AA631*S628</f>
        <v>0</v>
      </c>
      <c r="V631" s="282">
        <f>IF(Checklist!P631="",0,Checklist!P631)</f>
        <v>0</v>
      </c>
      <c r="W631" s="22"/>
      <c r="X631" s="334"/>
      <c r="Y631" s="333">
        <f>V631*AA631*X628</f>
        <v>0</v>
      </c>
      <c r="AA631" s="335">
        <v>0.25</v>
      </c>
    </row>
    <row r="632" spans="2:28" outlineLevel="3" x14ac:dyDescent="0.25">
      <c r="E632" s="35" t="s">
        <v>1632</v>
      </c>
      <c r="F632" s="35" t="s">
        <v>1898</v>
      </c>
      <c r="G632" s="35"/>
      <c r="H632" s="282">
        <f>IF(Checklist!J632="",0,Checklist!J632)</f>
        <v>0</v>
      </c>
      <c r="I632" s="282">
        <f>IF(Checklist!K632="",0,Checklist!K632)</f>
        <v>0</v>
      </c>
      <c r="J632" s="337"/>
      <c r="K632" s="337">
        <f>H632*AA632*J628</f>
        <v>0</v>
      </c>
      <c r="L632" s="338"/>
      <c r="M632" s="339">
        <f>I632*AA632*L628</f>
        <v>0</v>
      </c>
      <c r="N632" s="333"/>
      <c r="O632" s="333">
        <f>M632+K632</f>
        <v>0</v>
      </c>
      <c r="Q632" s="282">
        <f>IF(Checklist!M632="",0,Checklist!M632)</f>
        <v>0</v>
      </c>
      <c r="R632" s="22"/>
      <c r="S632" s="334"/>
      <c r="T632" s="333">
        <f>Q632*AA632*S628</f>
        <v>0</v>
      </c>
      <c r="V632" s="282">
        <f>IF(Checklist!P632="",0,Checklist!P632)</f>
        <v>0</v>
      </c>
      <c r="W632" s="22"/>
      <c r="X632" s="334"/>
      <c r="Y632" s="333">
        <f>V632*AA632*X628</f>
        <v>0</v>
      </c>
      <c r="AA632" s="335">
        <v>0</v>
      </c>
    </row>
    <row r="633" spans="2:28" outlineLevel="3" x14ac:dyDescent="0.25">
      <c r="E633" s="35" t="s">
        <v>1634</v>
      </c>
      <c r="F633" s="35" t="s">
        <v>943</v>
      </c>
      <c r="G633" s="35"/>
      <c r="H633" s="282">
        <f>IF(Checklist!J633="",0,Checklist!J633)</f>
        <v>0</v>
      </c>
      <c r="I633" s="282">
        <f>IF(Checklist!K633="",0,Checklist!K633)</f>
        <v>0</v>
      </c>
      <c r="J633" s="337"/>
      <c r="K633" s="337">
        <f>H633*AA633*J628</f>
        <v>0</v>
      </c>
      <c r="L633" s="338"/>
      <c r="M633" s="339">
        <f>I633*AA633*L628</f>
        <v>0</v>
      </c>
      <c r="N633" s="333"/>
      <c r="O633" s="333">
        <f>M633+K633</f>
        <v>0</v>
      </c>
      <c r="Q633" s="282">
        <f>IF(Checklist!M633="",0,Checklist!M633)</f>
        <v>0</v>
      </c>
      <c r="R633" s="22"/>
      <c r="S633" s="334"/>
      <c r="T633" s="333">
        <f>Q633*AA633*S628</f>
        <v>0</v>
      </c>
      <c r="V633" s="282">
        <f>IF(Checklist!P633="",0,Checklist!P633)</f>
        <v>0</v>
      </c>
      <c r="W633" s="22"/>
      <c r="X633" s="334"/>
      <c r="Y633" s="333">
        <f>V633*AA633*X628</f>
        <v>0</v>
      </c>
      <c r="AA633" s="335">
        <v>0</v>
      </c>
    </row>
    <row r="634" spans="2:28" outlineLevel="1" x14ac:dyDescent="0.25">
      <c r="B634" s="22"/>
      <c r="H634" s="22"/>
      <c r="I634" s="22"/>
      <c r="J634" s="22"/>
      <c r="K634" s="22"/>
      <c r="L634" s="22"/>
      <c r="M634" s="22"/>
      <c r="N634" s="379"/>
      <c r="O634" s="379"/>
      <c r="Q634" s="22"/>
      <c r="R634" s="22"/>
      <c r="S634" s="22"/>
      <c r="T634" s="379"/>
      <c r="V634" s="22"/>
      <c r="W634" s="22"/>
      <c r="X634" s="22"/>
      <c r="Y634" s="379"/>
      <c r="AA634" s="22"/>
    </row>
    <row r="635" spans="2:28" x14ac:dyDescent="0.25">
      <c r="B635" s="270">
        <v>9</v>
      </c>
      <c r="C635" s="271" t="s">
        <v>1771</v>
      </c>
      <c r="D635" s="271"/>
      <c r="E635" s="271"/>
      <c r="F635" s="271"/>
      <c r="G635" s="271"/>
      <c r="H635" s="272"/>
      <c r="I635" s="272"/>
      <c r="J635" s="312">
        <f>N635*0.8</f>
        <v>4.6147125512248905</v>
      </c>
      <c r="K635" s="312">
        <f>K637+K666</f>
        <v>0</v>
      </c>
      <c r="L635" s="312">
        <f>N635*0.2</f>
        <v>1.1536781378062226</v>
      </c>
      <c r="M635" s="312">
        <f>M637+M666</f>
        <v>0</v>
      </c>
      <c r="N635" s="312">
        <f>N637+N666</f>
        <v>5.7683906890311132</v>
      </c>
      <c r="O635" s="312">
        <f>O637+O666</f>
        <v>0</v>
      </c>
      <c r="Q635" s="272"/>
      <c r="R635" s="22"/>
      <c r="S635" s="312">
        <f>N635</f>
        <v>5.7683906890311132</v>
      </c>
      <c r="T635" s="312">
        <f>T637+T666</f>
        <v>0</v>
      </c>
      <c r="V635" s="272"/>
      <c r="W635" s="22"/>
      <c r="X635" s="312">
        <f>S635</f>
        <v>5.7683906890311132</v>
      </c>
      <c r="Y635" s="312">
        <f>Y637+Y666</f>
        <v>0</v>
      </c>
      <c r="AA635" s="314"/>
    </row>
    <row r="636" spans="2:28" x14ac:dyDescent="0.25">
      <c r="B636" s="22"/>
      <c r="H636" s="273"/>
      <c r="I636" s="273"/>
      <c r="J636" s="315"/>
      <c r="K636" s="315"/>
      <c r="L636" s="316"/>
      <c r="M636" s="316"/>
      <c r="N636" s="317"/>
      <c r="O636" s="317"/>
      <c r="Q636" s="273"/>
      <c r="R636" s="22"/>
      <c r="S636" s="315"/>
      <c r="T636" s="317"/>
      <c r="V636" s="273"/>
      <c r="W636" s="22"/>
      <c r="X636" s="315"/>
      <c r="Y636" s="317"/>
      <c r="AA636" s="381"/>
      <c r="AB636" s="346"/>
    </row>
    <row r="637" spans="2:28" outlineLevel="1" x14ac:dyDescent="0.25">
      <c r="C637" s="275" t="s">
        <v>899</v>
      </c>
      <c r="D637" s="275" t="s">
        <v>1772</v>
      </c>
      <c r="E637" s="275"/>
      <c r="F637" s="275"/>
      <c r="G637" s="275"/>
      <c r="H637" s="276"/>
      <c r="I637" s="277"/>
      <c r="J637" s="319">
        <f t="shared" ref="J637:J645" si="179">N637*0.8</f>
        <v>2.884195344515557</v>
      </c>
      <c r="K637" s="319">
        <f>K638+K645+K650+K655+K660</f>
        <v>0</v>
      </c>
      <c r="L637" s="320">
        <f t="shared" ref="L637:L645" si="180">N637*0.2</f>
        <v>0.72104883612888926</v>
      </c>
      <c r="M637" s="320">
        <f>M638+M645+M650+M655+M660</f>
        <v>0</v>
      </c>
      <c r="N637" s="321">
        <f>N638+N645+N650+N655+N660</f>
        <v>3.605244180644446</v>
      </c>
      <c r="O637" s="321">
        <f>O638+O645+O650+O655+O660</f>
        <v>0</v>
      </c>
      <c r="Q637" s="276"/>
      <c r="R637" s="22"/>
      <c r="S637" s="321">
        <f>N637</f>
        <v>3.605244180644446</v>
      </c>
      <c r="T637" s="321">
        <f>T638+T645+T650+T655+T660</f>
        <v>0</v>
      </c>
      <c r="V637" s="276"/>
      <c r="W637" s="22"/>
      <c r="X637" s="321">
        <f>S637</f>
        <v>3.605244180644446</v>
      </c>
      <c r="Y637" s="321">
        <f>Y638+Y645+Y650+Y655+Y660</f>
        <v>0</v>
      </c>
      <c r="AA637" s="322"/>
      <c r="AB637" s="344"/>
    </row>
    <row r="638" spans="2:28" outlineLevel="2" x14ac:dyDescent="0.25">
      <c r="D638" s="284" t="s">
        <v>901</v>
      </c>
      <c r="E638" s="284" t="s">
        <v>1773</v>
      </c>
      <c r="F638" s="284"/>
      <c r="G638" s="284"/>
      <c r="H638" s="289" t="s">
        <v>732</v>
      </c>
      <c r="I638" s="288" t="s">
        <v>732</v>
      </c>
      <c r="J638" s="324">
        <f t="shared" si="179"/>
        <v>0.57683906890311132</v>
      </c>
      <c r="K638" s="324">
        <f>IF(SUM(K639:K644)&gt;J638,J638,SUM(K639:K644))</f>
        <v>0</v>
      </c>
      <c r="L638" s="325">
        <f t="shared" si="180"/>
        <v>0.14420976722577783</v>
      </c>
      <c r="M638" s="325">
        <f>IF(SUM(M639:M644)&gt;L638,L638,SUM(M639:M644))</f>
        <v>0</v>
      </c>
      <c r="N638" s="326">
        <f>Ponderações!P129*100</f>
        <v>0.72104883612888915</v>
      </c>
      <c r="O638" s="326">
        <f>IF(SUM(O639:O644)&gt;N638,N638,SUM(O639:O644))</f>
        <v>0</v>
      </c>
      <c r="Q638" s="289" t="s">
        <v>732</v>
      </c>
      <c r="R638" s="22"/>
      <c r="S638" s="326">
        <f>N638</f>
        <v>0.72104883612888915</v>
      </c>
      <c r="T638" s="326">
        <f>IF(SUM(T639:T644)&gt;S638,S638,SUM(T639:T644))</f>
        <v>0</v>
      </c>
      <c r="V638" s="289" t="s">
        <v>732</v>
      </c>
      <c r="W638" s="22"/>
      <c r="X638" s="326">
        <f>S638</f>
        <v>0.72104883612888915</v>
      </c>
      <c r="Y638" s="326">
        <f>IF(SUM(Y639:Y644)&gt;X638,X638,SUM(Y639:Y644))</f>
        <v>0</v>
      </c>
      <c r="AA638" s="327"/>
      <c r="AB638" s="342"/>
    </row>
    <row r="639" spans="2:28" outlineLevel="3" x14ac:dyDescent="0.25">
      <c r="E639" s="35" t="s">
        <v>1635</v>
      </c>
      <c r="F639" s="35" t="s">
        <v>1636</v>
      </c>
      <c r="G639" s="35"/>
      <c r="H639" s="285">
        <f>IF(Checklist!J639="",0,Checklist!J639)</f>
        <v>0</v>
      </c>
      <c r="I639" s="285">
        <f>IF(Checklist!K639="",0,Checklist!K639)</f>
        <v>0</v>
      </c>
      <c r="J639" s="371"/>
      <c r="K639" s="371">
        <f>H639*AA639*J638</f>
        <v>0</v>
      </c>
      <c r="L639" s="331"/>
      <c r="M639" s="372">
        <f>I639*AA639*L638</f>
        <v>0</v>
      </c>
      <c r="N639" s="333"/>
      <c r="O639" s="333">
        <f t="shared" ref="O639:O644" si="181">M639+K639</f>
        <v>0</v>
      </c>
      <c r="Q639" s="285">
        <f>IF(Checklist!M639="",0,Checklist!M639)</f>
        <v>0</v>
      </c>
      <c r="R639" s="22"/>
      <c r="S639" s="377"/>
      <c r="T639" s="333">
        <f>Q639*AA639*S638</f>
        <v>0</v>
      </c>
      <c r="V639" s="285">
        <f>IF(Checklist!P639="",0,Checklist!P639)</f>
        <v>0</v>
      </c>
      <c r="W639" s="22"/>
      <c r="X639" s="377"/>
      <c r="Y639" s="333">
        <f>V639*AA639*X638</f>
        <v>0</v>
      </c>
      <c r="AA639" s="335">
        <v>0.3</v>
      </c>
    </row>
    <row r="640" spans="2:28" outlineLevel="3" x14ac:dyDescent="0.25">
      <c r="E640" s="35" t="s">
        <v>1637</v>
      </c>
      <c r="F640" s="35" t="s">
        <v>1638</v>
      </c>
      <c r="G640" s="35"/>
      <c r="H640" s="285">
        <f>IF(Checklist!J640="",0,Checklist!J640)</f>
        <v>0</v>
      </c>
      <c r="I640" s="285">
        <f>IF(Checklist!K640="",0,Checklist!K640)</f>
        <v>0</v>
      </c>
      <c r="J640" s="371"/>
      <c r="K640" s="371">
        <f>H640*AA640*J638</f>
        <v>0</v>
      </c>
      <c r="L640" s="331"/>
      <c r="M640" s="372">
        <f>I640*AA640*L638</f>
        <v>0</v>
      </c>
      <c r="N640" s="333"/>
      <c r="O640" s="333">
        <f t="shared" si="181"/>
        <v>0</v>
      </c>
      <c r="Q640" s="285">
        <f>IF(Checklist!M640="",0,Checklist!M640)</f>
        <v>0</v>
      </c>
      <c r="R640" s="22"/>
      <c r="S640" s="377"/>
      <c r="T640" s="333">
        <f>Q640*AA640*S638</f>
        <v>0</v>
      </c>
      <c r="V640" s="285">
        <f>IF(Checklist!P640="",0,Checklist!P640)</f>
        <v>0</v>
      </c>
      <c r="W640" s="22"/>
      <c r="X640" s="377"/>
      <c r="Y640" s="333">
        <f>V640*AA640*X638</f>
        <v>0</v>
      </c>
      <c r="AA640" s="335">
        <v>0.3</v>
      </c>
    </row>
    <row r="641" spans="4:28" outlineLevel="3" x14ac:dyDescent="0.25">
      <c r="E641" s="35" t="s">
        <v>1639</v>
      </c>
      <c r="F641" s="35" t="s">
        <v>1862</v>
      </c>
      <c r="G641" s="35"/>
      <c r="H641" s="285">
        <f>IF(Checklist!J641="",0,Checklist!J641)</f>
        <v>0</v>
      </c>
      <c r="I641" s="285">
        <f>IF(Checklist!K641="",0,Checklist!K641)</f>
        <v>0</v>
      </c>
      <c r="J641" s="371"/>
      <c r="K641" s="371">
        <f>H641*AA641*J638</f>
        <v>0</v>
      </c>
      <c r="L641" s="331"/>
      <c r="M641" s="372">
        <f>I641*AA641*L638</f>
        <v>0</v>
      </c>
      <c r="N641" s="333"/>
      <c r="O641" s="333">
        <f t="shared" si="181"/>
        <v>0</v>
      </c>
      <c r="Q641" s="285">
        <f>IF(Checklist!M641="",0,Checklist!M641)</f>
        <v>0</v>
      </c>
      <c r="R641" s="22"/>
      <c r="S641" s="377"/>
      <c r="T641" s="333">
        <f>Q641*AA641*S638</f>
        <v>0</v>
      </c>
      <c r="V641" s="285">
        <f>IF(Checklist!P641="",0,Checklist!P641)</f>
        <v>0</v>
      </c>
      <c r="W641" s="22"/>
      <c r="X641" s="377"/>
      <c r="Y641" s="333">
        <f>V641*AA641*X638</f>
        <v>0</v>
      </c>
      <c r="AA641" s="335">
        <v>0.3</v>
      </c>
    </row>
    <row r="642" spans="4:28" outlineLevel="3" x14ac:dyDescent="0.25">
      <c r="E642" s="35" t="s">
        <v>1640</v>
      </c>
      <c r="F642" s="35" t="s">
        <v>1891</v>
      </c>
      <c r="G642" s="35"/>
      <c r="H642" s="285">
        <f>IF(Checklist!J642="",0,Checklist!J642)</f>
        <v>0</v>
      </c>
      <c r="I642" s="285">
        <f>IF(Checklist!K642="",0,Checklist!K642)</f>
        <v>0</v>
      </c>
      <c r="J642" s="371"/>
      <c r="K642" s="371">
        <f>H642*AA642*J638</f>
        <v>0</v>
      </c>
      <c r="L642" s="331"/>
      <c r="M642" s="372">
        <f>I642*AA642*L638</f>
        <v>0</v>
      </c>
      <c r="N642" s="333"/>
      <c r="O642" s="333">
        <f t="shared" si="181"/>
        <v>0</v>
      </c>
      <c r="Q642" s="285">
        <f>IF(Checklist!M642="",0,Checklist!M642)</f>
        <v>0</v>
      </c>
      <c r="R642" s="22"/>
      <c r="S642" s="377"/>
      <c r="T642" s="333">
        <f>Q642*AA642*S638</f>
        <v>0</v>
      </c>
      <c r="V642" s="285">
        <f>IF(Checklist!P642="",0,Checklist!P642)</f>
        <v>0</v>
      </c>
      <c r="W642" s="22"/>
      <c r="X642" s="377"/>
      <c r="Y642" s="333">
        <f>V642*AA642*X638</f>
        <v>0</v>
      </c>
      <c r="AA642" s="335">
        <v>0.1</v>
      </c>
    </row>
    <row r="643" spans="4:28" outlineLevel="3" x14ac:dyDescent="0.25">
      <c r="E643" s="35" t="s">
        <v>1641</v>
      </c>
      <c r="F643" s="35" t="s">
        <v>941</v>
      </c>
      <c r="G643" s="35"/>
      <c r="H643" s="285">
        <f>IF(Checklist!J643="",0,Checklist!J643)</f>
        <v>0</v>
      </c>
      <c r="I643" s="285">
        <f>IF(Checklist!K643="",0,Checklist!K643)</f>
        <v>0</v>
      </c>
      <c r="J643" s="371"/>
      <c r="K643" s="371">
        <f>H643*AA643*J638</f>
        <v>0</v>
      </c>
      <c r="L643" s="331"/>
      <c r="M643" s="372">
        <f>I643*AA643*L638</f>
        <v>0</v>
      </c>
      <c r="N643" s="333"/>
      <c r="O643" s="333">
        <f t="shared" si="181"/>
        <v>0</v>
      </c>
      <c r="Q643" s="285">
        <f>IF(Checklist!M643="",0,Checklist!M643)</f>
        <v>0</v>
      </c>
      <c r="R643" s="22"/>
      <c r="S643" s="377"/>
      <c r="T643" s="333">
        <f>Q643*AA643*S638</f>
        <v>0</v>
      </c>
      <c r="V643" s="285">
        <f>IF(Checklist!P643="",0,Checklist!P643)</f>
        <v>0</v>
      </c>
      <c r="W643" s="22"/>
      <c r="X643" s="377"/>
      <c r="Y643" s="333">
        <f>V643*AA643*X638</f>
        <v>0</v>
      </c>
      <c r="AA643" s="335">
        <v>0</v>
      </c>
    </row>
    <row r="644" spans="4:28" outlineLevel="3" x14ac:dyDescent="0.25">
      <c r="E644" s="35" t="s">
        <v>1642</v>
      </c>
      <c r="F644" s="35" t="s">
        <v>943</v>
      </c>
      <c r="G644" s="35"/>
      <c r="H644" s="285">
        <f>IF(Checklist!J644="",0,Checklist!J644)</f>
        <v>0</v>
      </c>
      <c r="I644" s="285">
        <f>IF(Checklist!K644="",0,Checklist!K644)</f>
        <v>0</v>
      </c>
      <c r="J644" s="371"/>
      <c r="K644" s="371">
        <f>H644*AA644*J638</f>
        <v>0</v>
      </c>
      <c r="L644" s="331"/>
      <c r="M644" s="372">
        <f>I644*AA644*L638</f>
        <v>0</v>
      </c>
      <c r="N644" s="333"/>
      <c r="O644" s="333">
        <f t="shared" si="181"/>
        <v>0</v>
      </c>
      <c r="Q644" s="285">
        <f>IF(Checklist!M644="",0,Checklist!M644)</f>
        <v>0</v>
      </c>
      <c r="R644" s="22"/>
      <c r="S644" s="377"/>
      <c r="T644" s="333">
        <f>Q644*AA644*S638</f>
        <v>0</v>
      </c>
      <c r="V644" s="285">
        <f>IF(Checklist!P644="",0,Checklist!P644)</f>
        <v>0</v>
      </c>
      <c r="W644" s="22"/>
      <c r="X644" s="377"/>
      <c r="Y644" s="333">
        <f>V644*AA644*X638</f>
        <v>0</v>
      </c>
      <c r="AA644" s="335">
        <v>0</v>
      </c>
    </row>
    <row r="645" spans="4:28" outlineLevel="2" x14ac:dyDescent="0.25">
      <c r="D645" s="284" t="s">
        <v>903</v>
      </c>
      <c r="E645" s="284" t="s">
        <v>1774</v>
      </c>
      <c r="F645" s="284"/>
      <c r="G645" s="284"/>
      <c r="H645" s="289" t="s">
        <v>731</v>
      </c>
      <c r="I645" s="288" t="s">
        <v>731</v>
      </c>
      <c r="J645" s="324">
        <f t="shared" si="179"/>
        <v>0.57683906890311132</v>
      </c>
      <c r="K645" s="324">
        <f>IF(SUM(K646:K649)&gt;J645,J645,SUM(K646:K649))</f>
        <v>0</v>
      </c>
      <c r="L645" s="325">
        <f t="shared" si="180"/>
        <v>0.14420976722577783</v>
      </c>
      <c r="M645" s="325">
        <f>IF(SUM(M646:M649)&gt;L645,L645,SUM(M646:M649))</f>
        <v>0</v>
      </c>
      <c r="N645" s="326">
        <f>Ponderações!P130*100</f>
        <v>0.72104883612888915</v>
      </c>
      <c r="O645" s="326">
        <f>IF(SUM(O646:O649)&gt;N645,N645,SUM(O646:O649))</f>
        <v>0</v>
      </c>
      <c r="Q645" s="289" t="s">
        <v>731</v>
      </c>
      <c r="R645" s="22"/>
      <c r="S645" s="326">
        <f>N645</f>
        <v>0.72104883612888915</v>
      </c>
      <c r="T645" s="326">
        <f>IF(SUM(T646:T649)&gt;S645,S645,SUM(T646:T649))</f>
        <v>0</v>
      </c>
      <c r="V645" s="289" t="s">
        <v>731</v>
      </c>
      <c r="W645" s="22"/>
      <c r="X645" s="326">
        <f>S645</f>
        <v>0.72104883612888915</v>
      </c>
      <c r="Y645" s="326">
        <f>IF(SUM(Y646:Y649)&gt;X645,X645,SUM(Y646:Y649))</f>
        <v>0</v>
      </c>
      <c r="AA645" s="327"/>
      <c r="AB645" s="342"/>
    </row>
    <row r="646" spans="4:28" outlineLevel="3" x14ac:dyDescent="0.25">
      <c r="E646" s="35" t="s">
        <v>1643</v>
      </c>
      <c r="F646" s="35" t="s">
        <v>1863</v>
      </c>
      <c r="G646" s="35"/>
      <c r="H646" s="285">
        <f>IF(Checklist!J646="",0,Checklist!J646)</f>
        <v>0</v>
      </c>
      <c r="I646" s="285">
        <f>IF(Checklist!K646="",0,Checklist!K646)</f>
        <v>0</v>
      </c>
      <c r="J646" s="371"/>
      <c r="K646" s="371">
        <f>H646*AA646*J645</f>
        <v>0</v>
      </c>
      <c r="L646" s="331"/>
      <c r="M646" s="372">
        <f>I646*AA646*L645</f>
        <v>0</v>
      </c>
      <c r="N646" s="333"/>
      <c r="O646" s="333">
        <f>M646+K646</f>
        <v>0</v>
      </c>
      <c r="Q646" s="285">
        <f>IF(Checklist!M646="",0,Checklist!M646)</f>
        <v>0</v>
      </c>
      <c r="R646" s="22"/>
      <c r="S646" s="377"/>
      <c r="T646" s="333">
        <f>Q646*AA646*S645</f>
        <v>0</v>
      </c>
      <c r="V646" s="285">
        <f>IF(Checklist!P646="",0,Checklist!P646)</f>
        <v>0</v>
      </c>
      <c r="W646" s="22"/>
      <c r="X646" s="377"/>
      <c r="Y646" s="333">
        <f>V646*AA646*X645</f>
        <v>0</v>
      </c>
      <c r="AA646" s="335">
        <v>1</v>
      </c>
    </row>
    <row r="647" spans="4:28" outlineLevel="3" x14ac:dyDescent="0.25">
      <c r="E647" s="35" t="s">
        <v>1644</v>
      </c>
      <c r="F647" s="35" t="s">
        <v>1864</v>
      </c>
      <c r="G647" s="35"/>
      <c r="H647" s="285">
        <f>IF(Checklist!J647="",0,Checklist!J647)</f>
        <v>0</v>
      </c>
      <c r="I647" s="285">
        <f>IF(Checklist!K647="",0,Checklist!K647)</f>
        <v>0</v>
      </c>
      <c r="J647" s="371"/>
      <c r="K647" s="371">
        <f>H647*AA647*J645</f>
        <v>0</v>
      </c>
      <c r="L647" s="331"/>
      <c r="M647" s="372">
        <f>I647*AA647*L645</f>
        <v>0</v>
      </c>
      <c r="N647" s="333"/>
      <c r="O647" s="333">
        <f>M647+K647</f>
        <v>0</v>
      </c>
      <c r="Q647" s="285">
        <f>IF(Checklist!M647="",0,Checklist!M647)</f>
        <v>0</v>
      </c>
      <c r="R647" s="22"/>
      <c r="S647" s="377"/>
      <c r="T647" s="333">
        <f>Q647*AA647*S645</f>
        <v>0</v>
      </c>
      <c r="V647" s="285">
        <f>IF(Checklist!P647="",0,Checklist!P647)</f>
        <v>0</v>
      </c>
      <c r="W647" s="22"/>
      <c r="X647" s="377"/>
      <c r="Y647" s="333">
        <f>V647*AA647*X645</f>
        <v>0</v>
      </c>
      <c r="AA647" s="335">
        <v>0</v>
      </c>
    </row>
    <row r="648" spans="4:28" outlineLevel="3" x14ac:dyDescent="0.25">
      <c r="E648" s="35" t="s">
        <v>1645</v>
      </c>
      <c r="F648" s="35" t="s">
        <v>1865</v>
      </c>
      <c r="G648" s="35"/>
      <c r="H648" s="285">
        <f>IF(Checklist!J648="",0,Checklist!J648)</f>
        <v>0</v>
      </c>
      <c r="I648" s="285">
        <f>IF(Checklist!K648="",0,Checklist!K648)</f>
        <v>0</v>
      </c>
      <c r="J648" s="371"/>
      <c r="K648" s="371">
        <f>H648*AA648*J645</f>
        <v>0</v>
      </c>
      <c r="L648" s="331"/>
      <c r="M648" s="372">
        <f>I648*AA648*L645</f>
        <v>0</v>
      </c>
      <c r="N648" s="333"/>
      <c r="O648" s="333">
        <f>M648+K648</f>
        <v>0</v>
      </c>
      <c r="Q648" s="285">
        <f>IF(Checklist!M648="",0,Checklist!M648)</f>
        <v>0</v>
      </c>
      <c r="R648" s="22"/>
      <c r="S648" s="377"/>
      <c r="T648" s="333">
        <f>Q648*AA648*S645</f>
        <v>0</v>
      </c>
      <c r="V648" s="285">
        <f>IF(Checklist!P648="",0,Checklist!P648)</f>
        <v>0</v>
      </c>
      <c r="W648" s="22"/>
      <c r="X648" s="377"/>
      <c r="Y648" s="333">
        <f>V648*AA648*X645</f>
        <v>0</v>
      </c>
      <c r="AA648" s="335">
        <v>0</v>
      </c>
    </row>
    <row r="649" spans="4:28" outlineLevel="3" x14ac:dyDescent="0.25">
      <c r="E649" s="35" t="s">
        <v>1646</v>
      </c>
      <c r="F649" s="35" t="s">
        <v>943</v>
      </c>
      <c r="G649" s="35"/>
      <c r="H649" s="285">
        <f>IF(Checklist!J649="",0,Checklist!J649)</f>
        <v>0</v>
      </c>
      <c r="I649" s="285">
        <f>IF(Checklist!K649="",0,Checklist!K649)</f>
        <v>0</v>
      </c>
      <c r="J649" s="371"/>
      <c r="K649" s="371">
        <f>H649*AA649*J645</f>
        <v>0</v>
      </c>
      <c r="L649" s="331"/>
      <c r="M649" s="372">
        <f>I649*AA649*L645</f>
        <v>0</v>
      </c>
      <c r="N649" s="333"/>
      <c r="O649" s="333">
        <f>M649+K649</f>
        <v>0</v>
      </c>
      <c r="Q649" s="285">
        <f>IF(Checklist!M649="",0,Checklist!M649)</f>
        <v>0</v>
      </c>
      <c r="R649" s="22"/>
      <c r="S649" s="377"/>
      <c r="T649" s="333">
        <f>Q649*AA649*S645</f>
        <v>0</v>
      </c>
      <c r="V649" s="285">
        <f>IF(Checklist!P649="",0,Checklist!P649)</f>
        <v>0</v>
      </c>
      <c r="W649" s="22"/>
      <c r="X649" s="377"/>
      <c r="Y649" s="333">
        <f>V649*AA649*X645</f>
        <v>0</v>
      </c>
      <c r="AA649" s="335">
        <v>0</v>
      </c>
    </row>
    <row r="650" spans="4:28" outlineLevel="2" x14ac:dyDescent="0.25">
      <c r="D650" s="284" t="s">
        <v>905</v>
      </c>
      <c r="E650" s="284" t="s">
        <v>1866</v>
      </c>
      <c r="F650" s="284"/>
      <c r="G650" s="284"/>
      <c r="H650" s="289" t="s">
        <v>731</v>
      </c>
      <c r="I650" s="288" t="s">
        <v>731</v>
      </c>
      <c r="J650" s="324">
        <f t="shared" ref="J650:J709" si="182">N650*0.8</f>
        <v>1.1536781378062226</v>
      </c>
      <c r="K650" s="324">
        <f>IF(SUM(K651:K654)&gt;J650,J650,SUM(K651:K654))</f>
        <v>0</v>
      </c>
      <c r="L650" s="325">
        <f t="shared" ref="L650:L709" si="183">N650*0.2</f>
        <v>0.28841953445155566</v>
      </c>
      <c r="M650" s="325">
        <f>IF(SUM(M651:M654)&gt;L650,L650,SUM(M651:M654))</f>
        <v>0</v>
      </c>
      <c r="N650" s="326">
        <f>Ponderações!P131*100</f>
        <v>1.4420976722577783</v>
      </c>
      <c r="O650" s="326">
        <f>IF(SUM(O651:O654)&gt;N650,N650,SUM(O651:O654))</f>
        <v>0</v>
      </c>
      <c r="Q650" s="289" t="s">
        <v>731</v>
      </c>
      <c r="R650" s="22"/>
      <c r="S650" s="326">
        <f>N650</f>
        <v>1.4420976722577783</v>
      </c>
      <c r="T650" s="326">
        <f>IF(SUM(T651:T654)&gt;S650,S650,SUM(T651:T654))</f>
        <v>0</v>
      </c>
      <c r="V650" s="289" t="s">
        <v>731</v>
      </c>
      <c r="W650" s="22"/>
      <c r="X650" s="326">
        <f>S650</f>
        <v>1.4420976722577783</v>
      </c>
      <c r="Y650" s="326">
        <f>IF(SUM(Y651:Y654)&gt;X650,X650,SUM(Y651:Y654))</f>
        <v>0</v>
      </c>
      <c r="AA650" s="327"/>
      <c r="AB650" s="342"/>
    </row>
    <row r="651" spans="4:28" outlineLevel="3" x14ac:dyDescent="0.25">
      <c r="E651" s="35" t="s">
        <v>1647</v>
      </c>
      <c r="F651" s="35" t="s">
        <v>1648</v>
      </c>
      <c r="G651" s="35"/>
      <c r="H651" s="285">
        <f>IF(Checklist!J651="",0,Checklist!J651)</f>
        <v>0</v>
      </c>
      <c r="I651" s="285">
        <f>IF(Checklist!K651="",0,Checklist!K651)</f>
        <v>0</v>
      </c>
      <c r="J651" s="371"/>
      <c r="K651" s="371">
        <f>H651*AA651*J650</f>
        <v>0</v>
      </c>
      <c r="L651" s="331"/>
      <c r="M651" s="372">
        <f>I651*AA651*L650</f>
        <v>0</v>
      </c>
      <c r="N651" s="333"/>
      <c r="O651" s="333">
        <f>M651+K651</f>
        <v>0</v>
      </c>
      <c r="Q651" s="285">
        <f>IF(Checklist!M651="",0,Checklist!M651)</f>
        <v>0</v>
      </c>
      <c r="R651" s="22"/>
      <c r="S651" s="377"/>
      <c r="T651" s="333">
        <f>Q651*AA651*S650</f>
        <v>0</v>
      </c>
      <c r="V651" s="285">
        <f>IF(Checklist!P651="",0,Checklist!P651)</f>
        <v>0</v>
      </c>
      <c r="W651" s="22"/>
      <c r="X651" s="377"/>
      <c r="Y651" s="333">
        <f>V651*AA651*X650</f>
        <v>0</v>
      </c>
      <c r="AA651" s="335">
        <v>1</v>
      </c>
    </row>
    <row r="652" spans="4:28" outlineLevel="3" x14ac:dyDescent="0.25">
      <c r="E652" s="35" t="s">
        <v>1649</v>
      </c>
      <c r="F652" s="35" t="s">
        <v>1650</v>
      </c>
      <c r="G652" s="35"/>
      <c r="H652" s="285">
        <f>IF(Checklist!J652="",0,Checklist!J652)</f>
        <v>0</v>
      </c>
      <c r="I652" s="285">
        <f>IF(Checklist!K652="",0,Checklist!K652)</f>
        <v>0</v>
      </c>
      <c r="J652" s="371"/>
      <c r="K652" s="371">
        <f>H652*AA652*J650</f>
        <v>0</v>
      </c>
      <c r="L652" s="331"/>
      <c r="M652" s="372">
        <f>I652*AA652*L650</f>
        <v>0</v>
      </c>
      <c r="N652" s="333"/>
      <c r="O652" s="333">
        <f>M652+K652</f>
        <v>0</v>
      </c>
      <c r="Q652" s="285">
        <f>IF(Checklist!M652="",0,Checklist!M652)</f>
        <v>0</v>
      </c>
      <c r="R652" s="22"/>
      <c r="S652" s="377"/>
      <c r="T652" s="333">
        <f>Q652*AA652*S650</f>
        <v>0</v>
      </c>
      <c r="V652" s="285">
        <f>IF(Checklist!P652="",0,Checklist!P652)</f>
        <v>0</v>
      </c>
      <c r="W652" s="22"/>
      <c r="X652" s="377"/>
      <c r="Y652" s="333">
        <f>V652*AA652*X650</f>
        <v>0</v>
      </c>
      <c r="AA652" s="335">
        <v>0.5</v>
      </c>
    </row>
    <row r="653" spans="4:28" outlineLevel="3" x14ac:dyDescent="0.25">
      <c r="E653" s="35" t="s">
        <v>1651</v>
      </c>
      <c r="F653" s="35" t="s">
        <v>1652</v>
      </c>
      <c r="G653" s="35"/>
      <c r="H653" s="285">
        <f>IF(Checklist!J653="",0,Checklist!J653)</f>
        <v>0</v>
      </c>
      <c r="I653" s="285">
        <f>IF(Checklist!K653="",0,Checklist!K653)</f>
        <v>0</v>
      </c>
      <c r="J653" s="371"/>
      <c r="K653" s="371">
        <f>H653*AA653*J650</f>
        <v>0</v>
      </c>
      <c r="L653" s="331"/>
      <c r="M653" s="372">
        <f>I653*AA653*L650</f>
        <v>0</v>
      </c>
      <c r="N653" s="333"/>
      <c r="O653" s="333">
        <f>M653+K653</f>
        <v>0</v>
      </c>
      <c r="Q653" s="285">
        <f>IF(Checklist!M653="",0,Checklist!M653)</f>
        <v>0</v>
      </c>
      <c r="R653" s="22"/>
      <c r="S653" s="377"/>
      <c r="T653" s="333">
        <f>Q653*AA653*S650</f>
        <v>0</v>
      </c>
      <c r="V653" s="285">
        <f>IF(Checklist!P653="",0,Checklist!P653)</f>
        <v>0</v>
      </c>
      <c r="W653" s="22"/>
      <c r="X653" s="377"/>
      <c r="Y653" s="333">
        <f>V653*AA653*X650</f>
        <v>0</v>
      </c>
      <c r="AA653" s="335">
        <v>0</v>
      </c>
    </row>
    <row r="654" spans="4:28" outlineLevel="3" x14ac:dyDescent="0.25">
      <c r="E654" s="35" t="s">
        <v>1653</v>
      </c>
      <c r="F654" s="35" t="s">
        <v>943</v>
      </c>
      <c r="G654" s="35"/>
      <c r="H654" s="285">
        <f>IF(Checklist!J654="",0,Checklist!J654)</f>
        <v>0</v>
      </c>
      <c r="I654" s="285">
        <f>IF(Checklist!K654="",0,Checklist!K654)</f>
        <v>0</v>
      </c>
      <c r="J654" s="371"/>
      <c r="K654" s="371">
        <f>H654*AA654*J650</f>
        <v>0</v>
      </c>
      <c r="L654" s="331"/>
      <c r="M654" s="372">
        <f>I654*AA654*L650</f>
        <v>0</v>
      </c>
      <c r="N654" s="333"/>
      <c r="O654" s="333">
        <f>M654+K654</f>
        <v>0</v>
      </c>
      <c r="Q654" s="285">
        <f>IF(Checklist!M654="",0,Checklist!M654)</f>
        <v>0</v>
      </c>
      <c r="R654" s="22"/>
      <c r="S654" s="377"/>
      <c r="T654" s="333">
        <f>Q654*AA654*S650</f>
        <v>0</v>
      </c>
      <c r="V654" s="285">
        <f>IF(Checklist!P654="",0,Checklist!P654)</f>
        <v>0</v>
      </c>
      <c r="W654" s="22"/>
      <c r="X654" s="377"/>
      <c r="Y654" s="333">
        <f>V654*AA654*X650</f>
        <v>0</v>
      </c>
      <c r="AA654" s="335">
        <v>0</v>
      </c>
    </row>
    <row r="655" spans="4:28" outlineLevel="2" x14ac:dyDescent="0.25">
      <c r="D655" s="284" t="s">
        <v>907</v>
      </c>
      <c r="E655" s="284" t="s">
        <v>1867</v>
      </c>
      <c r="F655" s="284"/>
      <c r="G655" s="284"/>
      <c r="H655" s="289" t="s">
        <v>731</v>
      </c>
      <c r="I655" s="288" t="s">
        <v>731</v>
      </c>
      <c r="J655" s="324">
        <f t="shared" si="182"/>
        <v>0.28841953445155566</v>
      </c>
      <c r="K655" s="324">
        <f>IF(SUM(K656:K659)&gt;J655,J655,SUM(K656:K659))</f>
        <v>0</v>
      </c>
      <c r="L655" s="325">
        <f t="shared" si="183"/>
        <v>7.2104883612888915E-2</v>
      </c>
      <c r="M655" s="325">
        <f>IF(SUM(M656:M659)&gt;L655,L655,SUM(M656:M659))</f>
        <v>0</v>
      </c>
      <c r="N655" s="326">
        <f>Ponderações!P132*100</f>
        <v>0.36052441806444457</v>
      </c>
      <c r="O655" s="326">
        <f>IF(SUM(O656:O659)&gt;N655,N655,SUM(O656:O659))</f>
        <v>0</v>
      </c>
      <c r="Q655" s="289" t="s">
        <v>731</v>
      </c>
      <c r="R655" s="22"/>
      <c r="S655" s="326">
        <f>N655</f>
        <v>0.36052441806444457</v>
      </c>
      <c r="T655" s="326">
        <f>IF(SUM(T656:T659)&gt;S655,S655,SUM(T656:T659))</f>
        <v>0</v>
      </c>
      <c r="V655" s="289" t="s">
        <v>731</v>
      </c>
      <c r="W655" s="22"/>
      <c r="X655" s="326">
        <f>S655</f>
        <v>0.36052441806444457</v>
      </c>
      <c r="Y655" s="326">
        <f>IF(SUM(Y656:Y659)&gt;X655,X655,SUM(Y656:Y659))</f>
        <v>0</v>
      </c>
      <c r="AA655" s="327"/>
      <c r="AB655" s="342"/>
    </row>
    <row r="656" spans="4:28" outlineLevel="3" x14ac:dyDescent="0.25">
      <c r="E656" s="35" t="s">
        <v>1654</v>
      </c>
      <c r="F656" s="35" t="s">
        <v>1205</v>
      </c>
      <c r="G656" s="35"/>
      <c r="H656" s="285">
        <f>IF(Checklist!J656="",0,Checklist!J656)</f>
        <v>0</v>
      </c>
      <c r="I656" s="285">
        <f>IF(Checklist!K656="",0,Checklist!K656)</f>
        <v>0</v>
      </c>
      <c r="J656" s="371"/>
      <c r="K656" s="371">
        <f>H656*AA656*J655</f>
        <v>0</v>
      </c>
      <c r="L656" s="331"/>
      <c r="M656" s="372">
        <f>I656*AA656*L655</f>
        <v>0</v>
      </c>
      <c r="N656" s="333"/>
      <c r="O656" s="333">
        <f>M656+K656</f>
        <v>0</v>
      </c>
      <c r="Q656" s="285">
        <f>IF(Checklist!M656="",0,Checklist!M656)</f>
        <v>0</v>
      </c>
      <c r="R656" s="22"/>
      <c r="S656" s="377"/>
      <c r="T656" s="333">
        <f>Q656*AA656*S655</f>
        <v>0</v>
      </c>
      <c r="V656" s="285">
        <f>IF(Checklist!P656="",0,Checklist!P656)</f>
        <v>0</v>
      </c>
      <c r="W656" s="22"/>
      <c r="X656" s="377"/>
      <c r="Y656" s="333">
        <f>V656*AA656*X655</f>
        <v>0</v>
      </c>
      <c r="AA656" s="335">
        <v>1</v>
      </c>
    </row>
    <row r="657" spans="3:28" outlineLevel="3" x14ac:dyDescent="0.25">
      <c r="E657" s="35" t="s">
        <v>1655</v>
      </c>
      <c r="F657" s="35" t="s">
        <v>1206</v>
      </c>
      <c r="G657" s="35"/>
      <c r="H657" s="285">
        <f>IF(Checklist!J657="",0,Checklist!J657)</f>
        <v>0</v>
      </c>
      <c r="I657" s="285">
        <f>IF(Checklist!K657="",0,Checklist!K657)</f>
        <v>0</v>
      </c>
      <c r="J657" s="371"/>
      <c r="K657" s="371">
        <f>H657*AA657*J655</f>
        <v>0</v>
      </c>
      <c r="L657" s="331"/>
      <c r="M657" s="372">
        <f>I657*AA657*L655</f>
        <v>0</v>
      </c>
      <c r="N657" s="333"/>
      <c r="O657" s="333">
        <f>M657+K657</f>
        <v>0</v>
      </c>
      <c r="Q657" s="285">
        <f>IF(Checklist!M657="",0,Checklist!M657)</f>
        <v>0</v>
      </c>
      <c r="R657" s="22"/>
      <c r="S657" s="377"/>
      <c r="T657" s="333">
        <f>Q657*AA657*S655</f>
        <v>0</v>
      </c>
      <c r="V657" s="285">
        <f>IF(Checklist!P657="",0,Checklist!P657)</f>
        <v>0</v>
      </c>
      <c r="W657" s="22"/>
      <c r="X657" s="377"/>
      <c r="Y657" s="333">
        <f>V657*AA657*X655</f>
        <v>0</v>
      </c>
      <c r="AA657" s="335">
        <v>0.5</v>
      </c>
    </row>
    <row r="658" spans="3:28" outlineLevel="3" x14ac:dyDescent="0.25">
      <c r="E658" s="35" t="s">
        <v>1656</v>
      </c>
      <c r="F658" s="35" t="s">
        <v>1207</v>
      </c>
      <c r="G658" s="35"/>
      <c r="H658" s="285">
        <f>IF(Checklist!J658="",0,Checklist!J658)</f>
        <v>0</v>
      </c>
      <c r="I658" s="285">
        <f>IF(Checklist!K658="",0,Checklist!K658)</f>
        <v>0</v>
      </c>
      <c r="J658" s="371"/>
      <c r="K658" s="371">
        <f>H658*AA658*J655</f>
        <v>0</v>
      </c>
      <c r="L658" s="331"/>
      <c r="M658" s="372">
        <f>I658*AA658*L655</f>
        <v>0</v>
      </c>
      <c r="N658" s="333"/>
      <c r="O658" s="333">
        <f>M658+K658</f>
        <v>0</v>
      </c>
      <c r="Q658" s="285">
        <f>IF(Checklist!M658="",0,Checklist!M658)</f>
        <v>0</v>
      </c>
      <c r="R658" s="22"/>
      <c r="S658" s="377"/>
      <c r="T658" s="333">
        <f>Q658*AA658*S655</f>
        <v>0</v>
      </c>
      <c r="V658" s="285">
        <f>IF(Checklist!P658="",0,Checklist!P658)</f>
        <v>0</v>
      </c>
      <c r="W658" s="22"/>
      <c r="X658" s="377"/>
      <c r="Y658" s="333">
        <f>V658*AA658*X655</f>
        <v>0</v>
      </c>
      <c r="AA658" s="335">
        <v>0</v>
      </c>
    </row>
    <row r="659" spans="3:28" outlineLevel="3" x14ac:dyDescent="0.25">
      <c r="E659" s="35" t="s">
        <v>1657</v>
      </c>
      <c r="F659" s="35" t="s">
        <v>943</v>
      </c>
      <c r="G659" s="35"/>
      <c r="H659" s="285">
        <f>IF(Checklist!J659="",0,Checklist!J659)</f>
        <v>1</v>
      </c>
      <c r="I659" s="285">
        <f>IF(Checklist!K659="",0,Checklist!K659)</f>
        <v>1</v>
      </c>
      <c r="J659" s="371"/>
      <c r="K659" s="371">
        <f>H659*AA659*J655</f>
        <v>0</v>
      </c>
      <c r="L659" s="331"/>
      <c r="M659" s="372">
        <f>I659*AA659*L655</f>
        <v>0</v>
      </c>
      <c r="N659" s="333"/>
      <c r="O659" s="333">
        <f>M659+K659</f>
        <v>0</v>
      </c>
      <c r="Q659" s="285">
        <f>IF(Checklist!M659="",0,Checklist!M659)</f>
        <v>1</v>
      </c>
      <c r="R659" s="22"/>
      <c r="S659" s="377"/>
      <c r="T659" s="333">
        <f>Q659*AA659*S655</f>
        <v>0</v>
      </c>
      <c r="V659" s="285">
        <f>IF(Checklist!P659="",0,Checklist!P659)</f>
        <v>1</v>
      </c>
      <c r="W659" s="22"/>
      <c r="X659" s="377"/>
      <c r="Y659" s="333">
        <f>V659*AA659*X655</f>
        <v>0</v>
      </c>
      <c r="AA659" s="335">
        <v>0</v>
      </c>
    </row>
    <row r="660" spans="3:28" outlineLevel="2" x14ac:dyDescent="0.25">
      <c r="D660" s="284" t="s">
        <v>909</v>
      </c>
      <c r="E660" s="284" t="s">
        <v>1658</v>
      </c>
      <c r="F660" s="284"/>
      <c r="G660" s="284"/>
      <c r="H660" s="289" t="s">
        <v>731</v>
      </c>
      <c r="I660" s="288" t="s">
        <v>731</v>
      </c>
      <c r="J660" s="324">
        <f t="shared" si="182"/>
        <v>0.28841953445155566</v>
      </c>
      <c r="K660" s="324">
        <f>IF(SUM(K661:K664)&gt;J660,J660,SUM(K661:K664))</f>
        <v>0</v>
      </c>
      <c r="L660" s="325">
        <f t="shared" si="183"/>
        <v>7.2104883612888915E-2</v>
      </c>
      <c r="M660" s="325">
        <f>IF(SUM(M661:M664)&gt;L660,L660,SUM(M661:M664))</f>
        <v>0</v>
      </c>
      <c r="N660" s="326">
        <f>Ponderações!P133*100</f>
        <v>0.36052441806444457</v>
      </c>
      <c r="O660" s="326">
        <f>IF(SUM(O661:O664)&gt;N660,N660,SUM(O661:O664))</f>
        <v>0</v>
      </c>
      <c r="Q660" s="289" t="s">
        <v>731</v>
      </c>
      <c r="R660" s="22"/>
      <c r="S660" s="326">
        <f>N660</f>
        <v>0.36052441806444457</v>
      </c>
      <c r="T660" s="326">
        <f>IF(SUM(T661:T664)&gt;S660,S660,SUM(T661:T664))</f>
        <v>0</v>
      </c>
      <c r="V660" s="289" t="s">
        <v>731</v>
      </c>
      <c r="W660" s="22"/>
      <c r="X660" s="326">
        <f>S660</f>
        <v>0.36052441806444457</v>
      </c>
      <c r="Y660" s="326">
        <f>IF(SUM(Y661:Y664)&gt;X660,X660,SUM(Y661:Y664))</f>
        <v>0</v>
      </c>
      <c r="AA660" s="327"/>
      <c r="AB660" s="342"/>
    </row>
    <row r="661" spans="3:28" outlineLevel="3" x14ac:dyDescent="0.25">
      <c r="E661" s="35" t="s">
        <v>1659</v>
      </c>
      <c r="F661" s="305" t="s">
        <v>1579</v>
      </c>
      <c r="G661" s="35"/>
      <c r="H661" s="285">
        <f>IF(Checklist!J661="",0,Checklist!J661)</f>
        <v>0</v>
      </c>
      <c r="I661" s="285">
        <f>IF(Checklist!K661="",0,Checklist!K661)</f>
        <v>0</v>
      </c>
      <c r="J661" s="337"/>
      <c r="K661" s="337">
        <f>H661*AA661*J660</f>
        <v>0</v>
      </c>
      <c r="L661" s="338"/>
      <c r="M661" s="339">
        <f>I661*AA661*L660</f>
        <v>0</v>
      </c>
      <c r="N661" s="333"/>
      <c r="O661" s="333">
        <f>M661+K661</f>
        <v>0</v>
      </c>
      <c r="Q661" s="285">
        <f>IF(Checklist!M661="",0,Checklist!M661)</f>
        <v>0</v>
      </c>
      <c r="R661" s="22"/>
      <c r="S661" s="377"/>
      <c r="T661" s="333">
        <f>Q661*AA661*S660</f>
        <v>0</v>
      </c>
      <c r="V661" s="285">
        <f>IF(Checklist!P661="",0,Checklist!P661)</f>
        <v>0</v>
      </c>
      <c r="W661" s="22"/>
      <c r="X661" s="377"/>
      <c r="Y661" s="333">
        <f>V661*AA661*X660</f>
        <v>0</v>
      </c>
      <c r="AA661" s="335">
        <v>1</v>
      </c>
    </row>
    <row r="662" spans="3:28" outlineLevel="3" x14ac:dyDescent="0.25">
      <c r="E662" s="35" t="s">
        <v>1660</v>
      </c>
      <c r="F662" s="305" t="s">
        <v>1581</v>
      </c>
      <c r="G662" s="35"/>
      <c r="H662" s="285">
        <f>IF(Checklist!J662="",0,Checklist!J662)</f>
        <v>0</v>
      </c>
      <c r="I662" s="285">
        <f>IF(Checklist!K662="",0,Checklist!K662)</f>
        <v>0</v>
      </c>
      <c r="J662" s="337"/>
      <c r="K662" s="337">
        <f>H662*AA662*J660</f>
        <v>0</v>
      </c>
      <c r="L662" s="338"/>
      <c r="M662" s="339">
        <f>I662*AA662*L660</f>
        <v>0</v>
      </c>
      <c r="N662" s="333"/>
      <c r="O662" s="333">
        <f>M662+K662</f>
        <v>0</v>
      </c>
      <c r="Q662" s="285">
        <f>IF(Checklist!M662="",0,Checklist!M662)</f>
        <v>0</v>
      </c>
      <c r="R662" s="22"/>
      <c r="S662" s="377"/>
      <c r="T662" s="333">
        <f>Q662*AA662*S660</f>
        <v>0</v>
      </c>
      <c r="V662" s="285">
        <f>IF(Checklist!P662="",0,Checklist!P662)</f>
        <v>0</v>
      </c>
      <c r="W662" s="22"/>
      <c r="X662" s="377"/>
      <c r="Y662" s="333">
        <f>V662*AA662*X660</f>
        <v>0</v>
      </c>
      <c r="AA662" s="335">
        <v>0.5</v>
      </c>
    </row>
    <row r="663" spans="3:28" outlineLevel="3" x14ac:dyDescent="0.25">
      <c r="E663" s="35" t="s">
        <v>1661</v>
      </c>
      <c r="F663" s="305" t="s">
        <v>1583</v>
      </c>
      <c r="G663" s="35"/>
      <c r="H663" s="285">
        <f>IF(Checklist!J663="",0,Checklist!J663)</f>
        <v>0</v>
      </c>
      <c r="I663" s="285">
        <f>IF(Checklist!K663="",0,Checklist!K663)</f>
        <v>0</v>
      </c>
      <c r="J663" s="337"/>
      <c r="K663" s="337">
        <f>H663*AA663*J660</f>
        <v>0</v>
      </c>
      <c r="L663" s="338"/>
      <c r="M663" s="339">
        <f>I663*AA663*L660</f>
        <v>0</v>
      </c>
      <c r="N663" s="333"/>
      <c r="O663" s="333">
        <f>M663+K663</f>
        <v>0</v>
      </c>
      <c r="Q663" s="285">
        <f>IF(Checklist!M663="",0,Checklist!M663)</f>
        <v>0</v>
      </c>
      <c r="R663" s="22"/>
      <c r="S663" s="377"/>
      <c r="T663" s="333">
        <f>Q663*AA663*S660</f>
        <v>0</v>
      </c>
      <c r="V663" s="285">
        <f>IF(Checklist!P663="",0,Checklist!P663)</f>
        <v>0</v>
      </c>
      <c r="W663" s="22"/>
      <c r="X663" s="377"/>
      <c r="Y663" s="333">
        <f>V663*AA663*X660</f>
        <v>0</v>
      </c>
      <c r="AA663" s="335">
        <v>0</v>
      </c>
    </row>
    <row r="664" spans="3:28" outlineLevel="3" x14ac:dyDescent="0.25">
      <c r="E664" s="35" t="s">
        <v>1662</v>
      </c>
      <c r="F664" s="35" t="s">
        <v>943</v>
      </c>
      <c r="G664" s="35"/>
      <c r="H664" s="285">
        <f>IF(Checklist!J664="",0,Checklist!J664)</f>
        <v>0</v>
      </c>
      <c r="I664" s="285">
        <f>IF(Checklist!K664="",0,Checklist!K664)</f>
        <v>0</v>
      </c>
      <c r="J664" s="337"/>
      <c r="K664" s="337">
        <f>H664*AA664*J660</f>
        <v>0</v>
      </c>
      <c r="L664" s="338"/>
      <c r="M664" s="339">
        <f>I664*AA664*L660</f>
        <v>0</v>
      </c>
      <c r="N664" s="333"/>
      <c r="O664" s="333">
        <f>M664+K664</f>
        <v>0</v>
      </c>
      <c r="Q664" s="285">
        <f>IF(Checklist!M664="",0,Checklist!M664)</f>
        <v>0</v>
      </c>
      <c r="R664" s="22"/>
      <c r="S664" s="377"/>
      <c r="T664" s="333">
        <f>Q664*AA664*S660</f>
        <v>0</v>
      </c>
      <c r="V664" s="285">
        <f>IF(Checklist!P664="",0,Checklist!P664)</f>
        <v>0</v>
      </c>
      <c r="W664" s="22"/>
      <c r="X664" s="377"/>
      <c r="Y664" s="333">
        <f>V664*AA664*X660</f>
        <v>0</v>
      </c>
      <c r="AA664" s="335">
        <v>0</v>
      </c>
    </row>
    <row r="665" spans="3:28" outlineLevel="1" x14ac:dyDescent="0.25">
      <c r="H665" s="273"/>
      <c r="I665" s="273"/>
      <c r="J665" s="315"/>
      <c r="K665" s="315"/>
      <c r="L665" s="316"/>
      <c r="M665" s="316"/>
      <c r="N665" s="317"/>
      <c r="O665" s="317"/>
      <c r="Q665" s="273"/>
      <c r="R665" s="22"/>
      <c r="S665" s="378"/>
      <c r="T665" s="317"/>
      <c r="V665" s="273"/>
      <c r="W665" s="22"/>
      <c r="X665" s="378"/>
      <c r="Y665" s="317"/>
      <c r="AA665" s="318"/>
    </row>
    <row r="666" spans="3:28" outlineLevel="1" x14ac:dyDescent="0.25">
      <c r="C666" s="275" t="s">
        <v>910</v>
      </c>
      <c r="D666" s="275" t="s">
        <v>911</v>
      </c>
      <c r="E666" s="275"/>
      <c r="F666" s="275"/>
      <c r="G666" s="275"/>
      <c r="H666" s="276"/>
      <c r="I666" s="277"/>
      <c r="J666" s="385">
        <f t="shared" si="182"/>
        <v>1.730517206709334</v>
      </c>
      <c r="K666" s="385">
        <f>K667+K671</f>
        <v>0</v>
      </c>
      <c r="L666" s="386">
        <f t="shared" si="183"/>
        <v>0.43262930167733349</v>
      </c>
      <c r="M666" s="386">
        <f>M667+M671</f>
        <v>0</v>
      </c>
      <c r="N666" s="321">
        <f>N667+N671</f>
        <v>2.1631465083866672</v>
      </c>
      <c r="O666" s="321">
        <f>O667+O671</f>
        <v>0</v>
      </c>
      <c r="Q666" s="276"/>
      <c r="R666" s="22"/>
      <c r="S666" s="321">
        <f>N666</f>
        <v>2.1631465083866672</v>
      </c>
      <c r="T666" s="321">
        <f>T667+T671</f>
        <v>0</v>
      </c>
      <c r="V666" s="276"/>
      <c r="W666" s="22"/>
      <c r="X666" s="321">
        <f>S666</f>
        <v>2.1631465083866672</v>
      </c>
      <c r="Y666" s="321">
        <f>Y667+Y671</f>
        <v>0</v>
      </c>
      <c r="AA666" s="322"/>
      <c r="AB666" s="344"/>
    </row>
    <row r="667" spans="3:28" ht="29.1" customHeight="1" outlineLevel="2" x14ac:dyDescent="0.25">
      <c r="D667" s="278" t="s">
        <v>912</v>
      </c>
      <c r="E667" s="495" t="s">
        <v>1663</v>
      </c>
      <c r="F667" s="495"/>
      <c r="G667" s="495"/>
      <c r="H667" s="279" t="s">
        <v>731</v>
      </c>
      <c r="I667" s="280" t="s">
        <v>731</v>
      </c>
      <c r="J667" s="324">
        <f t="shared" si="182"/>
        <v>0.86525860335466698</v>
      </c>
      <c r="K667" s="324">
        <f>IF(SUM(K668:K670)&gt;J667,J667,SUM(K668:K670))</f>
        <v>0</v>
      </c>
      <c r="L667" s="325">
        <f t="shared" si="183"/>
        <v>0.21631465083866674</v>
      </c>
      <c r="M667" s="325">
        <f>IF(SUM(M668:M670)&gt;L667,L667,SUM(M668:M670))</f>
        <v>0</v>
      </c>
      <c r="N667" s="326">
        <f>Ponderações!P135*100</f>
        <v>1.0815732541933336</v>
      </c>
      <c r="O667" s="326">
        <f>IF(SUM(O668:O670)&gt;N667,N667,SUM(O668:O670))</f>
        <v>0</v>
      </c>
      <c r="Q667" s="279" t="s">
        <v>731</v>
      </c>
      <c r="R667" s="22"/>
      <c r="S667" s="326">
        <f>N667</f>
        <v>1.0815732541933336</v>
      </c>
      <c r="T667" s="326">
        <f>IF(SUM(T668:T670)&gt;S667,S667,SUM(T668:T670))</f>
        <v>0</v>
      </c>
      <c r="V667" s="279" t="s">
        <v>731</v>
      </c>
      <c r="W667" s="22"/>
      <c r="X667" s="326">
        <f>S667</f>
        <v>1.0815732541933336</v>
      </c>
      <c r="Y667" s="326">
        <f>IF(SUM(Y668:Y670)&gt;X667,X667,SUM(Y668:Y670))</f>
        <v>0</v>
      </c>
      <c r="AA667" s="327"/>
      <c r="AB667" s="342"/>
    </row>
    <row r="668" spans="3:28" outlineLevel="3" x14ac:dyDescent="0.25">
      <c r="E668" s="35" t="s">
        <v>1664</v>
      </c>
      <c r="F668" s="35" t="s">
        <v>1665</v>
      </c>
      <c r="G668" s="35"/>
      <c r="H668" s="285">
        <f>IF(Checklist!J668="",0,Checklist!J668)</f>
        <v>0</v>
      </c>
      <c r="I668" s="285">
        <f>IF(Checklist!K668="",0,Checklist!K668)</f>
        <v>0</v>
      </c>
      <c r="J668" s="371"/>
      <c r="K668" s="371">
        <f>H668*AA668*J667</f>
        <v>0</v>
      </c>
      <c r="L668" s="331"/>
      <c r="M668" s="372">
        <f>I668*AA668*L667</f>
        <v>0</v>
      </c>
      <c r="N668" s="333"/>
      <c r="O668" s="333">
        <f>M668+K668</f>
        <v>0</v>
      </c>
      <c r="Q668" s="285">
        <f>IF(Checklist!M668="",0,Checklist!M668)</f>
        <v>0</v>
      </c>
      <c r="R668" s="22"/>
      <c r="S668" s="334"/>
      <c r="T668" s="333">
        <f>Q668*AA668*S667</f>
        <v>0</v>
      </c>
      <c r="V668" s="285">
        <f>IF(Checklist!P668="",0,Checklist!P668)</f>
        <v>0</v>
      </c>
      <c r="W668" s="22"/>
      <c r="X668" s="334"/>
      <c r="Y668" s="333">
        <f>V668*AA668*X667</f>
        <v>0</v>
      </c>
      <c r="AA668" s="335">
        <v>1</v>
      </c>
    </row>
    <row r="669" spans="3:28" outlineLevel="3" x14ac:dyDescent="0.25">
      <c r="E669" s="35" t="s">
        <v>1666</v>
      </c>
      <c r="F669" s="35" t="s">
        <v>1667</v>
      </c>
      <c r="G669" s="35"/>
      <c r="H669" s="285">
        <f>IF(Checklist!J669="",0,Checklist!J669)</f>
        <v>0</v>
      </c>
      <c r="I669" s="285">
        <f>IF(Checklist!K669="",0,Checklist!K669)</f>
        <v>0</v>
      </c>
      <c r="J669" s="371"/>
      <c r="K669" s="371">
        <f>H669*AA669*J667</f>
        <v>0</v>
      </c>
      <c r="L669" s="331"/>
      <c r="M669" s="372">
        <f>I669*AA669*L667</f>
        <v>0</v>
      </c>
      <c r="N669" s="333"/>
      <c r="O669" s="333">
        <f>M669+K669</f>
        <v>0</v>
      </c>
      <c r="Q669" s="285">
        <f>IF(Checklist!M669="",0,Checklist!M669)</f>
        <v>0</v>
      </c>
      <c r="R669" s="22"/>
      <c r="S669" s="334"/>
      <c r="T669" s="333">
        <f>Q669*AA669*S667</f>
        <v>0</v>
      </c>
      <c r="V669" s="285">
        <f>IF(Checklist!P669="",0,Checklist!P669)</f>
        <v>0</v>
      </c>
      <c r="W669" s="22"/>
      <c r="X669" s="334"/>
      <c r="Y669" s="333">
        <f>V669*AA669*X667</f>
        <v>0</v>
      </c>
      <c r="AA669" s="335">
        <v>0.5</v>
      </c>
    </row>
    <row r="670" spans="3:28" outlineLevel="3" x14ac:dyDescent="0.25">
      <c r="E670" s="35" t="s">
        <v>1668</v>
      </c>
      <c r="F670" s="35" t="s">
        <v>1669</v>
      </c>
      <c r="G670" s="35"/>
      <c r="H670" s="285">
        <f>IF(Checklist!J670="",0,Checklist!J670)</f>
        <v>0</v>
      </c>
      <c r="I670" s="285">
        <f>IF(Checklist!K670="",0,Checklist!K670)</f>
        <v>0</v>
      </c>
      <c r="J670" s="371"/>
      <c r="K670" s="371">
        <f>H670*AA670*J667</f>
        <v>0</v>
      </c>
      <c r="L670" s="331"/>
      <c r="M670" s="372">
        <f>I670*AA670*L667</f>
        <v>0</v>
      </c>
      <c r="N670" s="333"/>
      <c r="O670" s="333">
        <f>M670+K670</f>
        <v>0</v>
      </c>
      <c r="Q670" s="285">
        <f>IF(Checklist!M670="",0,Checklist!M670)</f>
        <v>0</v>
      </c>
      <c r="R670" s="22"/>
      <c r="S670" s="334"/>
      <c r="T670" s="333">
        <f>Q670*AA670*S667</f>
        <v>0</v>
      </c>
      <c r="V670" s="285">
        <f>IF(Checklist!P670="",0,Checklist!P670)</f>
        <v>0</v>
      </c>
      <c r="W670" s="22"/>
      <c r="X670" s="334"/>
      <c r="Y670" s="333">
        <f>V670*AA670*X667</f>
        <v>0</v>
      </c>
      <c r="AA670" s="335">
        <v>0</v>
      </c>
    </row>
    <row r="671" spans="3:28" ht="29.1" customHeight="1" outlineLevel="2" x14ac:dyDescent="0.25">
      <c r="D671" s="278" t="s">
        <v>914</v>
      </c>
      <c r="E671" s="495" t="s">
        <v>1670</v>
      </c>
      <c r="F671" s="495"/>
      <c r="G671" s="495"/>
      <c r="H671" s="279" t="s">
        <v>731</v>
      </c>
      <c r="I671" s="280" t="s">
        <v>731</v>
      </c>
      <c r="J671" s="324">
        <f t="shared" si="182"/>
        <v>0.86525860335466698</v>
      </c>
      <c r="K671" s="324">
        <f>IF(SUM(K672:K675)&gt;J671,J671,SUM(K672:K675))</f>
        <v>0</v>
      </c>
      <c r="L671" s="325">
        <f t="shared" si="183"/>
        <v>0.21631465083866674</v>
      </c>
      <c r="M671" s="325">
        <f>IF(SUM(M672:M675)&gt;L671,L671,SUM(M672:M675))</f>
        <v>0</v>
      </c>
      <c r="N671" s="326">
        <f>Ponderações!P136*100</f>
        <v>1.0815732541933336</v>
      </c>
      <c r="O671" s="326">
        <f>IF(SUM(O672:O675)&gt;N671,N671,SUM(O672:O675))</f>
        <v>0</v>
      </c>
      <c r="Q671" s="279" t="s">
        <v>731</v>
      </c>
      <c r="R671" s="22"/>
      <c r="S671" s="326">
        <f>N671</f>
        <v>1.0815732541933336</v>
      </c>
      <c r="T671" s="326">
        <f>IF(SUM(T672:T675)&gt;S671,S671,SUM(T672:T675))</f>
        <v>0</v>
      </c>
      <c r="V671" s="279" t="s">
        <v>731</v>
      </c>
      <c r="W671" s="22"/>
      <c r="X671" s="326">
        <f>S671</f>
        <v>1.0815732541933336</v>
      </c>
      <c r="Y671" s="326">
        <f>IF(SUM(Y672:Y675)&gt;X671,X671,SUM(Y672:Y675))</f>
        <v>0</v>
      </c>
      <c r="AA671" s="327"/>
      <c r="AB671" s="342"/>
    </row>
    <row r="672" spans="3:28" outlineLevel="3" x14ac:dyDescent="0.25">
      <c r="E672" s="35" t="s">
        <v>1671</v>
      </c>
      <c r="F672" s="35" t="s">
        <v>1672</v>
      </c>
      <c r="G672" s="35"/>
      <c r="H672" s="285">
        <f>IF(Checklist!J672="",0,Checklist!J672)</f>
        <v>0</v>
      </c>
      <c r="I672" s="285">
        <f>IF(Checklist!K672="",0,Checklist!K672)</f>
        <v>0</v>
      </c>
      <c r="J672" s="337"/>
      <c r="K672" s="337">
        <f>H672*AA672*J671</f>
        <v>0</v>
      </c>
      <c r="L672" s="338"/>
      <c r="M672" s="339">
        <f>I672*AA672*L671</f>
        <v>0</v>
      </c>
      <c r="N672" s="333"/>
      <c r="O672" s="333">
        <f>M672+K672</f>
        <v>0</v>
      </c>
      <c r="Q672" s="285">
        <f>IF(Checklist!M672="",0,Checklist!M672)</f>
        <v>0</v>
      </c>
      <c r="R672" s="22"/>
      <c r="S672" s="334"/>
      <c r="T672" s="333">
        <f>Q672*AA672*S671</f>
        <v>0</v>
      </c>
      <c r="V672" s="285">
        <f>IF(Checklist!P672="",0,Checklist!P672)</f>
        <v>0</v>
      </c>
      <c r="W672" s="22"/>
      <c r="X672" s="334"/>
      <c r="Y672" s="333">
        <f>V672*AA672*X671</f>
        <v>0</v>
      </c>
      <c r="AA672" s="335">
        <v>1</v>
      </c>
    </row>
    <row r="673" spans="2:29" outlineLevel="3" x14ac:dyDescent="0.25">
      <c r="E673" s="35" t="s">
        <v>1673</v>
      </c>
      <c r="F673" s="35" t="s">
        <v>1674</v>
      </c>
      <c r="G673" s="35"/>
      <c r="H673" s="285">
        <f>IF(Checklist!J673="",0,Checklist!J673)</f>
        <v>0</v>
      </c>
      <c r="I673" s="285">
        <f>IF(Checklist!K673="",0,Checklist!K673)</f>
        <v>0</v>
      </c>
      <c r="J673" s="337"/>
      <c r="K673" s="337">
        <f>H673*AA673*J671</f>
        <v>0</v>
      </c>
      <c r="L673" s="338"/>
      <c r="M673" s="339">
        <f>I673*AA673*L671</f>
        <v>0</v>
      </c>
      <c r="N673" s="333"/>
      <c r="O673" s="333">
        <f t="shared" ref="O673:O675" si="184">M673+K673</f>
        <v>0</v>
      </c>
      <c r="Q673" s="285">
        <f>IF(Checklist!M673="",0,Checklist!M673)</f>
        <v>0</v>
      </c>
      <c r="R673" s="22"/>
      <c r="S673" s="334"/>
      <c r="T673" s="333">
        <f>Q673*AA673*S671</f>
        <v>0</v>
      </c>
      <c r="V673" s="285">
        <f>IF(Checklist!P673="",0,Checklist!P673)</f>
        <v>0</v>
      </c>
      <c r="W673" s="22"/>
      <c r="X673" s="334"/>
      <c r="Y673" s="333">
        <f>V673*AA673*X671</f>
        <v>0</v>
      </c>
      <c r="AA673" s="335">
        <v>0.5</v>
      </c>
    </row>
    <row r="674" spans="2:29" outlineLevel="3" x14ac:dyDescent="0.25">
      <c r="E674" s="35" t="s">
        <v>1675</v>
      </c>
      <c r="F674" s="35" t="s">
        <v>941</v>
      </c>
      <c r="G674" s="35"/>
      <c r="H674" s="285">
        <f>IF(Checklist!J674="",0,Checklist!J674)</f>
        <v>0</v>
      </c>
      <c r="I674" s="285">
        <f>IF(Checklist!K674="",0,Checklist!K674)</f>
        <v>0</v>
      </c>
      <c r="J674" s="337"/>
      <c r="K674" s="337">
        <f>H674*AA674*J671</f>
        <v>0</v>
      </c>
      <c r="L674" s="338"/>
      <c r="M674" s="339">
        <f>I674*AA674*L671</f>
        <v>0</v>
      </c>
      <c r="N674" s="333"/>
      <c r="O674" s="333">
        <f t="shared" si="184"/>
        <v>0</v>
      </c>
      <c r="Q674" s="285">
        <f>IF(Checklist!M674="",0,Checklist!M674)</f>
        <v>0</v>
      </c>
      <c r="R674" s="22"/>
      <c r="S674" s="334"/>
      <c r="T674" s="333">
        <f>Q674*AA674*S671</f>
        <v>0</v>
      </c>
      <c r="V674" s="285">
        <f>IF(Checklist!P674="",0,Checklist!P674)</f>
        <v>0</v>
      </c>
      <c r="W674" s="22"/>
      <c r="X674" s="334"/>
      <c r="Y674" s="333">
        <f>V674*AA674*X671</f>
        <v>0</v>
      </c>
      <c r="AA674" s="335">
        <v>0</v>
      </c>
    </row>
    <row r="675" spans="2:29" outlineLevel="3" x14ac:dyDescent="0.25">
      <c r="E675" s="35" t="s">
        <v>1676</v>
      </c>
      <c r="F675" s="35" t="s">
        <v>943</v>
      </c>
      <c r="G675" s="35"/>
      <c r="H675" s="285">
        <f>IF(Checklist!J675="",0,Checklist!J675)</f>
        <v>0</v>
      </c>
      <c r="I675" s="285">
        <f>IF(Checklist!K675="",0,Checklist!K675)</f>
        <v>0</v>
      </c>
      <c r="J675" s="337"/>
      <c r="K675" s="337">
        <f>H675*AA675*J671</f>
        <v>0</v>
      </c>
      <c r="L675" s="338"/>
      <c r="M675" s="339">
        <f>I675*AA675*L671</f>
        <v>0</v>
      </c>
      <c r="N675" s="333"/>
      <c r="O675" s="333">
        <f t="shared" si="184"/>
        <v>0</v>
      </c>
      <c r="Q675" s="285">
        <f>IF(Checklist!M675="",0,Checklist!M675)</f>
        <v>0</v>
      </c>
      <c r="R675" s="22"/>
      <c r="S675" s="334"/>
      <c r="T675" s="333">
        <f>Q675*AA675*S671</f>
        <v>0</v>
      </c>
      <c r="V675" s="285">
        <f>IF(Checklist!P675="",0,Checklist!P675)</f>
        <v>0</v>
      </c>
      <c r="W675" s="22"/>
      <c r="X675" s="334"/>
      <c r="Y675" s="333">
        <f>V675*AA675*X671</f>
        <v>0</v>
      </c>
      <c r="AA675" s="335">
        <v>0</v>
      </c>
    </row>
    <row r="676" spans="2:29" outlineLevel="1" x14ac:dyDescent="0.25">
      <c r="H676" s="273"/>
      <c r="I676" s="273"/>
      <c r="J676" s="315"/>
      <c r="K676" s="315"/>
      <c r="L676" s="316"/>
      <c r="M676" s="316"/>
      <c r="N676" s="317"/>
      <c r="O676" s="317"/>
      <c r="Q676" s="273"/>
      <c r="R676" s="22"/>
      <c r="S676" s="315"/>
      <c r="T676" s="317"/>
      <c r="V676" s="273"/>
      <c r="W676" s="22"/>
      <c r="X676" s="315"/>
      <c r="Y676" s="317"/>
      <c r="AA676" s="347"/>
    </row>
    <row r="677" spans="2:29" x14ac:dyDescent="0.25">
      <c r="B677" s="270">
        <v>10</v>
      </c>
      <c r="C677" s="271" t="s">
        <v>916</v>
      </c>
      <c r="D677" s="271"/>
      <c r="E677" s="271"/>
      <c r="F677" s="271"/>
      <c r="G677" s="271"/>
      <c r="H677" s="272"/>
      <c r="I677" s="272"/>
      <c r="J677" s="312">
        <f t="shared" si="182"/>
        <v>2.3073562756124453</v>
      </c>
      <c r="K677" s="312">
        <f>K679+K702</f>
        <v>0</v>
      </c>
      <c r="L677" s="312">
        <f t="shared" si="183"/>
        <v>0.57683906890311132</v>
      </c>
      <c r="M677" s="312">
        <f>M679+M702</f>
        <v>0</v>
      </c>
      <c r="N677" s="312">
        <f>N679+N702</f>
        <v>2.8841953445155566</v>
      </c>
      <c r="O677" s="312">
        <f>O679+O702</f>
        <v>0</v>
      </c>
      <c r="Q677" s="272"/>
      <c r="R677" s="22"/>
      <c r="S677" s="312">
        <f>N677</f>
        <v>2.8841953445155566</v>
      </c>
      <c r="T677" s="312">
        <f>T679+T702</f>
        <v>0</v>
      </c>
      <c r="V677" s="272"/>
      <c r="W677" s="22"/>
      <c r="X677" s="312">
        <f>S677</f>
        <v>2.8841953445155566</v>
      </c>
      <c r="Y677" s="312">
        <f>Y679+Y702</f>
        <v>0</v>
      </c>
      <c r="AA677" s="314"/>
    </row>
    <row r="678" spans="2:29" x14ac:dyDescent="0.25">
      <c r="H678" s="273"/>
      <c r="I678" s="273"/>
      <c r="J678" s="315"/>
      <c r="K678" s="315"/>
      <c r="L678" s="316"/>
      <c r="M678" s="316"/>
      <c r="N678" s="317"/>
      <c r="O678" s="317"/>
      <c r="Q678" s="273"/>
      <c r="R678" s="22"/>
      <c r="S678" s="315"/>
      <c r="T678" s="317"/>
      <c r="V678" s="273"/>
      <c r="W678" s="22"/>
      <c r="X678" s="315"/>
      <c r="Y678" s="317"/>
      <c r="AA678" s="381"/>
      <c r="AB678" s="346"/>
    </row>
    <row r="679" spans="2:29" outlineLevel="1" x14ac:dyDescent="0.25">
      <c r="C679" s="275" t="s">
        <v>917</v>
      </c>
      <c r="D679" s="275" t="s">
        <v>918</v>
      </c>
      <c r="E679" s="275"/>
      <c r="F679" s="275"/>
      <c r="G679" s="275"/>
      <c r="H679" s="276"/>
      <c r="I679" s="277"/>
      <c r="J679" s="319">
        <f t="shared" si="182"/>
        <v>1.730517206709334</v>
      </c>
      <c r="K679" s="319">
        <f>K680+K687+K695</f>
        <v>0</v>
      </c>
      <c r="L679" s="320">
        <f t="shared" si="183"/>
        <v>0.43262930167733349</v>
      </c>
      <c r="M679" s="320">
        <f>M680+M687+M695</f>
        <v>0</v>
      </c>
      <c r="N679" s="321">
        <f>N680+N687+N695</f>
        <v>2.1631465083866672</v>
      </c>
      <c r="O679" s="321">
        <f>O680+O687+O695</f>
        <v>0</v>
      </c>
      <c r="Q679" s="276"/>
      <c r="R679" s="22"/>
      <c r="S679" s="321">
        <f>N679</f>
        <v>2.1631465083866672</v>
      </c>
      <c r="T679" s="321">
        <f>T680+T687+T695</f>
        <v>0</v>
      </c>
      <c r="V679" s="276"/>
      <c r="W679" s="22"/>
      <c r="X679" s="321">
        <f>S679</f>
        <v>2.1631465083866672</v>
      </c>
      <c r="Y679" s="321">
        <f>Y680+Y687+Y695</f>
        <v>0</v>
      </c>
      <c r="AA679" s="322"/>
      <c r="AB679" s="344"/>
    </row>
    <row r="680" spans="2:29" ht="29.1" customHeight="1" outlineLevel="2" x14ac:dyDescent="0.25">
      <c r="D680" s="278" t="s">
        <v>919</v>
      </c>
      <c r="E680" s="495" t="s">
        <v>1677</v>
      </c>
      <c r="F680" s="495"/>
      <c r="G680" s="495"/>
      <c r="H680" s="279" t="s">
        <v>729</v>
      </c>
      <c r="I680" s="280" t="s">
        <v>729</v>
      </c>
      <c r="J680" s="324">
        <f t="shared" si="182"/>
        <v>0.57683906890311132</v>
      </c>
      <c r="K680" s="324">
        <f>IF(SUM(K681:K686)&gt;J680,J680,SUM(K681:K686))</f>
        <v>0</v>
      </c>
      <c r="L680" s="325">
        <f t="shared" si="183"/>
        <v>0.14420976722577783</v>
      </c>
      <c r="M680" s="325">
        <f>IF(SUM(M681:M686)&gt;L680,L680,SUM(M681:M686))</f>
        <v>0</v>
      </c>
      <c r="N680" s="326">
        <f>Ponderações!P139*100</f>
        <v>0.72104883612888915</v>
      </c>
      <c r="O680" s="326">
        <f>IF(SUM(O681:O686)&gt;N680,N680,SUM(O681:O686))</f>
        <v>0</v>
      </c>
      <c r="Q680" s="279" t="s">
        <v>729</v>
      </c>
      <c r="R680" s="22"/>
      <c r="S680" s="326">
        <f>N680</f>
        <v>0.72104883612888915</v>
      </c>
      <c r="T680" s="326">
        <f>IF(SUM(T681:T686)&gt;S680,S680,SUM(T681:T686))</f>
        <v>0</v>
      </c>
      <c r="V680" s="279" t="s">
        <v>729</v>
      </c>
      <c r="W680" s="22"/>
      <c r="X680" s="326">
        <f>S680</f>
        <v>0.72104883612888915</v>
      </c>
      <c r="Y680" s="326">
        <f>IF(SUM(Y681:Y686)&gt;X680,X680,SUM(Y681:Y686))</f>
        <v>0</v>
      </c>
      <c r="AA680" s="327"/>
      <c r="AB680" s="342"/>
    </row>
    <row r="681" spans="2:29" outlineLevel="3" x14ac:dyDescent="0.25">
      <c r="E681" s="35" t="s">
        <v>1678</v>
      </c>
      <c r="F681" s="35" t="s">
        <v>1679</v>
      </c>
      <c r="G681" s="35"/>
      <c r="H681" s="282">
        <f>IF(Checklist!J681="",0,Checklist!J681)</f>
        <v>0</v>
      </c>
      <c r="I681" s="282">
        <f>IF(Checklist!K681="",0,Checklist!K681)</f>
        <v>0</v>
      </c>
      <c r="J681" s="371"/>
      <c r="K681" s="371">
        <f>H681*AA681*J680</f>
        <v>0</v>
      </c>
      <c r="L681" s="331"/>
      <c r="M681" s="372">
        <f>I681*AA681*L680</f>
        <v>0</v>
      </c>
      <c r="N681" s="333"/>
      <c r="O681" s="333">
        <f>M681+K681</f>
        <v>0</v>
      </c>
      <c r="Q681" s="282">
        <f>IF(Checklist!M681="",0,Checklist!M681)</f>
        <v>0</v>
      </c>
      <c r="R681" s="22"/>
      <c r="S681" s="377"/>
      <c r="T681" s="333">
        <f>Q681*AA681*S680</f>
        <v>0</v>
      </c>
      <c r="V681" s="282">
        <f>IF(Checklist!P681="",0,Checklist!P681)</f>
        <v>0</v>
      </c>
      <c r="W681" s="22"/>
      <c r="X681" s="377"/>
      <c r="Y681" s="333">
        <f>V681*AA681*X680</f>
        <v>0</v>
      </c>
      <c r="AA681" s="335">
        <v>0.3</v>
      </c>
    </row>
    <row r="682" spans="2:29" outlineLevel="3" x14ac:dyDescent="0.25">
      <c r="E682" s="35" t="s">
        <v>1680</v>
      </c>
      <c r="F682" s="35" t="s">
        <v>1681</v>
      </c>
      <c r="G682" s="35"/>
      <c r="H682" s="282">
        <f>IF(Checklist!J682="",0,Checklist!J682)</f>
        <v>0</v>
      </c>
      <c r="I682" s="282">
        <f>IF(Checklist!K682="",0,Checklist!K682)</f>
        <v>0</v>
      </c>
      <c r="J682" s="371"/>
      <c r="K682" s="371">
        <f>H682*AA682*J680</f>
        <v>0</v>
      </c>
      <c r="L682" s="331"/>
      <c r="M682" s="372">
        <f>I682*AA682*L680</f>
        <v>0</v>
      </c>
      <c r="N682" s="333"/>
      <c r="O682" s="333">
        <f>M682+K682</f>
        <v>0</v>
      </c>
      <c r="Q682" s="282">
        <f>IF(Checklist!M682="",0,Checklist!M682)</f>
        <v>0</v>
      </c>
      <c r="R682" s="22"/>
      <c r="S682" s="377"/>
      <c r="T682" s="333">
        <f>Q682*AA682*S680</f>
        <v>0</v>
      </c>
      <c r="V682" s="282">
        <f>IF(Checklist!P682="",0,Checklist!P682)</f>
        <v>0</v>
      </c>
      <c r="W682" s="22"/>
      <c r="X682" s="377"/>
      <c r="Y682" s="333">
        <f>V682*AA682*X680</f>
        <v>0</v>
      </c>
      <c r="AA682" s="335">
        <v>0.3</v>
      </c>
    </row>
    <row r="683" spans="2:29" outlineLevel="3" x14ac:dyDescent="0.25">
      <c r="E683" s="35" t="s">
        <v>1682</v>
      </c>
      <c r="F683" s="35" t="s">
        <v>1683</v>
      </c>
      <c r="G683" s="35"/>
      <c r="H683" s="282">
        <f>IF(Checklist!J683="",0,Checklist!J683)</f>
        <v>0</v>
      </c>
      <c r="I683" s="282">
        <f>IF(Checklist!K683="",0,Checklist!K683)</f>
        <v>0</v>
      </c>
      <c r="J683" s="371"/>
      <c r="K683" s="371">
        <f>H683*AA683*J680</f>
        <v>0</v>
      </c>
      <c r="L683" s="331"/>
      <c r="M683" s="372">
        <f>I683*AA683*L680</f>
        <v>0</v>
      </c>
      <c r="N683" s="333"/>
      <c r="O683" s="333">
        <f>M683+K683</f>
        <v>0</v>
      </c>
      <c r="Q683" s="282">
        <f>IF(Checklist!M683="",0,Checklist!M683)</f>
        <v>0</v>
      </c>
      <c r="R683" s="22"/>
      <c r="S683" s="377"/>
      <c r="T683" s="333">
        <f>Q683*AA683*S680</f>
        <v>0</v>
      </c>
      <c r="V683" s="282">
        <f>IF(Checklist!P683="",0,Checklist!P683)</f>
        <v>0</v>
      </c>
      <c r="W683" s="22"/>
      <c r="X683" s="377"/>
      <c r="Y683" s="333">
        <f>V683*AA683*X680</f>
        <v>0</v>
      </c>
      <c r="AA683" s="335">
        <v>0.2</v>
      </c>
    </row>
    <row r="684" spans="2:29" outlineLevel="3" x14ac:dyDescent="0.25">
      <c r="E684" s="35" t="s">
        <v>1684</v>
      </c>
      <c r="F684" s="35" t="s">
        <v>1839</v>
      </c>
      <c r="G684" s="35"/>
      <c r="H684" s="282">
        <f>IF(Checklist!J684="",0,Checklist!J684)</f>
        <v>0</v>
      </c>
      <c r="I684" s="282">
        <f>IF(Checklist!K684="",0,Checklist!K684)</f>
        <v>0</v>
      </c>
      <c r="J684" s="371"/>
      <c r="K684" s="371">
        <f>H684*AA684*J680</f>
        <v>0</v>
      </c>
      <c r="L684" s="331"/>
      <c r="M684" s="372">
        <f>I684*AA684*L680</f>
        <v>0</v>
      </c>
      <c r="N684" s="333"/>
      <c r="O684" s="333">
        <f t="shared" ref="O684:O686" si="185">M684+K684</f>
        <v>0</v>
      </c>
      <c r="Q684" s="282">
        <f>IF(Checklist!M684="",0,Checklist!M684)</f>
        <v>0</v>
      </c>
      <c r="R684" s="22"/>
      <c r="S684" s="377"/>
      <c r="T684" s="333">
        <f>Q684*AA684*S680</f>
        <v>0</v>
      </c>
      <c r="V684" s="282">
        <f>IF(Checklist!P684="",0,Checklist!P684)</f>
        <v>0</v>
      </c>
      <c r="W684" s="22"/>
      <c r="X684" s="377"/>
      <c r="Y684" s="333">
        <f>V684*AA684*X680</f>
        <v>0</v>
      </c>
      <c r="AA684" s="335">
        <v>0.2</v>
      </c>
    </row>
    <row r="685" spans="2:29" outlineLevel="3" x14ac:dyDescent="0.25">
      <c r="E685" s="35" t="s">
        <v>1685</v>
      </c>
      <c r="F685" s="35" t="s">
        <v>941</v>
      </c>
      <c r="G685" s="35"/>
      <c r="H685" s="282">
        <f>IF(Checklist!J685="",0,Checklist!J685)</f>
        <v>0</v>
      </c>
      <c r="I685" s="282">
        <f>IF(Checklist!K685="",0,Checklist!K685)</f>
        <v>0</v>
      </c>
      <c r="J685" s="371"/>
      <c r="K685" s="371">
        <f>H685*AA685*J680</f>
        <v>0</v>
      </c>
      <c r="L685" s="331"/>
      <c r="M685" s="372">
        <f>I685*AA685*L680</f>
        <v>0</v>
      </c>
      <c r="N685" s="333"/>
      <c r="O685" s="333">
        <f t="shared" si="185"/>
        <v>0</v>
      </c>
      <c r="Q685" s="282">
        <f>IF(Checklist!M685="",0,Checklist!M685)</f>
        <v>0</v>
      </c>
      <c r="R685" s="22"/>
      <c r="S685" s="377"/>
      <c r="T685" s="333">
        <f>Q685*AA685*S680</f>
        <v>0</v>
      </c>
      <c r="V685" s="282">
        <f>IF(Checklist!P685="",0,Checklist!P685)</f>
        <v>0</v>
      </c>
      <c r="W685" s="22"/>
      <c r="X685" s="377"/>
      <c r="Y685" s="333">
        <f>V685*AA685*X680</f>
        <v>0</v>
      </c>
      <c r="AA685" s="335">
        <v>0</v>
      </c>
    </row>
    <row r="686" spans="2:29" outlineLevel="3" x14ac:dyDescent="0.25">
      <c r="E686" s="35" t="s">
        <v>1686</v>
      </c>
      <c r="F686" s="35" t="s">
        <v>943</v>
      </c>
      <c r="G686" s="35"/>
      <c r="H686" s="282">
        <f>IF(Checklist!J686="",0,Checklist!J686)</f>
        <v>0</v>
      </c>
      <c r="I686" s="282">
        <f>IF(Checklist!K686="",0,Checklist!K686)</f>
        <v>0</v>
      </c>
      <c r="J686" s="371"/>
      <c r="K686" s="371">
        <f>H686*AA686*J680</f>
        <v>0</v>
      </c>
      <c r="L686" s="331"/>
      <c r="M686" s="372">
        <f>I686*AA686*L680</f>
        <v>0</v>
      </c>
      <c r="N686" s="333"/>
      <c r="O686" s="333">
        <f t="shared" si="185"/>
        <v>0</v>
      </c>
      <c r="Q686" s="282">
        <f>IF(Checklist!M686="",0,Checklist!M686)</f>
        <v>0</v>
      </c>
      <c r="R686" s="22"/>
      <c r="S686" s="377"/>
      <c r="T686" s="333">
        <f>Q686*AA686*S680</f>
        <v>0</v>
      </c>
      <c r="V686" s="282">
        <f>IF(Checklist!P686="",0,Checklist!P686)</f>
        <v>0</v>
      </c>
      <c r="W686" s="22"/>
      <c r="X686" s="377"/>
      <c r="Y686" s="333">
        <f>V686*AA686*X680</f>
        <v>0</v>
      </c>
      <c r="AA686" s="335">
        <v>0</v>
      </c>
    </row>
    <row r="687" spans="2:29" outlineLevel="2" x14ac:dyDescent="0.25">
      <c r="D687" s="284" t="s">
        <v>921</v>
      </c>
      <c r="E687" s="284" t="s">
        <v>1868</v>
      </c>
      <c r="F687" s="284"/>
      <c r="G687" s="284"/>
      <c r="H687" s="289" t="s">
        <v>729</v>
      </c>
      <c r="I687" s="288" t="s">
        <v>729</v>
      </c>
      <c r="J687" s="324">
        <f t="shared" si="182"/>
        <v>0.57683906890311132</v>
      </c>
      <c r="K687" s="324">
        <f>IF(SUM(K688:K694)&gt;J687,J687,SUM(K688:K694))</f>
        <v>0</v>
      </c>
      <c r="L687" s="325">
        <f t="shared" si="183"/>
        <v>0.14420976722577783</v>
      </c>
      <c r="M687" s="325">
        <f>IF(SUM(M688:M694)&gt;L687,L687,SUM(M688:M694))</f>
        <v>0</v>
      </c>
      <c r="N687" s="326">
        <f>Ponderações!P140*100</f>
        <v>0.72104883612888915</v>
      </c>
      <c r="O687" s="326">
        <f>IF(SUM(O688:O694)&gt;N687,N687,SUM(O688:O694))</f>
        <v>0</v>
      </c>
      <c r="Q687" s="289" t="s">
        <v>729</v>
      </c>
      <c r="R687" s="22"/>
      <c r="S687" s="326">
        <f>N687</f>
        <v>0.72104883612888915</v>
      </c>
      <c r="T687" s="326">
        <f>IF(SUM(T688:T694)&gt;S687,S687,SUM(T688:T694))</f>
        <v>0</v>
      </c>
      <c r="V687" s="289" t="s">
        <v>729</v>
      </c>
      <c r="W687" s="22"/>
      <c r="X687" s="326">
        <f>S687</f>
        <v>0.72104883612888915</v>
      </c>
      <c r="Y687" s="326">
        <f>IF(SUM(Y688:Y694)&gt;X687,X687,SUM(Y688:Y694))</f>
        <v>0</v>
      </c>
      <c r="AA687" s="327"/>
      <c r="AB687" s="328">
        <f>SUMPRODUCT(AC688:AC694,AB688:AB694)</f>
        <v>0.9</v>
      </c>
      <c r="AC687" s="328"/>
    </row>
    <row r="688" spans="2:29" outlineLevel="3" x14ac:dyDescent="0.25">
      <c r="E688" s="35" t="s">
        <v>1687</v>
      </c>
      <c r="F688" s="35" t="s">
        <v>1688</v>
      </c>
      <c r="G688" s="35"/>
      <c r="H688" s="282">
        <f>IF(Checklist!J688="",0,Checklist!J688)</f>
        <v>0</v>
      </c>
      <c r="I688" s="282">
        <f>IF(Checklist!K688="",0,Checklist!K688)</f>
        <v>0</v>
      </c>
      <c r="J688" s="371"/>
      <c r="K688" s="371">
        <f>H688*AA688*J687</f>
        <v>0</v>
      </c>
      <c r="L688" s="331"/>
      <c r="M688" s="372">
        <f>I688*AA688*L687</f>
        <v>0</v>
      </c>
      <c r="N688" s="333"/>
      <c r="O688" s="333">
        <f>M688+K688</f>
        <v>0</v>
      </c>
      <c r="Q688" s="282">
        <f>IF(Checklist!M688="",0,Checklist!M688)</f>
        <v>0</v>
      </c>
      <c r="R688" s="22"/>
      <c r="S688" s="377"/>
      <c r="T688" s="333">
        <f>Q688*AA688*S687</f>
        <v>0</v>
      </c>
      <c r="V688" s="282">
        <f>IF(Checklist!P688="",0,Checklist!P688)</f>
        <v>0</v>
      </c>
      <c r="W688" s="22"/>
      <c r="X688" s="377"/>
      <c r="Y688" s="333">
        <f>V688*AA688*X687</f>
        <v>0</v>
      </c>
      <c r="AA688" s="335">
        <f t="shared" ref="AA688:AA694" si="186">AC688*AB688/$AB$687</f>
        <v>0.33333333333333331</v>
      </c>
      <c r="AB688" s="341">
        <v>1</v>
      </c>
      <c r="AC688" s="335">
        <v>0.3</v>
      </c>
    </row>
    <row r="689" spans="3:29" outlineLevel="3" x14ac:dyDescent="0.25">
      <c r="E689" s="35" t="s">
        <v>1689</v>
      </c>
      <c r="F689" s="35" t="s">
        <v>1838</v>
      </c>
      <c r="G689" s="35"/>
      <c r="H689" s="282">
        <f>IF(Checklist!J689="",0,Checklist!J689)</f>
        <v>0</v>
      </c>
      <c r="I689" s="282">
        <f>IF(Checklist!K689="",0,Checklist!K689)</f>
        <v>0</v>
      </c>
      <c r="J689" s="371"/>
      <c r="K689" s="371">
        <f>H689*AA689*J687</f>
        <v>0</v>
      </c>
      <c r="L689" s="331"/>
      <c r="M689" s="372">
        <f>I689*AA689*L687</f>
        <v>0</v>
      </c>
      <c r="N689" s="333"/>
      <c r="O689" s="333">
        <f t="shared" ref="O689:O694" si="187">M689+K689</f>
        <v>0</v>
      </c>
      <c r="Q689" s="282">
        <f>IF(Checklist!M689="",0,Checklist!M689)</f>
        <v>0</v>
      </c>
      <c r="R689" s="22"/>
      <c r="S689" s="377"/>
      <c r="T689" s="333">
        <f>Q689*AA689*S687</f>
        <v>0</v>
      </c>
      <c r="V689" s="282">
        <f>IF(Checklist!P689="",0,Checklist!P689)</f>
        <v>0</v>
      </c>
      <c r="W689" s="22"/>
      <c r="X689" s="377"/>
      <c r="Y689" s="333">
        <f>V689*AA689*X687</f>
        <v>0</v>
      </c>
      <c r="AA689" s="335">
        <f t="shared" si="186"/>
        <v>0.33333333333333331</v>
      </c>
      <c r="AB689" s="341">
        <v>1</v>
      </c>
      <c r="AC689" s="335">
        <v>0.3</v>
      </c>
    </row>
    <row r="690" spans="3:29" outlineLevel="3" x14ac:dyDescent="0.25">
      <c r="E690" s="35" t="s">
        <v>1690</v>
      </c>
      <c r="F690" s="35" t="s">
        <v>1691</v>
      </c>
      <c r="G690" s="35"/>
      <c r="H690" s="282">
        <f>IF(Checklist!J690="",0,Checklist!J690)</f>
        <v>0</v>
      </c>
      <c r="I690" s="282">
        <f>IF(Checklist!K690="",0,Checklist!K690)</f>
        <v>0</v>
      </c>
      <c r="J690" s="371"/>
      <c r="K690" s="371">
        <f>H690*AA690*J687</f>
        <v>0</v>
      </c>
      <c r="L690" s="331"/>
      <c r="M690" s="372">
        <f>I690*AA690*L687</f>
        <v>0</v>
      </c>
      <c r="N690" s="333"/>
      <c r="O690" s="333">
        <f t="shared" si="187"/>
        <v>0</v>
      </c>
      <c r="Q690" s="282">
        <f>IF(Checklist!M690="",0,Checklist!M690)</f>
        <v>0</v>
      </c>
      <c r="R690" s="22"/>
      <c r="S690" s="377"/>
      <c r="T690" s="333">
        <f>Q690*AA690*S687</f>
        <v>0</v>
      </c>
      <c r="V690" s="282">
        <f>IF(Checklist!P690="",0,Checklist!P690)</f>
        <v>0</v>
      </c>
      <c r="W690" s="22"/>
      <c r="X690" s="377"/>
      <c r="Y690" s="333">
        <f>V690*AA690*X687</f>
        <v>0</v>
      </c>
      <c r="AA690" s="335">
        <f t="shared" si="186"/>
        <v>0.22222222222222224</v>
      </c>
      <c r="AB690" s="341">
        <v>1</v>
      </c>
      <c r="AC690" s="335">
        <v>0.2</v>
      </c>
    </row>
    <row r="691" spans="3:29" outlineLevel="3" x14ac:dyDescent="0.25">
      <c r="E691" s="35" t="s">
        <v>1692</v>
      </c>
      <c r="F691" s="35" t="s">
        <v>1693</v>
      </c>
      <c r="G691" s="35"/>
      <c r="H691" s="282">
        <f>IF(Checklist!J691="",0,Checklist!J691)</f>
        <v>0</v>
      </c>
      <c r="I691" s="282">
        <f>IF(Checklist!K691="",0,Checklist!K691)</f>
        <v>0</v>
      </c>
      <c r="J691" s="371"/>
      <c r="K691" s="371">
        <f>H691*AA691*J687</f>
        <v>0</v>
      </c>
      <c r="L691" s="331"/>
      <c r="M691" s="372">
        <f>I691*AA691*L687</f>
        <v>0</v>
      </c>
      <c r="N691" s="333"/>
      <c r="O691" s="333">
        <f t="shared" si="187"/>
        <v>0</v>
      </c>
      <c r="Q691" s="282">
        <f>IF(Checklist!M691="",0,Checklist!M691)</f>
        <v>0</v>
      </c>
      <c r="R691" s="22"/>
      <c r="S691" s="377"/>
      <c r="T691" s="333">
        <f>Q691*AA691*S687</f>
        <v>0</v>
      </c>
      <c r="V691" s="282">
        <f>IF(Checklist!P691="",0,Checklist!P691)</f>
        <v>0</v>
      </c>
      <c r="W691" s="22"/>
      <c r="X691" s="377"/>
      <c r="Y691" s="333">
        <f>V691*AA691*X687</f>
        <v>0</v>
      </c>
      <c r="AA691" s="335">
        <f t="shared" si="186"/>
        <v>0</v>
      </c>
      <c r="AB691" s="341">
        <f>IF(Checklist!B150+Checklist!B159+Checklist!B166+Checklist!B173+Checklist!B179+Checklist!B185=0,0,1)</f>
        <v>0</v>
      </c>
      <c r="AC691" s="335">
        <v>0.2</v>
      </c>
    </row>
    <row r="692" spans="3:29" outlineLevel="3" x14ac:dyDescent="0.25">
      <c r="E692" s="35" t="s">
        <v>1694</v>
      </c>
      <c r="F692" s="35" t="s">
        <v>1870</v>
      </c>
      <c r="G692" s="35"/>
      <c r="H692" s="282">
        <f>IF(Checklist!J692="",0,Checklist!J692)</f>
        <v>0</v>
      </c>
      <c r="I692" s="282">
        <f>IF(Checklist!K692="",0,Checklist!K692)</f>
        <v>0</v>
      </c>
      <c r="J692" s="371"/>
      <c r="K692" s="371">
        <f>H692*AA692*J687</f>
        <v>0</v>
      </c>
      <c r="L692" s="331"/>
      <c r="M692" s="372">
        <f>I692*AA692*L687</f>
        <v>0</v>
      </c>
      <c r="N692" s="333"/>
      <c r="O692" s="333">
        <f t="shared" si="187"/>
        <v>0</v>
      </c>
      <c r="Q692" s="282">
        <f>IF(Checklist!M692="",0,Checklist!M692)</f>
        <v>0</v>
      </c>
      <c r="R692" s="22"/>
      <c r="S692" s="377"/>
      <c r="T692" s="333">
        <f>Q692*AA692*S687</f>
        <v>0</v>
      </c>
      <c r="V692" s="282">
        <f>IF(Checklist!P692="",0,Checklist!P692)</f>
        <v>0</v>
      </c>
      <c r="W692" s="22"/>
      <c r="X692" s="377"/>
      <c r="Y692" s="333">
        <f>V692*AA692*X687</f>
        <v>0</v>
      </c>
      <c r="AA692" s="335">
        <f t="shared" si="186"/>
        <v>0.11111111111111112</v>
      </c>
      <c r="AB692" s="341">
        <v>1</v>
      </c>
      <c r="AC692" s="335">
        <v>0.1</v>
      </c>
    </row>
    <row r="693" spans="3:29" outlineLevel="3" x14ac:dyDescent="0.25">
      <c r="E693" s="35" t="s">
        <v>1695</v>
      </c>
      <c r="F693" s="35" t="s">
        <v>941</v>
      </c>
      <c r="G693" s="35"/>
      <c r="H693" s="282">
        <f>IF(Checklist!J693="",0,Checklist!J693)</f>
        <v>0</v>
      </c>
      <c r="I693" s="282">
        <f>IF(Checklist!K693="",0,Checklist!K693)</f>
        <v>0</v>
      </c>
      <c r="J693" s="371"/>
      <c r="K693" s="371">
        <f>H693*AA693*J687</f>
        <v>0</v>
      </c>
      <c r="L693" s="331"/>
      <c r="M693" s="372">
        <f>I693*AA693*L687</f>
        <v>0</v>
      </c>
      <c r="N693" s="333"/>
      <c r="O693" s="333">
        <f t="shared" si="187"/>
        <v>0</v>
      </c>
      <c r="Q693" s="282">
        <f>IF(Checklist!M693="",0,Checklist!M693)</f>
        <v>0</v>
      </c>
      <c r="R693" s="22"/>
      <c r="S693" s="377"/>
      <c r="T693" s="333">
        <f>Q693*AA693*S687</f>
        <v>0</v>
      </c>
      <c r="V693" s="282">
        <f>IF(Checklist!P693="",0,Checklist!P693)</f>
        <v>0</v>
      </c>
      <c r="W693" s="22"/>
      <c r="X693" s="377"/>
      <c r="Y693" s="333">
        <f>V693*AA693*X687</f>
        <v>0</v>
      </c>
      <c r="AA693" s="335">
        <f t="shared" si="186"/>
        <v>0</v>
      </c>
      <c r="AB693" s="341">
        <v>1</v>
      </c>
      <c r="AC693" s="335">
        <v>0</v>
      </c>
    </row>
    <row r="694" spans="3:29" outlineLevel="3" x14ac:dyDescent="0.25">
      <c r="E694" s="35" t="s">
        <v>1696</v>
      </c>
      <c r="F694" s="35" t="s">
        <v>943</v>
      </c>
      <c r="G694" s="35"/>
      <c r="H694" s="282">
        <f>IF(Checklist!J694="",0,Checklist!J694)</f>
        <v>0</v>
      </c>
      <c r="I694" s="282">
        <f>IF(Checklist!K694="",0,Checklist!K694)</f>
        <v>0</v>
      </c>
      <c r="J694" s="371"/>
      <c r="K694" s="371">
        <f>H694*AA694*J687</f>
        <v>0</v>
      </c>
      <c r="L694" s="331"/>
      <c r="M694" s="372">
        <f>I694*AA694*L687</f>
        <v>0</v>
      </c>
      <c r="N694" s="333"/>
      <c r="O694" s="333">
        <f t="shared" si="187"/>
        <v>0</v>
      </c>
      <c r="Q694" s="282">
        <f>IF(Checklist!M694="",0,Checklist!M694)</f>
        <v>0</v>
      </c>
      <c r="R694" s="22"/>
      <c r="S694" s="377"/>
      <c r="T694" s="333">
        <f>Q694*AA694*S687</f>
        <v>0</v>
      </c>
      <c r="V694" s="282">
        <f>IF(Checklist!P694="",0,Checklist!P694)</f>
        <v>0</v>
      </c>
      <c r="W694" s="22"/>
      <c r="X694" s="377"/>
      <c r="Y694" s="333">
        <f>V694*AA694*X687</f>
        <v>0</v>
      </c>
      <c r="AA694" s="335">
        <f t="shared" si="186"/>
        <v>0</v>
      </c>
      <c r="AB694" s="341">
        <v>1</v>
      </c>
      <c r="AC694" s="335">
        <v>0</v>
      </c>
    </row>
    <row r="695" spans="3:29" outlineLevel="2" x14ac:dyDescent="0.25">
      <c r="D695" s="284" t="s">
        <v>1697</v>
      </c>
      <c r="E695" s="284" t="s">
        <v>1869</v>
      </c>
      <c r="F695" s="284"/>
      <c r="G695" s="284"/>
      <c r="H695" s="289" t="s">
        <v>729</v>
      </c>
      <c r="I695" s="288" t="s">
        <v>729</v>
      </c>
      <c r="J695" s="324">
        <f t="shared" ref="J695" si="188">N695*0.8</f>
        <v>0.57683906890311132</v>
      </c>
      <c r="K695" s="324">
        <f>IF(SUM(K696:K700)&gt;J695,J695,SUM(K696:K700))</f>
        <v>0</v>
      </c>
      <c r="L695" s="325">
        <f t="shared" ref="L695" si="189">N695*0.2</f>
        <v>0.14420976722577783</v>
      </c>
      <c r="M695" s="325">
        <f>IF(SUM(M696:M700)&gt;L695,L695,SUM(M696:M700))</f>
        <v>0</v>
      </c>
      <c r="N695" s="326">
        <f>Ponderações!P141*100</f>
        <v>0.72104883612888915</v>
      </c>
      <c r="O695" s="326">
        <f>IF(SUM(O696:O700)&gt;N695,N695,SUM(O696:O700))</f>
        <v>0</v>
      </c>
      <c r="Q695" s="289" t="s">
        <v>729</v>
      </c>
      <c r="R695" s="22"/>
      <c r="S695" s="326">
        <f>N695</f>
        <v>0.72104883612888915</v>
      </c>
      <c r="T695" s="326">
        <f>IF(SUM(T696:T700)&gt;S695,S695,SUM(T696:T700))</f>
        <v>0</v>
      </c>
      <c r="V695" s="289" t="s">
        <v>729</v>
      </c>
      <c r="W695" s="22"/>
      <c r="X695" s="326">
        <f>S695</f>
        <v>0.72104883612888915</v>
      </c>
      <c r="Y695" s="326">
        <f>IF(SUM(Y696:Y700)&gt;X695,X695,SUM(Y696:Y700))</f>
        <v>0</v>
      </c>
      <c r="AA695" s="327"/>
      <c r="AB695" s="387"/>
    </row>
    <row r="696" spans="3:29" outlineLevel="3" x14ac:dyDescent="0.25">
      <c r="E696" s="35" t="s">
        <v>1698</v>
      </c>
      <c r="F696" s="35" t="s">
        <v>1699</v>
      </c>
      <c r="G696" s="35"/>
      <c r="H696" s="282">
        <f>IF(Checklist!J696="",0,Checklist!J696)</f>
        <v>0</v>
      </c>
      <c r="I696" s="282">
        <f>IF(Checklist!K696="",0,Checklist!K696)</f>
        <v>0</v>
      </c>
      <c r="J696" s="337"/>
      <c r="K696" s="337">
        <f>H696*AA696*J695</f>
        <v>0</v>
      </c>
      <c r="L696" s="338"/>
      <c r="M696" s="339">
        <f>I696*AA696*L695</f>
        <v>0</v>
      </c>
      <c r="N696" s="333"/>
      <c r="O696" s="333">
        <f>M696+K696</f>
        <v>0</v>
      </c>
      <c r="Q696" s="282">
        <f>IF(Checklist!M696="",0,Checklist!M696)</f>
        <v>0</v>
      </c>
      <c r="R696" s="22"/>
      <c r="S696" s="377"/>
      <c r="T696" s="333">
        <f>Q696*AA696*S695</f>
        <v>0</v>
      </c>
      <c r="V696" s="282">
        <f>IF(Checklist!P696="",0,Checklist!P696)</f>
        <v>0</v>
      </c>
      <c r="W696" s="22"/>
      <c r="X696" s="377"/>
      <c r="Y696" s="333">
        <f>V696*AA696*X695</f>
        <v>0</v>
      </c>
      <c r="AA696" s="335">
        <v>0.5</v>
      </c>
    </row>
    <row r="697" spans="3:29" outlineLevel="3" x14ac:dyDescent="0.25">
      <c r="E697" s="35" t="s">
        <v>1700</v>
      </c>
      <c r="F697" s="35" t="s">
        <v>1701</v>
      </c>
      <c r="G697" s="35"/>
      <c r="H697" s="282">
        <f>IF(Checklist!J697="",0,Checklist!J697)</f>
        <v>0</v>
      </c>
      <c r="I697" s="282">
        <f>IF(Checklist!K697="",0,Checklist!K697)</f>
        <v>0</v>
      </c>
      <c r="J697" s="337"/>
      <c r="K697" s="337">
        <f>H697*AA697*J695</f>
        <v>0</v>
      </c>
      <c r="L697" s="338"/>
      <c r="M697" s="339">
        <f>I697*AA697*L695</f>
        <v>0</v>
      </c>
      <c r="N697" s="333"/>
      <c r="O697" s="333">
        <f>M697+K697</f>
        <v>0</v>
      </c>
      <c r="Q697" s="282">
        <f>IF(Checklist!M697="",0,Checklist!M697)</f>
        <v>0</v>
      </c>
      <c r="R697" s="22"/>
      <c r="S697" s="377"/>
      <c r="T697" s="333">
        <f>Q697*AA697*S695</f>
        <v>0</v>
      </c>
      <c r="V697" s="282">
        <f>IF(Checklist!P697="",0,Checklist!P697)</f>
        <v>0</v>
      </c>
      <c r="W697" s="22"/>
      <c r="X697" s="377"/>
      <c r="Y697" s="333">
        <f>V697*AA697*X695</f>
        <v>0</v>
      </c>
      <c r="AA697" s="335">
        <v>0.5</v>
      </c>
    </row>
    <row r="698" spans="3:29" outlineLevel="3" x14ac:dyDescent="0.25">
      <c r="E698" s="35" t="s">
        <v>1702</v>
      </c>
      <c r="F698" s="35" t="s">
        <v>1870</v>
      </c>
      <c r="G698" s="35"/>
      <c r="H698" s="282">
        <f>IF(Checklist!J698="",0,Checklist!J698)</f>
        <v>0</v>
      </c>
      <c r="I698" s="282">
        <f>IF(Checklist!K698="",0,Checklist!K698)</f>
        <v>0</v>
      </c>
      <c r="J698" s="337"/>
      <c r="K698" s="337">
        <f>H698*AA698*J695</f>
        <v>0</v>
      </c>
      <c r="L698" s="338"/>
      <c r="M698" s="339">
        <f>I698*AA698*L695</f>
        <v>0</v>
      </c>
      <c r="N698" s="333"/>
      <c r="O698" s="333">
        <f t="shared" ref="O698:O700" si="190">M698+K698</f>
        <v>0</v>
      </c>
      <c r="Q698" s="282">
        <f>IF(Checklist!M698="",0,Checklist!M698)</f>
        <v>0</v>
      </c>
      <c r="R698" s="22"/>
      <c r="S698" s="377"/>
      <c r="T698" s="333">
        <f>Q698*AA698*S695</f>
        <v>0</v>
      </c>
      <c r="V698" s="282">
        <f>IF(Checklist!P698="",0,Checklist!P698)</f>
        <v>0</v>
      </c>
      <c r="W698" s="22"/>
      <c r="X698" s="377"/>
      <c r="Y698" s="333">
        <f>V698*AA698*X695</f>
        <v>0</v>
      </c>
      <c r="AA698" s="335">
        <v>0.1</v>
      </c>
    </row>
    <row r="699" spans="3:29" outlineLevel="3" x14ac:dyDescent="0.25">
      <c r="E699" s="35" t="s">
        <v>1703</v>
      </c>
      <c r="F699" s="35" t="s">
        <v>941</v>
      </c>
      <c r="G699" s="35"/>
      <c r="H699" s="282">
        <f>IF(Checklist!J699="",0,Checklist!J699)</f>
        <v>0</v>
      </c>
      <c r="I699" s="282">
        <f>IF(Checklist!K699="",0,Checklist!K699)</f>
        <v>0</v>
      </c>
      <c r="J699" s="337"/>
      <c r="K699" s="337">
        <f>H699*AA699*J695</f>
        <v>0</v>
      </c>
      <c r="L699" s="338"/>
      <c r="M699" s="339">
        <f>I699*AA699*L695</f>
        <v>0</v>
      </c>
      <c r="N699" s="333"/>
      <c r="O699" s="333">
        <f t="shared" si="190"/>
        <v>0</v>
      </c>
      <c r="Q699" s="282">
        <f>IF(Checklist!M699="",0,Checklist!M699)</f>
        <v>0</v>
      </c>
      <c r="R699" s="22"/>
      <c r="S699" s="377"/>
      <c r="T699" s="333">
        <f>Q699*AA699*S695</f>
        <v>0</v>
      </c>
      <c r="V699" s="282">
        <f>IF(Checklist!P699="",0,Checklist!P699)</f>
        <v>0</v>
      </c>
      <c r="W699" s="22"/>
      <c r="X699" s="377"/>
      <c r="Y699" s="333">
        <f>V699*AA699*X695</f>
        <v>0</v>
      </c>
      <c r="AA699" s="335">
        <v>0</v>
      </c>
    </row>
    <row r="700" spans="3:29" outlineLevel="3" x14ac:dyDescent="0.25">
      <c r="E700" s="35" t="s">
        <v>1704</v>
      </c>
      <c r="F700" s="35" t="s">
        <v>943</v>
      </c>
      <c r="G700" s="35"/>
      <c r="H700" s="282">
        <f>IF(Checklist!J700="",0,Checklist!J700)</f>
        <v>0</v>
      </c>
      <c r="I700" s="282">
        <f>IF(Checklist!K700="",0,Checklist!K700)</f>
        <v>0</v>
      </c>
      <c r="J700" s="337"/>
      <c r="K700" s="337">
        <f>H700*AA700*J695</f>
        <v>0</v>
      </c>
      <c r="L700" s="338"/>
      <c r="M700" s="339">
        <f>I700*AA700*L695</f>
        <v>0</v>
      </c>
      <c r="N700" s="333"/>
      <c r="O700" s="333">
        <f t="shared" si="190"/>
        <v>0</v>
      </c>
      <c r="Q700" s="282">
        <f>IF(Checklist!M700="",0,Checklist!M700)</f>
        <v>0</v>
      </c>
      <c r="R700" s="22"/>
      <c r="S700" s="377"/>
      <c r="T700" s="333">
        <f>Q700*AA700*S695</f>
        <v>0</v>
      </c>
      <c r="V700" s="282">
        <f>IF(Checklist!P700="",0,Checklist!P700)</f>
        <v>0</v>
      </c>
      <c r="W700" s="22"/>
      <c r="X700" s="377"/>
      <c r="Y700" s="333">
        <f>V700*AA700*X695</f>
        <v>0</v>
      </c>
      <c r="AA700" s="335">
        <v>0</v>
      </c>
    </row>
    <row r="701" spans="3:29" outlineLevel="1" x14ac:dyDescent="0.25">
      <c r="H701" s="273"/>
      <c r="I701" s="273"/>
      <c r="J701" s="315"/>
      <c r="K701" s="315"/>
      <c r="L701" s="316"/>
      <c r="M701" s="316"/>
      <c r="N701" s="317"/>
      <c r="O701" s="317"/>
      <c r="Q701" s="273"/>
      <c r="R701" s="22"/>
      <c r="S701" s="378"/>
      <c r="T701" s="317"/>
      <c r="V701" s="273"/>
      <c r="W701" s="22"/>
      <c r="X701" s="378"/>
      <c r="Y701" s="317"/>
      <c r="AA701" s="347"/>
    </row>
    <row r="702" spans="3:29" outlineLevel="1" x14ac:dyDescent="0.25">
      <c r="C702" s="275" t="s">
        <v>922</v>
      </c>
      <c r="D702" s="275" t="s">
        <v>1705</v>
      </c>
      <c r="E702" s="275"/>
      <c r="F702" s="275"/>
      <c r="G702" s="275"/>
      <c r="H702" s="276"/>
      <c r="I702" s="277"/>
      <c r="J702" s="319">
        <f t="shared" si="182"/>
        <v>0.57683906890311132</v>
      </c>
      <c r="K702" s="319">
        <f>K703+K709</f>
        <v>0</v>
      </c>
      <c r="L702" s="320">
        <f t="shared" si="183"/>
        <v>0.14420976722577783</v>
      </c>
      <c r="M702" s="320">
        <f>M703+M709</f>
        <v>0</v>
      </c>
      <c r="N702" s="321">
        <f>N703+N709</f>
        <v>0.72104883612888915</v>
      </c>
      <c r="O702" s="321">
        <f>O703+O709</f>
        <v>0</v>
      </c>
      <c r="Q702" s="276"/>
      <c r="R702" s="22"/>
      <c r="S702" s="321">
        <f>N702</f>
        <v>0.72104883612888915</v>
      </c>
      <c r="T702" s="321">
        <f>T703+T709</f>
        <v>0</v>
      </c>
      <c r="V702" s="276"/>
      <c r="W702" s="22"/>
      <c r="X702" s="321">
        <f>S702</f>
        <v>0.72104883612888915</v>
      </c>
      <c r="Y702" s="321">
        <f>Y703+Y709</f>
        <v>0</v>
      </c>
      <c r="AA702" s="322"/>
      <c r="AB702" s="344"/>
    </row>
    <row r="703" spans="3:29" outlineLevel="2" x14ac:dyDescent="0.25">
      <c r="D703" s="284" t="s">
        <v>924</v>
      </c>
      <c r="E703" s="284" t="s">
        <v>1706</v>
      </c>
      <c r="F703" s="284"/>
      <c r="G703" s="284"/>
      <c r="H703" s="289" t="s">
        <v>729</v>
      </c>
      <c r="I703" s="288" t="s">
        <v>729</v>
      </c>
      <c r="J703" s="324">
        <f t="shared" si="182"/>
        <v>0.28841953445155566</v>
      </c>
      <c r="K703" s="324">
        <f>IF(SUM(K704:K708)&gt;J703,J703,SUM(K704:K708))</f>
        <v>0</v>
      </c>
      <c r="L703" s="325">
        <f t="shared" si="183"/>
        <v>7.2104883612888915E-2</v>
      </c>
      <c r="M703" s="325">
        <f>IF(SUM(M704:M708)&gt;L703,L703,SUM(M704:M708))</f>
        <v>0</v>
      </c>
      <c r="N703" s="326">
        <f>Ponderações!P143*100</f>
        <v>0.36052441806444457</v>
      </c>
      <c r="O703" s="326">
        <f>IF(SUM(O704:O708)&gt;N703,N703,SUM(O704:O708))</f>
        <v>0</v>
      </c>
      <c r="Q703" s="289" t="s">
        <v>729</v>
      </c>
      <c r="R703" s="22"/>
      <c r="S703" s="326">
        <f>N703</f>
        <v>0.36052441806444457</v>
      </c>
      <c r="T703" s="326">
        <f>IF(SUM(T704:T708)&gt;S703,S703,SUM(T704:T708))</f>
        <v>0</v>
      </c>
      <c r="V703" s="289" t="s">
        <v>729</v>
      </c>
      <c r="W703" s="22"/>
      <c r="X703" s="326">
        <f>S703</f>
        <v>0.36052441806444457</v>
      </c>
      <c r="Y703" s="326">
        <f>IF(SUM(Y704:Y708)&gt;X703,X703,SUM(Y704:Y708))</f>
        <v>0</v>
      </c>
      <c r="AA703" s="327"/>
      <c r="AB703" s="342"/>
    </row>
    <row r="704" spans="3:29" outlineLevel="3" x14ac:dyDescent="0.25">
      <c r="E704" s="35" t="s">
        <v>1707</v>
      </c>
      <c r="F704" s="35" t="s">
        <v>1708</v>
      </c>
      <c r="G704" s="35"/>
      <c r="H704" s="282">
        <f>IF(Checklist!J704="",0,Checklist!J704)</f>
        <v>0</v>
      </c>
      <c r="I704" s="282">
        <f>IF(Checklist!K704="",0,Checklist!K704)</f>
        <v>0</v>
      </c>
      <c r="J704" s="371"/>
      <c r="K704" s="371">
        <f>H704*AA704*J703</f>
        <v>0</v>
      </c>
      <c r="L704" s="331"/>
      <c r="M704" s="372">
        <f>I704*AA704*L703</f>
        <v>0</v>
      </c>
      <c r="N704" s="333"/>
      <c r="O704" s="333">
        <f>M704+K704</f>
        <v>0</v>
      </c>
      <c r="Q704" s="282">
        <f>IF(Checklist!M704="",0,Checklist!M704)</f>
        <v>0</v>
      </c>
      <c r="R704" s="22"/>
      <c r="S704" s="334"/>
      <c r="T704" s="333">
        <f>Q704*AA704*S703</f>
        <v>0</v>
      </c>
      <c r="V704" s="282">
        <f>IF(Checklist!P704="",0,Checklist!P704)</f>
        <v>0</v>
      </c>
      <c r="W704" s="22"/>
      <c r="X704" s="334"/>
      <c r="Y704" s="333">
        <f>V704*AA704*X703</f>
        <v>0</v>
      </c>
      <c r="AA704" s="335">
        <v>0.4</v>
      </c>
    </row>
    <row r="705" spans="4:28" outlineLevel="3" x14ac:dyDescent="0.25">
      <c r="E705" s="35" t="s">
        <v>1709</v>
      </c>
      <c r="F705" s="35" t="s">
        <v>1710</v>
      </c>
      <c r="G705" s="35"/>
      <c r="H705" s="282">
        <f>IF(Checklist!J705="",0,Checklist!J705)</f>
        <v>0</v>
      </c>
      <c r="I705" s="282">
        <f>IF(Checklist!K705="",0,Checklist!K705)</f>
        <v>0</v>
      </c>
      <c r="J705" s="371"/>
      <c r="K705" s="371">
        <f>H705*AA705*J703</f>
        <v>0</v>
      </c>
      <c r="L705" s="331"/>
      <c r="M705" s="372">
        <f>I705*AA705*L703</f>
        <v>0</v>
      </c>
      <c r="N705" s="333"/>
      <c r="O705" s="333">
        <f>M705+K705</f>
        <v>0</v>
      </c>
      <c r="Q705" s="282">
        <f>IF(Checklist!M705="",0,Checklist!M705)</f>
        <v>0</v>
      </c>
      <c r="R705" s="22"/>
      <c r="S705" s="334"/>
      <c r="T705" s="333">
        <f>Q705*AA705*S703</f>
        <v>0</v>
      </c>
      <c r="V705" s="282">
        <f>IF(Checklist!P705="",0,Checklist!P705)</f>
        <v>0</v>
      </c>
      <c r="W705" s="22"/>
      <c r="X705" s="334"/>
      <c r="Y705" s="333">
        <f>V705*AA705*X703</f>
        <v>0</v>
      </c>
      <c r="AA705" s="335">
        <v>0.4</v>
      </c>
    </row>
    <row r="706" spans="4:28" outlineLevel="3" x14ac:dyDescent="0.25">
      <c r="E706" s="35" t="s">
        <v>1711</v>
      </c>
      <c r="F706" s="35" t="s">
        <v>1712</v>
      </c>
      <c r="G706" s="35"/>
      <c r="H706" s="282">
        <f>IF(Checklist!J706="",0,Checklist!J706)</f>
        <v>0</v>
      </c>
      <c r="I706" s="282">
        <f>IF(Checklist!K706="",0,Checklist!K706)</f>
        <v>0</v>
      </c>
      <c r="J706" s="371"/>
      <c r="K706" s="371">
        <f>H706*AA706*J703</f>
        <v>0</v>
      </c>
      <c r="L706" s="331"/>
      <c r="M706" s="372">
        <f>I706*AA706*L703</f>
        <v>0</v>
      </c>
      <c r="N706" s="333"/>
      <c r="O706" s="333">
        <f>M706+K706</f>
        <v>0</v>
      </c>
      <c r="Q706" s="282">
        <f>IF(Checklist!M706="",0,Checklist!M706)</f>
        <v>0</v>
      </c>
      <c r="R706" s="22"/>
      <c r="S706" s="334"/>
      <c r="T706" s="333">
        <f>Q706*AA706*S703</f>
        <v>0</v>
      </c>
      <c r="V706" s="282">
        <f>IF(Checklist!P706="",0,Checklist!P706)</f>
        <v>0</v>
      </c>
      <c r="W706" s="22"/>
      <c r="X706" s="334"/>
      <c r="Y706" s="333">
        <f>V706*AA706*X703</f>
        <v>0</v>
      </c>
      <c r="AA706" s="335">
        <v>0.2</v>
      </c>
    </row>
    <row r="707" spans="4:28" outlineLevel="3" x14ac:dyDescent="0.25">
      <c r="E707" s="35" t="s">
        <v>1713</v>
      </c>
      <c r="F707" s="35" t="s">
        <v>941</v>
      </c>
      <c r="G707" s="35"/>
      <c r="H707" s="282">
        <f>IF(Checklist!J707="",0,Checklist!J707)</f>
        <v>0</v>
      </c>
      <c r="I707" s="282">
        <f>IF(Checklist!K707="",0,Checklist!K707)</f>
        <v>0</v>
      </c>
      <c r="J707" s="371"/>
      <c r="K707" s="371">
        <f>H707*AA707*J703</f>
        <v>0</v>
      </c>
      <c r="L707" s="331"/>
      <c r="M707" s="372">
        <f>I707*AA707*L703</f>
        <v>0</v>
      </c>
      <c r="N707" s="333"/>
      <c r="O707" s="333">
        <f>M707+K707</f>
        <v>0</v>
      </c>
      <c r="Q707" s="282">
        <f>IF(Checklist!M707="",0,Checklist!M707)</f>
        <v>0</v>
      </c>
      <c r="R707" s="22"/>
      <c r="S707" s="334"/>
      <c r="T707" s="333">
        <f>Q707*AA707*S703</f>
        <v>0</v>
      </c>
      <c r="V707" s="282">
        <f>IF(Checklist!P707="",0,Checklist!P707)</f>
        <v>0</v>
      </c>
      <c r="W707" s="22"/>
      <c r="X707" s="334"/>
      <c r="Y707" s="333">
        <f>V707*AA707*X703</f>
        <v>0</v>
      </c>
      <c r="AA707" s="335">
        <v>0</v>
      </c>
    </row>
    <row r="708" spans="4:28" outlineLevel="3" x14ac:dyDescent="0.25">
      <c r="E708" s="35" t="s">
        <v>1714</v>
      </c>
      <c r="F708" s="35" t="s">
        <v>943</v>
      </c>
      <c r="G708" s="35"/>
      <c r="H708" s="282">
        <f>IF(Checklist!J708="",0,Checklist!J708)</f>
        <v>0</v>
      </c>
      <c r="I708" s="282">
        <f>IF(Checklist!K708="",0,Checklist!K708)</f>
        <v>0</v>
      </c>
      <c r="J708" s="371"/>
      <c r="K708" s="371">
        <f>H708*AA708*J703</f>
        <v>0</v>
      </c>
      <c r="L708" s="331"/>
      <c r="M708" s="372">
        <f>I708*AA708*L703</f>
        <v>0</v>
      </c>
      <c r="N708" s="333"/>
      <c r="O708" s="333">
        <f>M708+K708</f>
        <v>0</v>
      </c>
      <c r="Q708" s="282">
        <f>IF(Checklist!M708="",0,Checklist!M708)</f>
        <v>0</v>
      </c>
      <c r="R708" s="22"/>
      <c r="S708" s="334"/>
      <c r="T708" s="333">
        <f>Q708*AA708*S703</f>
        <v>0</v>
      </c>
      <c r="V708" s="282">
        <f>IF(Checklist!P708="",0,Checklist!P708)</f>
        <v>0</v>
      </c>
      <c r="W708" s="22"/>
      <c r="X708" s="334"/>
      <c r="Y708" s="333">
        <f>V708*AA708*X703</f>
        <v>0</v>
      </c>
      <c r="AA708" s="335">
        <v>0</v>
      </c>
    </row>
    <row r="709" spans="4:28" outlineLevel="2" x14ac:dyDescent="0.25">
      <c r="D709" s="284" t="s">
        <v>926</v>
      </c>
      <c r="E709" s="284" t="s">
        <v>1715</v>
      </c>
      <c r="F709" s="284"/>
      <c r="G709" s="284"/>
      <c r="H709" s="289" t="s">
        <v>729</v>
      </c>
      <c r="I709" s="288" t="s">
        <v>729</v>
      </c>
      <c r="J709" s="324">
        <f t="shared" si="182"/>
        <v>0.28841953445155566</v>
      </c>
      <c r="K709" s="324">
        <f>IF(SUM(K710:K716)&gt;J709,J709,SUM(K710:K716))</f>
        <v>0</v>
      </c>
      <c r="L709" s="325">
        <f t="shared" si="183"/>
        <v>7.2104883612888915E-2</v>
      </c>
      <c r="M709" s="325">
        <f>IF(SUM(M710:M716)&gt;L709,L709,SUM(M710:M716))</f>
        <v>0</v>
      </c>
      <c r="N709" s="326">
        <f>Ponderações!P144*100</f>
        <v>0.36052441806444457</v>
      </c>
      <c r="O709" s="326">
        <f>IF(SUM(O710:O716)&gt;N709,N709,SUM(O710:O716))</f>
        <v>0</v>
      </c>
      <c r="Q709" s="289" t="s">
        <v>729</v>
      </c>
      <c r="R709" s="22"/>
      <c r="S709" s="326">
        <f>N709</f>
        <v>0.36052441806444457</v>
      </c>
      <c r="T709" s="326">
        <f>IF(SUM(T710:T716)&gt;S709,S709,SUM(T710:T716))</f>
        <v>0</v>
      </c>
      <c r="V709" s="289" t="s">
        <v>729</v>
      </c>
      <c r="W709" s="22"/>
      <c r="X709" s="326">
        <f>S709</f>
        <v>0.36052441806444457</v>
      </c>
      <c r="Y709" s="326">
        <f>IF(SUM(Y710:Y716)&gt;X709,X709,SUM(Y710:Y716))</f>
        <v>0</v>
      </c>
      <c r="AA709" s="327"/>
      <c r="AB709" s="342"/>
    </row>
    <row r="710" spans="4:28" outlineLevel="3" x14ac:dyDescent="0.25">
      <c r="E710" s="35" t="s">
        <v>1716</v>
      </c>
      <c r="F710" s="35" t="s">
        <v>1717</v>
      </c>
      <c r="G710" s="35"/>
      <c r="H710" s="282">
        <f>IF(Checklist!J710="",0,Checklist!J710)</f>
        <v>0</v>
      </c>
      <c r="I710" s="282">
        <f>IF(Checklist!K710="",0,Checklist!K710)</f>
        <v>0</v>
      </c>
      <c r="J710" s="337"/>
      <c r="K710" s="371">
        <f>H710*AA710*J709</f>
        <v>0</v>
      </c>
      <c r="L710" s="338"/>
      <c r="M710" s="372">
        <f>I710*AA710*L709</f>
        <v>0</v>
      </c>
      <c r="N710" s="333"/>
      <c r="O710" s="333">
        <f>M710+K710</f>
        <v>0</v>
      </c>
      <c r="Q710" s="282">
        <f>IF(Checklist!M710="",0,Checklist!M710)</f>
        <v>0</v>
      </c>
      <c r="R710" s="22"/>
      <c r="S710" s="334"/>
      <c r="T710" s="333">
        <f>Q710*AA710*S709</f>
        <v>0</v>
      </c>
      <c r="V710" s="282">
        <f>IF(Checklist!P710="",0,Checklist!P710)</f>
        <v>0</v>
      </c>
      <c r="W710" s="22"/>
      <c r="X710" s="334"/>
      <c r="Y710" s="333">
        <f>V710*AA710*X709</f>
        <v>0</v>
      </c>
      <c r="AA710" s="335">
        <v>0.45</v>
      </c>
      <c r="AB710" s="343"/>
    </row>
    <row r="711" spans="4:28" outlineLevel="3" x14ac:dyDescent="0.25">
      <c r="E711" s="35" t="s">
        <v>1718</v>
      </c>
      <c r="F711" s="35" t="s">
        <v>1719</v>
      </c>
      <c r="G711" s="35"/>
      <c r="H711" s="282">
        <f>IF(Checklist!J711="",0,Checklist!J711)</f>
        <v>0</v>
      </c>
      <c r="I711" s="282">
        <f>IF(Checklist!K711="",0,Checklist!K711)</f>
        <v>0</v>
      </c>
      <c r="J711" s="337"/>
      <c r="K711" s="371">
        <f>H711*AA711*J709</f>
        <v>0</v>
      </c>
      <c r="L711" s="338"/>
      <c r="M711" s="372">
        <f>I711*AA711*L709</f>
        <v>0</v>
      </c>
      <c r="N711" s="333"/>
      <c r="O711" s="333">
        <f t="shared" ref="O711:O716" si="191">M711+K711</f>
        <v>0</v>
      </c>
      <c r="Q711" s="282">
        <f>IF(Checklist!M711="",0,Checklist!M711)</f>
        <v>0</v>
      </c>
      <c r="R711" s="22"/>
      <c r="S711" s="334"/>
      <c r="T711" s="333">
        <f>Q711*AA711*S709</f>
        <v>0</v>
      </c>
      <c r="V711" s="282">
        <f>IF(Checklist!P711="",0,Checklist!P711)</f>
        <v>0</v>
      </c>
      <c r="W711" s="22"/>
      <c r="X711" s="334"/>
      <c r="Y711" s="333">
        <f>V711*AA711*X709</f>
        <v>0</v>
      </c>
      <c r="AA711" s="335">
        <v>0.25</v>
      </c>
    </row>
    <row r="712" spans="4:28" outlineLevel="3" x14ac:dyDescent="0.25">
      <c r="E712" s="35" t="s">
        <v>1720</v>
      </c>
      <c r="F712" s="35" t="s">
        <v>1721</v>
      </c>
      <c r="G712" s="35"/>
      <c r="H712" s="282">
        <f>IF(Checklist!J712="",0,Checklist!J712)</f>
        <v>0</v>
      </c>
      <c r="I712" s="282">
        <f>IF(Checklist!K712="",0,Checklist!K712)</f>
        <v>0</v>
      </c>
      <c r="J712" s="337"/>
      <c r="K712" s="371">
        <f>H712*AA712*J709</f>
        <v>0</v>
      </c>
      <c r="L712" s="338"/>
      <c r="M712" s="372">
        <f>I712*AA712*L709</f>
        <v>0</v>
      </c>
      <c r="N712" s="333"/>
      <c r="O712" s="333">
        <f t="shared" si="191"/>
        <v>0</v>
      </c>
      <c r="Q712" s="282">
        <f>IF(Checklist!M712="",0,Checklist!M712)</f>
        <v>0</v>
      </c>
      <c r="R712" s="22"/>
      <c r="S712" s="334"/>
      <c r="T712" s="333">
        <f>Q712*AA712*S709</f>
        <v>0</v>
      </c>
      <c r="V712" s="282">
        <f>IF(Checklist!P712="",0,Checklist!P712)</f>
        <v>0</v>
      </c>
      <c r="W712" s="22"/>
      <c r="X712" s="334"/>
      <c r="Y712" s="333">
        <f>V712*AA712*X709</f>
        <v>0</v>
      </c>
      <c r="AA712" s="335">
        <v>0.15</v>
      </c>
    </row>
    <row r="713" spans="4:28" outlineLevel="3" x14ac:dyDescent="0.25">
      <c r="E713" s="35" t="s">
        <v>1722</v>
      </c>
      <c r="F713" s="35" t="s">
        <v>1723</v>
      </c>
      <c r="G713" s="35"/>
      <c r="H713" s="282">
        <f>IF(Checklist!J713="",0,Checklist!J713)</f>
        <v>0</v>
      </c>
      <c r="I713" s="282">
        <f>IF(Checklist!K713="",0,Checklist!K713)</f>
        <v>0</v>
      </c>
      <c r="J713" s="337"/>
      <c r="K713" s="371">
        <f>H713*AA713*J709</f>
        <v>0</v>
      </c>
      <c r="L713" s="338"/>
      <c r="M713" s="372">
        <f>I713*AA713*L709</f>
        <v>0</v>
      </c>
      <c r="N713" s="333"/>
      <c r="O713" s="333">
        <f t="shared" si="191"/>
        <v>0</v>
      </c>
      <c r="Q713" s="282">
        <f>IF(Checklist!M713="",0,Checklist!M713)</f>
        <v>0</v>
      </c>
      <c r="R713" s="22"/>
      <c r="S713" s="334"/>
      <c r="T713" s="333">
        <f>Q713*AA713*S709</f>
        <v>0</v>
      </c>
      <c r="V713" s="282">
        <f>IF(Checklist!P713="",0,Checklist!P713)</f>
        <v>0</v>
      </c>
      <c r="W713" s="22"/>
      <c r="X713" s="334"/>
      <c r="Y713" s="333">
        <f>V713*AA713*X709</f>
        <v>0</v>
      </c>
      <c r="AA713" s="335">
        <v>0.15</v>
      </c>
    </row>
    <row r="714" spans="4:28" outlineLevel="3" x14ac:dyDescent="0.25">
      <c r="E714" s="35" t="s">
        <v>1724</v>
      </c>
      <c r="F714" s="35" t="s">
        <v>1725</v>
      </c>
      <c r="G714" s="35"/>
      <c r="H714" s="282">
        <f>IF(Checklist!J714="",0,Checklist!J714)</f>
        <v>0</v>
      </c>
      <c r="I714" s="282">
        <f>IF(Checklist!K714="",0,Checklist!K714)</f>
        <v>0</v>
      </c>
      <c r="J714" s="337"/>
      <c r="K714" s="337">
        <f>H714*AA714*J709</f>
        <v>0</v>
      </c>
      <c r="L714" s="338"/>
      <c r="M714" s="339">
        <f>I714*AA714*L709</f>
        <v>0</v>
      </c>
      <c r="N714" s="333"/>
      <c r="O714" s="333">
        <f t="shared" si="191"/>
        <v>0</v>
      </c>
      <c r="Q714" s="282">
        <f>IF(Checklist!M714="",0,Checklist!M714)</f>
        <v>0</v>
      </c>
      <c r="R714" s="22"/>
      <c r="S714" s="334"/>
      <c r="T714" s="333">
        <f>Q714*AA714*S709</f>
        <v>0</v>
      </c>
      <c r="V714" s="282">
        <f>IF(Checklist!P714="",0,Checklist!P714)</f>
        <v>0</v>
      </c>
      <c r="W714" s="22"/>
      <c r="X714" s="334"/>
      <c r="Y714" s="333">
        <f>V714*AA714*X709</f>
        <v>0</v>
      </c>
      <c r="AA714" s="335">
        <v>0.1</v>
      </c>
    </row>
    <row r="715" spans="4:28" outlineLevel="3" x14ac:dyDescent="0.25">
      <c r="E715" s="35" t="s">
        <v>1726</v>
      </c>
      <c r="F715" s="35" t="s">
        <v>941</v>
      </c>
      <c r="G715" s="35"/>
      <c r="H715" s="282">
        <f>IF(Checklist!J715="",0,Checklist!J715)</f>
        <v>0</v>
      </c>
      <c r="I715" s="282">
        <f>IF(Checklist!K715="",0,Checklist!K715)</f>
        <v>0</v>
      </c>
      <c r="J715" s="337"/>
      <c r="K715" s="337">
        <f>H715*AA715*J709</f>
        <v>0</v>
      </c>
      <c r="L715" s="338"/>
      <c r="M715" s="339">
        <f>I715*AA715*L709</f>
        <v>0</v>
      </c>
      <c r="N715" s="333"/>
      <c r="O715" s="333">
        <f>M715+K715</f>
        <v>0</v>
      </c>
      <c r="Q715" s="282">
        <f>IF(Checklist!M715="",0,Checklist!M715)</f>
        <v>0</v>
      </c>
      <c r="R715" s="22"/>
      <c r="S715" s="334"/>
      <c r="T715" s="333">
        <f>Q715*AA715*S709</f>
        <v>0</v>
      </c>
      <c r="V715" s="282">
        <f>IF(Checklist!P715="",0,Checklist!P715)</f>
        <v>0</v>
      </c>
      <c r="W715" s="22"/>
      <c r="X715" s="334"/>
      <c r="Y715" s="333">
        <f>V715*AA715*X709</f>
        <v>0</v>
      </c>
      <c r="AA715" s="335">
        <v>0</v>
      </c>
    </row>
    <row r="716" spans="4:28" outlineLevel="3" x14ac:dyDescent="0.25">
      <c r="E716" s="35" t="s">
        <v>1727</v>
      </c>
      <c r="F716" s="35" t="s">
        <v>943</v>
      </c>
      <c r="G716" s="35"/>
      <c r="H716" s="282">
        <f>IF(Checklist!J716="",0,Checklist!J716)</f>
        <v>0</v>
      </c>
      <c r="I716" s="282">
        <f>IF(Checklist!K716="",0,Checklist!K716)</f>
        <v>0</v>
      </c>
      <c r="J716" s="388"/>
      <c r="K716" s="337">
        <f>H716*AA716*J709</f>
        <v>0</v>
      </c>
      <c r="L716" s="389"/>
      <c r="M716" s="339">
        <f>I716*AA716*L709</f>
        <v>0</v>
      </c>
      <c r="N716" s="390"/>
      <c r="O716" s="333">
        <f t="shared" si="191"/>
        <v>0</v>
      </c>
      <c r="Q716" s="282">
        <f>IF(Checklist!M716="",0,Checklist!M716)</f>
        <v>0</v>
      </c>
      <c r="R716" s="22"/>
      <c r="S716" s="391"/>
      <c r="T716" s="333">
        <f>Q716*AA716*S709</f>
        <v>0</v>
      </c>
      <c r="V716" s="282">
        <f>IF(Checklist!P716="",0,Checklist!P716)</f>
        <v>0</v>
      </c>
      <c r="W716" s="22"/>
      <c r="X716" s="391"/>
      <c r="Y716" s="333">
        <f>V716*AA716*X709</f>
        <v>0</v>
      </c>
      <c r="AA716" s="335">
        <v>0</v>
      </c>
    </row>
    <row r="717" spans="4:28" x14ac:dyDescent="0.25">
      <c r="R717" s="22"/>
      <c r="T717" s="350"/>
      <c r="W717" s="22"/>
      <c r="Y717" s="350"/>
    </row>
    <row r="718" spans="4:28" x14ac:dyDescent="0.25">
      <c r="R718" s="22"/>
      <c r="T718" s="350"/>
      <c r="W718" s="22"/>
      <c r="Y718" s="350"/>
    </row>
    <row r="719" spans="4:28" x14ac:dyDescent="0.25">
      <c r="R719" s="22"/>
      <c r="W719" s="22"/>
    </row>
    <row r="720" spans="4:28" x14ac:dyDescent="0.25">
      <c r="R720" s="22"/>
      <c r="W720" s="22"/>
    </row>
    <row r="721" spans="18:23" x14ac:dyDescent="0.25">
      <c r="R721" s="22"/>
      <c r="W721" s="22"/>
    </row>
    <row r="722" spans="18:23" x14ac:dyDescent="0.25">
      <c r="R722" s="22"/>
      <c r="W722" s="22"/>
    </row>
    <row r="723" spans="18:23" x14ac:dyDescent="0.25">
      <c r="R723" s="22"/>
      <c r="W723" s="22"/>
    </row>
    <row r="724" spans="18:23" x14ac:dyDescent="0.25">
      <c r="R724" s="22"/>
      <c r="W724" s="22"/>
    </row>
    <row r="725" spans="18:23" x14ac:dyDescent="0.25">
      <c r="R725" s="22"/>
      <c r="W725" s="22"/>
    </row>
    <row r="726" spans="18:23" x14ac:dyDescent="0.25">
      <c r="R726" s="22"/>
      <c r="W726" s="22"/>
    </row>
    <row r="727" spans="18:23" x14ac:dyDescent="0.25">
      <c r="R727" s="22"/>
      <c r="W727" s="22"/>
    </row>
    <row r="728" spans="18:23" x14ac:dyDescent="0.25">
      <c r="R728" s="22"/>
      <c r="W728" s="22"/>
    </row>
    <row r="729" spans="18:23" x14ac:dyDescent="0.25">
      <c r="R729" s="22"/>
      <c r="W729" s="22"/>
    </row>
    <row r="730" spans="18:23" x14ac:dyDescent="0.25">
      <c r="R730" s="22"/>
      <c r="W730" s="22"/>
    </row>
  </sheetData>
  <sheetProtection algorithmName="SHA-512" hashValue="rkF+qvo7UAHEh3790XsIsoCWwGC4ojqJ9VZ3Cn6sYuBg9z+gO6C7MO2Jinf4w4GO22ycWvGhf6+7DSQFA9FG9Q==" saltValue="YCUabDYCr+/8hWw55Oa8nw==" spinCount="100000" sheet="1" objects="1" scenarios="1" selectLockedCells="1" selectUnlockedCells="1"/>
  <dataConsolidate/>
  <mergeCells count="35">
    <mergeCell ref="E127:G127"/>
    <mergeCell ref="E122:G122"/>
    <mergeCell ref="E680:G680"/>
    <mergeCell ref="E159:G159"/>
    <mergeCell ref="E166:G166"/>
    <mergeCell ref="E179:G179"/>
    <mergeCell ref="E185:G185"/>
    <mergeCell ref="E588:G588"/>
    <mergeCell ref="E598:G598"/>
    <mergeCell ref="E612:G612"/>
    <mergeCell ref="E667:G667"/>
    <mergeCell ref="E671:G671"/>
    <mergeCell ref="E605:G605"/>
    <mergeCell ref="V1:W1"/>
    <mergeCell ref="D2:F2"/>
    <mergeCell ref="E9:G9"/>
    <mergeCell ref="E55:G55"/>
    <mergeCell ref="E60:G60"/>
    <mergeCell ref="E24:G24"/>
    <mergeCell ref="E30:G30"/>
    <mergeCell ref="E37:G37"/>
    <mergeCell ref="E45:G45"/>
    <mergeCell ref="E50:G50"/>
    <mergeCell ref="E16:G16"/>
    <mergeCell ref="H1:I1"/>
    <mergeCell ref="Q1:R1"/>
    <mergeCell ref="F31:G31"/>
    <mergeCell ref="E109:G109"/>
    <mergeCell ref="E116:G116"/>
    <mergeCell ref="E69:G69"/>
    <mergeCell ref="F61:G61"/>
    <mergeCell ref="F62:G62"/>
    <mergeCell ref="F63:G63"/>
    <mergeCell ref="F64:G64"/>
    <mergeCell ref="E76:G76"/>
  </mergeCells>
  <phoneticPr fontId="6" type="noConversion"/>
  <conditionalFormatting sqref="I2">
    <cfRule type="cellIs" dxfId="41" priority="65" stopIfTrue="1" operator="lessThan">
      <formula>0.3</formula>
    </cfRule>
    <cfRule type="cellIs" dxfId="40" priority="70" stopIfTrue="1" operator="lessThanOrEqual">
      <formula>1</formula>
    </cfRule>
    <cfRule type="cellIs" dxfId="39" priority="69" stopIfTrue="1" operator="lessThan">
      <formula>0.9</formula>
    </cfRule>
    <cfRule type="cellIs" dxfId="38" priority="68" stopIfTrue="1" operator="lessThan">
      <formula>0.75</formula>
    </cfRule>
    <cfRule type="cellIs" dxfId="37" priority="67" stopIfTrue="1" operator="lessThan">
      <formula>0.6</formula>
    </cfRule>
    <cfRule type="cellIs" dxfId="36" priority="66" stopIfTrue="1" operator="lessThan">
      <formula>0.45</formula>
    </cfRule>
    <cfRule type="cellIs" dxfId="35" priority="64" stopIfTrue="1" operator="lessThan">
      <formula>0.15</formula>
    </cfRule>
  </conditionalFormatting>
  <conditionalFormatting sqref="I3">
    <cfRule type="endsWith" dxfId="34" priority="34" stopIfTrue="1" operator="endsWith" text="A">
      <formula>RIGHT(I3,LEN("A"))="A"</formula>
    </cfRule>
    <cfRule type="containsText" dxfId="33" priority="33" stopIfTrue="1" operator="containsText" text="B">
      <formula>NOT(ISERROR(SEARCH("B",I3)))</formula>
    </cfRule>
    <cfRule type="containsText" dxfId="31" priority="31" stopIfTrue="1" operator="containsText" text="D">
      <formula>NOT(ISERROR(SEARCH("D",I3)))</formula>
    </cfRule>
    <cfRule type="containsText" dxfId="29" priority="32" stopIfTrue="1" operator="containsText" text="C">
      <formula>NOT(ISERROR(SEARCH("C",I3)))</formula>
    </cfRule>
    <cfRule type="containsText" dxfId="28" priority="35" stopIfTrue="1" operator="containsText" text="A+">
      <formula>NOT(ISERROR(SEARCH("A+",I3)))</formula>
    </cfRule>
  </conditionalFormatting>
  <conditionalFormatting sqref="R2">
    <cfRule type="cellIs" dxfId="27" priority="27" stopIfTrue="1" operator="lessThan">
      <formula>0.9</formula>
    </cfRule>
    <cfRule type="cellIs" dxfId="26" priority="23" stopIfTrue="1" operator="lessThan">
      <formula>0.3</formula>
    </cfRule>
    <cfRule type="cellIs" dxfId="25" priority="24" stopIfTrue="1" operator="lessThan">
      <formula>0.45</formula>
    </cfRule>
    <cfRule type="cellIs" dxfId="24" priority="25" stopIfTrue="1" operator="lessThan">
      <formula>0.6</formula>
    </cfRule>
    <cfRule type="cellIs" dxfId="23" priority="26" stopIfTrue="1" operator="lessThan">
      <formula>0.75</formula>
    </cfRule>
    <cfRule type="cellIs" dxfId="22" priority="28" stopIfTrue="1" operator="lessThanOrEqual">
      <formula>1</formula>
    </cfRule>
    <cfRule type="cellIs" dxfId="21" priority="22" stopIfTrue="1" operator="lessThan">
      <formula>0.15</formula>
    </cfRule>
  </conditionalFormatting>
  <conditionalFormatting sqref="R3">
    <cfRule type="containsText" dxfId="20" priority="11" stopIfTrue="1" operator="containsText" text="C">
      <formula>NOT(ISERROR(SEARCH("C",R3)))</formula>
    </cfRule>
    <cfRule type="containsText" dxfId="19" priority="14" stopIfTrue="1" operator="containsText" text="A+">
      <formula>NOT(ISERROR(SEARCH("A+",R3)))</formula>
    </cfRule>
    <cfRule type="endsWith" dxfId="18" priority="13" stopIfTrue="1" operator="endsWith" text="A">
      <formula>RIGHT(R3,LEN("A"))="A"</formula>
    </cfRule>
    <cfRule type="containsText" dxfId="17" priority="12" stopIfTrue="1" operator="containsText" text="B">
      <formula>NOT(ISERROR(SEARCH("B",R3)))</formula>
    </cfRule>
    <cfRule type="containsText" dxfId="16" priority="10" stopIfTrue="1" operator="containsText" text="D">
      <formula>NOT(ISERROR(SEARCH("D",R3)))</formula>
    </cfRule>
  </conditionalFormatting>
  <conditionalFormatting sqref="W2">
    <cfRule type="cellIs" dxfId="13" priority="17" stopIfTrue="1" operator="lessThan">
      <formula>0.45</formula>
    </cfRule>
    <cfRule type="cellIs" dxfId="12" priority="21" stopIfTrue="1" operator="lessThanOrEqual">
      <formula>1</formula>
    </cfRule>
    <cfRule type="cellIs" dxfId="11" priority="20" stopIfTrue="1" operator="lessThan">
      <formula>0.9</formula>
    </cfRule>
    <cfRule type="cellIs" dxfId="10" priority="19" stopIfTrue="1" operator="lessThan">
      <formula>0.75</formula>
    </cfRule>
    <cfRule type="cellIs" dxfId="9" priority="18" stopIfTrue="1" operator="lessThan">
      <formula>0.6</formula>
    </cfRule>
    <cfRule type="cellIs" dxfId="8" priority="16" stopIfTrue="1" operator="lessThan">
      <formula>0.3</formula>
    </cfRule>
    <cfRule type="cellIs" dxfId="7" priority="15" stopIfTrue="1" operator="lessThan">
      <formula>0.15</formula>
    </cfRule>
  </conditionalFormatting>
  <conditionalFormatting sqref="W3">
    <cfRule type="containsText" dxfId="5" priority="3" stopIfTrue="1" operator="containsText" text="D">
      <formula>NOT(ISERROR(SEARCH("D",W3)))</formula>
    </cfRule>
    <cfRule type="containsText" dxfId="4" priority="4" stopIfTrue="1" operator="containsText" text="C">
      <formula>NOT(ISERROR(SEARCH("C",W3)))</formula>
    </cfRule>
    <cfRule type="containsText" dxfId="3" priority="5" stopIfTrue="1" operator="containsText" text="B">
      <formula>NOT(ISERROR(SEARCH("B",W3)))</formula>
    </cfRule>
    <cfRule type="containsText" dxfId="2" priority="7" stopIfTrue="1" operator="containsText" text="A+">
      <formula>NOT(ISERROR(SEARCH("A+",W3)))</formula>
    </cfRule>
    <cfRule type="endsWith" dxfId="0" priority="6" stopIfTrue="1" operator="endsWith" text="A">
      <formula>RIGHT(W3,LEN("A"))="A"</formula>
    </cfRule>
  </conditionalFormatting>
  <printOptions horizontalCentered="1"/>
  <pageMargins left="0.39370078740157483" right="0.31496062992125984" top="0.55118110236220474" bottom="0.55118110236220474" header="0.31496062992125984" footer="0.31496062992125984"/>
  <pageSetup paperSize="9" scale="16"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29" stopIfTrue="1" operator="containsText" id="{2F004B3C-C751-4D1C-89F8-C289E2C835F9}">
            <xm:f>NOT(ISERROR(SEARCH(F,I3)))</xm:f>
            <xm:f>F</xm:f>
            <x14:dxf>
              <font>
                <b/>
                <i val="0"/>
                <color theme="0"/>
              </font>
              <fill>
                <patternFill>
                  <bgColor rgb="FF002060"/>
                </patternFill>
              </fill>
            </x14:dxf>
          </x14:cfRule>
          <x14:cfRule type="containsText" priority="30" stopIfTrue="1" operator="containsText" id="{D5363B6D-EA5E-42F5-98EF-40BB1CCC31C1}">
            <xm:f>NOT(ISERROR(SEARCH(E,I3)))</xm:f>
            <xm:f>E</xm:f>
            <x14:dxf>
              <font>
                <b/>
                <i val="0"/>
                <color theme="0"/>
              </font>
              <fill>
                <patternFill>
                  <bgColor theme="8" tint="-0.499984740745262"/>
                </patternFill>
              </fill>
            </x14:dxf>
          </x14:cfRule>
          <xm:sqref>I3</xm:sqref>
        </x14:conditionalFormatting>
        <x14:conditionalFormatting xmlns:xm="http://schemas.microsoft.com/office/excel/2006/main">
          <x14:cfRule type="containsText" priority="9" stopIfTrue="1" operator="containsText" id="{182E4325-94E2-4F33-B591-B3B65E166DD6}">
            <xm:f>NOT(ISERROR(SEARCH(E,R3)))</xm:f>
            <xm:f>E</xm:f>
            <x14:dxf>
              <font>
                <b/>
                <i val="0"/>
                <color theme="0"/>
              </font>
              <fill>
                <patternFill>
                  <bgColor theme="8" tint="-0.499984740745262"/>
                </patternFill>
              </fill>
            </x14:dxf>
          </x14:cfRule>
          <x14:cfRule type="containsText" priority="8" stopIfTrue="1" operator="containsText" id="{027DF9C3-0622-4289-AD87-15C469BA92E2}">
            <xm:f>NOT(ISERROR(SEARCH(F,R3)))</xm:f>
            <xm:f>F</xm:f>
            <x14:dxf>
              <font>
                <b/>
                <i val="0"/>
                <color theme="0"/>
              </font>
              <fill>
                <patternFill>
                  <bgColor rgb="FF002060"/>
                </patternFill>
              </fill>
            </x14:dxf>
          </x14:cfRule>
          <xm:sqref>R3</xm:sqref>
        </x14:conditionalFormatting>
        <x14:conditionalFormatting xmlns:xm="http://schemas.microsoft.com/office/excel/2006/main">
          <x14:cfRule type="containsText" priority="2" stopIfTrue="1" operator="containsText" id="{8E3D422C-BCF8-4E9C-B46D-AEFF89D31274}">
            <xm:f>NOT(ISERROR(SEARCH(E,W3)))</xm:f>
            <xm:f>E</xm:f>
            <x14:dxf>
              <font>
                <b/>
                <i val="0"/>
                <color theme="0"/>
              </font>
              <fill>
                <patternFill>
                  <bgColor theme="8" tint="-0.499984740745262"/>
                </patternFill>
              </fill>
            </x14:dxf>
          </x14:cfRule>
          <x14:cfRule type="containsText" priority="1" stopIfTrue="1" operator="containsText" id="{8F228143-0B36-4B9D-AA80-113030FA264D}">
            <xm:f>NOT(ISERROR(SEARCH(F,W3)))</xm:f>
            <xm:f>F</xm:f>
            <x14:dxf>
              <font>
                <b/>
                <i val="0"/>
                <color theme="0"/>
              </font>
              <fill>
                <patternFill>
                  <bgColor rgb="FF002060"/>
                </patternFill>
              </fill>
            </x14:dxf>
          </x14:cfRule>
          <xm:sqref>W3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3691-C0C6-4F0C-89A1-6EEF5BD072C3}">
  <dimension ref="B1:C9"/>
  <sheetViews>
    <sheetView zoomScaleNormal="100" workbookViewId="0">
      <selection activeCell="G6" sqref="G6"/>
    </sheetView>
  </sheetViews>
  <sheetFormatPr defaultRowHeight="15" x14ac:dyDescent="0.25"/>
  <cols>
    <col min="2" max="3" width="27.7109375" customWidth="1"/>
  </cols>
  <sheetData>
    <row r="1" spans="2:3" x14ac:dyDescent="0.25">
      <c r="B1" s="5" t="s">
        <v>1875</v>
      </c>
      <c r="C1" s="5" t="s">
        <v>14</v>
      </c>
    </row>
    <row r="2" spans="2:3" ht="32.65" customHeight="1" x14ac:dyDescent="0.25">
      <c r="B2" s="506" t="s">
        <v>1876</v>
      </c>
      <c r="C2" s="506"/>
    </row>
    <row r="3" spans="2:3" x14ac:dyDescent="0.25">
      <c r="B3" s="5" t="s">
        <v>1829</v>
      </c>
      <c r="C3" s="29">
        <v>0.8</v>
      </c>
    </row>
    <row r="4" spans="2:3" x14ac:dyDescent="0.25">
      <c r="B4" s="30" t="s">
        <v>1830</v>
      </c>
      <c r="C4" s="29">
        <v>0.6</v>
      </c>
    </row>
    <row r="5" spans="2:3" x14ac:dyDescent="0.25">
      <c r="B5" s="5" t="s">
        <v>1831</v>
      </c>
      <c r="C5" s="29">
        <v>0.4</v>
      </c>
    </row>
    <row r="6" spans="2:3" x14ac:dyDescent="0.25">
      <c r="B6" s="5" t="s">
        <v>1832</v>
      </c>
      <c r="C6" s="29">
        <v>0.2</v>
      </c>
    </row>
    <row r="7" spans="2:3" x14ac:dyDescent="0.25">
      <c r="B7" s="5" t="s">
        <v>1833</v>
      </c>
      <c r="C7" s="29">
        <v>0.15</v>
      </c>
    </row>
    <row r="8" spans="2:3" x14ac:dyDescent="0.25">
      <c r="B8" s="5" t="s">
        <v>1979</v>
      </c>
      <c r="C8" s="29">
        <v>0.1</v>
      </c>
    </row>
    <row r="9" spans="2:3" x14ac:dyDescent="0.25">
      <c r="B9" s="5" t="s">
        <v>1980</v>
      </c>
      <c r="C9" s="29">
        <v>0.05</v>
      </c>
    </row>
  </sheetData>
  <sheetProtection algorithmName="SHA-512" hashValue="ycTdjBM9fsyw8PuEBIidO1d4+HKtYLLIX8B28dKEfFy/Rm9IXdvxWPlMPx+sjbIhgdJ38Nz5VjRXksFmEfmyfg==" saltValue="XwKf2dXA9EdVJp/hjfej2Q==" spinCount="100000" sheet="1" objects="1" scenarios="1"/>
  <mergeCells count="1">
    <mergeCell ref="B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0b46a47-5da6-4148-abf7-9e73e021a562">
      <Terms xmlns="http://schemas.microsoft.com/office/infopath/2007/PartnerControls"/>
    </lcf76f155ced4ddcb4097134ff3c332f>
    <TaxCatchAll xmlns="d74030aa-c8d7-477c-8eab-63ec7e7d9b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8D38956DC61A44CA8292B41B80194D5" ma:contentTypeVersion="18" ma:contentTypeDescription="Criar um novo documento." ma:contentTypeScope="" ma:versionID="bee4e45f56ecd8a5b8861f87fe1ccccc">
  <xsd:schema xmlns:xsd="http://www.w3.org/2001/XMLSchema" xmlns:xs="http://www.w3.org/2001/XMLSchema" xmlns:p="http://schemas.microsoft.com/office/2006/metadata/properties" xmlns:ns2="60b46a47-5da6-4148-abf7-9e73e021a562" xmlns:ns3="d74030aa-c8d7-477c-8eab-63ec7e7d9bc1" targetNamespace="http://schemas.microsoft.com/office/2006/metadata/properties" ma:root="true" ma:fieldsID="93eca1edc8a7602e04baec9e1820a1b8" ns2:_="" ns3:_="">
    <xsd:import namespace="60b46a47-5da6-4148-abf7-9e73e021a562"/>
    <xsd:import namespace="d74030aa-c8d7-477c-8eab-63ec7e7d9bc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b46a47-5da6-4148-abf7-9e73e021a5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m" ma:readOnly="false" ma:fieldId="{5cf76f15-5ced-4ddc-b409-7134ff3c332f}" ma:taxonomyMulti="true" ma:sspId="dc1b6544-dc39-4ee1-bb55-12c84fea8c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4030aa-c8d7-477c-8eab-63ec7e7d9bc1" elementFormDefault="qualified">
    <xsd:import namespace="http://schemas.microsoft.com/office/2006/documentManagement/types"/>
    <xsd:import namespace="http://schemas.microsoft.com/office/infopath/2007/PartnerControls"/>
    <xsd:element name="SharedWithUsers" ma:index="15"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71e97e88-e29a-48b3-84b1-23e8fdedcedd}" ma:internalName="TaxCatchAll" ma:showField="CatchAllData" ma:web="d74030aa-c8d7-477c-8eab-63ec7e7d9b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C5B67E-7FCF-4F4F-AB07-FC806F248495}">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infopath/2007/PartnerControls"/>
    <ds:schemaRef ds:uri="d74030aa-c8d7-477c-8eab-63ec7e7d9bc1"/>
    <ds:schemaRef ds:uri="60b46a47-5da6-4148-abf7-9e73e021a562"/>
    <ds:schemaRef ds:uri="http://purl.org/dc/elements/1.1/"/>
  </ds:schemaRefs>
</ds:datastoreItem>
</file>

<file path=customXml/itemProps2.xml><?xml version="1.0" encoding="utf-8"?>
<ds:datastoreItem xmlns:ds="http://schemas.openxmlformats.org/officeDocument/2006/customXml" ds:itemID="{617FC3A1-C15E-40BA-8100-F460EBBCE3FF}">
  <ds:schemaRefs>
    <ds:schemaRef ds:uri="http://schemas.microsoft.com/sharepoint/v3/contenttype/forms"/>
  </ds:schemaRefs>
</ds:datastoreItem>
</file>

<file path=customXml/itemProps3.xml><?xml version="1.0" encoding="utf-8"?>
<ds:datastoreItem xmlns:ds="http://schemas.openxmlformats.org/officeDocument/2006/customXml" ds:itemID="{964449F8-920A-48BB-8B81-AC895F9CB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b46a47-5da6-4148-abf7-9e73e021a562"/>
    <ds:schemaRef ds:uri="d74030aa-c8d7-477c-8eab-63ec7e7d9b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8</vt:i4>
      </vt:variant>
      <vt:variant>
        <vt:lpstr>Intervalos com Nome</vt:lpstr>
      </vt:variant>
      <vt:variant>
        <vt:i4>40</vt:i4>
      </vt:variant>
    </vt:vector>
  </HeadingPairs>
  <TitlesOfParts>
    <vt:vector size="48" baseType="lpstr">
      <vt:lpstr>Instruções</vt:lpstr>
      <vt:lpstr>Registo de informação</vt:lpstr>
      <vt:lpstr>Folha Oculta</vt:lpstr>
      <vt:lpstr>Checklist</vt:lpstr>
      <vt:lpstr>Classificação</vt:lpstr>
      <vt:lpstr>Ponderações</vt:lpstr>
      <vt:lpstr>Folha de cálculo</vt:lpstr>
      <vt:lpstr>Amostragem</vt:lpstr>
      <vt:lpstr>Checklist!Área_de_Impressão</vt:lpstr>
      <vt:lpstr>'Folha de cálculo'!Área_de_Impressão</vt:lpstr>
      <vt:lpstr>Instruções!Área_de_Impressão</vt:lpstr>
      <vt:lpstr>Ponderações!Área_de_Impressão</vt:lpstr>
      <vt:lpstr>Aveiro</vt:lpstr>
      <vt:lpstr>Beja</vt:lpstr>
      <vt:lpstr>Braga</vt:lpstr>
      <vt:lpstr>Bragança</vt:lpstr>
      <vt:lpstr>CasteloBranco</vt:lpstr>
      <vt:lpstr>Coimbra</vt:lpstr>
      <vt:lpstr>Concelhos</vt:lpstr>
      <vt:lpstr>Corvo</vt:lpstr>
      <vt:lpstr>Distrito</vt:lpstr>
      <vt:lpstr>EG</vt:lpstr>
      <vt:lpstr>Évora</vt:lpstr>
      <vt:lpstr>Faial</vt:lpstr>
      <vt:lpstr>Faro</vt:lpstr>
      <vt:lpstr>Flores</vt:lpstr>
      <vt:lpstr>Graciosa</vt:lpstr>
      <vt:lpstr>Guarda</vt:lpstr>
      <vt:lpstr>Leiria</vt:lpstr>
      <vt:lpstr>Lisboa</vt:lpstr>
      <vt:lpstr>Madeira</vt:lpstr>
      <vt:lpstr>MadeiraIlhasDesertas</vt:lpstr>
      <vt:lpstr>MadeiraIlhasSelvagens</vt:lpstr>
      <vt:lpstr>Município</vt:lpstr>
      <vt:lpstr>Pico</vt:lpstr>
      <vt:lpstr>Portalegre</vt:lpstr>
      <vt:lpstr>Porto</vt:lpstr>
      <vt:lpstr>PortoSanto</vt:lpstr>
      <vt:lpstr>RG</vt:lpstr>
      <vt:lpstr>SantaMaria</vt:lpstr>
      <vt:lpstr>Santarém</vt:lpstr>
      <vt:lpstr>SaoJorge</vt:lpstr>
      <vt:lpstr>SaoMiguel</vt:lpstr>
      <vt:lpstr>Setubal</vt:lpstr>
      <vt:lpstr>Terceira</vt:lpstr>
      <vt:lpstr>VianadoCastelo</vt:lpstr>
      <vt:lpstr>VilaReal</vt:lpstr>
      <vt:lpstr>Viseu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ADENE</dc:creator>
  <cp:keywords/>
  <dc:description/>
  <cp:lastModifiedBy>André Alexandre Rodrigues Chaves</cp:lastModifiedBy>
  <cp:revision/>
  <cp:lastPrinted>2023-09-06T09:30:28Z</cp:lastPrinted>
  <dcterms:created xsi:type="dcterms:W3CDTF">2019-03-19T22:27:51Z</dcterms:created>
  <dcterms:modified xsi:type="dcterms:W3CDTF">2024-02-22T02:18:12Z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0x01010088D38956DC61A44CA8292B41B80194D5</vt:lpwstr>
  </property>
  <property fmtid="{D5CDD505-2E9C-101B-9397-08002B2CF9AE}" pid="3" name="AuthorIds_UIVersion_8704">
    <vt:lpwstr>86,83</vt:lpwstr>
  </property>
  <property fmtid="{D5CDD505-2E9C-101B-9397-08002B2CF9AE}" pid="4" name="MediaServiceImageTags">
    <vt:lpwstr/>
  </property>
</Properties>
</file>