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us\Documents\R\working_directory\LemonSharkCKMR\00_key_resources\"/>
    </mc:Choice>
  </mc:AlternateContent>
  <xr:revisionPtr revIDLastSave="0" documentId="13_ncr:1_{C54093B3-233D-4CA1-866D-D88F5C5F543D}" xr6:coauthVersionLast="47" xr6:coauthVersionMax="47" xr10:uidLastSave="{00000000-0000-0000-0000-000000000000}"/>
  <bookViews>
    <workbookView xWindow="-120" yWindow="-11640" windowWidth="20730" windowHeight="11160" firstSheet="1" activeTab="4" xr2:uid="{D9C3A475-DFFC-3C44-AD51-F6154DA1030C}"/>
  </bookViews>
  <sheets>
    <sheet name="LemonSharkLeslieMatrix" sheetId="2" r:id="rId1"/>
    <sheet name="WaplesLifeTable2" sheetId="3" r:id="rId2"/>
    <sheet name="WaplesTable3" sheetId="4" r:id="rId3"/>
    <sheet name="WaplesTableS2" sheetId="5" r:id="rId4"/>
    <sheet name="WaplesTableS2_play" sheetId="6" r:id="rId5"/>
  </sheets>
  <definedNames>
    <definedName name="A">LemonSharkLeslieMatrix!$R$8</definedName>
    <definedName name="chi">#REF!</definedName>
    <definedName name="f0" localSheetId="0">LemonSharkLeslieMatrix!$R$1</definedName>
    <definedName name="f0">#REF!</definedName>
    <definedName name="fx">LemonSharkLeslieMatrix!$R$12</definedName>
    <definedName name="N">LemonSharkLeslieMatrix!$R$7</definedName>
    <definedName name="p.A">LemonSharkLeslieMatrix!$R$6</definedName>
    <definedName name="phi">#REF!</definedName>
    <definedName name="rho">#REF!</definedName>
    <definedName name="s.a" localSheetId="0">LemonSharkLeslieMatrix!$R$4</definedName>
    <definedName name="s.a">#REF!</definedName>
    <definedName name="s.c" localSheetId="0">LemonSharkLeslieMatrix!$R$2</definedName>
    <definedName name="s.c">#REF!</definedName>
    <definedName name="s.j" localSheetId="0">LemonSharkLeslieMatrix!$R$3</definedName>
    <definedName name="s.j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6" l="1"/>
  <c r="B4" i="6"/>
  <c r="B5" i="6" s="1"/>
  <c r="I10" i="6"/>
  <c r="H10" i="6"/>
  <c r="G10" i="6"/>
  <c r="F10" i="6"/>
  <c r="I9" i="6"/>
  <c r="H9" i="6"/>
  <c r="G9" i="6"/>
  <c r="I8" i="6"/>
  <c r="H8" i="6"/>
  <c r="I7" i="6"/>
  <c r="J4" i="5"/>
  <c r="J5" i="5"/>
  <c r="J6" i="5"/>
  <c r="J7" i="5"/>
  <c r="J8" i="5"/>
  <c r="J9" i="5"/>
  <c r="J10" i="5"/>
  <c r="J3" i="5"/>
  <c r="I7" i="5"/>
  <c r="I8" i="5"/>
  <c r="I9" i="5"/>
  <c r="I10" i="5"/>
  <c r="H8" i="5"/>
  <c r="H9" i="5"/>
  <c r="H10" i="5"/>
  <c r="G9" i="5"/>
  <c r="G10" i="5"/>
  <c r="F10" i="5"/>
  <c r="D4" i="5"/>
  <c r="D5" i="5"/>
  <c r="D6" i="5"/>
  <c r="D7" i="5"/>
  <c r="D8" i="5"/>
  <c r="D9" i="5"/>
  <c r="D10" i="5"/>
  <c r="D3" i="5"/>
  <c r="H8" i="4"/>
  <c r="H5" i="4"/>
  <c r="H6" i="4"/>
  <c r="H7" i="4"/>
  <c r="H4" i="4"/>
  <c r="L15" i="4"/>
  <c r="F20" i="4"/>
  <c r="F21" i="4"/>
  <c r="F22" i="4"/>
  <c r="F19" i="4"/>
  <c r="H12" i="4"/>
  <c r="H13" i="4"/>
  <c r="H14" i="4"/>
  <c r="H11" i="4"/>
  <c r="C10" i="4"/>
  <c r="B10" i="4"/>
  <c r="C7" i="4"/>
  <c r="C11" i="4" s="1"/>
  <c r="B7" i="4"/>
  <c r="B11" i="4" s="1"/>
  <c r="D4" i="3"/>
  <c r="D5" i="3" s="1"/>
  <c r="C4" i="3"/>
  <c r="C5" i="3" s="1"/>
  <c r="C6" i="3" s="1"/>
  <c r="C7" i="3" s="1"/>
  <c r="C8" i="3" s="1"/>
  <c r="C9" i="3" s="1"/>
  <c r="C10" i="3" s="1"/>
  <c r="C11" i="3" s="1"/>
  <c r="D3" i="3"/>
  <c r="C3" i="3"/>
  <c r="F2" i="3"/>
  <c r="U14" i="2"/>
  <c r="R1" i="2"/>
  <c r="D5" i="6" l="1"/>
  <c r="B6" i="6"/>
  <c r="D4" i="6"/>
  <c r="D11" i="5"/>
  <c r="E7" i="5" s="1"/>
  <c r="I3" i="5" s="1"/>
  <c r="G5" i="5"/>
  <c r="F6" i="5"/>
  <c r="E6" i="5"/>
  <c r="E9" i="5"/>
  <c r="E5" i="5"/>
  <c r="E4" i="5"/>
  <c r="F3" i="5" s="1"/>
  <c r="E10" i="5"/>
  <c r="E8" i="5"/>
  <c r="E3" i="5"/>
  <c r="F23" i="4"/>
  <c r="G5" i="4"/>
  <c r="G4" i="4"/>
  <c r="G7" i="4"/>
  <c r="G6" i="4"/>
  <c r="J13" i="4"/>
  <c r="K13" i="4" s="1"/>
  <c r="J12" i="4"/>
  <c r="K12" i="4" s="1"/>
  <c r="H15" i="4"/>
  <c r="J11" i="4"/>
  <c r="K11" i="4" s="1"/>
  <c r="J14" i="4"/>
  <c r="K14" i="4" s="1"/>
  <c r="B14" i="4"/>
  <c r="B15" i="4"/>
  <c r="F5" i="3"/>
  <c r="D6" i="3"/>
  <c r="F4" i="3"/>
  <c r="F3" i="3"/>
  <c r="U2" i="2"/>
  <c r="U3" i="2"/>
  <c r="U4" i="2" s="1"/>
  <c r="B7" i="6" l="1"/>
  <c r="D6" i="6"/>
  <c r="H4" i="5"/>
  <c r="G3" i="5"/>
  <c r="F4" i="5"/>
  <c r="F7" i="5"/>
  <c r="I4" i="5"/>
  <c r="H5" i="5"/>
  <c r="G6" i="5"/>
  <c r="G7" i="5"/>
  <c r="F8" i="5"/>
  <c r="I5" i="5"/>
  <c r="H6" i="5"/>
  <c r="H7" i="5"/>
  <c r="G8" i="5"/>
  <c r="F9" i="5"/>
  <c r="I6" i="5"/>
  <c r="H3" i="5"/>
  <c r="G4" i="5"/>
  <c r="F5" i="5"/>
  <c r="G8" i="4"/>
  <c r="B17" i="4"/>
  <c r="K15" i="4"/>
  <c r="J15" i="4"/>
  <c r="D7" i="3"/>
  <c r="F6" i="3"/>
  <c r="U5" i="2"/>
  <c r="B8" i="6" l="1"/>
  <c r="D7" i="6"/>
  <c r="F7" i="3"/>
  <c r="D8" i="3"/>
  <c r="U6" i="2"/>
  <c r="U7" i="2" s="1"/>
  <c r="D8" i="6" l="1"/>
  <c r="B9" i="6"/>
  <c r="D9" i="3"/>
  <c r="F8" i="3"/>
  <c r="U8" i="2"/>
  <c r="B10" i="6" l="1"/>
  <c r="D10" i="6" s="1"/>
  <c r="D9" i="6"/>
  <c r="D11" i="6" s="1"/>
  <c r="F9" i="3"/>
  <c r="D10" i="3"/>
  <c r="U9" i="2"/>
  <c r="U10" i="2" s="1"/>
  <c r="U11" i="2" s="1"/>
  <c r="U12" i="2" s="1"/>
  <c r="U13" i="2" s="1"/>
  <c r="R6" i="2" s="1"/>
  <c r="E7" i="6" l="1"/>
  <c r="E8" i="6"/>
  <c r="E9" i="6"/>
  <c r="E5" i="6"/>
  <c r="E4" i="6"/>
  <c r="F3" i="6" s="1"/>
  <c r="E3" i="6"/>
  <c r="E6" i="6"/>
  <c r="E10" i="6"/>
  <c r="D11" i="3"/>
  <c r="F11" i="3" s="1"/>
  <c r="F10" i="3"/>
  <c r="D12" i="3"/>
  <c r="R7" i="2"/>
  <c r="N2" i="2" s="1"/>
  <c r="J3" i="6" l="1"/>
  <c r="H7" i="6"/>
  <c r="I6" i="6"/>
  <c r="J10" i="6"/>
  <c r="G8" i="6"/>
  <c r="F9" i="6"/>
  <c r="J9" i="6" s="1"/>
  <c r="F4" i="6"/>
  <c r="J4" i="6" s="1"/>
  <c r="G3" i="6"/>
  <c r="H3" i="6"/>
  <c r="G4" i="6"/>
  <c r="F5" i="6"/>
  <c r="J5" i="6" s="1"/>
  <c r="F8" i="6"/>
  <c r="J8" i="6" s="1"/>
  <c r="I5" i="6"/>
  <c r="G7" i="6"/>
  <c r="H6" i="6"/>
  <c r="G6" i="6"/>
  <c r="H5" i="6"/>
  <c r="F7" i="6"/>
  <c r="J7" i="6" s="1"/>
  <c r="I4" i="6"/>
  <c r="I3" i="6"/>
  <c r="G5" i="6"/>
  <c r="F6" i="6"/>
  <c r="J6" i="6" s="1"/>
  <c r="H4" i="6"/>
  <c r="F12" i="3"/>
  <c r="M2" i="2"/>
  <c r="J11" i="6" l="1"/>
  <c r="K8" i="6" s="1"/>
  <c r="G11" i="3"/>
  <c r="G10" i="3"/>
  <c r="G9" i="3"/>
  <c r="G8" i="3"/>
  <c r="G7" i="3"/>
  <c r="G6" i="3"/>
  <c r="G5" i="3"/>
  <c r="G4" i="3"/>
  <c r="A2" i="2"/>
  <c r="A3" i="2"/>
  <c r="B4" i="2" s="1"/>
  <c r="C5" i="2" s="1"/>
  <c r="D6" i="2" s="1"/>
  <c r="E7" i="2" s="1"/>
  <c r="F8" i="2" s="1"/>
  <c r="G9" i="2" s="1"/>
  <c r="H10" i="2" s="1"/>
  <c r="I11" i="2" s="1"/>
  <c r="J12" i="2" s="1"/>
  <c r="K13" i="2" s="1"/>
  <c r="L14" i="2" s="1"/>
  <c r="K9" i="6" l="1"/>
  <c r="K6" i="6"/>
  <c r="K7" i="6"/>
  <c r="K3" i="6"/>
  <c r="K4" i="6"/>
  <c r="K5" i="6"/>
  <c r="K10" i="6"/>
  <c r="B2" i="2"/>
  <c r="B3" i="2"/>
  <c r="C4" i="2" s="1"/>
  <c r="D5" i="2" s="1"/>
  <c r="E6" i="2" s="1"/>
  <c r="F7" i="2" s="1"/>
  <c r="G8" i="2" s="1"/>
  <c r="H9" i="2" s="1"/>
  <c r="I10" i="2" s="1"/>
  <c r="J11" i="2" s="1"/>
  <c r="K12" i="2" s="1"/>
  <c r="L13" i="2" s="1"/>
  <c r="K11" i="6" l="1"/>
  <c r="C2" i="2"/>
  <c r="C3" i="2"/>
  <c r="D4" i="2" s="1"/>
  <c r="E5" i="2" s="1"/>
  <c r="F6" i="2" s="1"/>
  <c r="G7" i="2" s="1"/>
  <c r="H8" i="2" s="1"/>
  <c r="I9" i="2" s="1"/>
  <c r="J10" i="2" s="1"/>
  <c r="K11" i="2" s="1"/>
  <c r="L12" i="2" s="1"/>
  <c r="D2" i="2" l="1"/>
  <c r="D3" i="2"/>
  <c r="E4" i="2" s="1"/>
  <c r="F5" i="2" s="1"/>
  <c r="G6" i="2" s="1"/>
  <c r="H7" i="2" s="1"/>
  <c r="I8" i="2" s="1"/>
  <c r="J9" i="2" s="1"/>
  <c r="K10" i="2" s="1"/>
  <c r="L11" i="2" s="1"/>
  <c r="E2" i="2" l="1"/>
  <c r="E3" i="2"/>
  <c r="F4" i="2" s="1"/>
  <c r="G5" i="2" s="1"/>
  <c r="H6" i="2" s="1"/>
  <c r="I7" i="2" s="1"/>
  <c r="J8" i="2" s="1"/>
  <c r="K9" i="2" s="1"/>
  <c r="L10" i="2" s="1"/>
  <c r="F2" i="2" l="1"/>
  <c r="F3" i="2"/>
  <c r="G4" i="2" s="1"/>
  <c r="H5" i="2" s="1"/>
  <c r="I6" i="2" s="1"/>
  <c r="J7" i="2" s="1"/>
  <c r="K8" i="2" s="1"/>
  <c r="L9" i="2" s="1"/>
  <c r="G3" i="2" l="1"/>
  <c r="H4" i="2" s="1"/>
  <c r="I5" i="2" s="1"/>
  <c r="J6" i="2" s="1"/>
  <c r="K7" i="2" s="1"/>
  <c r="L8" i="2" s="1"/>
  <c r="G2" i="2"/>
  <c r="H2" i="2" l="1"/>
  <c r="H3" i="2"/>
  <c r="I4" i="2" s="1"/>
  <c r="J5" i="2" s="1"/>
  <c r="K6" i="2" s="1"/>
  <c r="L7" i="2" s="1"/>
  <c r="I2" i="2" l="1"/>
  <c r="I3" i="2"/>
  <c r="J4" i="2" s="1"/>
  <c r="K5" i="2" s="1"/>
  <c r="L6" i="2" s="1"/>
  <c r="J2" i="2" l="1"/>
  <c r="J3" i="2"/>
  <c r="K4" i="2" s="1"/>
  <c r="L5" i="2" s="1"/>
  <c r="K2" i="2" l="1"/>
  <c r="K3" i="2"/>
  <c r="L4" i="2" s="1"/>
  <c r="L3" i="2" l="1"/>
  <c r="L2" i="2"/>
  <c r="M3" i="2" l="1"/>
  <c r="N3" i="2" s="1"/>
  <c r="O3" i="2" s="1"/>
  <c r="M4" i="2" l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A4" i="2"/>
  <c r="B5" i="2" s="1"/>
  <c r="C6" i="2" s="1"/>
  <c r="D7" i="2" s="1"/>
  <c r="E8" i="2" s="1"/>
  <c r="F9" i="2" s="1"/>
  <c r="G10" i="2" s="1"/>
  <c r="H11" i="2" s="1"/>
  <c r="I12" i="2" s="1"/>
  <c r="J13" i="2" s="1"/>
  <c r="K14" i="2" s="1"/>
  <c r="L15" i="2" s="1"/>
  <c r="A5" i="2"/>
  <c r="N4" i="2"/>
  <c r="O4" i="2" s="1"/>
  <c r="M16" i="2" l="1"/>
  <c r="B6" i="2"/>
  <c r="C7" i="2" s="1"/>
  <c r="D8" i="2" s="1"/>
  <c r="E9" i="2" s="1"/>
  <c r="F10" i="2" s="1"/>
  <c r="G11" i="2" s="1"/>
  <c r="H12" i="2" s="1"/>
  <c r="I13" i="2" s="1"/>
  <c r="J14" i="2" s="1"/>
  <c r="K15" i="2" s="1"/>
  <c r="L16" i="2" s="1"/>
  <c r="M17" i="2" s="1"/>
  <c r="N5" i="2"/>
  <c r="O5" i="2" s="1"/>
  <c r="A6" i="2"/>
  <c r="A7" i="2" l="1"/>
  <c r="B7" i="2"/>
  <c r="C8" i="2" s="1"/>
  <c r="D9" i="2" s="1"/>
  <c r="E10" i="2" s="1"/>
  <c r="F11" i="2" s="1"/>
  <c r="G12" i="2" s="1"/>
  <c r="H13" i="2" s="1"/>
  <c r="I14" i="2" s="1"/>
  <c r="J15" i="2" s="1"/>
  <c r="K16" i="2" s="1"/>
  <c r="L17" i="2" s="1"/>
  <c r="N6" i="2"/>
  <c r="O6" i="2" s="1"/>
  <c r="A8" i="2" l="1"/>
  <c r="B8" i="2"/>
  <c r="C9" i="2" s="1"/>
  <c r="D10" i="2" s="1"/>
  <c r="E11" i="2" s="1"/>
  <c r="F12" i="2" s="1"/>
  <c r="G13" i="2" s="1"/>
  <c r="H14" i="2" s="1"/>
  <c r="I15" i="2" s="1"/>
  <c r="J16" i="2" s="1"/>
  <c r="K17" i="2" s="1"/>
  <c r="N7" i="2"/>
  <c r="O7" i="2" s="1"/>
  <c r="A9" i="2" l="1"/>
  <c r="N8" i="2"/>
  <c r="O8" i="2" s="1"/>
  <c r="B9" i="2"/>
  <c r="C10" i="2" s="1"/>
  <c r="D11" i="2" s="1"/>
  <c r="E12" i="2" s="1"/>
  <c r="F13" i="2" s="1"/>
  <c r="G14" i="2" s="1"/>
  <c r="H15" i="2" s="1"/>
  <c r="I16" i="2" s="1"/>
  <c r="J17" i="2" s="1"/>
  <c r="A10" i="2" l="1"/>
  <c r="N9" i="2"/>
  <c r="O9" i="2" s="1"/>
  <c r="B10" i="2"/>
  <c r="C11" i="2" s="1"/>
  <c r="D12" i="2" s="1"/>
  <c r="E13" i="2" s="1"/>
  <c r="F14" i="2" s="1"/>
  <c r="G15" i="2" s="1"/>
  <c r="H16" i="2" s="1"/>
  <c r="I17" i="2" s="1"/>
  <c r="N10" i="2" l="1"/>
  <c r="O10" i="2" s="1"/>
  <c r="B11" i="2"/>
  <c r="C12" i="2" s="1"/>
  <c r="D13" i="2" s="1"/>
  <c r="E14" i="2" s="1"/>
  <c r="F15" i="2" s="1"/>
  <c r="G16" i="2" s="1"/>
  <c r="H17" i="2" s="1"/>
  <c r="A11" i="2"/>
  <c r="N11" i="2" l="1"/>
  <c r="O11" i="2" s="1"/>
  <c r="B12" i="2"/>
  <c r="C13" i="2" s="1"/>
  <c r="D14" i="2" s="1"/>
  <c r="E15" i="2" s="1"/>
  <c r="F16" i="2" s="1"/>
  <c r="G17" i="2" s="1"/>
  <c r="A12" i="2"/>
  <c r="A13" i="2" l="1"/>
  <c r="B13" i="2"/>
  <c r="C14" i="2" s="1"/>
  <c r="D15" i="2" s="1"/>
  <c r="E16" i="2" s="1"/>
  <c r="F17" i="2" s="1"/>
  <c r="N12" i="2"/>
  <c r="O12" i="2" s="1"/>
  <c r="A14" i="2" l="1"/>
  <c r="B14" i="2"/>
  <c r="C15" i="2" s="1"/>
  <c r="D16" i="2" s="1"/>
  <c r="E17" i="2" s="1"/>
  <c r="N13" i="2"/>
  <c r="O13" i="2" s="1"/>
  <c r="N14" i="2" l="1"/>
  <c r="O14" i="2" s="1"/>
  <c r="B15" i="2"/>
  <c r="C16" i="2" s="1"/>
  <c r="D17" i="2" s="1"/>
  <c r="A15" i="2"/>
  <c r="N15" i="2" l="1"/>
  <c r="O15" i="2" s="1"/>
  <c r="B16" i="2"/>
  <c r="C17" i="2" s="1"/>
  <c r="A16" i="2"/>
  <c r="B17" i="2" l="1"/>
  <c r="N16" i="2"/>
  <c r="O16" i="2" s="1"/>
  <c r="A17" i="2"/>
  <c r="N17" i="2" l="1"/>
  <c r="O1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tc={3CADD4DF-6CA0-41E2-8BA6-C6D63670334F}</author>
  </authors>
  <commentList>
    <comment ref="G10" authorId="0" shapeId="0" xr:uid="{3CADD4DF-6CA0-41E2-8BA6-C6D63670334F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means the number of time this age gap occurs throughout the number of years sampled. In other words, there is a one year age gap between each consecutive years sampled, so four total, while there is only a single instance of a four year age gap.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tc={EC54205C-7155-4355-8136-399FF33AFE0A}</author>
  </authors>
  <commentList>
    <comment ref="J2" authorId="0" shapeId="0" xr:uid="{EC54205C-7155-4355-8136-399FF33AFE0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probability of a maternal half-sibling pair of a given age class is the ERRO at t0 x ERRO at t1 x Nf at t0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tc={C3C776C7-E372-4002-924F-17C083B2FE22}</author>
  </authors>
  <commentList>
    <comment ref="J2" authorId="0" shapeId="0" xr:uid="{C3C776C7-E372-4002-924F-17C083B2FE22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probability of a maternal half-sibling pair of a given age class is the ERRO at t0 x ERRO at t1 x Nf at t0</t>
      </text>
    </comment>
  </commentList>
</comments>
</file>

<file path=xl/sharedStrings.xml><?xml version="1.0" encoding="utf-8"?>
<sst xmlns="http://schemas.openxmlformats.org/spreadsheetml/2006/main" count="105" uniqueCount="90">
  <si>
    <t>s.j</t>
  </si>
  <si>
    <t>s.a</t>
  </si>
  <si>
    <t>N</t>
  </si>
  <si>
    <t>J2</t>
  </si>
  <si>
    <t>J3</t>
  </si>
  <si>
    <t>J4</t>
  </si>
  <si>
    <t>J5</t>
  </si>
  <si>
    <t>J6</t>
  </si>
  <si>
    <t>J7</t>
  </si>
  <si>
    <t>J8</t>
  </si>
  <si>
    <t>p.A</t>
  </si>
  <si>
    <t>A:</t>
  </si>
  <si>
    <t>C:</t>
  </si>
  <si>
    <t>J2:</t>
  </si>
  <si>
    <t>J3:</t>
  </si>
  <si>
    <t>J4:</t>
  </si>
  <si>
    <t>J5:</t>
  </si>
  <si>
    <t>J6:</t>
  </si>
  <si>
    <t>J7:</t>
  </si>
  <si>
    <t>J8:</t>
  </si>
  <si>
    <t>YOY</t>
  </si>
  <si>
    <t>J1</t>
  </si>
  <si>
    <t>J9</t>
  </si>
  <si>
    <t>J10</t>
  </si>
  <si>
    <t>J11</t>
  </si>
  <si>
    <t>A12</t>
  </si>
  <si>
    <t>s.yoy</t>
  </si>
  <si>
    <t>fec</t>
  </si>
  <si>
    <t>J1:</t>
  </si>
  <si>
    <t>J9:</t>
  </si>
  <si>
    <t>J10:</t>
  </si>
  <si>
    <t>J11:</t>
  </si>
  <si>
    <t>NA</t>
  </si>
  <si>
    <t>Age</t>
  </si>
  <si>
    <t>sx</t>
  </si>
  <si>
    <t>lx</t>
  </si>
  <si>
    <t>Nx</t>
  </si>
  <si>
    <t>bx</t>
  </si>
  <si>
    <t>Nxbx</t>
  </si>
  <si>
    <t>ERRO</t>
  </si>
  <si>
    <t>ERRO is the births per female (bx) divided by the total reproductive output. Here, fecundity is constant across age classes, so each age class has the same ERRO.</t>
  </si>
  <si>
    <t>Scenario</t>
  </si>
  <si>
    <t>A</t>
  </si>
  <si>
    <t>C</t>
  </si>
  <si>
    <t>N1</t>
  </si>
  <si>
    <t>Fecundity</t>
  </si>
  <si>
    <t>Adult sampling</t>
  </si>
  <si>
    <t>Phi</t>
  </si>
  <si>
    <t>noff_POP</t>
  </si>
  <si>
    <t>nparents_POP</t>
  </si>
  <si>
    <t>Exp(R)_POP</t>
  </si>
  <si>
    <t>C_POP</t>
  </si>
  <si>
    <t>Na_raw_POP</t>
  </si>
  <si>
    <t>Na_adj_POP</t>
  </si>
  <si>
    <t>noff_HS</t>
  </si>
  <si>
    <t>Exp(R)_HS</t>
  </si>
  <si>
    <t>Obs(R)_HS</t>
  </si>
  <si>
    <t>C_HS</t>
  </si>
  <si>
    <t>Na_raw_HS</t>
  </si>
  <si>
    <t>Na_adj_HS</t>
  </si>
  <si>
    <t>Nb_est</t>
  </si>
  <si>
    <t>Nb_truth</t>
  </si>
  <si>
    <t>Constant</t>
  </si>
  <si>
    <t>Random</t>
  </si>
  <si>
    <t>Increasing</t>
  </si>
  <si>
    <t>Obs(R)_POP</t>
  </si>
  <si>
    <t>Na_sex</t>
  </si>
  <si>
    <t>Na_total</t>
  </si>
  <si>
    <t>n_comps</t>
  </si>
  <si>
    <t>num_comps</t>
  </si>
  <si>
    <t>cross_cohort_instances</t>
  </si>
  <si>
    <t>Exp(R) - sex specific</t>
  </si>
  <si>
    <t>Exp(R) - both sexes</t>
  </si>
  <si>
    <t>Total</t>
  </si>
  <si>
    <t>weighted mean C</t>
  </si>
  <si>
    <t>cumulative survival (C(t))</t>
  </si>
  <si>
    <t>age_gap (y(t))</t>
  </si>
  <si>
    <t>C(t) * y(t)/sum(y(t))</t>
  </si>
  <si>
    <t>Obs® - both sexes</t>
  </si>
  <si>
    <t>From S2.4: HS</t>
  </si>
  <si>
    <t>Expected HSPs w/o C</t>
  </si>
  <si>
    <t>Exp(R) naïve - single sex</t>
  </si>
  <si>
    <t>Exp(R) naïve - both sexes</t>
  </si>
  <si>
    <t>?</t>
  </si>
  <si>
    <t>Age(x)</t>
  </si>
  <si>
    <t>ERRO at t yrs in future</t>
  </si>
  <si>
    <t>P[MHSP] at t=1</t>
  </si>
  <si>
    <t>TOTAL</t>
  </si>
  <si>
    <t>Vector of parental weights?</t>
  </si>
  <si>
    <t>Can change this value and observe that column K stays the same even as everything else changes. Is this how to calculate parental weights w/o 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</si>
</sst>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"/>
    <numFmt numFmtId="167" formatCode="0.000000"/>
    <numFmt numFmtId="168" formatCode="0.00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2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43" fontId="0" fillId="0" borderId="0" xfId="0" applyNumberFormat="1"/>
    <xf numFmtId="164" fontId="0" fillId="0" borderId="0" xfId="1" applyNumberFormat="1" applyFont="1" applyFill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166" fontId="0" fillId="0" borderId="0" xfId="0" applyNumberFormat="1"/>
    <xf numFmtId="0" fontId="3" fillId="0" borderId="0" xfId="0" applyFont="1"/>
    <xf numFmtId="167" fontId="0" fillId="0" borderId="0" xfId="0" applyNumberFormat="1"/>
    <xf numFmtId="168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hn Sw." id="{94CC4069-309D-4765-BC7B-38B227FD1CBF}" userId="John Sw.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0" dT="2022-03-17T20:03:06.15" personId="{94CC4069-309D-4765-BC7B-38B227FD1CBF}" id="{3CADD4DF-6CA0-41E2-8BA6-C6D63670334F}">
    <text>This means the number of time this age gap occurs throughout the number of years sampled. In other words, there is a one year age gap between each consecutive years sampled, so four total, while there is only a single instance of a four year age gap.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J2" dT="2022-03-17T21:43:34.07" personId="{94CC4069-309D-4765-BC7B-38B227FD1CBF}" id="{EC54205C-7155-4355-8136-399FF33AFE0A}">
    <text>The probability of a maternal half-sibling pair of a given age class is the ERRO at t0 x ERRO at t1 x Nf at t0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J2" dT="2022-03-17T21:43:34.07" personId="{94CC4069-309D-4765-BC7B-38B227FD1CBF}" id="{C3C776C7-E372-4002-924F-17C083B2FE22}">
    <text>The probability of a maternal half-sibling pair of a given age class is the ERRO at t0 x ERRO at t1 x Nf at t0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D39F6-859C-0C45-92B5-E2F7757ECB9E}">
  <dimension ref="A1:AB101"/>
  <sheetViews>
    <sheetView zoomScaleNormal="100" workbookViewId="0">
      <selection activeCell="F10" sqref="F10"/>
    </sheetView>
  </sheetViews>
  <sheetFormatPr defaultColWidth="11" defaultRowHeight="15.75" x14ac:dyDescent="0.25"/>
  <cols>
    <col min="4" max="4" width="10.875" customWidth="1"/>
    <col min="14" max="14" width="13" bestFit="1" customWidth="1"/>
    <col min="15" max="16" width="10.875" style="1"/>
    <col min="19" max="19" width="11.625" bestFit="1" customWidth="1"/>
    <col min="21" max="21" width="12.625" bestFit="1" customWidth="1"/>
  </cols>
  <sheetData>
    <row r="1" spans="1:26" x14ac:dyDescent="0.25">
      <c r="A1" s="2" t="s">
        <v>20</v>
      </c>
      <c r="B1" s="2" t="s">
        <v>21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22</v>
      </c>
      <c r="K1" s="2" t="s">
        <v>23</v>
      </c>
      <c r="L1" s="2" t="s">
        <v>24</v>
      </c>
      <c r="M1" s="2" t="s">
        <v>25</v>
      </c>
      <c r="N1" s="2" t="s">
        <v>2</v>
      </c>
      <c r="Q1" t="s">
        <v>27</v>
      </c>
      <c r="R1" s="1">
        <f>(1-s.a)/(s.c*s.j^11)</f>
        <v>0.39832944316561653</v>
      </c>
      <c r="T1" t="s">
        <v>11</v>
      </c>
      <c r="U1" s="1">
        <v>1</v>
      </c>
    </row>
    <row r="2" spans="1:26" x14ac:dyDescent="0.25">
      <c r="A2" s="8">
        <f>f0*M2</f>
        <v>398.32944316561651</v>
      </c>
      <c r="B2" s="8">
        <f>A2*s.c</f>
        <v>318.66355453249321</v>
      </c>
      <c r="C2" s="8">
        <f>B2*s.j</f>
        <v>286.79719907924391</v>
      </c>
      <c r="D2" s="8">
        <f t="shared" ref="D2:H2" si="0">C2*s.j</f>
        <v>258.11747917131953</v>
      </c>
      <c r="E2" s="8">
        <f t="shared" si="0"/>
        <v>232.30573125418758</v>
      </c>
      <c r="F2" s="8">
        <f t="shared" si="0"/>
        <v>209.07515812876883</v>
      </c>
      <c r="G2" s="8">
        <f t="shared" si="0"/>
        <v>188.16764231589195</v>
      </c>
      <c r="H2" s="8">
        <f t="shared" si="0"/>
        <v>169.35087808430276</v>
      </c>
      <c r="I2" s="8">
        <f t="shared" ref="I2" si="1">H2*s.j</f>
        <v>152.4157902758725</v>
      </c>
      <c r="J2" s="8">
        <f t="shared" ref="J2" si="2">I2*s.j</f>
        <v>137.17421124828525</v>
      </c>
      <c r="K2" s="8">
        <f t="shared" ref="K2" si="3">J2*s.j</f>
        <v>123.45679012345673</v>
      </c>
      <c r="L2" s="8">
        <f t="shared" ref="L2" si="4">K2*s.j</f>
        <v>111.11111111111106</v>
      </c>
      <c r="M2" s="8">
        <f>p.A*N</f>
        <v>1000</v>
      </c>
      <c r="N2" s="5">
        <f>N</f>
        <v>3584.9649884905493</v>
      </c>
      <c r="Q2" t="s">
        <v>26</v>
      </c>
      <c r="R2" s="1">
        <v>0.8</v>
      </c>
      <c r="T2" t="s">
        <v>12</v>
      </c>
      <c r="U2" s="1">
        <f>f0</f>
        <v>0.39832944316561653</v>
      </c>
    </row>
    <row r="3" spans="1:26" x14ac:dyDescent="0.25">
      <c r="A3" s="8">
        <f t="shared" ref="A3:A13" si="5">f0*M2</f>
        <v>398.32944316561651</v>
      </c>
      <c r="B3" s="8">
        <f t="shared" ref="B3:B13" si="6">A2*s.c</f>
        <v>318.66355453249321</v>
      </c>
      <c r="C3" s="8">
        <f t="shared" ref="C3:H13" si="7">B2*s.j</f>
        <v>286.79719907924391</v>
      </c>
      <c r="D3" s="8">
        <f t="shared" si="7"/>
        <v>258.11747917131953</v>
      </c>
      <c r="E3" s="8">
        <f t="shared" si="7"/>
        <v>232.30573125418758</v>
      </c>
      <c r="F3" s="8">
        <f t="shared" si="7"/>
        <v>209.07515812876883</v>
      </c>
      <c r="G3" s="8">
        <f t="shared" si="7"/>
        <v>188.16764231589195</v>
      </c>
      <c r="H3" s="8">
        <f t="shared" si="7"/>
        <v>169.35087808430276</v>
      </c>
      <c r="I3" s="8">
        <f t="shared" ref="I3:I13" si="8">H2*s.j</f>
        <v>152.4157902758725</v>
      </c>
      <c r="J3" s="8">
        <f t="shared" ref="J3:J13" si="9">I2*s.j</f>
        <v>137.17421124828525</v>
      </c>
      <c r="K3" s="8">
        <f t="shared" ref="K3:K13" si="10">J2*s.j</f>
        <v>123.45679012345673</v>
      </c>
      <c r="L3" s="8">
        <f t="shared" ref="L3:L13" si="11">K2*s.j</f>
        <v>111.11111111111106</v>
      </c>
      <c r="M3" s="8">
        <f t="shared" ref="M3:M17" si="12">L2*s.j+M2*s.a</f>
        <v>1000</v>
      </c>
      <c r="N3" s="5">
        <f t="shared" ref="N3:N13" si="13">SUM(A3:M3)</f>
        <v>3584.9649884905498</v>
      </c>
      <c r="O3" s="1">
        <f>N3/N2</f>
        <v>1.0000000000000002</v>
      </c>
      <c r="Q3" t="s">
        <v>0</v>
      </c>
      <c r="R3" s="1">
        <v>0.9</v>
      </c>
      <c r="T3" t="s">
        <v>28</v>
      </c>
      <c r="U3" s="1">
        <f>f0*s.c</f>
        <v>0.31866355453249323</v>
      </c>
      <c r="W3" s="6"/>
    </row>
    <row r="4" spans="1:26" x14ac:dyDescent="0.25">
      <c r="A4" s="8">
        <f t="shared" si="5"/>
        <v>398.32944316561651</v>
      </c>
      <c r="B4" s="8">
        <f t="shared" si="6"/>
        <v>318.66355453249321</v>
      </c>
      <c r="C4" s="8">
        <f t="shared" si="7"/>
        <v>286.79719907924391</v>
      </c>
      <c r="D4" s="8">
        <f t="shared" si="7"/>
        <v>258.11747917131953</v>
      </c>
      <c r="E4" s="8">
        <f t="shared" si="7"/>
        <v>232.30573125418758</v>
      </c>
      <c r="F4" s="8">
        <f t="shared" si="7"/>
        <v>209.07515812876883</v>
      </c>
      <c r="G4" s="8">
        <f t="shared" si="7"/>
        <v>188.16764231589195</v>
      </c>
      <c r="H4" s="8">
        <f t="shared" si="7"/>
        <v>169.35087808430276</v>
      </c>
      <c r="I4" s="8">
        <f t="shared" si="8"/>
        <v>152.4157902758725</v>
      </c>
      <c r="J4" s="8">
        <f t="shared" si="9"/>
        <v>137.17421124828525</v>
      </c>
      <c r="K4" s="8">
        <f t="shared" si="10"/>
        <v>123.45679012345673</v>
      </c>
      <c r="L4" s="8">
        <f t="shared" si="11"/>
        <v>111.11111111111106</v>
      </c>
      <c r="M4" s="8">
        <f t="shared" si="12"/>
        <v>1000</v>
      </c>
      <c r="N4" s="5">
        <f t="shared" si="13"/>
        <v>3584.9649884905498</v>
      </c>
      <c r="O4" s="1">
        <f t="shared" ref="O4:O17" si="14">N4/N3</f>
        <v>1</v>
      </c>
      <c r="Q4" t="s">
        <v>1</v>
      </c>
      <c r="R4" s="1">
        <v>0.9</v>
      </c>
      <c r="T4" t="s">
        <v>13</v>
      </c>
      <c r="U4" s="1">
        <f>U3*s.j</f>
        <v>0.28679719907924389</v>
      </c>
      <c r="W4" s="6"/>
    </row>
    <row r="5" spans="1:26" x14ac:dyDescent="0.25">
      <c r="A5" s="8">
        <f t="shared" si="5"/>
        <v>398.32944316561651</v>
      </c>
      <c r="B5" s="8">
        <f t="shared" si="6"/>
        <v>318.66355453249321</v>
      </c>
      <c r="C5" s="8">
        <f t="shared" si="7"/>
        <v>286.79719907924391</v>
      </c>
      <c r="D5" s="8">
        <f t="shared" si="7"/>
        <v>258.11747917131953</v>
      </c>
      <c r="E5" s="8">
        <f t="shared" si="7"/>
        <v>232.30573125418758</v>
      </c>
      <c r="F5" s="8">
        <f t="shared" si="7"/>
        <v>209.07515812876883</v>
      </c>
      <c r="G5" s="8">
        <f t="shared" si="7"/>
        <v>188.16764231589195</v>
      </c>
      <c r="H5" s="8">
        <f t="shared" si="7"/>
        <v>169.35087808430276</v>
      </c>
      <c r="I5" s="8">
        <f t="shared" si="8"/>
        <v>152.4157902758725</v>
      </c>
      <c r="J5" s="8">
        <f t="shared" si="9"/>
        <v>137.17421124828525</v>
      </c>
      <c r="K5" s="8">
        <f t="shared" si="10"/>
        <v>123.45679012345673</v>
      </c>
      <c r="L5" s="8">
        <f t="shared" si="11"/>
        <v>111.11111111111106</v>
      </c>
      <c r="M5" s="8">
        <f t="shared" si="12"/>
        <v>1000</v>
      </c>
      <c r="N5" s="5">
        <f t="shared" si="13"/>
        <v>3584.9649884905498</v>
      </c>
      <c r="O5" s="1">
        <f t="shared" si="14"/>
        <v>1</v>
      </c>
      <c r="T5" t="s">
        <v>14</v>
      </c>
      <c r="U5" s="1">
        <f t="shared" ref="U5:U13" si="15">U4*s.j</f>
        <v>0.2581174791713195</v>
      </c>
      <c r="W5" s="6"/>
    </row>
    <row r="6" spans="1:26" x14ac:dyDescent="0.25">
      <c r="A6" s="8">
        <f t="shared" si="5"/>
        <v>398.32944316561651</v>
      </c>
      <c r="B6" s="8">
        <f t="shared" si="6"/>
        <v>318.66355453249321</v>
      </c>
      <c r="C6" s="8">
        <f t="shared" si="7"/>
        <v>286.79719907924391</v>
      </c>
      <c r="D6" s="8">
        <f t="shared" si="7"/>
        <v>258.11747917131953</v>
      </c>
      <c r="E6" s="8">
        <f t="shared" si="7"/>
        <v>232.30573125418758</v>
      </c>
      <c r="F6" s="8">
        <f t="shared" si="7"/>
        <v>209.07515812876883</v>
      </c>
      <c r="G6" s="8">
        <f t="shared" si="7"/>
        <v>188.16764231589195</v>
      </c>
      <c r="H6" s="8">
        <f t="shared" si="7"/>
        <v>169.35087808430276</v>
      </c>
      <c r="I6" s="8">
        <f t="shared" si="8"/>
        <v>152.4157902758725</v>
      </c>
      <c r="J6" s="8">
        <f t="shared" si="9"/>
        <v>137.17421124828525</v>
      </c>
      <c r="K6" s="8">
        <f t="shared" si="10"/>
        <v>123.45679012345673</v>
      </c>
      <c r="L6" s="8">
        <f t="shared" si="11"/>
        <v>111.11111111111106</v>
      </c>
      <c r="M6" s="8">
        <f t="shared" si="12"/>
        <v>1000</v>
      </c>
      <c r="N6" s="5">
        <f t="shared" si="13"/>
        <v>3584.9649884905498</v>
      </c>
      <c r="O6" s="1">
        <f t="shared" si="14"/>
        <v>1</v>
      </c>
      <c r="Q6" t="s">
        <v>10</v>
      </c>
      <c r="R6" s="1">
        <f>1/SUM(U1:U13)</f>
        <v>0.27894275208000019</v>
      </c>
      <c r="T6" t="s">
        <v>15</v>
      </c>
      <c r="U6" s="1">
        <f>U5*s.j</f>
        <v>0.23230573125418755</v>
      </c>
      <c r="W6" s="6"/>
    </row>
    <row r="7" spans="1:26" x14ac:dyDescent="0.25">
      <c r="A7" s="8">
        <f t="shared" si="5"/>
        <v>398.32944316561651</v>
      </c>
      <c r="B7" s="8">
        <f t="shared" si="6"/>
        <v>318.66355453249321</v>
      </c>
      <c r="C7" s="8">
        <f t="shared" si="7"/>
        <v>286.79719907924391</v>
      </c>
      <c r="D7" s="8">
        <f t="shared" si="7"/>
        <v>258.11747917131953</v>
      </c>
      <c r="E7" s="8">
        <f t="shared" si="7"/>
        <v>232.30573125418758</v>
      </c>
      <c r="F7" s="8">
        <f t="shared" si="7"/>
        <v>209.07515812876883</v>
      </c>
      <c r="G7" s="8">
        <f t="shared" si="7"/>
        <v>188.16764231589195</v>
      </c>
      <c r="H7" s="8">
        <f t="shared" si="7"/>
        <v>169.35087808430276</v>
      </c>
      <c r="I7" s="8">
        <f t="shared" si="8"/>
        <v>152.4157902758725</v>
      </c>
      <c r="J7" s="8">
        <f t="shared" si="9"/>
        <v>137.17421124828525</v>
      </c>
      <c r="K7" s="8">
        <f t="shared" si="10"/>
        <v>123.45679012345673</v>
      </c>
      <c r="L7" s="8">
        <f t="shared" si="11"/>
        <v>111.11111111111106</v>
      </c>
      <c r="M7" s="8">
        <f t="shared" si="12"/>
        <v>1000</v>
      </c>
      <c r="N7" s="5">
        <f t="shared" si="13"/>
        <v>3584.9649884905498</v>
      </c>
      <c r="O7" s="1">
        <f t="shared" si="14"/>
        <v>1</v>
      </c>
      <c r="Q7" t="s">
        <v>2</v>
      </c>
      <c r="R7" s="7">
        <f>A/p.A</f>
        <v>3584.9649884905493</v>
      </c>
      <c r="T7" t="s">
        <v>16</v>
      </c>
      <c r="U7" s="1">
        <f t="shared" si="15"/>
        <v>0.20907515812876878</v>
      </c>
      <c r="W7" s="6"/>
    </row>
    <row r="8" spans="1:26" x14ac:dyDescent="0.25">
      <c r="A8" s="8">
        <f t="shared" si="5"/>
        <v>398.32944316561651</v>
      </c>
      <c r="B8" s="4">
        <f t="shared" si="6"/>
        <v>318.66355453249321</v>
      </c>
      <c r="C8" s="4">
        <f t="shared" si="7"/>
        <v>286.79719907924391</v>
      </c>
      <c r="D8" s="4">
        <f t="shared" si="7"/>
        <v>258.11747917131953</v>
      </c>
      <c r="E8" s="4">
        <f t="shared" si="7"/>
        <v>232.30573125418758</v>
      </c>
      <c r="F8" s="4">
        <f t="shared" si="7"/>
        <v>209.07515812876883</v>
      </c>
      <c r="G8" s="4">
        <f t="shared" si="7"/>
        <v>188.16764231589195</v>
      </c>
      <c r="H8" s="4">
        <f t="shared" si="7"/>
        <v>169.35087808430276</v>
      </c>
      <c r="I8" s="4">
        <f t="shared" si="8"/>
        <v>152.4157902758725</v>
      </c>
      <c r="J8" s="4">
        <f t="shared" si="9"/>
        <v>137.17421124828525</v>
      </c>
      <c r="K8" s="4">
        <f t="shared" si="10"/>
        <v>123.45679012345673</v>
      </c>
      <c r="L8" s="4">
        <f t="shared" si="11"/>
        <v>111.11111111111106</v>
      </c>
      <c r="M8" s="8">
        <f t="shared" si="12"/>
        <v>1000</v>
      </c>
      <c r="N8" s="5">
        <f t="shared" si="13"/>
        <v>3584.9649884905498</v>
      </c>
      <c r="O8" s="1">
        <f t="shared" si="14"/>
        <v>1</v>
      </c>
      <c r="Q8" t="s">
        <v>32</v>
      </c>
      <c r="R8" s="7">
        <v>1000</v>
      </c>
      <c r="T8" t="s">
        <v>17</v>
      </c>
      <c r="U8" s="1">
        <f t="shared" si="15"/>
        <v>0.18816764231589192</v>
      </c>
      <c r="W8" s="6"/>
    </row>
    <row r="9" spans="1:26" x14ac:dyDescent="0.25">
      <c r="A9" s="8">
        <f t="shared" si="5"/>
        <v>398.32944316561651</v>
      </c>
      <c r="B9" s="4">
        <f t="shared" si="6"/>
        <v>318.66355453249321</v>
      </c>
      <c r="C9" s="4">
        <f t="shared" si="7"/>
        <v>286.79719907924391</v>
      </c>
      <c r="D9" s="4">
        <f t="shared" si="7"/>
        <v>258.11747917131953</v>
      </c>
      <c r="E9" s="4">
        <f t="shared" si="7"/>
        <v>232.30573125418758</v>
      </c>
      <c r="F9" s="4">
        <f t="shared" si="7"/>
        <v>209.07515812876883</v>
      </c>
      <c r="G9" s="4">
        <f t="shared" si="7"/>
        <v>188.16764231589195</v>
      </c>
      <c r="H9" s="4">
        <f t="shared" si="7"/>
        <v>169.35087808430276</v>
      </c>
      <c r="I9" s="4">
        <f t="shared" si="8"/>
        <v>152.4157902758725</v>
      </c>
      <c r="J9" s="4">
        <f t="shared" si="9"/>
        <v>137.17421124828525</v>
      </c>
      <c r="K9" s="4">
        <f t="shared" si="10"/>
        <v>123.45679012345673</v>
      </c>
      <c r="L9" s="4">
        <f t="shared" si="11"/>
        <v>111.11111111111106</v>
      </c>
      <c r="M9" s="8">
        <f t="shared" si="12"/>
        <v>1000</v>
      </c>
      <c r="N9" s="5">
        <f t="shared" si="13"/>
        <v>3584.9649884905498</v>
      </c>
      <c r="O9" s="1">
        <f t="shared" si="14"/>
        <v>1</v>
      </c>
      <c r="R9" s="7"/>
      <c r="T9" t="s">
        <v>18</v>
      </c>
      <c r="U9" s="1">
        <f t="shared" si="15"/>
        <v>0.16935087808430274</v>
      </c>
      <c r="W9" s="6"/>
    </row>
    <row r="10" spans="1:26" x14ac:dyDescent="0.25">
      <c r="A10" s="8">
        <f t="shared" si="5"/>
        <v>398.32944316561651</v>
      </c>
      <c r="B10" s="4">
        <f t="shared" si="6"/>
        <v>318.66355453249321</v>
      </c>
      <c r="C10" s="4">
        <f t="shared" si="7"/>
        <v>286.79719907924391</v>
      </c>
      <c r="D10" s="4">
        <f t="shared" si="7"/>
        <v>258.11747917131953</v>
      </c>
      <c r="E10" s="4">
        <f t="shared" si="7"/>
        <v>232.30573125418758</v>
      </c>
      <c r="F10" s="4">
        <f t="shared" si="7"/>
        <v>209.07515812876883</v>
      </c>
      <c r="G10" s="4">
        <f t="shared" si="7"/>
        <v>188.16764231589195</v>
      </c>
      <c r="H10" s="4">
        <f t="shared" si="7"/>
        <v>169.35087808430276</v>
      </c>
      <c r="I10" s="4">
        <f t="shared" si="8"/>
        <v>152.4157902758725</v>
      </c>
      <c r="J10" s="4">
        <f t="shared" si="9"/>
        <v>137.17421124828525</v>
      </c>
      <c r="K10" s="4">
        <f t="shared" si="10"/>
        <v>123.45679012345673</v>
      </c>
      <c r="L10" s="4">
        <f t="shared" si="11"/>
        <v>111.11111111111106</v>
      </c>
      <c r="M10" s="8">
        <f t="shared" si="12"/>
        <v>1000</v>
      </c>
      <c r="N10" s="5">
        <f t="shared" si="13"/>
        <v>3584.9649884905498</v>
      </c>
      <c r="O10" s="1">
        <f t="shared" si="14"/>
        <v>1</v>
      </c>
      <c r="R10" s="7"/>
      <c r="T10" t="s">
        <v>19</v>
      </c>
      <c r="U10" s="1">
        <f t="shared" si="15"/>
        <v>0.15241579027587246</v>
      </c>
      <c r="W10" s="6"/>
      <c r="Y10" s="1"/>
      <c r="Z10" s="1"/>
    </row>
    <row r="11" spans="1:26" x14ac:dyDescent="0.25">
      <c r="A11" s="8">
        <f t="shared" si="5"/>
        <v>398.32944316561651</v>
      </c>
      <c r="B11" s="4">
        <f t="shared" si="6"/>
        <v>318.66355453249321</v>
      </c>
      <c r="C11" s="4">
        <f t="shared" si="7"/>
        <v>286.79719907924391</v>
      </c>
      <c r="D11" s="4">
        <f t="shared" si="7"/>
        <v>258.11747917131953</v>
      </c>
      <c r="E11" s="4">
        <f t="shared" si="7"/>
        <v>232.30573125418758</v>
      </c>
      <c r="F11" s="4">
        <f t="shared" si="7"/>
        <v>209.07515812876883</v>
      </c>
      <c r="G11" s="4">
        <f t="shared" si="7"/>
        <v>188.16764231589195</v>
      </c>
      <c r="H11" s="4">
        <f t="shared" si="7"/>
        <v>169.35087808430276</v>
      </c>
      <c r="I11" s="4">
        <f t="shared" si="8"/>
        <v>152.4157902758725</v>
      </c>
      <c r="J11" s="4">
        <f t="shared" si="9"/>
        <v>137.17421124828525</v>
      </c>
      <c r="K11" s="4">
        <f t="shared" si="10"/>
        <v>123.45679012345673</v>
      </c>
      <c r="L11" s="4">
        <f t="shared" si="11"/>
        <v>111.11111111111106</v>
      </c>
      <c r="M11" s="8">
        <f t="shared" si="12"/>
        <v>1000</v>
      </c>
      <c r="N11" s="5">
        <f t="shared" si="13"/>
        <v>3584.9649884905498</v>
      </c>
      <c r="O11" s="1">
        <f t="shared" si="14"/>
        <v>1</v>
      </c>
      <c r="T11" t="s">
        <v>29</v>
      </c>
      <c r="U11" s="1">
        <f t="shared" si="15"/>
        <v>0.13717421124828522</v>
      </c>
      <c r="W11" s="6"/>
      <c r="Z11" s="6"/>
    </row>
    <row r="12" spans="1:26" x14ac:dyDescent="0.25">
      <c r="A12" s="8">
        <f t="shared" si="5"/>
        <v>398.32944316561651</v>
      </c>
      <c r="B12" s="4">
        <f t="shared" si="6"/>
        <v>318.66355453249321</v>
      </c>
      <c r="C12" s="4">
        <f t="shared" si="7"/>
        <v>286.79719907924391</v>
      </c>
      <c r="D12" s="4">
        <f t="shared" si="7"/>
        <v>258.11747917131953</v>
      </c>
      <c r="E12" s="4">
        <f t="shared" si="7"/>
        <v>232.30573125418758</v>
      </c>
      <c r="F12" s="4">
        <f t="shared" si="7"/>
        <v>209.07515812876883</v>
      </c>
      <c r="G12" s="4">
        <f t="shared" si="7"/>
        <v>188.16764231589195</v>
      </c>
      <c r="H12" s="4">
        <f t="shared" si="7"/>
        <v>169.35087808430276</v>
      </c>
      <c r="I12" s="4">
        <f t="shared" si="8"/>
        <v>152.4157902758725</v>
      </c>
      <c r="J12" s="4">
        <f t="shared" si="9"/>
        <v>137.17421124828525</v>
      </c>
      <c r="K12" s="4">
        <f t="shared" si="10"/>
        <v>123.45679012345673</v>
      </c>
      <c r="L12" s="4">
        <f t="shared" si="11"/>
        <v>111.11111111111106</v>
      </c>
      <c r="M12" s="8">
        <f t="shared" si="12"/>
        <v>1000</v>
      </c>
      <c r="N12" s="5">
        <f t="shared" si="13"/>
        <v>3584.9649884905498</v>
      </c>
      <c r="O12" s="1">
        <f t="shared" si="14"/>
        <v>1</v>
      </c>
      <c r="T12" t="s">
        <v>30</v>
      </c>
      <c r="U12" s="1">
        <f t="shared" si="15"/>
        <v>0.1234567901234567</v>
      </c>
    </row>
    <row r="13" spans="1:26" x14ac:dyDescent="0.25">
      <c r="A13" s="8">
        <f t="shared" si="5"/>
        <v>398.32944316561651</v>
      </c>
      <c r="B13" s="4">
        <f t="shared" si="6"/>
        <v>318.66355453249321</v>
      </c>
      <c r="C13" s="4">
        <f t="shared" si="7"/>
        <v>286.79719907924391</v>
      </c>
      <c r="D13" s="4">
        <f t="shared" si="7"/>
        <v>258.11747917131953</v>
      </c>
      <c r="E13" s="4">
        <f t="shared" si="7"/>
        <v>232.30573125418758</v>
      </c>
      <c r="F13" s="4">
        <f t="shared" si="7"/>
        <v>209.07515812876883</v>
      </c>
      <c r="G13" s="4">
        <f t="shared" si="7"/>
        <v>188.16764231589195</v>
      </c>
      <c r="H13" s="4">
        <f t="shared" si="7"/>
        <v>169.35087808430276</v>
      </c>
      <c r="I13" s="4">
        <f t="shared" si="8"/>
        <v>152.4157902758725</v>
      </c>
      <c r="J13" s="4">
        <f t="shared" si="9"/>
        <v>137.17421124828525</v>
      </c>
      <c r="K13" s="4">
        <f t="shared" si="10"/>
        <v>123.45679012345673</v>
      </c>
      <c r="L13" s="4">
        <f t="shared" si="11"/>
        <v>111.11111111111106</v>
      </c>
      <c r="M13" s="8">
        <f t="shared" si="12"/>
        <v>1000</v>
      </c>
      <c r="N13" s="5">
        <f t="shared" si="13"/>
        <v>3584.9649884905498</v>
      </c>
      <c r="O13" s="1">
        <f t="shared" si="14"/>
        <v>1</v>
      </c>
      <c r="T13" t="s">
        <v>31</v>
      </c>
      <c r="U13" s="1">
        <f t="shared" si="15"/>
        <v>0.11111111111111104</v>
      </c>
    </row>
    <row r="14" spans="1:26" x14ac:dyDescent="0.25">
      <c r="A14" s="8">
        <f t="shared" ref="A14:A17" si="16">f0*M13</f>
        <v>398.32944316561651</v>
      </c>
      <c r="B14" s="4">
        <f t="shared" ref="B14:B17" si="17">A13*s.c</f>
        <v>318.66355453249321</v>
      </c>
      <c r="C14" s="4">
        <f t="shared" ref="C14:C17" si="18">B13*s.j</f>
        <v>286.79719907924391</v>
      </c>
      <c r="D14" s="4">
        <f t="shared" ref="D14:D17" si="19">C13*s.j</f>
        <v>258.11747917131953</v>
      </c>
      <c r="E14" s="4">
        <f t="shared" ref="E14:E17" si="20">D13*s.j</f>
        <v>232.30573125418758</v>
      </c>
      <c r="F14" s="4">
        <f t="shared" ref="F14:F17" si="21">E13*s.j</f>
        <v>209.07515812876883</v>
      </c>
      <c r="G14" s="4">
        <f t="shared" ref="G14:G17" si="22">F13*s.j</f>
        <v>188.16764231589195</v>
      </c>
      <c r="H14" s="4">
        <f t="shared" ref="H14:H17" si="23">G13*s.j</f>
        <v>169.35087808430276</v>
      </c>
      <c r="I14" s="4">
        <f t="shared" ref="I14:I17" si="24">H13*s.j</f>
        <v>152.4157902758725</v>
      </c>
      <c r="J14" s="4">
        <f t="shared" ref="J14:J17" si="25">I13*s.j</f>
        <v>137.17421124828525</v>
      </c>
      <c r="K14" s="4">
        <f t="shared" ref="K14:K17" si="26">J13*s.j</f>
        <v>123.45679012345673</v>
      </c>
      <c r="L14" s="4">
        <f t="shared" ref="L14:L17" si="27">K13*s.j</f>
        <v>111.11111111111106</v>
      </c>
      <c r="M14" s="8">
        <f t="shared" si="12"/>
        <v>1000</v>
      </c>
      <c r="N14" s="5">
        <f t="shared" ref="N14:N17" si="28">SUM(A14:M14)</f>
        <v>3584.9649884905498</v>
      </c>
      <c r="O14" s="1">
        <f t="shared" si="14"/>
        <v>1</v>
      </c>
      <c r="T14" t="s">
        <v>11</v>
      </c>
      <c r="U14" s="1">
        <f>(f0*s.c*s.j^11 + s.a)</f>
        <v>1</v>
      </c>
    </row>
    <row r="15" spans="1:26" x14ac:dyDescent="0.25">
      <c r="A15" s="8">
        <f t="shared" si="16"/>
        <v>398.32944316561651</v>
      </c>
      <c r="B15" s="4">
        <f t="shared" si="17"/>
        <v>318.66355453249321</v>
      </c>
      <c r="C15" s="4">
        <f t="shared" si="18"/>
        <v>286.79719907924391</v>
      </c>
      <c r="D15" s="4">
        <f t="shared" si="19"/>
        <v>258.11747917131953</v>
      </c>
      <c r="E15" s="4">
        <f t="shared" si="20"/>
        <v>232.30573125418758</v>
      </c>
      <c r="F15" s="4">
        <f t="shared" si="21"/>
        <v>209.07515812876883</v>
      </c>
      <c r="G15" s="4">
        <f t="shared" si="22"/>
        <v>188.16764231589195</v>
      </c>
      <c r="H15" s="4">
        <f t="shared" si="23"/>
        <v>169.35087808430276</v>
      </c>
      <c r="I15" s="4">
        <f t="shared" si="24"/>
        <v>152.4157902758725</v>
      </c>
      <c r="J15" s="4">
        <f t="shared" si="25"/>
        <v>137.17421124828525</v>
      </c>
      <c r="K15" s="4">
        <f t="shared" si="26"/>
        <v>123.45679012345673</v>
      </c>
      <c r="L15" s="4">
        <f t="shared" si="27"/>
        <v>111.11111111111106</v>
      </c>
      <c r="M15" s="8">
        <f t="shared" si="12"/>
        <v>1000</v>
      </c>
      <c r="N15" s="5">
        <f t="shared" si="28"/>
        <v>3584.9649884905498</v>
      </c>
      <c r="O15" s="1">
        <f t="shared" si="14"/>
        <v>1</v>
      </c>
    </row>
    <row r="16" spans="1:26" x14ac:dyDescent="0.25">
      <c r="A16" s="8">
        <f t="shared" si="16"/>
        <v>398.32944316561651</v>
      </c>
      <c r="B16" s="4">
        <f t="shared" si="17"/>
        <v>318.66355453249321</v>
      </c>
      <c r="C16" s="4">
        <f t="shared" si="18"/>
        <v>286.79719907924391</v>
      </c>
      <c r="D16" s="4">
        <f t="shared" si="19"/>
        <v>258.11747917131953</v>
      </c>
      <c r="E16" s="4">
        <f t="shared" si="20"/>
        <v>232.30573125418758</v>
      </c>
      <c r="F16" s="4">
        <f t="shared" si="21"/>
        <v>209.07515812876883</v>
      </c>
      <c r="G16" s="4">
        <f t="shared" si="22"/>
        <v>188.16764231589195</v>
      </c>
      <c r="H16" s="4">
        <f t="shared" si="23"/>
        <v>169.35087808430276</v>
      </c>
      <c r="I16" s="4">
        <f t="shared" si="24"/>
        <v>152.4157902758725</v>
      </c>
      <c r="J16" s="4">
        <f t="shared" si="25"/>
        <v>137.17421124828525</v>
      </c>
      <c r="K16" s="4">
        <f t="shared" si="26"/>
        <v>123.45679012345673</v>
      </c>
      <c r="L16" s="4">
        <f t="shared" si="27"/>
        <v>111.11111111111106</v>
      </c>
      <c r="M16" s="8">
        <f t="shared" si="12"/>
        <v>1000</v>
      </c>
      <c r="N16" s="5">
        <f t="shared" si="28"/>
        <v>3584.9649884905498</v>
      </c>
      <c r="O16" s="1">
        <f t="shared" si="14"/>
        <v>1</v>
      </c>
      <c r="Q16" s="9"/>
    </row>
    <row r="17" spans="1:28" x14ac:dyDescent="0.25">
      <c r="A17" s="8">
        <f t="shared" si="16"/>
        <v>398.32944316561651</v>
      </c>
      <c r="B17" s="4">
        <f t="shared" si="17"/>
        <v>318.66355453249321</v>
      </c>
      <c r="C17" s="4">
        <f t="shared" si="18"/>
        <v>286.79719907924391</v>
      </c>
      <c r="D17" s="4">
        <f t="shared" si="19"/>
        <v>258.11747917131953</v>
      </c>
      <c r="E17" s="4">
        <f t="shared" si="20"/>
        <v>232.30573125418758</v>
      </c>
      <c r="F17" s="4">
        <f t="shared" si="21"/>
        <v>209.07515812876883</v>
      </c>
      <c r="G17" s="4">
        <f t="shared" si="22"/>
        <v>188.16764231589195</v>
      </c>
      <c r="H17" s="4">
        <f t="shared" si="23"/>
        <v>169.35087808430276</v>
      </c>
      <c r="I17" s="4">
        <f t="shared" si="24"/>
        <v>152.4157902758725</v>
      </c>
      <c r="J17" s="4">
        <f t="shared" si="25"/>
        <v>137.17421124828525</v>
      </c>
      <c r="K17" s="4">
        <f t="shared" si="26"/>
        <v>123.45679012345673</v>
      </c>
      <c r="L17" s="4">
        <f t="shared" si="27"/>
        <v>111.11111111111106</v>
      </c>
      <c r="M17" s="8">
        <f t="shared" si="12"/>
        <v>1000</v>
      </c>
      <c r="N17" s="5">
        <f t="shared" si="28"/>
        <v>3584.9649884905498</v>
      </c>
      <c r="O17" s="1">
        <f t="shared" si="14"/>
        <v>1</v>
      </c>
    </row>
    <row r="18" spans="1:28" x14ac:dyDescent="0.25">
      <c r="A18" s="8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8"/>
      <c r="N18" s="5"/>
    </row>
    <row r="19" spans="1:28" x14ac:dyDescent="0.25">
      <c r="A19" s="8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8"/>
      <c r="N19" s="5"/>
      <c r="Q19" s="3"/>
      <c r="R19" s="3"/>
      <c r="S19" s="3"/>
      <c r="X19" s="3"/>
      <c r="Y19" s="3"/>
      <c r="Z19" s="3"/>
      <c r="AA19" s="3"/>
      <c r="AB19" s="3"/>
    </row>
    <row r="20" spans="1:28" x14ac:dyDescent="0.25">
      <c r="A20" s="8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8"/>
      <c r="N20" s="5"/>
      <c r="Q20" s="3"/>
      <c r="R20" s="3"/>
      <c r="S20" s="3"/>
      <c r="X20" s="3"/>
      <c r="Y20" s="3"/>
      <c r="Z20" s="3"/>
      <c r="AA20" s="3"/>
      <c r="AB20" s="3"/>
    </row>
    <row r="21" spans="1:28" x14ac:dyDescent="0.25">
      <c r="A21" s="8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8"/>
      <c r="N21" s="5"/>
      <c r="Q21" s="3"/>
      <c r="R21" s="3"/>
      <c r="S21" s="3"/>
      <c r="X21" s="3"/>
      <c r="Y21" s="3"/>
      <c r="Z21" s="3"/>
      <c r="AA21" s="3"/>
      <c r="AB21" s="3"/>
    </row>
    <row r="22" spans="1:28" x14ac:dyDescent="0.25">
      <c r="A22" s="8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8"/>
      <c r="N22" s="5"/>
    </row>
    <row r="23" spans="1:28" x14ac:dyDescent="0.25">
      <c r="A23" s="8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8"/>
      <c r="N23" s="5"/>
    </row>
    <row r="24" spans="1:28" x14ac:dyDescent="0.25">
      <c r="A24" s="8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8"/>
      <c r="N24" s="5"/>
      <c r="T24" s="3"/>
      <c r="U24" s="3"/>
    </row>
    <row r="25" spans="1:28" x14ac:dyDescent="0.25">
      <c r="A25" s="8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8"/>
      <c r="N25" s="5"/>
      <c r="V25" s="3"/>
    </row>
    <row r="26" spans="1:28" x14ac:dyDescent="0.25">
      <c r="A26" s="8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8"/>
      <c r="N26" s="5"/>
    </row>
    <row r="27" spans="1:28" x14ac:dyDescent="0.25">
      <c r="A27" s="8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8"/>
      <c r="N27" s="5"/>
    </row>
    <row r="28" spans="1:28" x14ac:dyDescent="0.25">
      <c r="A28" s="8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8"/>
      <c r="N28" s="5"/>
      <c r="T28" s="3"/>
      <c r="U28" s="3"/>
    </row>
    <row r="29" spans="1:28" x14ac:dyDescent="0.25">
      <c r="A29" s="8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8"/>
      <c r="N29" s="5"/>
      <c r="V29" s="3"/>
    </row>
    <row r="30" spans="1:28" x14ac:dyDescent="0.25">
      <c r="A30" s="8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8"/>
      <c r="N30" s="5"/>
    </row>
    <row r="31" spans="1:28" x14ac:dyDescent="0.25">
      <c r="A31" s="8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8"/>
      <c r="N31" s="5"/>
    </row>
    <row r="32" spans="1:28" x14ac:dyDescent="0.25">
      <c r="A32" s="8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8"/>
      <c r="N32" s="5"/>
      <c r="T32" s="3"/>
      <c r="U32" s="3"/>
    </row>
    <row r="33" spans="1:22" x14ac:dyDescent="0.25">
      <c r="A33" s="8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8"/>
      <c r="N33" s="5"/>
      <c r="T33" s="3"/>
      <c r="U33" s="3"/>
      <c r="V33" s="3"/>
    </row>
    <row r="34" spans="1:22" x14ac:dyDescent="0.25">
      <c r="A34" s="8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8"/>
      <c r="N34" s="5"/>
      <c r="V34" s="3"/>
    </row>
    <row r="35" spans="1:22" x14ac:dyDescent="0.25">
      <c r="A35" s="8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8"/>
      <c r="N35" s="5"/>
    </row>
    <row r="36" spans="1:22" x14ac:dyDescent="0.25">
      <c r="A36" s="8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8"/>
      <c r="N36" s="5"/>
    </row>
    <row r="37" spans="1:22" x14ac:dyDescent="0.25">
      <c r="A37" s="8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8"/>
      <c r="N37" s="5"/>
    </row>
    <row r="38" spans="1:22" x14ac:dyDescent="0.25">
      <c r="A38" s="8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8"/>
      <c r="N38" s="5"/>
    </row>
    <row r="39" spans="1:22" x14ac:dyDescent="0.25">
      <c r="A39" s="8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8"/>
      <c r="N39" s="5"/>
      <c r="T39" s="3"/>
      <c r="U39" s="3"/>
    </row>
    <row r="40" spans="1:22" x14ac:dyDescent="0.25">
      <c r="A40" s="8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8"/>
      <c r="N40" s="5"/>
      <c r="V40" s="3"/>
    </row>
    <row r="41" spans="1:22" x14ac:dyDescent="0.25">
      <c r="A41" s="8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8"/>
      <c r="N41" s="5"/>
    </row>
    <row r="42" spans="1:22" x14ac:dyDescent="0.25">
      <c r="A42" s="8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8"/>
      <c r="N42" s="5"/>
    </row>
    <row r="43" spans="1:22" x14ac:dyDescent="0.25">
      <c r="A43" s="8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8"/>
      <c r="N43" s="5"/>
    </row>
    <row r="44" spans="1:22" x14ac:dyDescent="0.25">
      <c r="A44" s="8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8"/>
      <c r="N44" s="5"/>
    </row>
    <row r="45" spans="1:22" x14ac:dyDescent="0.25">
      <c r="A45" s="8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8"/>
      <c r="N45" s="5"/>
    </row>
    <row r="46" spans="1:22" x14ac:dyDescent="0.25">
      <c r="A46" s="8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8"/>
      <c r="N46" s="5"/>
      <c r="T46" s="3"/>
      <c r="U46" s="3"/>
    </row>
    <row r="47" spans="1:22" x14ac:dyDescent="0.25">
      <c r="A47" s="8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8"/>
      <c r="N47" s="5"/>
      <c r="T47" s="3"/>
      <c r="U47" s="3"/>
      <c r="V47" s="3"/>
    </row>
    <row r="48" spans="1:22" x14ac:dyDescent="0.25">
      <c r="A48" s="8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8"/>
      <c r="N48" s="5"/>
      <c r="V48" s="3"/>
    </row>
    <row r="49" spans="1:14" x14ac:dyDescent="0.25">
      <c r="A49" s="8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8"/>
      <c r="N49" s="5"/>
    </row>
    <row r="50" spans="1:14" x14ac:dyDescent="0.25">
      <c r="A50" s="8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8"/>
      <c r="N50" s="5"/>
    </row>
    <row r="51" spans="1:14" x14ac:dyDescent="0.25">
      <c r="A51" s="8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8"/>
      <c r="N51" s="5"/>
    </row>
    <row r="52" spans="1:14" x14ac:dyDescent="0.25">
      <c r="A52" s="8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8"/>
      <c r="N52" s="5"/>
    </row>
    <row r="53" spans="1:14" x14ac:dyDescent="0.25">
      <c r="A53" s="8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8"/>
      <c r="N53" s="5"/>
    </row>
    <row r="54" spans="1:14" x14ac:dyDescent="0.25">
      <c r="A54" s="8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8"/>
      <c r="N54" s="5"/>
    </row>
    <row r="55" spans="1:14" x14ac:dyDescent="0.25">
      <c r="A55" s="8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8"/>
      <c r="N55" s="5"/>
    </row>
    <row r="56" spans="1:14" x14ac:dyDescent="0.25">
      <c r="A56" s="8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8"/>
      <c r="N56" s="5"/>
    </row>
    <row r="57" spans="1:14" x14ac:dyDescent="0.25">
      <c r="A57" s="8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8"/>
      <c r="N57" s="5"/>
    </row>
    <row r="58" spans="1:14" x14ac:dyDescent="0.25">
      <c r="A58" s="8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8"/>
      <c r="N58" s="5"/>
    </row>
    <row r="59" spans="1:14" x14ac:dyDescent="0.25">
      <c r="A59" s="8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8"/>
      <c r="N59" s="5"/>
    </row>
    <row r="60" spans="1:14" x14ac:dyDescent="0.25">
      <c r="A60" s="8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8"/>
      <c r="N60" s="5"/>
    </row>
    <row r="61" spans="1:14" x14ac:dyDescent="0.25">
      <c r="A61" s="8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8"/>
      <c r="N61" s="5"/>
    </row>
    <row r="62" spans="1:14" x14ac:dyDescent="0.25">
      <c r="A62" s="8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8"/>
      <c r="N62" s="5"/>
    </row>
    <row r="63" spans="1:14" x14ac:dyDescent="0.25">
      <c r="A63" s="8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8"/>
      <c r="N63" s="5"/>
    </row>
    <row r="64" spans="1:14" x14ac:dyDescent="0.25">
      <c r="A64" s="8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8"/>
      <c r="N64" s="5"/>
    </row>
    <row r="65" spans="1:14" x14ac:dyDescent="0.25">
      <c r="A65" s="8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8"/>
      <c r="N65" s="5"/>
    </row>
    <row r="66" spans="1:14" x14ac:dyDescent="0.25">
      <c r="A66" s="8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8"/>
      <c r="N66" s="5"/>
    </row>
    <row r="67" spans="1:14" x14ac:dyDescent="0.25">
      <c r="A67" s="8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8"/>
      <c r="N67" s="5"/>
    </row>
    <row r="68" spans="1:14" x14ac:dyDescent="0.25">
      <c r="A68" s="8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8"/>
      <c r="N68" s="5"/>
    </row>
    <row r="69" spans="1:14" x14ac:dyDescent="0.25">
      <c r="A69" s="8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8"/>
      <c r="N69" s="5"/>
    </row>
    <row r="70" spans="1:14" x14ac:dyDescent="0.25">
      <c r="A70" s="8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8"/>
      <c r="N70" s="5"/>
    </row>
    <row r="71" spans="1:14" x14ac:dyDescent="0.25">
      <c r="A71" s="8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8"/>
      <c r="N71" s="5"/>
    </row>
    <row r="72" spans="1:14" x14ac:dyDescent="0.25">
      <c r="A72" s="8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8"/>
      <c r="N72" s="5"/>
    </row>
    <row r="73" spans="1:14" x14ac:dyDescent="0.25">
      <c r="A73" s="8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8"/>
      <c r="N73" s="5"/>
    </row>
    <row r="74" spans="1:14" x14ac:dyDescent="0.25">
      <c r="A74" s="8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8"/>
      <c r="N74" s="5"/>
    </row>
    <row r="75" spans="1:14" x14ac:dyDescent="0.25">
      <c r="A75" s="8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8"/>
      <c r="N75" s="5"/>
    </row>
    <row r="76" spans="1:14" x14ac:dyDescent="0.25">
      <c r="A76" s="8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8"/>
      <c r="N76" s="5"/>
    </row>
    <row r="77" spans="1:14" x14ac:dyDescent="0.25">
      <c r="A77" s="8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8"/>
      <c r="N77" s="5"/>
    </row>
    <row r="78" spans="1:14" x14ac:dyDescent="0.25">
      <c r="A78" s="8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8"/>
      <c r="N78" s="5"/>
    </row>
    <row r="79" spans="1:14" x14ac:dyDescent="0.25">
      <c r="A79" s="8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8"/>
      <c r="N79" s="5"/>
    </row>
    <row r="80" spans="1:14" x14ac:dyDescent="0.25">
      <c r="A80" s="8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8"/>
      <c r="N80" s="5"/>
    </row>
    <row r="81" spans="1:14" x14ac:dyDescent="0.25">
      <c r="A81" s="8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8"/>
      <c r="N81" s="5"/>
    </row>
    <row r="82" spans="1:14" x14ac:dyDescent="0.25">
      <c r="A82" s="8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8"/>
      <c r="N82" s="5"/>
    </row>
    <row r="83" spans="1:14" x14ac:dyDescent="0.25">
      <c r="A83" s="8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8"/>
      <c r="N83" s="5"/>
    </row>
    <row r="84" spans="1:14" x14ac:dyDescent="0.25">
      <c r="A84" s="8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8"/>
      <c r="N84" s="5"/>
    </row>
    <row r="85" spans="1:14" x14ac:dyDescent="0.25">
      <c r="A85" s="8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8"/>
      <c r="N85" s="5"/>
    </row>
    <row r="86" spans="1:14" x14ac:dyDescent="0.25">
      <c r="A86" s="8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8"/>
      <c r="N86" s="5"/>
    </row>
    <row r="87" spans="1:14" x14ac:dyDescent="0.25">
      <c r="A87" s="8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8"/>
      <c r="N87" s="5"/>
    </row>
    <row r="88" spans="1:14" x14ac:dyDescent="0.25">
      <c r="A88" s="8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8"/>
      <c r="N88" s="5"/>
    </row>
    <row r="89" spans="1:14" x14ac:dyDescent="0.25">
      <c r="A89" s="8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8"/>
      <c r="N89" s="5"/>
    </row>
    <row r="90" spans="1:14" x14ac:dyDescent="0.25">
      <c r="A90" s="8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8"/>
      <c r="N90" s="5"/>
    </row>
    <row r="91" spans="1:14" x14ac:dyDescent="0.25">
      <c r="A91" s="8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8"/>
      <c r="N91" s="5"/>
    </row>
    <row r="92" spans="1:14" x14ac:dyDescent="0.25">
      <c r="A92" s="8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8"/>
      <c r="N92" s="5"/>
    </row>
    <row r="93" spans="1:14" x14ac:dyDescent="0.25">
      <c r="A93" s="8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8"/>
      <c r="N93" s="5"/>
    </row>
    <row r="94" spans="1:14" x14ac:dyDescent="0.25">
      <c r="A94" s="8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8"/>
      <c r="N94" s="5"/>
    </row>
    <row r="95" spans="1:14" x14ac:dyDescent="0.25">
      <c r="A95" s="8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8"/>
      <c r="N95" s="5"/>
    </row>
    <row r="96" spans="1:14" x14ac:dyDescent="0.25">
      <c r="A96" s="8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8"/>
      <c r="N96" s="5"/>
    </row>
    <row r="97" spans="1:14" x14ac:dyDescent="0.25">
      <c r="A97" s="8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8"/>
      <c r="N97" s="5"/>
    </row>
    <row r="98" spans="1:14" x14ac:dyDescent="0.25">
      <c r="A98" s="8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8"/>
      <c r="N98" s="5"/>
    </row>
    <row r="99" spans="1:14" x14ac:dyDescent="0.25">
      <c r="A99" s="8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8"/>
      <c r="N99" s="5"/>
    </row>
    <row r="100" spans="1:14" x14ac:dyDescent="0.25">
      <c r="A100" s="8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8"/>
      <c r="N100" s="5"/>
    </row>
    <row r="101" spans="1:14" x14ac:dyDescent="0.25">
      <c r="A101" s="8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8"/>
      <c r="N101" s="5"/>
    </row>
  </sheetData>
  <sortState xmlns:xlrd2="http://schemas.microsoft.com/office/spreadsheetml/2017/richdata2" ref="G19:N56">
    <sortCondition ref="N26:N56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90DEC-DCAC-42AC-9583-03780F9F910E}">
  <dimension ref="A1:H12"/>
  <sheetViews>
    <sheetView workbookViewId="0">
      <selection activeCell="G4" sqref="G4"/>
    </sheetView>
  </sheetViews>
  <sheetFormatPr defaultRowHeight="15.75" x14ac:dyDescent="0.25"/>
  <cols>
    <col min="8" max="8" width="83.625" customWidth="1"/>
  </cols>
  <sheetData>
    <row r="1" spans="1:8" x14ac:dyDescent="0.25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</row>
    <row r="2" spans="1:8" x14ac:dyDescent="0.25">
      <c r="A2">
        <v>1</v>
      </c>
      <c r="B2">
        <v>0.7</v>
      </c>
      <c r="C2">
        <v>1</v>
      </c>
      <c r="D2">
        <v>1000</v>
      </c>
      <c r="E2">
        <v>0</v>
      </c>
      <c r="F2" s="3">
        <f>E2*D2</f>
        <v>0</v>
      </c>
    </row>
    <row r="3" spans="1:8" x14ac:dyDescent="0.25">
      <c r="A3">
        <v>2</v>
      </c>
      <c r="B3">
        <v>0.7</v>
      </c>
      <c r="C3" s="1">
        <f>C2*B2</f>
        <v>0.7</v>
      </c>
      <c r="D3" s="3">
        <f>D2*B2</f>
        <v>700</v>
      </c>
      <c r="E3">
        <v>0</v>
      </c>
      <c r="F3" s="3">
        <f t="shared" ref="F3:F11" si="0">E3*D3</f>
        <v>0</v>
      </c>
    </row>
    <row r="4" spans="1:8" x14ac:dyDescent="0.25">
      <c r="A4">
        <v>3</v>
      </c>
      <c r="B4">
        <v>0.7</v>
      </c>
      <c r="C4" s="1">
        <f t="shared" ref="C4:C11" si="1">C3*B3</f>
        <v>0.48999999999999994</v>
      </c>
      <c r="D4" s="3">
        <f>D3*B3</f>
        <v>489.99999999999994</v>
      </c>
      <c r="E4">
        <v>1</v>
      </c>
      <c r="F4" s="3">
        <f t="shared" si="0"/>
        <v>489.99999999999994</v>
      </c>
      <c r="G4">
        <f>E4/F$12</f>
        <v>6.4969873726184184E-4</v>
      </c>
    </row>
    <row r="5" spans="1:8" x14ac:dyDescent="0.25">
      <c r="A5">
        <v>4</v>
      </c>
      <c r="B5">
        <v>0.7</v>
      </c>
      <c r="C5" s="1">
        <f t="shared" si="1"/>
        <v>0.34299999999999992</v>
      </c>
      <c r="D5" s="3">
        <f t="shared" ref="D5:D11" si="2">D4*B4</f>
        <v>342.99999999999994</v>
      </c>
      <c r="E5">
        <v>1</v>
      </c>
      <c r="F5" s="3">
        <f t="shared" si="0"/>
        <v>342.99999999999994</v>
      </c>
      <c r="G5">
        <f t="shared" ref="G5:G11" si="3">E5/F$12</f>
        <v>6.4969873726184184E-4</v>
      </c>
    </row>
    <row r="6" spans="1:8" x14ac:dyDescent="0.25">
      <c r="A6">
        <v>5</v>
      </c>
      <c r="B6">
        <v>0.7</v>
      </c>
      <c r="C6" s="1">
        <f t="shared" si="1"/>
        <v>0.24009999999999992</v>
      </c>
      <c r="D6" s="3">
        <f t="shared" si="2"/>
        <v>240.09999999999994</v>
      </c>
      <c r="E6">
        <v>1</v>
      </c>
      <c r="F6" s="3">
        <f t="shared" si="0"/>
        <v>240.09999999999994</v>
      </c>
      <c r="G6">
        <f t="shared" si="3"/>
        <v>6.4969873726184184E-4</v>
      </c>
    </row>
    <row r="7" spans="1:8" x14ac:dyDescent="0.25">
      <c r="A7">
        <v>6</v>
      </c>
      <c r="B7">
        <v>0.7</v>
      </c>
      <c r="C7" s="1">
        <f t="shared" si="1"/>
        <v>0.16806999999999994</v>
      </c>
      <c r="D7" s="3">
        <f t="shared" si="2"/>
        <v>168.06999999999994</v>
      </c>
      <c r="E7">
        <v>1</v>
      </c>
      <c r="F7" s="3">
        <f t="shared" si="0"/>
        <v>168.06999999999994</v>
      </c>
      <c r="G7">
        <f t="shared" si="3"/>
        <v>6.4969873726184184E-4</v>
      </c>
    </row>
    <row r="8" spans="1:8" x14ac:dyDescent="0.25">
      <c r="A8">
        <v>7</v>
      </c>
      <c r="B8">
        <v>0.7</v>
      </c>
      <c r="C8" s="1">
        <f t="shared" si="1"/>
        <v>0.11764899999999995</v>
      </c>
      <c r="D8" s="3">
        <f t="shared" si="2"/>
        <v>117.64899999999994</v>
      </c>
      <c r="E8">
        <v>1</v>
      </c>
      <c r="F8" s="3">
        <f t="shared" si="0"/>
        <v>117.64899999999994</v>
      </c>
      <c r="G8">
        <f t="shared" si="3"/>
        <v>6.4969873726184184E-4</v>
      </c>
    </row>
    <row r="9" spans="1:8" x14ac:dyDescent="0.25">
      <c r="A9">
        <v>8</v>
      </c>
      <c r="B9">
        <v>0.7</v>
      </c>
      <c r="C9" s="1">
        <f t="shared" si="1"/>
        <v>8.2354299999999964E-2</v>
      </c>
      <c r="D9" s="3">
        <f t="shared" si="2"/>
        <v>82.354299999999952</v>
      </c>
      <c r="E9">
        <v>1</v>
      </c>
      <c r="F9" s="3">
        <f t="shared" si="0"/>
        <v>82.354299999999952</v>
      </c>
      <c r="G9">
        <f t="shared" si="3"/>
        <v>6.4969873726184184E-4</v>
      </c>
    </row>
    <row r="10" spans="1:8" x14ac:dyDescent="0.25">
      <c r="A10">
        <v>9</v>
      </c>
      <c r="B10">
        <v>0.7</v>
      </c>
      <c r="C10" s="1">
        <f t="shared" si="1"/>
        <v>5.7648009999999972E-2</v>
      </c>
      <c r="D10" s="3">
        <f t="shared" si="2"/>
        <v>57.648009999999964</v>
      </c>
      <c r="E10">
        <v>1</v>
      </c>
      <c r="F10" s="3">
        <f t="shared" si="0"/>
        <v>57.648009999999964</v>
      </c>
      <c r="G10">
        <f t="shared" si="3"/>
        <v>6.4969873726184184E-4</v>
      </c>
    </row>
    <row r="11" spans="1:8" x14ac:dyDescent="0.25">
      <c r="A11">
        <v>10</v>
      </c>
      <c r="B11">
        <v>0</v>
      </c>
      <c r="C11" s="1">
        <f t="shared" si="1"/>
        <v>4.0353606999999979E-2</v>
      </c>
      <c r="D11" s="3">
        <f t="shared" si="2"/>
        <v>40.353606999999975</v>
      </c>
      <c r="E11">
        <v>1</v>
      </c>
      <c r="F11" s="3">
        <f t="shared" si="0"/>
        <v>40.353606999999975</v>
      </c>
      <c r="G11">
        <f t="shared" si="3"/>
        <v>6.4969873726184184E-4</v>
      </c>
    </row>
    <row r="12" spans="1:8" ht="31.5" x14ac:dyDescent="0.25">
      <c r="D12" s="3">
        <f>SUM(D2:D11)</f>
        <v>3239.1749169999998</v>
      </c>
      <c r="F12" s="3">
        <f>SUM(F4:F11)</f>
        <v>1539.1749169999996</v>
      </c>
      <c r="H12" s="10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1C922-7396-401E-9E28-CC3C884EF152}">
  <dimension ref="A1:L23"/>
  <sheetViews>
    <sheetView topLeftCell="A6" workbookViewId="0">
      <selection activeCell="F23" sqref="F23"/>
    </sheetView>
  </sheetViews>
  <sheetFormatPr defaultRowHeight="15.75" x14ac:dyDescent="0.25"/>
  <cols>
    <col min="1" max="1" width="13.125" bestFit="1" customWidth="1"/>
    <col min="2" max="2" width="9.875" bestFit="1" customWidth="1"/>
    <col min="5" max="6" width="15.75" bestFit="1" customWidth="1"/>
    <col min="7" max="7" width="20.25" bestFit="1" customWidth="1"/>
    <col min="8" max="8" width="10.625" bestFit="1" customWidth="1"/>
    <col min="9" max="9" width="21.625" bestFit="1" customWidth="1"/>
    <col min="10" max="10" width="17.5" bestFit="1" customWidth="1"/>
  </cols>
  <sheetData>
    <row r="1" spans="1:12" x14ac:dyDescent="0.25">
      <c r="A1" t="s">
        <v>41</v>
      </c>
      <c r="B1" t="s">
        <v>42</v>
      </c>
      <c r="C1" t="s">
        <v>43</v>
      </c>
    </row>
    <row r="2" spans="1:12" x14ac:dyDescent="0.25">
      <c r="A2" t="s">
        <v>44</v>
      </c>
      <c r="B2">
        <v>2000</v>
      </c>
      <c r="C2">
        <v>2000</v>
      </c>
    </row>
    <row r="3" spans="1:12" x14ac:dyDescent="0.25">
      <c r="A3" t="s">
        <v>45</v>
      </c>
      <c r="B3" t="s">
        <v>62</v>
      </c>
      <c r="C3" t="s">
        <v>64</v>
      </c>
      <c r="G3" t="s">
        <v>81</v>
      </c>
      <c r="H3" t="s">
        <v>82</v>
      </c>
    </row>
    <row r="4" spans="1:12" x14ac:dyDescent="0.25">
      <c r="A4" t="s">
        <v>46</v>
      </c>
      <c r="B4" t="s">
        <v>63</v>
      </c>
      <c r="C4" t="s">
        <v>63</v>
      </c>
      <c r="G4" s="11">
        <f>H11/B$7</f>
        <v>25.990903183885639</v>
      </c>
      <c r="H4" s="11">
        <f>G4*2</f>
        <v>51.981806367771277</v>
      </c>
    </row>
    <row r="5" spans="1:12" x14ac:dyDescent="0.25">
      <c r="A5" t="s">
        <v>47</v>
      </c>
      <c r="B5">
        <v>1</v>
      </c>
      <c r="C5">
        <v>1</v>
      </c>
      <c r="G5" s="11">
        <f>H12/B$7</f>
        <v>19.49317738791423</v>
      </c>
      <c r="H5" s="11">
        <f t="shared" ref="H5:H7" si="0">G5*2</f>
        <v>38.98635477582846</v>
      </c>
    </row>
    <row r="6" spans="1:12" x14ac:dyDescent="0.25">
      <c r="A6" t="s">
        <v>67</v>
      </c>
      <c r="B6">
        <v>3078</v>
      </c>
      <c r="C6">
        <v>3078</v>
      </c>
      <c r="F6" s="12" t="s">
        <v>80</v>
      </c>
      <c r="G6" s="11">
        <f>H13/B$7</f>
        <v>12.995451591942819</v>
      </c>
      <c r="H6" s="11">
        <f t="shared" si="0"/>
        <v>25.990903183885639</v>
      </c>
    </row>
    <row r="7" spans="1:12" x14ac:dyDescent="0.25">
      <c r="A7" t="s">
        <v>66</v>
      </c>
      <c r="B7">
        <f>B6/2</f>
        <v>1539</v>
      </c>
      <c r="C7">
        <f>C6/2</f>
        <v>1539</v>
      </c>
      <c r="G7" s="11">
        <f>H14/B$7</f>
        <v>6.4977257959714096</v>
      </c>
      <c r="H7" s="11">
        <f t="shared" si="0"/>
        <v>12.995451591942819</v>
      </c>
    </row>
    <row r="8" spans="1:12" x14ac:dyDescent="0.25">
      <c r="A8" t="s">
        <v>48</v>
      </c>
      <c r="B8">
        <v>300</v>
      </c>
      <c r="C8">
        <v>300</v>
      </c>
      <c r="G8" s="11">
        <f>SUM(G4:G7)</f>
        <v>64.977257959714095</v>
      </c>
      <c r="H8" s="11">
        <f>SUM(H4:H7)</f>
        <v>129.95451591942819</v>
      </c>
    </row>
    <row r="9" spans="1:12" x14ac:dyDescent="0.25">
      <c r="A9" t="s">
        <v>49</v>
      </c>
      <c r="B9">
        <v>300</v>
      </c>
      <c r="C9">
        <v>300</v>
      </c>
      <c r="F9" s="12" t="s">
        <v>79</v>
      </c>
    </row>
    <row r="10" spans="1:12" x14ac:dyDescent="0.25">
      <c r="A10" t="s">
        <v>68</v>
      </c>
      <c r="B10">
        <f>B8*B9</f>
        <v>90000</v>
      </c>
      <c r="C10">
        <f>C8*C9</f>
        <v>90000</v>
      </c>
      <c r="F10" t="s">
        <v>76</v>
      </c>
      <c r="G10" t="s">
        <v>70</v>
      </c>
      <c r="H10" t="s">
        <v>69</v>
      </c>
      <c r="I10" t="s">
        <v>75</v>
      </c>
      <c r="J10" t="s">
        <v>71</v>
      </c>
      <c r="K10" t="s">
        <v>72</v>
      </c>
      <c r="L10" t="s">
        <v>78</v>
      </c>
    </row>
    <row r="11" spans="1:12" x14ac:dyDescent="0.25">
      <c r="A11" t="s">
        <v>50</v>
      </c>
      <c r="B11" s="11">
        <f>(B8*B9)/B7</f>
        <v>58.479532163742689</v>
      </c>
      <c r="C11" s="11">
        <f>(C8*C9)/C7</f>
        <v>58.479532163742689</v>
      </c>
      <c r="F11">
        <v>1</v>
      </c>
      <c r="G11">
        <v>4</v>
      </c>
      <c r="H11">
        <f>(B$16^2)*G11</f>
        <v>40000</v>
      </c>
      <c r="I11">
        <v>0.68200000000000005</v>
      </c>
      <c r="J11" s="11">
        <f>(H11*I11)/B$7</f>
        <v>17.725795971410008</v>
      </c>
      <c r="K11" s="11">
        <f>J11*2</f>
        <v>35.451591942820016</v>
      </c>
      <c r="L11">
        <v>34.799999999999997</v>
      </c>
    </row>
    <row r="12" spans="1:12" x14ac:dyDescent="0.25">
      <c r="A12" t="s">
        <v>65</v>
      </c>
      <c r="B12" s="11">
        <v>59.2</v>
      </c>
      <c r="C12" s="11">
        <v>58.9</v>
      </c>
      <c r="F12">
        <v>2</v>
      </c>
      <c r="G12">
        <v>3</v>
      </c>
      <c r="H12">
        <f t="shared" ref="H12:H14" si="1">(B$16^2)*G12</f>
        <v>30000</v>
      </c>
      <c r="I12">
        <v>0.45900000000000002</v>
      </c>
      <c r="J12" s="11">
        <f>(H12*I12)/B$7</f>
        <v>8.9473684210526319</v>
      </c>
      <c r="K12" s="11">
        <f t="shared" ref="K12:K14" si="2">J12*2</f>
        <v>17.894736842105264</v>
      </c>
      <c r="L12">
        <v>17.399999999999999</v>
      </c>
    </row>
    <row r="13" spans="1:12" x14ac:dyDescent="0.25">
      <c r="A13" t="s">
        <v>51</v>
      </c>
      <c r="B13">
        <v>1</v>
      </c>
      <c r="C13">
        <v>1</v>
      </c>
      <c r="F13">
        <v>3</v>
      </c>
      <c r="G13">
        <v>2</v>
      </c>
      <c r="H13">
        <f t="shared" si="1"/>
        <v>20000</v>
      </c>
      <c r="I13">
        <v>0.30299999999999999</v>
      </c>
      <c r="J13" s="11">
        <f>(H13*I13)/B$7</f>
        <v>3.9376218323586745</v>
      </c>
      <c r="K13" s="11">
        <f t="shared" si="2"/>
        <v>7.8752436647173489</v>
      </c>
      <c r="L13">
        <v>8.6</v>
      </c>
    </row>
    <row r="14" spans="1:12" x14ac:dyDescent="0.25">
      <c r="A14" t="s">
        <v>52</v>
      </c>
      <c r="B14">
        <f>(B10/B11)*2</f>
        <v>3078</v>
      </c>
      <c r="F14">
        <v>4</v>
      </c>
      <c r="G14">
        <v>1</v>
      </c>
      <c r="H14">
        <f t="shared" si="1"/>
        <v>10000</v>
      </c>
      <c r="I14">
        <v>0.19400000000000001</v>
      </c>
      <c r="J14" s="11">
        <f>(H14*I14)/B$7</f>
        <v>1.2605588044184535</v>
      </c>
      <c r="K14" s="11">
        <f t="shared" si="2"/>
        <v>2.5211176088369069</v>
      </c>
      <c r="L14">
        <v>3</v>
      </c>
    </row>
    <row r="15" spans="1:12" x14ac:dyDescent="0.25">
      <c r="A15" t="s">
        <v>53</v>
      </c>
      <c r="B15">
        <f>(B10*B13/B11)*2</f>
        <v>3078</v>
      </c>
      <c r="G15" s="12" t="s">
        <v>73</v>
      </c>
      <c r="H15">
        <f>SUM(H11:H14)</f>
        <v>100000</v>
      </c>
      <c r="J15" s="11">
        <f>SUM(J11:J14)</f>
        <v>31.871345029239766</v>
      </c>
      <c r="K15" s="11">
        <f>SUM(K11:K14)</f>
        <v>63.742690058479532</v>
      </c>
      <c r="L15" s="11">
        <f>SUM(L11:L14)</f>
        <v>63.8</v>
      </c>
    </row>
    <row r="16" spans="1:12" x14ac:dyDescent="0.25">
      <c r="A16" t="s">
        <v>54</v>
      </c>
      <c r="B16">
        <v>100</v>
      </c>
      <c r="C16">
        <v>100</v>
      </c>
    </row>
    <row r="17" spans="1:6" x14ac:dyDescent="0.25">
      <c r="A17" t="s">
        <v>55</v>
      </c>
      <c r="B17" s="11">
        <f>(F23*2*H15)/B7</f>
        <v>63.742690058479539</v>
      </c>
    </row>
    <row r="18" spans="1:6" x14ac:dyDescent="0.25">
      <c r="A18" t="s">
        <v>56</v>
      </c>
      <c r="B18">
        <v>63.8</v>
      </c>
      <c r="F18" s="12" t="s">
        <v>77</v>
      </c>
    </row>
    <row r="19" spans="1:6" x14ac:dyDescent="0.25">
      <c r="A19" t="s">
        <v>57</v>
      </c>
      <c r="B19">
        <v>0.49049999999999999</v>
      </c>
      <c r="F19">
        <f>(G11*I11)/SUM(F$11:F$14)</f>
        <v>0.27280000000000004</v>
      </c>
    </row>
    <row r="20" spans="1:6" x14ac:dyDescent="0.25">
      <c r="A20" t="s">
        <v>58</v>
      </c>
      <c r="B20" t="s">
        <v>83</v>
      </c>
      <c r="F20">
        <f>(G12*I12)/SUM(F$11:F$14)</f>
        <v>0.13769999999999999</v>
      </c>
    </row>
    <row r="21" spans="1:6" x14ac:dyDescent="0.25">
      <c r="A21" t="s">
        <v>59</v>
      </c>
      <c r="B21" t="s">
        <v>83</v>
      </c>
      <c r="F21">
        <f>(G13*I13)/SUM(F$11:F$14)</f>
        <v>6.0600000000000001E-2</v>
      </c>
    </row>
    <row r="22" spans="1:6" x14ac:dyDescent="0.25">
      <c r="A22" t="s">
        <v>61</v>
      </c>
      <c r="F22">
        <f>(G14*I14)/SUM(F$11:F$14)</f>
        <v>1.9400000000000001E-2</v>
      </c>
    </row>
    <row r="23" spans="1:6" x14ac:dyDescent="0.25">
      <c r="A23" t="s">
        <v>60</v>
      </c>
      <c r="E23" s="12" t="s">
        <v>74</v>
      </c>
      <c r="F23">
        <f>SUM(F19:F22)</f>
        <v>0.49050000000000005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2B714-559D-46DF-A220-1053AAD9EC01}">
  <dimension ref="A1:J11"/>
  <sheetViews>
    <sheetView workbookViewId="0">
      <selection activeCell="E9" sqref="E9"/>
    </sheetView>
  </sheetViews>
  <sheetFormatPr defaultRowHeight="15.75" x14ac:dyDescent="0.25"/>
  <cols>
    <col min="6" max="6" width="10.375" bestFit="1" customWidth="1"/>
    <col min="10" max="10" width="26.5" customWidth="1"/>
  </cols>
  <sheetData>
    <row r="1" spans="1:10" x14ac:dyDescent="0.25">
      <c r="F1" s="15" t="s">
        <v>85</v>
      </c>
      <c r="G1" s="15"/>
      <c r="H1" s="15"/>
      <c r="I1" s="15"/>
    </row>
    <row r="2" spans="1:10" x14ac:dyDescent="0.25">
      <c r="A2" t="s">
        <v>84</v>
      </c>
      <c r="B2" t="s">
        <v>36</v>
      </c>
      <c r="C2" t="s">
        <v>37</v>
      </c>
      <c r="D2" t="s">
        <v>38</v>
      </c>
      <c r="E2" t="s">
        <v>39</v>
      </c>
      <c r="F2">
        <v>1</v>
      </c>
      <c r="G2">
        <v>2</v>
      </c>
      <c r="H2">
        <v>3</v>
      </c>
      <c r="I2">
        <v>4</v>
      </c>
      <c r="J2" t="s">
        <v>86</v>
      </c>
    </row>
    <row r="3" spans="1:10" x14ac:dyDescent="0.25">
      <c r="A3">
        <v>3</v>
      </c>
      <c r="B3">
        <v>490</v>
      </c>
      <c r="C3">
        <v>3</v>
      </c>
      <c r="D3">
        <f>C3*B3</f>
        <v>1470</v>
      </c>
      <c r="E3" s="14">
        <f>C3/D$11</f>
        <v>4.0246847330292459E-4</v>
      </c>
      <c r="F3" s="14">
        <f>E4*0.7</f>
        <v>3.7563724174939628E-4</v>
      </c>
      <c r="G3" s="14">
        <f>E5*0.7*0.7</f>
        <v>3.2868258653072173E-4</v>
      </c>
      <c r="H3" s="14">
        <f>E6*(0.7^3)</f>
        <v>2.7609337268580619E-4</v>
      </c>
      <c r="I3" s="14">
        <f>E7*(0.7^4)</f>
        <v>2.2547625436007506E-4</v>
      </c>
      <c r="J3" s="13">
        <f>E3*F3*B3</f>
        <v>7.4079252129274551E-5</v>
      </c>
    </row>
    <row r="4" spans="1:10" x14ac:dyDescent="0.25">
      <c r="A4">
        <v>4</v>
      </c>
      <c r="B4">
        <v>343</v>
      </c>
      <c r="C4">
        <v>4</v>
      </c>
      <c r="D4">
        <f t="shared" ref="D4:D10" si="0">C4*B4</f>
        <v>1372</v>
      </c>
      <c r="E4" s="14">
        <f t="shared" ref="E4:E10" si="1">C4/D$11</f>
        <v>5.3662463107056611E-4</v>
      </c>
      <c r="F4" s="14">
        <f t="shared" ref="F4:F10" si="2">E5*0.7</f>
        <v>4.6954655218674538E-4</v>
      </c>
      <c r="G4" s="14">
        <f t="shared" ref="G4:G10" si="3">E6*0.7*0.7</f>
        <v>3.9441910383686605E-4</v>
      </c>
      <c r="H4" s="14">
        <f t="shared" ref="H4:H10" si="4">E7*(0.7^3)</f>
        <v>3.2210893480010726E-4</v>
      </c>
      <c r="I4" s="14">
        <f t="shared" ref="I4:I10" si="5">E8*(0.7^4)</f>
        <v>2.5768714784008576E-4</v>
      </c>
      <c r="J4" s="13">
        <f t="shared" ref="J4:J10" si="6">E4*F4*B4</f>
        <v>8.6425794150820314E-5</v>
      </c>
    </row>
    <row r="5" spans="1:10" x14ac:dyDescent="0.25">
      <c r="A5">
        <v>5</v>
      </c>
      <c r="B5">
        <v>240</v>
      </c>
      <c r="C5">
        <v>5</v>
      </c>
      <c r="D5">
        <f t="shared" si="0"/>
        <v>1200</v>
      </c>
      <c r="E5" s="14">
        <f t="shared" si="1"/>
        <v>6.707807888382077E-4</v>
      </c>
      <c r="F5" s="14">
        <f t="shared" si="2"/>
        <v>5.6345586262409437E-4</v>
      </c>
      <c r="G5" s="14">
        <f t="shared" si="3"/>
        <v>4.6015562114301041E-4</v>
      </c>
      <c r="H5" s="14">
        <f t="shared" si="4"/>
        <v>3.6812449691440828E-4</v>
      </c>
      <c r="I5" s="14">
        <f t="shared" si="5"/>
        <v>2.8989804132009645E-4</v>
      </c>
      <c r="J5" s="13">
        <f t="shared" si="6"/>
        <v>9.0709288321560666E-5</v>
      </c>
    </row>
    <row r="6" spans="1:10" x14ac:dyDescent="0.25">
      <c r="A6">
        <v>6</v>
      </c>
      <c r="B6">
        <v>168</v>
      </c>
      <c r="C6">
        <v>6</v>
      </c>
      <c r="D6">
        <f t="shared" si="0"/>
        <v>1008</v>
      </c>
      <c r="E6" s="14">
        <f t="shared" si="1"/>
        <v>8.0493694660584917E-4</v>
      </c>
      <c r="F6" s="14">
        <f t="shared" si="2"/>
        <v>6.5736517306144346E-4</v>
      </c>
      <c r="G6" s="14">
        <f t="shared" si="3"/>
        <v>5.2589213844915473E-4</v>
      </c>
      <c r="H6" s="14">
        <f t="shared" si="4"/>
        <v>4.1414005902870929E-4</v>
      </c>
      <c r="I6" s="14">
        <f t="shared" si="5"/>
        <v>3.2210893480010721E-4</v>
      </c>
      <c r="J6" s="13">
        <f t="shared" si="6"/>
        <v>8.8895102555129463E-5</v>
      </c>
    </row>
    <row r="7" spans="1:10" x14ac:dyDescent="0.25">
      <c r="A7">
        <v>7</v>
      </c>
      <c r="B7">
        <v>118</v>
      </c>
      <c r="C7">
        <v>7</v>
      </c>
      <c r="D7">
        <f t="shared" si="0"/>
        <v>826</v>
      </c>
      <c r="E7" s="14">
        <f t="shared" si="1"/>
        <v>9.3909310437349076E-4</v>
      </c>
      <c r="F7" s="14">
        <f t="shared" si="2"/>
        <v>7.5127448349879256E-4</v>
      </c>
      <c r="G7" s="14">
        <f t="shared" si="3"/>
        <v>5.916286557552991E-4</v>
      </c>
      <c r="H7" s="14">
        <f t="shared" si="4"/>
        <v>4.6015562114301036E-4</v>
      </c>
      <c r="I7" s="14">
        <f t="shared" si="5"/>
        <v>0</v>
      </c>
      <c r="J7" s="13">
        <f t="shared" si="6"/>
        <v>8.3250969059565696E-5</v>
      </c>
    </row>
    <row r="8" spans="1:10" x14ac:dyDescent="0.25">
      <c r="A8">
        <v>8</v>
      </c>
      <c r="B8">
        <v>82</v>
      </c>
      <c r="C8">
        <v>8</v>
      </c>
      <c r="D8">
        <f t="shared" si="0"/>
        <v>656</v>
      </c>
      <c r="E8" s="14">
        <f t="shared" si="1"/>
        <v>1.0732492621411322E-3</v>
      </c>
      <c r="F8" s="14">
        <f t="shared" si="2"/>
        <v>8.4518379393614155E-4</v>
      </c>
      <c r="G8" s="14">
        <f t="shared" si="3"/>
        <v>6.5736517306144346E-4</v>
      </c>
      <c r="H8" s="14">
        <f t="shared" si="4"/>
        <v>0</v>
      </c>
      <c r="I8" s="14">
        <f t="shared" si="5"/>
        <v>0</v>
      </c>
      <c r="J8" s="13">
        <f t="shared" si="6"/>
        <v>7.4381616423679751E-5</v>
      </c>
    </row>
    <row r="9" spans="1:10" x14ac:dyDescent="0.25">
      <c r="A9">
        <v>9</v>
      </c>
      <c r="B9">
        <v>58</v>
      </c>
      <c r="C9">
        <v>9</v>
      </c>
      <c r="D9">
        <f t="shared" si="0"/>
        <v>522</v>
      </c>
      <c r="E9" s="14">
        <f t="shared" si="1"/>
        <v>1.2074054199087737E-3</v>
      </c>
      <c r="F9" s="14">
        <f t="shared" si="2"/>
        <v>9.3909310437349076E-4</v>
      </c>
      <c r="G9" s="14">
        <f t="shared" si="3"/>
        <v>0</v>
      </c>
      <c r="H9" s="14">
        <f t="shared" si="4"/>
        <v>0</v>
      </c>
      <c r="I9" s="14">
        <f t="shared" si="5"/>
        <v>0</v>
      </c>
      <c r="J9" s="13">
        <f t="shared" si="6"/>
        <v>6.5764234033131486E-5</v>
      </c>
    </row>
    <row r="10" spans="1:10" x14ac:dyDescent="0.25">
      <c r="A10">
        <v>10</v>
      </c>
      <c r="B10">
        <v>40</v>
      </c>
      <c r="C10">
        <v>10</v>
      </c>
      <c r="D10">
        <f t="shared" si="0"/>
        <v>400</v>
      </c>
      <c r="E10" s="14">
        <f t="shared" si="1"/>
        <v>1.3415615776764154E-3</v>
      </c>
      <c r="F10" s="14">
        <f t="shared" si="2"/>
        <v>0</v>
      </c>
      <c r="G10" s="14">
        <f t="shared" si="3"/>
        <v>0</v>
      </c>
      <c r="H10" s="14">
        <f t="shared" si="4"/>
        <v>0</v>
      </c>
      <c r="I10" s="14">
        <f t="shared" si="5"/>
        <v>0</v>
      </c>
      <c r="J10" s="13">
        <f t="shared" si="6"/>
        <v>0</v>
      </c>
    </row>
    <row r="11" spans="1:10" x14ac:dyDescent="0.25">
      <c r="D11">
        <f>SUM(D3:D10)</f>
        <v>7454</v>
      </c>
    </row>
  </sheetData>
  <mergeCells count="1">
    <mergeCell ref="F1:I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CEE79-A0CA-4272-970B-A5A5902A61A6}">
  <dimension ref="A1:L15"/>
  <sheetViews>
    <sheetView tabSelected="1" workbookViewId="0"/>
  </sheetViews>
  <sheetFormatPr defaultRowHeight="15.75" x14ac:dyDescent="0.25"/>
  <cols>
    <col min="6" max="6" width="10.375" bestFit="1" customWidth="1"/>
    <col min="10" max="10" width="26.5" customWidth="1"/>
    <col min="11" max="11" width="23.625" bestFit="1" customWidth="1"/>
  </cols>
  <sheetData>
    <row r="1" spans="1:12" x14ac:dyDescent="0.25">
      <c r="F1" s="15" t="s">
        <v>85</v>
      </c>
      <c r="G1" s="15"/>
      <c r="H1" s="15"/>
      <c r="I1" s="15"/>
    </row>
    <row r="2" spans="1:12" x14ac:dyDescent="0.25">
      <c r="A2" t="s">
        <v>84</v>
      </c>
      <c r="B2" t="s">
        <v>36</v>
      </c>
      <c r="C2" t="s">
        <v>37</v>
      </c>
      <c r="D2" t="s">
        <v>38</v>
      </c>
      <c r="E2" t="s">
        <v>39</v>
      </c>
      <c r="F2">
        <v>1</v>
      </c>
      <c r="G2">
        <v>2</v>
      </c>
      <c r="H2">
        <v>3</v>
      </c>
      <c r="I2">
        <v>4</v>
      </c>
      <c r="J2" t="s">
        <v>86</v>
      </c>
      <c r="K2" t="s">
        <v>88</v>
      </c>
    </row>
    <row r="3" spans="1:12" x14ac:dyDescent="0.25">
      <c r="A3">
        <v>3</v>
      </c>
      <c r="B3" s="16">
        <v>500</v>
      </c>
      <c r="C3">
        <v>1</v>
      </c>
      <c r="D3" s="3">
        <f>C3*B3</f>
        <v>500</v>
      </c>
      <c r="E3" s="14">
        <f>C3/D$11</f>
        <v>6.3670476251660485E-4</v>
      </c>
      <c r="F3" s="14">
        <f>E4*0.7</f>
        <v>4.4569333376162336E-4</v>
      </c>
      <c r="G3" s="14">
        <f>E5*0.7*0.7</f>
        <v>3.1198533363313634E-4</v>
      </c>
      <c r="H3" s="14">
        <f>E6*(0.7^3)</f>
        <v>2.1838973354319541E-4</v>
      </c>
      <c r="I3" s="14">
        <f>E7*(0.7^4)</f>
        <v>1.5287281348023678E-4</v>
      </c>
      <c r="J3" s="13">
        <f>E3*F3*B3</f>
        <v>1.4188753411396418E-4</v>
      </c>
      <c r="K3">
        <f>J3/J$11</f>
        <v>0.32692356102142694</v>
      </c>
      <c r="L3">
        <v>0.32692356102142694</v>
      </c>
    </row>
    <row r="4" spans="1:12" x14ac:dyDescent="0.25">
      <c r="A4">
        <v>4</v>
      </c>
      <c r="B4">
        <f>B3*0.7</f>
        <v>350</v>
      </c>
      <c r="C4">
        <v>1</v>
      </c>
      <c r="D4" s="3">
        <f t="shared" ref="D4:D10" si="0">C4*B4</f>
        <v>350</v>
      </c>
      <c r="E4" s="14">
        <f t="shared" ref="E4:E10" si="1">C4/D$11</f>
        <v>6.3670476251660485E-4</v>
      </c>
      <c r="F4" s="14">
        <f t="shared" ref="F4:F10" si="2">E5*0.7</f>
        <v>4.4569333376162336E-4</v>
      </c>
      <c r="G4" s="14">
        <f t="shared" ref="G4:G10" si="3">E6*0.7*0.7</f>
        <v>3.1198533363313634E-4</v>
      </c>
      <c r="H4" s="14">
        <f t="shared" ref="H4:H10" si="4">E7*(0.7^3)</f>
        <v>2.1838973354319541E-4</v>
      </c>
      <c r="I4" s="14">
        <f t="shared" ref="I4:I10" si="5">E8*(0.7^4)</f>
        <v>1.5287281348023678E-4</v>
      </c>
      <c r="J4" s="13">
        <f t="shared" ref="J4:J10" si="6">E4*F4*B4</f>
        <v>9.9321273879774918E-5</v>
      </c>
      <c r="K4">
        <f t="shared" ref="K4:K10" si="7">J4/J$11</f>
        <v>0.22884649271499885</v>
      </c>
      <c r="L4">
        <v>0.22884649271499885</v>
      </c>
    </row>
    <row r="5" spans="1:12" x14ac:dyDescent="0.25">
      <c r="A5">
        <v>5</v>
      </c>
      <c r="B5" s="3">
        <f>B4*0.7</f>
        <v>244.99999999999997</v>
      </c>
      <c r="C5">
        <v>1</v>
      </c>
      <c r="D5" s="3">
        <f t="shared" si="0"/>
        <v>244.99999999999997</v>
      </c>
      <c r="E5" s="14">
        <f t="shared" si="1"/>
        <v>6.3670476251660485E-4</v>
      </c>
      <c r="F5" s="14">
        <f t="shared" si="2"/>
        <v>4.4569333376162336E-4</v>
      </c>
      <c r="G5" s="14">
        <f t="shared" si="3"/>
        <v>3.1198533363313634E-4</v>
      </c>
      <c r="H5" s="14">
        <f t="shared" si="4"/>
        <v>2.1838973354319541E-4</v>
      </c>
      <c r="I5" s="14">
        <f t="shared" si="5"/>
        <v>1.5287281348023678E-4</v>
      </c>
      <c r="J5" s="13">
        <f t="shared" si="6"/>
        <v>6.9524891715842436E-5</v>
      </c>
      <c r="K5">
        <f t="shared" si="7"/>
        <v>0.16019254490049917</v>
      </c>
      <c r="L5">
        <v>0.16019254490049917</v>
      </c>
    </row>
    <row r="6" spans="1:12" x14ac:dyDescent="0.25">
      <c r="A6">
        <v>6</v>
      </c>
      <c r="B6" s="3">
        <f t="shared" ref="B6:B10" si="8">B5*0.7</f>
        <v>171.49999999999997</v>
      </c>
      <c r="C6">
        <v>1</v>
      </c>
      <c r="D6" s="3">
        <f t="shared" si="0"/>
        <v>171.49999999999997</v>
      </c>
      <c r="E6" s="14">
        <f t="shared" si="1"/>
        <v>6.3670476251660485E-4</v>
      </c>
      <c r="F6" s="14">
        <f t="shared" si="2"/>
        <v>4.4569333376162336E-4</v>
      </c>
      <c r="G6" s="14">
        <f t="shared" si="3"/>
        <v>3.1198533363313634E-4</v>
      </c>
      <c r="H6" s="14">
        <f t="shared" si="4"/>
        <v>2.1838973354319541E-4</v>
      </c>
      <c r="I6" s="14">
        <f t="shared" si="5"/>
        <v>1.5287281348023678E-4</v>
      </c>
      <c r="J6" s="13">
        <f t="shared" si="6"/>
        <v>4.8667424201089701E-5</v>
      </c>
      <c r="K6">
        <f t="shared" si="7"/>
        <v>0.11213478143034941</v>
      </c>
      <c r="L6">
        <v>0.11213478143034941</v>
      </c>
    </row>
    <row r="7" spans="1:12" x14ac:dyDescent="0.25">
      <c r="A7">
        <v>7</v>
      </c>
      <c r="B7" s="3">
        <f t="shared" si="8"/>
        <v>120.04999999999997</v>
      </c>
      <c r="C7">
        <v>1</v>
      </c>
      <c r="D7" s="3">
        <f t="shared" si="0"/>
        <v>120.04999999999997</v>
      </c>
      <c r="E7" s="14">
        <f t="shared" si="1"/>
        <v>6.3670476251660485E-4</v>
      </c>
      <c r="F7" s="14">
        <f t="shared" si="2"/>
        <v>4.4569333376162336E-4</v>
      </c>
      <c r="G7" s="14">
        <f t="shared" si="3"/>
        <v>3.1198533363313634E-4</v>
      </c>
      <c r="H7" s="14">
        <f t="shared" si="4"/>
        <v>2.1838973354319541E-4</v>
      </c>
      <c r="I7" s="14">
        <f t="shared" si="5"/>
        <v>0</v>
      </c>
      <c r="J7" s="13">
        <f t="shared" si="6"/>
        <v>3.4067196940762788E-5</v>
      </c>
      <c r="K7">
        <f t="shared" si="7"/>
        <v>7.849434700124458E-2</v>
      </c>
      <c r="L7">
        <v>7.849434700124458E-2</v>
      </c>
    </row>
    <row r="8" spans="1:12" x14ac:dyDescent="0.25">
      <c r="A8">
        <v>8</v>
      </c>
      <c r="B8" s="3">
        <f t="shared" si="8"/>
        <v>84.034999999999968</v>
      </c>
      <c r="C8">
        <v>1</v>
      </c>
      <c r="D8" s="3">
        <f t="shared" si="0"/>
        <v>84.034999999999968</v>
      </c>
      <c r="E8" s="14">
        <f t="shared" si="1"/>
        <v>6.3670476251660485E-4</v>
      </c>
      <c r="F8" s="14">
        <f t="shared" si="2"/>
        <v>4.4569333376162336E-4</v>
      </c>
      <c r="G8" s="14">
        <f t="shared" si="3"/>
        <v>3.1198533363313634E-4</v>
      </c>
      <c r="H8" s="14">
        <f t="shared" si="4"/>
        <v>0</v>
      </c>
      <c r="I8" s="14">
        <f t="shared" si="5"/>
        <v>0</v>
      </c>
      <c r="J8" s="13">
        <f t="shared" si="6"/>
        <v>2.3847037858533949E-5</v>
      </c>
      <c r="K8">
        <f t="shared" si="7"/>
        <v>5.4946042900871205E-2</v>
      </c>
      <c r="L8">
        <v>5.4946042900871205E-2</v>
      </c>
    </row>
    <row r="9" spans="1:12" x14ac:dyDescent="0.25">
      <c r="A9">
        <v>9</v>
      </c>
      <c r="B9" s="3">
        <f t="shared" si="8"/>
        <v>58.824499999999972</v>
      </c>
      <c r="C9">
        <v>1</v>
      </c>
      <c r="D9" s="3">
        <f t="shared" si="0"/>
        <v>58.824499999999972</v>
      </c>
      <c r="E9" s="14">
        <f t="shared" si="1"/>
        <v>6.3670476251660485E-4</v>
      </c>
      <c r="F9" s="14">
        <f t="shared" si="2"/>
        <v>4.4569333376162336E-4</v>
      </c>
      <c r="G9" s="14">
        <f t="shared" si="3"/>
        <v>0</v>
      </c>
      <c r="H9" s="14">
        <f t="shared" si="4"/>
        <v>0</v>
      </c>
      <c r="I9" s="14">
        <f t="shared" si="5"/>
        <v>0</v>
      </c>
      <c r="J9" s="13">
        <f t="shared" si="6"/>
        <v>1.6692926500973762E-5</v>
      </c>
      <c r="K9">
        <f t="shared" si="7"/>
        <v>3.8462230030609841E-2</v>
      </c>
      <c r="L9">
        <v>3.8462230030609841E-2</v>
      </c>
    </row>
    <row r="10" spans="1:12" x14ac:dyDescent="0.25">
      <c r="A10">
        <v>10</v>
      </c>
      <c r="B10" s="3">
        <f t="shared" si="8"/>
        <v>41.177149999999976</v>
      </c>
      <c r="C10">
        <v>1</v>
      </c>
      <c r="D10" s="3">
        <f t="shared" si="0"/>
        <v>41.177149999999976</v>
      </c>
      <c r="E10" s="14">
        <f t="shared" si="1"/>
        <v>6.3670476251660485E-4</v>
      </c>
      <c r="F10" s="14">
        <f t="shared" si="2"/>
        <v>0</v>
      </c>
      <c r="G10" s="14">
        <f t="shared" si="3"/>
        <v>0</v>
      </c>
      <c r="H10" s="14">
        <f t="shared" si="4"/>
        <v>0</v>
      </c>
      <c r="I10" s="14">
        <f t="shared" si="5"/>
        <v>0</v>
      </c>
      <c r="J10" s="13">
        <f t="shared" si="6"/>
        <v>0</v>
      </c>
      <c r="K10">
        <f t="shared" si="7"/>
        <v>0</v>
      </c>
      <c r="L10">
        <v>0</v>
      </c>
    </row>
    <row r="11" spans="1:12" x14ac:dyDescent="0.25">
      <c r="C11" s="12" t="s">
        <v>87</v>
      </c>
      <c r="D11" s="3">
        <f>SUM(D3:D10)</f>
        <v>1570.58665</v>
      </c>
      <c r="J11" s="13">
        <f>SUM(J3:J10)</f>
        <v>4.3400828521094172E-4</v>
      </c>
      <c r="K11">
        <f>SUM(K3:K10)</f>
        <v>1</v>
      </c>
    </row>
    <row r="15" spans="1:12" x14ac:dyDescent="0.25">
      <c r="B15" s="16" t="s">
        <v>89</v>
      </c>
      <c r="C15" s="16"/>
      <c r="D15" s="16"/>
      <c r="E15" s="16"/>
      <c r="F15" s="16"/>
      <c r="G15" s="16"/>
      <c r="H15" s="16"/>
      <c r="I15" s="16"/>
      <c r="J15" s="16"/>
      <c r="K15" s="16"/>
    </row>
  </sheetData>
  <mergeCells count="1">
    <mergeCell ref="F1:I1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LemonSharkLeslieMatrix</vt:lpstr>
      <vt:lpstr>WaplesLifeTable2</vt:lpstr>
      <vt:lpstr>WaplesTable3</vt:lpstr>
      <vt:lpstr>WaplesTableS2</vt:lpstr>
      <vt:lpstr>WaplesTableS2_play</vt:lpstr>
      <vt:lpstr>A</vt:lpstr>
      <vt:lpstr>LemonSharkLeslieMatrix!f0</vt:lpstr>
      <vt:lpstr>fx</vt:lpstr>
      <vt:lpstr>N</vt:lpstr>
      <vt:lpstr>p.A</vt:lpstr>
      <vt:lpstr>LemonSharkLeslieMatrix!s.a</vt:lpstr>
      <vt:lpstr>LemonSharkLeslieMatrix!s.c</vt:lpstr>
      <vt:lpstr>LemonSharkLeslieMatrix!s.j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Boyd</dc:creator>
  <cp:lastModifiedBy>John Sw.</cp:lastModifiedBy>
  <dcterms:created xsi:type="dcterms:W3CDTF">2020-05-25T01:40:03Z</dcterms:created>
  <dcterms:modified xsi:type="dcterms:W3CDTF">2022-03-18T16:16:35Z</dcterms:modified>
</cp:coreProperties>
</file>