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3J5bw\ownCloud\UoA\2024\Semester 2 2024\COMPSYS 209\ec209-project-2024_team_33\Firmware\EnergyMonitor\"/>
    </mc:Choice>
  </mc:AlternateContent>
  <xr:revisionPtr revIDLastSave="0" documentId="13_ncr:1_{CE75C808-B303-432F-9A45-6FB5C072032C}" xr6:coauthVersionLast="47" xr6:coauthVersionMax="47" xr10:uidLastSave="{00000000-0000-0000-0000-000000000000}"/>
  <bookViews>
    <workbookView xWindow="-108" yWindow="-108" windowWidth="46296" windowHeight="26136" activeTab="1" xr2:uid="{5B712931-4F47-4E8C-8387-F250B08A14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E5" i="2"/>
  <c r="F5" i="2" s="1"/>
  <c r="G5" i="2" s="1"/>
  <c r="C5" i="2"/>
  <c r="S37" i="2"/>
  <c r="K38" i="2"/>
  <c r="N38" i="2" s="1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10" i="2"/>
  <c r="O68" i="2"/>
  <c r="L38" i="2"/>
  <c r="O38" i="2" s="1"/>
  <c r="K39" i="2"/>
  <c r="N39" i="2" s="1"/>
  <c r="L39" i="2"/>
  <c r="O39" i="2" s="1"/>
  <c r="K40" i="2"/>
  <c r="N40" i="2" s="1"/>
  <c r="L40" i="2"/>
  <c r="O40" i="2" s="1"/>
  <c r="K41" i="2"/>
  <c r="N41" i="2" s="1"/>
  <c r="L41" i="2"/>
  <c r="O41" i="2" s="1"/>
  <c r="K42" i="2"/>
  <c r="N42" i="2" s="1"/>
  <c r="L42" i="2"/>
  <c r="O42" i="2" s="1"/>
  <c r="K43" i="2"/>
  <c r="N43" i="2" s="1"/>
  <c r="L43" i="2"/>
  <c r="O43" i="2" s="1"/>
  <c r="K44" i="2"/>
  <c r="N44" i="2" s="1"/>
  <c r="L44" i="2"/>
  <c r="O44" i="2" s="1"/>
  <c r="K45" i="2"/>
  <c r="N45" i="2" s="1"/>
  <c r="L45" i="2"/>
  <c r="O45" i="2" s="1"/>
  <c r="K46" i="2"/>
  <c r="N46" i="2" s="1"/>
  <c r="L46" i="2"/>
  <c r="O46" i="2" s="1"/>
  <c r="K47" i="2"/>
  <c r="N47" i="2" s="1"/>
  <c r="L47" i="2"/>
  <c r="O47" i="2" s="1"/>
  <c r="K48" i="2"/>
  <c r="N48" i="2" s="1"/>
  <c r="L48" i="2"/>
  <c r="O48" i="2" s="1"/>
  <c r="K49" i="2"/>
  <c r="N49" i="2" s="1"/>
  <c r="L49" i="2"/>
  <c r="O49" i="2" s="1"/>
  <c r="K50" i="2"/>
  <c r="N50" i="2" s="1"/>
  <c r="L50" i="2"/>
  <c r="O50" i="2" s="1"/>
  <c r="K51" i="2"/>
  <c r="N51" i="2" s="1"/>
  <c r="L51" i="2"/>
  <c r="O51" i="2" s="1"/>
  <c r="K52" i="2"/>
  <c r="N52" i="2" s="1"/>
  <c r="L52" i="2"/>
  <c r="O52" i="2" s="1"/>
  <c r="K53" i="2"/>
  <c r="N53" i="2" s="1"/>
  <c r="L53" i="2"/>
  <c r="O53" i="2" s="1"/>
  <c r="K54" i="2"/>
  <c r="N54" i="2" s="1"/>
  <c r="L54" i="2"/>
  <c r="O54" i="2" s="1"/>
  <c r="K55" i="2"/>
  <c r="N55" i="2" s="1"/>
  <c r="L55" i="2"/>
  <c r="O55" i="2" s="1"/>
  <c r="K56" i="2"/>
  <c r="N56" i="2" s="1"/>
  <c r="L56" i="2"/>
  <c r="O56" i="2" s="1"/>
  <c r="K57" i="2"/>
  <c r="N57" i="2" s="1"/>
  <c r="L57" i="2"/>
  <c r="O57" i="2" s="1"/>
  <c r="K58" i="2"/>
  <c r="N58" i="2" s="1"/>
  <c r="L58" i="2"/>
  <c r="O58" i="2" s="1"/>
  <c r="K59" i="2"/>
  <c r="N59" i="2" s="1"/>
  <c r="L59" i="2"/>
  <c r="O59" i="2" s="1"/>
  <c r="K60" i="2"/>
  <c r="N60" i="2" s="1"/>
  <c r="L60" i="2"/>
  <c r="O60" i="2" s="1"/>
  <c r="K61" i="2"/>
  <c r="N61" i="2" s="1"/>
  <c r="L61" i="2"/>
  <c r="O61" i="2" s="1"/>
  <c r="K62" i="2"/>
  <c r="N62" i="2" s="1"/>
  <c r="L62" i="2"/>
  <c r="O62" i="2" s="1"/>
  <c r="K63" i="2"/>
  <c r="N63" i="2" s="1"/>
  <c r="L63" i="2"/>
  <c r="O63" i="2" s="1"/>
  <c r="K64" i="2"/>
  <c r="N64" i="2" s="1"/>
  <c r="L64" i="2"/>
  <c r="O64" i="2" s="1"/>
  <c r="K65" i="2"/>
  <c r="N65" i="2" s="1"/>
  <c r="L65" i="2"/>
  <c r="O65" i="2" s="1"/>
  <c r="K66" i="2"/>
  <c r="N66" i="2" s="1"/>
  <c r="L66" i="2"/>
  <c r="O66" i="2" s="1"/>
  <c r="K67" i="2"/>
  <c r="N67" i="2" s="1"/>
  <c r="L67" i="2"/>
  <c r="O67" i="2" s="1"/>
  <c r="K68" i="2"/>
  <c r="N68" i="2" s="1"/>
  <c r="L68" i="2"/>
  <c r="K69" i="2"/>
  <c r="N69" i="2" s="1"/>
  <c r="L69" i="2"/>
  <c r="O69" i="2" s="1"/>
  <c r="K70" i="2"/>
  <c r="N70" i="2" s="1"/>
  <c r="L70" i="2"/>
  <c r="O70" i="2" s="1"/>
  <c r="K71" i="2"/>
  <c r="N71" i="2" s="1"/>
  <c r="L71" i="2"/>
  <c r="O71" i="2" s="1"/>
  <c r="K72" i="2"/>
  <c r="N72" i="2" s="1"/>
  <c r="L72" i="2"/>
  <c r="O72" i="2" s="1"/>
  <c r="K73" i="2"/>
  <c r="N73" i="2" s="1"/>
  <c r="L73" i="2"/>
  <c r="O73" i="2" s="1"/>
  <c r="K74" i="2"/>
  <c r="N74" i="2" s="1"/>
  <c r="L74" i="2"/>
  <c r="O74" i="2" s="1"/>
  <c r="K75" i="2"/>
  <c r="N75" i="2" s="1"/>
  <c r="L75" i="2"/>
  <c r="O75" i="2" s="1"/>
  <c r="K76" i="2"/>
  <c r="N76" i="2" s="1"/>
  <c r="L76" i="2"/>
  <c r="O76" i="2" s="1"/>
  <c r="K77" i="2"/>
  <c r="N77" i="2" s="1"/>
  <c r="L77" i="2"/>
  <c r="O77" i="2" s="1"/>
  <c r="K78" i="2"/>
  <c r="N78" i="2" s="1"/>
  <c r="L78" i="2"/>
  <c r="O78" i="2" s="1"/>
  <c r="K79" i="2"/>
  <c r="N79" i="2" s="1"/>
  <c r="L79" i="2"/>
  <c r="O79" i="2" s="1"/>
  <c r="K80" i="2"/>
  <c r="N80" i="2" s="1"/>
  <c r="L80" i="2"/>
  <c r="O80" i="2" s="1"/>
  <c r="K81" i="2"/>
  <c r="N81" i="2" s="1"/>
  <c r="L81" i="2"/>
  <c r="O81" i="2" s="1"/>
  <c r="K82" i="2"/>
  <c r="N82" i="2" s="1"/>
  <c r="L82" i="2"/>
  <c r="O82" i="2" s="1"/>
  <c r="K83" i="2"/>
  <c r="N83" i="2" s="1"/>
  <c r="L83" i="2"/>
  <c r="O83" i="2" s="1"/>
  <c r="K84" i="2"/>
  <c r="N84" i="2" s="1"/>
  <c r="L84" i="2"/>
  <c r="O84" i="2" s="1"/>
  <c r="K85" i="2"/>
  <c r="N85" i="2" s="1"/>
  <c r="L85" i="2"/>
  <c r="O85" i="2" s="1"/>
  <c r="K86" i="2"/>
  <c r="N86" i="2" s="1"/>
  <c r="L86" i="2"/>
  <c r="O86" i="2" s="1"/>
  <c r="K87" i="2"/>
  <c r="N87" i="2" s="1"/>
  <c r="L87" i="2"/>
  <c r="O87" i="2" s="1"/>
  <c r="K88" i="2"/>
  <c r="N88" i="2" s="1"/>
  <c r="L88" i="2"/>
  <c r="O88" i="2" s="1"/>
  <c r="K89" i="2"/>
  <c r="N89" i="2" s="1"/>
  <c r="L89" i="2"/>
  <c r="O89" i="2" s="1"/>
  <c r="K90" i="2"/>
  <c r="N90" i="2" s="1"/>
  <c r="L90" i="2"/>
  <c r="O90" i="2" s="1"/>
  <c r="K91" i="2"/>
  <c r="N91" i="2" s="1"/>
  <c r="L91" i="2"/>
  <c r="O91" i="2" s="1"/>
  <c r="K92" i="2"/>
  <c r="N92" i="2" s="1"/>
  <c r="L92" i="2"/>
  <c r="O92" i="2" s="1"/>
  <c r="K93" i="2"/>
  <c r="N93" i="2" s="1"/>
  <c r="L93" i="2"/>
  <c r="O93" i="2" s="1"/>
  <c r="K94" i="2"/>
  <c r="N94" i="2" s="1"/>
  <c r="L94" i="2"/>
  <c r="O94" i="2" s="1"/>
  <c r="K95" i="2"/>
  <c r="N95" i="2" s="1"/>
  <c r="L95" i="2"/>
  <c r="O95" i="2" s="1"/>
  <c r="K96" i="2"/>
  <c r="N96" i="2" s="1"/>
  <c r="L96" i="2"/>
  <c r="O96" i="2" s="1"/>
  <c r="K97" i="2"/>
  <c r="N97" i="2" s="1"/>
  <c r="L97" i="2"/>
  <c r="O97" i="2" s="1"/>
  <c r="K98" i="2"/>
  <c r="N98" i="2" s="1"/>
  <c r="L98" i="2"/>
  <c r="O98" i="2" s="1"/>
  <c r="K99" i="2"/>
  <c r="N99" i="2" s="1"/>
  <c r="L99" i="2"/>
  <c r="O99" i="2" s="1"/>
  <c r="K100" i="2"/>
  <c r="N100" i="2" s="1"/>
  <c r="L100" i="2"/>
  <c r="O100" i="2" s="1"/>
  <c r="K101" i="2"/>
  <c r="N101" i="2" s="1"/>
  <c r="L101" i="2"/>
  <c r="O101" i="2" s="1"/>
  <c r="K102" i="2"/>
  <c r="N102" i="2" s="1"/>
  <c r="L102" i="2"/>
  <c r="O102" i="2" s="1"/>
  <c r="K103" i="2"/>
  <c r="N103" i="2" s="1"/>
  <c r="L103" i="2"/>
  <c r="O103" i="2" s="1"/>
  <c r="K104" i="2"/>
  <c r="N104" i="2" s="1"/>
  <c r="L104" i="2"/>
  <c r="O104" i="2" s="1"/>
  <c r="K105" i="2"/>
  <c r="N105" i="2" s="1"/>
  <c r="L105" i="2"/>
  <c r="O105" i="2" s="1"/>
  <c r="K106" i="2"/>
  <c r="N106" i="2" s="1"/>
  <c r="L106" i="2"/>
  <c r="O106" i="2" s="1"/>
  <c r="K107" i="2"/>
  <c r="N107" i="2" s="1"/>
  <c r="L107" i="2"/>
  <c r="O107" i="2" s="1"/>
  <c r="K108" i="2"/>
  <c r="N108" i="2" s="1"/>
  <c r="L108" i="2"/>
  <c r="O108" i="2" s="1"/>
  <c r="K109" i="2"/>
  <c r="N109" i="2" s="1"/>
  <c r="L109" i="2"/>
  <c r="O109" i="2" s="1"/>
  <c r="K110" i="2"/>
  <c r="N110" i="2" s="1"/>
  <c r="L110" i="2"/>
  <c r="O110" i="2" s="1"/>
  <c r="K111" i="2"/>
  <c r="N111" i="2" s="1"/>
  <c r="L111" i="2"/>
  <c r="O111" i="2" s="1"/>
  <c r="K112" i="2"/>
  <c r="N112" i="2" s="1"/>
  <c r="L112" i="2"/>
  <c r="O112" i="2" s="1"/>
  <c r="K113" i="2"/>
  <c r="N113" i="2" s="1"/>
  <c r="L113" i="2"/>
  <c r="O113" i="2" s="1"/>
  <c r="K114" i="2"/>
  <c r="N114" i="2" s="1"/>
  <c r="L114" i="2"/>
  <c r="O114" i="2" s="1"/>
  <c r="K115" i="2"/>
  <c r="N115" i="2" s="1"/>
  <c r="L115" i="2"/>
  <c r="O115" i="2" s="1"/>
  <c r="K116" i="2"/>
  <c r="N116" i="2" s="1"/>
  <c r="L116" i="2"/>
  <c r="O116" i="2" s="1"/>
  <c r="K117" i="2"/>
  <c r="N117" i="2" s="1"/>
  <c r="L117" i="2"/>
  <c r="O117" i="2" s="1"/>
  <c r="K118" i="2"/>
  <c r="N118" i="2" s="1"/>
  <c r="L118" i="2"/>
  <c r="O118" i="2" s="1"/>
  <c r="K119" i="2"/>
  <c r="N119" i="2" s="1"/>
  <c r="L119" i="2"/>
  <c r="O119" i="2" s="1"/>
  <c r="K120" i="2"/>
  <c r="N120" i="2" s="1"/>
  <c r="L120" i="2"/>
  <c r="O120" i="2" s="1"/>
  <c r="K121" i="2"/>
  <c r="N121" i="2" s="1"/>
  <c r="L121" i="2"/>
  <c r="O121" i="2" s="1"/>
  <c r="K122" i="2"/>
  <c r="N122" i="2" s="1"/>
  <c r="L122" i="2"/>
  <c r="O122" i="2" s="1"/>
  <c r="K123" i="2"/>
  <c r="N123" i="2" s="1"/>
  <c r="L123" i="2"/>
  <c r="O123" i="2" s="1"/>
  <c r="K124" i="2"/>
  <c r="N124" i="2" s="1"/>
  <c r="L124" i="2"/>
  <c r="O124" i="2" s="1"/>
  <c r="K125" i="2"/>
  <c r="N125" i="2" s="1"/>
  <c r="L125" i="2"/>
  <c r="O125" i="2" s="1"/>
  <c r="K126" i="2"/>
  <c r="N126" i="2" s="1"/>
  <c r="L126" i="2"/>
  <c r="O126" i="2" s="1"/>
  <c r="K127" i="2"/>
  <c r="N127" i="2" s="1"/>
  <c r="L127" i="2"/>
  <c r="O127" i="2" s="1"/>
  <c r="K128" i="2"/>
  <c r="N128" i="2" s="1"/>
  <c r="L128" i="2"/>
  <c r="O128" i="2" s="1"/>
  <c r="K129" i="2"/>
  <c r="N129" i="2" s="1"/>
  <c r="L129" i="2"/>
  <c r="O129" i="2" s="1"/>
  <c r="K130" i="2"/>
  <c r="N130" i="2" s="1"/>
  <c r="L130" i="2"/>
  <c r="O130" i="2" s="1"/>
  <c r="K131" i="2"/>
  <c r="N131" i="2" s="1"/>
  <c r="L131" i="2"/>
  <c r="O131" i="2" s="1"/>
  <c r="K132" i="2"/>
  <c r="N132" i="2" s="1"/>
  <c r="L132" i="2"/>
  <c r="O132" i="2" s="1"/>
  <c r="K133" i="2"/>
  <c r="N133" i="2" s="1"/>
  <c r="L133" i="2"/>
  <c r="O133" i="2" s="1"/>
  <c r="K134" i="2"/>
  <c r="N134" i="2" s="1"/>
  <c r="L134" i="2"/>
  <c r="O134" i="2" s="1"/>
  <c r="K135" i="2"/>
  <c r="N135" i="2" s="1"/>
  <c r="L135" i="2"/>
  <c r="O135" i="2" s="1"/>
  <c r="K136" i="2"/>
  <c r="N136" i="2" s="1"/>
  <c r="L136" i="2"/>
  <c r="O136" i="2" s="1"/>
  <c r="K137" i="2"/>
  <c r="N137" i="2" s="1"/>
  <c r="L137" i="2"/>
  <c r="O137" i="2" s="1"/>
  <c r="L37" i="2"/>
  <c r="O37" i="2" s="1"/>
  <c r="K37" i="2"/>
  <c r="N37" i="2" s="1"/>
  <c r="C22" i="2"/>
  <c r="L10" i="2"/>
  <c r="D22" i="2"/>
  <c r="D23" i="2"/>
  <c r="D24" i="2"/>
  <c r="D25" i="2"/>
  <c r="D26" i="2"/>
  <c r="D27" i="2"/>
  <c r="D28" i="2"/>
  <c r="D29" i="2"/>
  <c r="D30" i="2"/>
  <c r="D31" i="2"/>
  <c r="D32" i="2"/>
  <c r="C30" i="2"/>
  <c r="C31" i="2"/>
  <c r="C32" i="2"/>
  <c r="C29" i="2"/>
  <c r="C28" i="2"/>
  <c r="C27" i="2"/>
  <c r="C26" i="2"/>
  <c r="C25" i="2"/>
  <c r="C23" i="2"/>
  <c r="C24" i="2"/>
  <c r="B23" i="2"/>
  <c r="C20" i="2"/>
  <c r="C21" i="2"/>
  <c r="D12" i="2"/>
  <c r="D13" i="2"/>
  <c r="D14" i="2"/>
  <c r="D15" i="2"/>
  <c r="D16" i="2"/>
  <c r="D17" i="2"/>
  <c r="D18" i="2"/>
  <c r="D19" i="2"/>
  <c r="D20" i="2"/>
  <c r="D11" i="2"/>
  <c r="C19" i="2"/>
  <c r="C18" i="2"/>
  <c r="C17" i="2"/>
  <c r="C16" i="2"/>
  <c r="C15" i="2"/>
  <c r="C14" i="2"/>
  <c r="C13" i="2"/>
  <c r="C12" i="2"/>
  <c r="C11" i="2"/>
  <c r="C10" i="2"/>
  <c r="AA66" i="1" a="1"/>
  <c r="AA66" i="1" s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40" i="1"/>
  <c r="T79" i="1"/>
  <c r="U79" i="1"/>
  <c r="X79" i="1" s="1"/>
  <c r="T80" i="1"/>
  <c r="U80" i="1"/>
  <c r="X80" i="1"/>
  <c r="T81" i="1"/>
  <c r="U81" i="1"/>
  <c r="X81" i="1"/>
  <c r="T82" i="1"/>
  <c r="U82" i="1"/>
  <c r="X82" i="1"/>
  <c r="T83" i="1"/>
  <c r="U83" i="1"/>
  <c r="X83" i="1"/>
  <c r="T84" i="1"/>
  <c r="U84" i="1"/>
  <c r="X84" i="1"/>
  <c r="T85" i="1"/>
  <c r="U85" i="1"/>
  <c r="X85" i="1"/>
  <c r="T86" i="1"/>
  <c r="U86" i="1"/>
  <c r="X86" i="1"/>
  <c r="T87" i="1"/>
  <c r="U87" i="1"/>
  <c r="X87" i="1"/>
  <c r="T88" i="1"/>
  <c r="U88" i="1"/>
  <c r="X88" i="1"/>
  <c r="T50" i="1"/>
  <c r="AB41" i="1"/>
  <c r="AC41" i="1"/>
  <c r="AC40" i="1"/>
  <c r="AC42" i="1" s="1"/>
  <c r="T41" i="1"/>
  <c r="U41" i="1"/>
  <c r="X41" i="1" s="1"/>
  <c r="T42" i="1"/>
  <c r="U42" i="1"/>
  <c r="X42" i="1" s="1"/>
  <c r="T43" i="1"/>
  <c r="U43" i="1"/>
  <c r="X43" i="1" s="1"/>
  <c r="T44" i="1"/>
  <c r="U44" i="1"/>
  <c r="X44" i="1" s="1"/>
  <c r="T45" i="1"/>
  <c r="U45" i="1"/>
  <c r="X45" i="1" s="1"/>
  <c r="T46" i="1"/>
  <c r="U46" i="1"/>
  <c r="X46" i="1" s="1"/>
  <c r="T47" i="1"/>
  <c r="U47" i="1"/>
  <c r="X47" i="1" s="1"/>
  <c r="T48" i="1"/>
  <c r="U48" i="1"/>
  <c r="X48" i="1" s="1"/>
  <c r="T49" i="1"/>
  <c r="U49" i="1"/>
  <c r="X49" i="1" s="1"/>
  <c r="U50" i="1"/>
  <c r="X50" i="1" s="1"/>
  <c r="T51" i="1"/>
  <c r="U51" i="1"/>
  <c r="X51" i="1" s="1"/>
  <c r="T52" i="1"/>
  <c r="U52" i="1"/>
  <c r="X52" i="1" s="1"/>
  <c r="T53" i="1"/>
  <c r="U53" i="1"/>
  <c r="X53" i="1" s="1"/>
  <c r="T54" i="1"/>
  <c r="U54" i="1"/>
  <c r="X54" i="1" s="1"/>
  <c r="T55" i="1"/>
  <c r="U55" i="1"/>
  <c r="X55" i="1" s="1"/>
  <c r="T56" i="1"/>
  <c r="U56" i="1"/>
  <c r="X56" i="1" s="1"/>
  <c r="T57" i="1"/>
  <c r="U57" i="1"/>
  <c r="X57" i="1" s="1"/>
  <c r="T58" i="1"/>
  <c r="U58" i="1"/>
  <c r="X58" i="1" s="1"/>
  <c r="T59" i="1"/>
  <c r="U59" i="1"/>
  <c r="X59" i="1" s="1"/>
  <c r="T60" i="1"/>
  <c r="U60" i="1"/>
  <c r="X60" i="1" s="1"/>
  <c r="T61" i="1"/>
  <c r="U61" i="1"/>
  <c r="X61" i="1" s="1"/>
  <c r="T62" i="1"/>
  <c r="U62" i="1"/>
  <c r="X62" i="1" s="1"/>
  <c r="T63" i="1"/>
  <c r="U63" i="1"/>
  <c r="X63" i="1" s="1"/>
  <c r="T64" i="1"/>
  <c r="U64" i="1"/>
  <c r="X64" i="1" s="1"/>
  <c r="T65" i="1"/>
  <c r="U65" i="1"/>
  <c r="X65" i="1" s="1"/>
  <c r="T66" i="1"/>
  <c r="U66" i="1"/>
  <c r="X66" i="1" s="1"/>
  <c r="T67" i="1"/>
  <c r="U67" i="1"/>
  <c r="X67" i="1" s="1"/>
  <c r="T68" i="1"/>
  <c r="U68" i="1"/>
  <c r="X68" i="1" s="1"/>
  <c r="T69" i="1"/>
  <c r="U69" i="1"/>
  <c r="X69" i="1" s="1"/>
  <c r="T70" i="1"/>
  <c r="U70" i="1"/>
  <c r="X70" i="1" s="1"/>
  <c r="T71" i="1"/>
  <c r="U71" i="1"/>
  <c r="X71" i="1" s="1"/>
  <c r="T72" i="1"/>
  <c r="U72" i="1"/>
  <c r="X72" i="1" s="1"/>
  <c r="T73" i="1"/>
  <c r="U73" i="1"/>
  <c r="X73" i="1" s="1"/>
  <c r="T74" i="1"/>
  <c r="U74" i="1"/>
  <c r="X74" i="1" s="1"/>
  <c r="T75" i="1"/>
  <c r="U75" i="1"/>
  <c r="X75" i="1" s="1"/>
  <c r="T76" i="1"/>
  <c r="U76" i="1"/>
  <c r="X76" i="1" s="1"/>
  <c r="T77" i="1"/>
  <c r="U77" i="1"/>
  <c r="X77" i="1" s="1"/>
  <c r="T78" i="1"/>
  <c r="U78" i="1"/>
  <c r="X78" i="1" s="1"/>
  <c r="U40" i="1"/>
  <c r="X40" i="1" s="1"/>
  <c r="T40" i="1"/>
  <c r="H52" i="1"/>
  <c r="K52" i="1" s="1"/>
  <c r="I52" i="1"/>
  <c r="L52" i="1" s="1"/>
  <c r="H53" i="1"/>
  <c r="K53" i="1" s="1"/>
  <c r="I53" i="1"/>
  <c r="L53" i="1" s="1"/>
  <c r="H54" i="1"/>
  <c r="K54" i="1" s="1"/>
  <c r="I54" i="1"/>
  <c r="L54" i="1" s="1"/>
  <c r="H55" i="1"/>
  <c r="K55" i="1" s="1"/>
  <c r="I55" i="1"/>
  <c r="L55" i="1" s="1"/>
  <c r="H56" i="1"/>
  <c r="K56" i="1" s="1"/>
  <c r="I56" i="1"/>
  <c r="L56" i="1" s="1"/>
  <c r="H10" i="1"/>
  <c r="K10" i="1" s="1"/>
  <c r="I10" i="1"/>
  <c r="L10" i="1" s="1"/>
  <c r="H11" i="1"/>
  <c r="K11" i="1" s="1"/>
  <c r="I11" i="1"/>
  <c r="L11" i="1" s="1"/>
  <c r="H12" i="1"/>
  <c r="K12" i="1" s="1"/>
  <c r="I12" i="1"/>
  <c r="L12" i="1" s="1"/>
  <c r="H13" i="1"/>
  <c r="K13" i="1" s="1"/>
  <c r="H5" i="2" l="1"/>
  <c r="P10" i="2" s="1"/>
  <c r="P11" i="2" s="1"/>
  <c r="X37" i="2" a="1"/>
  <c r="X37" i="2" s="1"/>
  <c r="X38" i="2" s="1"/>
  <c r="Q56" i="2"/>
  <c r="W37" i="2"/>
  <c r="W38" i="2" s="1"/>
  <c r="Q55" i="2"/>
  <c r="U60" i="2" a="1"/>
  <c r="U60" i="2" s="1"/>
  <c r="V37" i="2"/>
  <c r="V38" i="2" s="1"/>
  <c r="Q80" i="2"/>
  <c r="Q102" i="2"/>
  <c r="Q54" i="2"/>
  <c r="Q79" i="2"/>
  <c r="Q78" i="2"/>
  <c r="Q77" i="2"/>
  <c r="Q104" i="2"/>
  <c r="Q128" i="2"/>
  <c r="Q103" i="2"/>
  <c r="Q127" i="2"/>
  <c r="Q125" i="2"/>
  <c r="Q101" i="2"/>
  <c r="Q53" i="2"/>
  <c r="Q126" i="2"/>
  <c r="Q136" i="2"/>
  <c r="Q112" i="2"/>
  <c r="Q88" i="2"/>
  <c r="Q99" i="2"/>
  <c r="Q75" i="2"/>
  <c r="Q134" i="2"/>
  <c r="Q110" i="2"/>
  <c r="Q86" i="2"/>
  <c r="Q121" i="2"/>
  <c r="Q97" i="2"/>
  <c r="Q73" i="2"/>
  <c r="Q69" i="2"/>
  <c r="Q124" i="2"/>
  <c r="Q100" i="2"/>
  <c r="Q76" i="2"/>
  <c r="Q111" i="2"/>
  <c r="Q87" i="2"/>
  <c r="Q63" i="2"/>
  <c r="Q98" i="2"/>
  <c r="Q74" i="2"/>
  <c r="Q133" i="2"/>
  <c r="Q109" i="2"/>
  <c r="Q85" i="2"/>
  <c r="Q61" i="2"/>
  <c r="Q49" i="2"/>
  <c r="Q132" i="2"/>
  <c r="Q120" i="2"/>
  <c r="Q108" i="2"/>
  <c r="Q96" i="2"/>
  <c r="Q84" i="2"/>
  <c r="Q72" i="2"/>
  <c r="Q60" i="2"/>
  <c r="Q48" i="2"/>
  <c r="Q137" i="2"/>
  <c r="Q68" i="2"/>
  <c r="Q93" i="2"/>
  <c r="Q122" i="2"/>
  <c r="Q131" i="2"/>
  <c r="Q119" i="2"/>
  <c r="Q107" i="2"/>
  <c r="Q95" i="2"/>
  <c r="Q83" i="2"/>
  <c r="Q71" i="2"/>
  <c r="Q59" i="2"/>
  <c r="Q47" i="2"/>
  <c r="Q117" i="2"/>
  <c r="Q67" i="2"/>
  <c r="Q44" i="2"/>
  <c r="Q40" i="2"/>
  <c r="Q50" i="2"/>
  <c r="Q91" i="2"/>
  <c r="Q105" i="2"/>
  <c r="Q130" i="2"/>
  <c r="Q118" i="2"/>
  <c r="Q106" i="2"/>
  <c r="Q94" i="2"/>
  <c r="Q82" i="2"/>
  <c r="Q70" i="2"/>
  <c r="Q58" i="2"/>
  <c r="Q46" i="2"/>
  <c r="Q116" i="2"/>
  <c r="Q66" i="2"/>
  <c r="Q92" i="2"/>
  <c r="Q90" i="2"/>
  <c r="Q89" i="2"/>
  <c r="Q81" i="2"/>
  <c r="Q113" i="2"/>
  <c r="Q57" i="2"/>
  <c r="Q64" i="2"/>
  <c r="Q39" i="2"/>
  <c r="Q38" i="2"/>
  <c r="Q115" i="2"/>
  <c r="Q65" i="2"/>
  <c r="Q52" i="2"/>
  <c r="Q135" i="2"/>
  <c r="Q51" i="2"/>
  <c r="Q62" i="2"/>
  <c r="Q43" i="2"/>
  <c r="Q42" i="2"/>
  <c r="Q41" i="2"/>
  <c r="Q123" i="2"/>
  <c r="Q114" i="2"/>
  <c r="Q45" i="2"/>
  <c r="Q129" i="2"/>
  <c r="Q37" i="2"/>
  <c r="D21" i="2"/>
  <c r="L11" i="2" s="1"/>
  <c r="D10" i="2"/>
  <c r="AB40" i="1"/>
  <c r="AB42" i="1" s="1"/>
  <c r="AA40" i="1"/>
  <c r="AD41" i="1"/>
  <c r="Q13" i="1"/>
  <c r="Q14" i="1" s="1"/>
  <c r="E20" i="2" l="1"/>
  <c r="G20" i="2" s="1"/>
  <c r="S38" i="2"/>
  <c r="E21" i="2"/>
  <c r="S21" i="2" s="1"/>
  <c r="E10" i="2"/>
  <c r="E15" i="2"/>
  <c r="E22" i="2"/>
  <c r="E18" i="2"/>
  <c r="E16" i="2"/>
  <c r="E11" i="2"/>
  <c r="E32" i="2"/>
  <c r="E19" i="2"/>
  <c r="E31" i="2"/>
  <c r="E29" i="2"/>
  <c r="E23" i="2"/>
  <c r="E14" i="2"/>
  <c r="E30" i="2"/>
  <c r="E28" i="2"/>
  <c r="E17" i="2"/>
  <c r="E13" i="2"/>
  <c r="E27" i="2"/>
  <c r="E26" i="2"/>
  <c r="E25" i="2"/>
  <c r="E24" i="2"/>
  <c r="E12" i="2"/>
  <c r="T37" i="2"/>
  <c r="T38" i="2" s="1"/>
  <c r="AD40" i="1"/>
  <c r="AD42" i="1" s="1"/>
  <c r="AA42" i="1"/>
  <c r="I13" i="1"/>
  <c r="L13" i="1" s="1"/>
  <c r="H14" i="1"/>
  <c r="K14" i="1" s="1"/>
  <c r="I14" i="1"/>
  <c r="L14" i="1" s="1"/>
  <c r="H15" i="1"/>
  <c r="K15" i="1" s="1"/>
  <c r="I15" i="1"/>
  <c r="L15" i="1" s="1"/>
  <c r="H16" i="1"/>
  <c r="K16" i="1" s="1"/>
  <c r="I16" i="1"/>
  <c r="L16" i="1" s="1"/>
  <c r="H17" i="1"/>
  <c r="K17" i="1" s="1"/>
  <c r="I17" i="1"/>
  <c r="L17" i="1" s="1"/>
  <c r="H18" i="1"/>
  <c r="K18" i="1" s="1"/>
  <c r="I18" i="1"/>
  <c r="L18" i="1" s="1"/>
  <c r="H19" i="1"/>
  <c r="K19" i="1" s="1"/>
  <c r="I19" i="1"/>
  <c r="L19" i="1" s="1"/>
  <c r="H20" i="1"/>
  <c r="K20" i="1" s="1"/>
  <c r="I20" i="1"/>
  <c r="L20" i="1" s="1"/>
  <c r="H21" i="1"/>
  <c r="K21" i="1" s="1"/>
  <c r="I21" i="1"/>
  <c r="L21" i="1" s="1"/>
  <c r="H22" i="1"/>
  <c r="K22" i="1" s="1"/>
  <c r="I22" i="1"/>
  <c r="L22" i="1" s="1"/>
  <c r="H23" i="1"/>
  <c r="K23" i="1" s="1"/>
  <c r="I23" i="1"/>
  <c r="L23" i="1" s="1"/>
  <c r="H24" i="1"/>
  <c r="K24" i="1" s="1"/>
  <c r="I24" i="1"/>
  <c r="L24" i="1" s="1"/>
  <c r="H25" i="1"/>
  <c r="K25" i="1" s="1"/>
  <c r="I25" i="1"/>
  <c r="L25" i="1" s="1"/>
  <c r="H26" i="1"/>
  <c r="K26" i="1" s="1"/>
  <c r="I26" i="1"/>
  <c r="L26" i="1" s="1"/>
  <c r="H27" i="1"/>
  <c r="K27" i="1" s="1"/>
  <c r="I27" i="1"/>
  <c r="L27" i="1" s="1"/>
  <c r="H28" i="1"/>
  <c r="K28" i="1" s="1"/>
  <c r="I28" i="1"/>
  <c r="L28" i="1" s="1"/>
  <c r="H29" i="1"/>
  <c r="K29" i="1" s="1"/>
  <c r="I29" i="1"/>
  <c r="L29" i="1" s="1"/>
  <c r="H30" i="1"/>
  <c r="K30" i="1" s="1"/>
  <c r="I30" i="1"/>
  <c r="L30" i="1" s="1"/>
  <c r="H31" i="1"/>
  <c r="K31" i="1" s="1"/>
  <c r="I31" i="1"/>
  <c r="L31" i="1" s="1"/>
  <c r="H32" i="1"/>
  <c r="K32" i="1" s="1"/>
  <c r="I32" i="1"/>
  <c r="L32" i="1" s="1"/>
  <c r="H33" i="1"/>
  <c r="K33" i="1" s="1"/>
  <c r="I33" i="1"/>
  <c r="L33" i="1" s="1"/>
  <c r="H34" i="1"/>
  <c r="K34" i="1" s="1"/>
  <c r="I34" i="1"/>
  <c r="L34" i="1" s="1"/>
  <c r="H35" i="1"/>
  <c r="K35" i="1" s="1"/>
  <c r="I35" i="1"/>
  <c r="L35" i="1" s="1"/>
  <c r="H36" i="1"/>
  <c r="K36" i="1" s="1"/>
  <c r="I36" i="1"/>
  <c r="L36" i="1" s="1"/>
  <c r="H37" i="1"/>
  <c r="K37" i="1" s="1"/>
  <c r="I37" i="1"/>
  <c r="L37" i="1" s="1"/>
  <c r="H38" i="1"/>
  <c r="K38" i="1" s="1"/>
  <c r="I38" i="1"/>
  <c r="L38" i="1" s="1"/>
  <c r="H39" i="1"/>
  <c r="K39" i="1" s="1"/>
  <c r="I39" i="1"/>
  <c r="L39" i="1" s="1"/>
  <c r="H40" i="1"/>
  <c r="K40" i="1" s="1"/>
  <c r="I40" i="1"/>
  <c r="L40" i="1" s="1"/>
  <c r="H41" i="1"/>
  <c r="K41" i="1" s="1"/>
  <c r="I41" i="1"/>
  <c r="L41" i="1" s="1"/>
  <c r="H42" i="1"/>
  <c r="K42" i="1" s="1"/>
  <c r="I42" i="1"/>
  <c r="L42" i="1" s="1"/>
  <c r="H43" i="1"/>
  <c r="K43" i="1" s="1"/>
  <c r="I43" i="1"/>
  <c r="L43" i="1" s="1"/>
  <c r="H44" i="1"/>
  <c r="K44" i="1" s="1"/>
  <c r="I44" i="1"/>
  <c r="L44" i="1" s="1"/>
  <c r="H45" i="1"/>
  <c r="K45" i="1" s="1"/>
  <c r="I45" i="1"/>
  <c r="L45" i="1" s="1"/>
  <c r="H46" i="1"/>
  <c r="K46" i="1" s="1"/>
  <c r="I46" i="1"/>
  <c r="L46" i="1" s="1"/>
  <c r="H47" i="1"/>
  <c r="K47" i="1" s="1"/>
  <c r="I47" i="1"/>
  <c r="L47" i="1" s="1"/>
  <c r="H48" i="1"/>
  <c r="K48" i="1" s="1"/>
  <c r="I48" i="1"/>
  <c r="L48" i="1" s="1"/>
  <c r="H49" i="1"/>
  <c r="K49" i="1" s="1"/>
  <c r="I49" i="1"/>
  <c r="L49" i="1" s="1"/>
  <c r="H50" i="1"/>
  <c r="K50" i="1" s="1"/>
  <c r="I50" i="1"/>
  <c r="L50" i="1" s="1"/>
  <c r="H51" i="1"/>
  <c r="K51" i="1" s="1"/>
  <c r="I51" i="1"/>
  <c r="L51" i="1" s="1"/>
  <c r="S20" i="2" l="1"/>
  <c r="G21" i="2"/>
  <c r="S25" i="2"/>
  <c r="G25" i="2"/>
  <c r="G14" i="2"/>
  <c r="S14" i="2"/>
  <c r="S18" i="2"/>
  <c r="G18" i="2"/>
  <c r="S26" i="2"/>
  <c r="G26" i="2"/>
  <c r="G30" i="2"/>
  <c r="S30" i="2"/>
  <c r="G31" i="2"/>
  <c r="S31" i="2"/>
  <c r="S16" i="2"/>
  <c r="G16" i="2"/>
  <c r="S22" i="2"/>
  <c r="G22" i="2"/>
  <c r="S28" i="2"/>
  <c r="G28" i="2"/>
  <c r="S19" i="2"/>
  <c r="G19" i="2"/>
  <c r="G15" i="2"/>
  <c r="S15" i="2"/>
  <c r="G13" i="2"/>
  <c r="S13" i="2"/>
  <c r="G23" i="2"/>
  <c r="S23" i="2"/>
  <c r="S10" i="2"/>
  <c r="G10" i="2"/>
  <c r="S24" i="2"/>
  <c r="G24" i="2"/>
  <c r="M10" i="2"/>
  <c r="S17" i="2"/>
  <c r="S32" i="2"/>
  <c r="G32" i="2"/>
  <c r="G12" i="2"/>
  <c r="G17" i="2" s="1"/>
  <c r="S12" i="2"/>
  <c r="G27" i="2"/>
  <c r="S27" i="2"/>
  <c r="S29" i="2"/>
  <c r="G29" i="2"/>
  <c r="G11" i="2"/>
  <c r="S11" i="2"/>
  <c r="O13" i="1"/>
  <c r="P13" i="1"/>
  <c r="P14" i="1" s="1"/>
  <c r="J10" i="2" l="1"/>
  <c r="J11" i="2" s="1"/>
  <c r="M11" i="2"/>
  <c r="N10" i="2"/>
  <c r="N11" i="2" s="1"/>
  <c r="O14" i="1"/>
  <c r="R13" i="1"/>
  <c r="R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<sst xmlns="http://schemas.openxmlformats.org/spreadsheetml/2006/main" count="352" uniqueCount="344">
  <si>
    <t>Phase</t>
  </si>
  <si>
    <t>V_RMS</t>
  </si>
  <si>
    <t>I_RMS</t>
  </si>
  <si>
    <t>Power</t>
  </si>
  <si>
    <t>%Error</t>
  </si>
  <si>
    <t>RMS Voltage: 4126 mV</t>
  </si>
  <si>
    <t>RMS Current: 2749 mA</t>
  </si>
  <si>
    <t>Ideal V&amp;Is</t>
  </si>
  <si>
    <t>Experimental V&amp;Is</t>
  </si>
  <si>
    <t>Ideal Values</t>
  </si>
  <si>
    <t>Experimental Values</t>
  </si>
  <si>
    <t>% Difference</t>
  </si>
  <si>
    <t>RMS Voltage: 1348 mV</t>
  </si>
  <si>
    <t>RMS Current: 37 mA</t>
  </si>
  <si>
    <t>Period</t>
  </si>
  <si>
    <t>Voltage</t>
  </si>
  <si>
    <t>Current</t>
  </si>
  <si>
    <t>Assuming VRMS is 14V, Rs is 0.282ohms, Rload is 26.25 ohms</t>
  </si>
  <si>
    <t>XL</t>
  </si>
  <si>
    <t>Ztotal</t>
  </si>
  <si>
    <t>Rtotal</t>
  </si>
  <si>
    <t>V_Peak_Rs</t>
  </si>
  <si>
    <t>Avg Power</t>
  </si>
  <si>
    <t>Phase method</t>
  </si>
  <si>
    <t>Ideal Power</t>
  </si>
  <si>
    <t>% Error</t>
  </si>
  <si>
    <t>slight offset</t>
  </si>
  <si>
    <t>voltages[0]</t>
  </si>
  <si>
    <t>0080015D</t>
  </si>
  <si>
    <t>voltages[1]</t>
  </si>
  <si>
    <t>0080015F</t>
  </si>
  <si>
    <t>voltages[2]</t>
  </si>
  <si>
    <t>voltages[3]</t>
  </si>
  <si>
    <t>voltages[4]</t>
  </si>
  <si>
    <t>voltages[5]</t>
  </si>
  <si>
    <t>voltages[6]</t>
  </si>
  <si>
    <t>voltages[7]</t>
  </si>
  <si>
    <t>0080016B</t>
  </si>
  <si>
    <t>voltages[8]</t>
  </si>
  <si>
    <t>0080016D</t>
  </si>
  <si>
    <t>voltages[9]</t>
  </si>
  <si>
    <t>0080016F</t>
  </si>
  <si>
    <t>voltages[10]</t>
  </si>
  <si>
    <t>voltages[11]</t>
  </si>
  <si>
    <t>voltages[12]</t>
  </si>
  <si>
    <t>voltages[13]</t>
  </si>
  <si>
    <t>voltages[14]</t>
  </si>
  <si>
    <t>voltages[15]</t>
  </si>
  <si>
    <t>0080017B</t>
  </si>
  <si>
    <t>voltages[16]</t>
  </si>
  <si>
    <t>0080017D</t>
  </si>
  <si>
    <t>voltages[17]</t>
  </si>
  <si>
    <t>0080017F</t>
  </si>
  <si>
    <t>voltages[18]</t>
  </si>
  <si>
    <t>voltages[19]</t>
  </si>
  <si>
    <t>voltages[20]</t>
  </si>
  <si>
    <t>voltages[21]</t>
  </si>
  <si>
    <t>voltages[22]</t>
  </si>
  <si>
    <t>voltages[23]</t>
  </si>
  <si>
    <t>0080018B</t>
  </si>
  <si>
    <t>voltages[24]</t>
  </si>
  <si>
    <t>0080018D</t>
  </si>
  <si>
    <t>voltages[25]</t>
  </si>
  <si>
    <t>0080018F</t>
  </si>
  <si>
    <t>voltages[26]</t>
  </si>
  <si>
    <t>voltages[27]</t>
  </si>
  <si>
    <t>voltages[28]</t>
  </si>
  <si>
    <t>voltages[29]</t>
  </si>
  <si>
    <t>voltages[30]</t>
  </si>
  <si>
    <t>voltages[31]</t>
  </si>
  <si>
    <t>0080019B</t>
  </si>
  <si>
    <t>voltages[32]</t>
  </si>
  <si>
    <t>0080019D</t>
  </si>
  <si>
    <t>voltages[33]</t>
  </si>
  <si>
    <t>0080019F</t>
  </si>
  <si>
    <t>voltages[34]</t>
  </si>
  <si>
    <t>008001A1</t>
  </si>
  <si>
    <t>voltages[35]</t>
  </si>
  <si>
    <t>008001A3</t>
  </si>
  <si>
    <t>voltages[36]</t>
  </si>
  <si>
    <t>008001A5</t>
  </si>
  <si>
    <t>voltages[37]</t>
  </si>
  <si>
    <t>008001A7</t>
  </si>
  <si>
    <t>voltages[38]</t>
  </si>
  <si>
    <t>008001A9</t>
  </si>
  <si>
    <t>voltages[39]</t>
  </si>
  <si>
    <t>008001AB</t>
  </si>
  <si>
    <t>voltages[40]</t>
  </si>
  <si>
    <t>008001AD</t>
  </si>
  <si>
    <t>voltages[41]</t>
  </si>
  <si>
    <t>008001AF</t>
  </si>
  <si>
    <t>voltages[42]</t>
  </si>
  <si>
    <t>008001B1</t>
  </si>
  <si>
    <t>voltages[43]</t>
  </si>
  <si>
    <t>008001B3</t>
  </si>
  <si>
    <t>voltages[44]</t>
  </si>
  <si>
    <t>008001B5</t>
  </si>
  <si>
    <t>voltages[45]</t>
  </si>
  <si>
    <t>008001B7</t>
  </si>
  <si>
    <t>voltages[46]</t>
  </si>
  <si>
    <t>008001B9</t>
  </si>
  <si>
    <t>voltages[47]</t>
  </si>
  <si>
    <t>008001BB</t>
  </si>
  <si>
    <t>voltages[48]</t>
  </si>
  <si>
    <t>008001BD</t>
  </si>
  <si>
    <t>voltages[49]</t>
  </si>
  <si>
    <t>008001BF</t>
  </si>
  <si>
    <t>voltages[50]</t>
  </si>
  <si>
    <t>008001C1</t>
  </si>
  <si>
    <t>voltages[51]</t>
  </si>
  <si>
    <t>008001C3</t>
  </si>
  <si>
    <t>voltages[52]</t>
  </si>
  <si>
    <t>008001C5</t>
  </si>
  <si>
    <t>voltages[53]</t>
  </si>
  <si>
    <t>008001C7</t>
  </si>
  <si>
    <t>voltages[54]</t>
  </si>
  <si>
    <t>008001C9</t>
  </si>
  <si>
    <t>voltages[55]</t>
  </si>
  <si>
    <t>008001CB</t>
  </si>
  <si>
    <t>voltages[56]</t>
  </si>
  <si>
    <t>008001CD</t>
  </si>
  <si>
    <t>voltages[57]</t>
  </si>
  <si>
    <t>008001CF</t>
  </si>
  <si>
    <t>voltages[58]</t>
  </si>
  <si>
    <t>008001D1</t>
  </si>
  <si>
    <t>voltages[59]</t>
  </si>
  <si>
    <t>008001D3</t>
  </si>
  <si>
    <t>voltages[60]</t>
  </si>
  <si>
    <t>008001D5</t>
  </si>
  <si>
    <t>voltages[61]</t>
  </si>
  <si>
    <t>008001D7</t>
  </si>
  <si>
    <t>voltages[62]</t>
  </si>
  <si>
    <t>008001D9</t>
  </si>
  <si>
    <t>voltages[63]</t>
  </si>
  <si>
    <t>008001DB</t>
  </si>
  <si>
    <t>voltages[64]</t>
  </si>
  <si>
    <t>008001DD</t>
  </si>
  <si>
    <t>voltages[65]</t>
  </si>
  <si>
    <t>008001DF</t>
  </si>
  <si>
    <t>voltages[66]</t>
  </si>
  <si>
    <t>voltages[67]</t>
  </si>
  <si>
    <t>voltages[68]</t>
  </si>
  <si>
    <t>voltages[69]</t>
  </si>
  <si>
    <t>voltages[70]</t>
  </si>
  <si>
    <t>voltages[71]</t>
  </si>
  <si>
    <t>008001EB</t>
  </si>
  <si>
    <t>voltages[72]</t>
  </si>
  <si>
    <t>008001ED</t>
  </si>
  <si>
    <t>voltages[73]</t>
  </si>
  <si>
    <t>008001EF</t>
  </si>
  <si>
    <t>voltages[74]</t>
  </si>
  <si>
    <t>008001F1</t>
  </si>
  <si>
    <t>voltages[75]</t>
  </si>
  <si>
    <t>008001F3</t>
  </si>
  <si>
    <t>voltages[76]</t>
  </si>
  <si>
    <t>008001F5</t>
  </si>
  <si>
    <t>voltages[77]</t>
  </si>
  <si>
    <t>008001F7</t>
  </si>
  <si>
    <t>voltages[78]</t>
  </si>
  <si>
    <t>008001F9</t>
  </si>
  <si>
    <t>voltages[79]</t>
  </si>
  <si>
    <t>008001FB</t>
  </si>
  <si>
    <t>voltages[80]</t>
  </si>
  <si>
    <t>008001FD</t>
  </si>
  <si>
    <t>voltages[81]</t>
  </si>
  <si>
    <t>008001FF</t>
  </si>
  <si>
    <t>voltages[82]</t>
  </si>
  <si>
    <t>voltages[83]</t>
  </si>
  <si>
    <t>voltages[84]</t>
  </si>
  <si>
    <t>voltages[85]</t>
  </si>
  <si>
    <t>voltages[86]</t>
  </si>
  <si>
    <t>voltages[87]</t>
  </si>
  <si>
    <t>0080020B</t>
  </si>
  <si>
    <t>voltages[88]</t>
  </si>
  <si>
    <t>0080020D</t>
  </si>
  <si>
    <t>voltages[89]</t>
  </si>
  <si>
    <t>0080020F</t>
  </si>
  <si>
    <t>voltages[90]</t>
  </si>
  <si>
    <t>voltages[91]</t>
  </si>
  <si>
    <t>voltages[92]</t>
  </si>
  <si>
    <t>voltages[93]</t>
  </si>
  <si>
    <t>voltages[94]</t>
  </si>
  <si>
    <t>voltages[95]</t>
  </si>
  <si>
    <t>voltages[96]</t>
  </si>
  <si>
    <t>voltages[97]</t>
  </si>
  <si>
    <t>voltages[98]</t>
  </si>
  <si>
    <t>voltages[99]</t>
  </si>
  <si>
    <t>voltages[100]</t>
  </si>
  <si>
    <t>currents[0]</t>
  </si>
  <si>
    <t>008002ED</t>
  </si>
  <si>
    <t>currents[1]</t>
  </si>
  <si>
    <t>008002EF</t>
  </si>
  <si>
    <t>currents[2]</t>
  </si>
  <si>
    <t>008002F1</t>
  </si>
  <si>
    <t>currents[3]</t>
  </si>
  <si>
    <t>008002F3</t>
  </si>
  <si>
    <t>currents[4]</t>
  </si>
  <si>
    <t>008002F5</t>
  </si>
  <si>
    <t>currents[5]</t>
  </si>
  <si>
    <t>008002F7</t>
  </si>
  <si>
    <t>currents[6]</t>
  </si>
  <si>
    <t>008002F9</t>
  </si>
  <si>
    <t>currents[7]</t>
  </si>
  <si>
    <t>008002FB</t>
  </si>
  <si>
    <t>currents[8]</t>
  </si>
  <si>
    <t>008002FD</t>
  </si>
  <si>
    <t>currents[9]</t>
  </si>
  <si>
    <t>008002FF</t>
  </si>
  <si>
    <t>currents[10]</t>
  </si>
  <si>
    <t>currents[11]</t>
  </si>
  <si>
    <t>currents[12]</t>
  </si>
  <si>
    <t>currents[13]</t>
  </si>
  <si>
    <t>currents[14]</t>
  </si>
  <si>
    <t>currents[15]</t>
  </si>
  <si>
    <t>0080030B</t>
  </si>
  <si>
    <t>currents[16]</t>
  </si>
  <si>
    <t>0080030D</t>
  </si>
  <si>
    <t>currents[17]</t>
  </si>
  <si>
    <t>0080030F</t>
  </si>
  <si>
    <t>currents[18]</t>
  </si>
  <si>
    <t>currents[19]</t>
  </si>
  <si>
    <t>currents[20]</t>
  </si>
  <si>
    <t>currents[21]</t>
  </si>
  <si>
    <t>currents[22]</t>
  </si>
  <si>
    <t>currents[23]</t>
  </si>
  <si>
    <t>0080031B</t>
  </si>
  <si>
    <t>currents[24]</t>
  </si>
  <si>
    <t>0080031D</t>
  </si>
  <si>
    <t>currents[25]</t>
  </si>
  <si>
    <t>0080031F</t>
  </si>
  <si>
    <t>currents[26]</t>
  </si>
  <si>
    <t>currents[27]</t>
  </si>
  <si>
    <t>currents[28]</t>
  </si>
  <si>
    <t>currents[29]</t>
  </si>
  <si>
    <t>currents[30]</t>
  </si>
  <si>
    <t>currents[31]</t>
  </si>
  <si>
    <t>0080032B</t>
  </si>
  <si>
    <t>currents[32]</t>
  </si>
  <si>
    <t>0080032D</t>
  </si>
  <si>
    <t>currents[33]</t>
  </si>
  <si>
    <t>0080032F</t>
  </si>
  <si>
    <t>currents[34]</t>
  </si>
  <si>
    <t>currents[35]</t>
  </si>
  <si>
    <t>currents[36]</t>
  </si>
  <si>
    <t>currents[37]</t>
  </si>
  <si>
    <t>currents[38]</t>
  </si>
  <si>
    <t>currents[39]</t>
  </si>
  <si>
    <t>0080033B</t>
  </si>
  <si>
    <t>currents[40]</t>
  </si>
  <si>
    <t>0080033D</t>
  </si>
  <si>
    <t>currents[41]</t>
  </si>
  <si>
    <t>0080033F</t>
  </si>
  <si>
    <t>currents[42]</t>
  </si>
  <si>
    <t>currents[43]</t>
  </si>
  <si>
    <t>currents[44]</t>
  </si>
  <si>
    <t>currents[45]</t>
  </si>
  <si>
    <t>currents[46]</t>
  </si>
  <si>
    <t>currents[47]</t>
  </si>
  <si>
    <t>0080034B</t>
  </si>
  <si>
    <t>currents[48]</t>
  </si>
  <si>
    <t>0080034D</t>
  </si>
  <si>
    <t>currents[49]</t>
  </si>
  <si>
    <t>0080034F</t>
  </si>
  <si>
    <t>currents[50]</t>
  </si>
  <si>
    <t>currents[51]</t>
  </si>
  <si>
    <t>currents[52]</t>
  </si>
  <si>
    <t>currents[53]</t>
  </si>
  <si>
    <t>currents[54]</t>
  </si>
  <si>
    <t>currents[55]</t>
  </si>
  <si>
    <t>0080035B</t>
  </si>
  <si>
    <t>currents[56]</t>
  </si>
  <si>
    <t>0080035D</t>
  </si>
  <si>
    <t>currents[57]</t>
  </si>
  <si>
    <t>0080035F</t>
  </si>
  <si>
    <t>currents[58]</t>
  </si>
  <si>
    <t>currents[59]</t>
  </si>
  <si>
    <t>currents[60]</t>
  </si>
  <si>
    <t>currents[61]</t>
  </si>
  <si>
    <t>currents[62]</t>
  </si>
  <si>
    <t>currents[63]</t>
  </si>
  <si>
    <t>0080036B</t>
  </si>
  <si>
    <t>currents[64]</t>
  </si>
  <si>
    <t>0080036D</t>
  </si>
  <si>
    <t>currents[65]</t>
  </si>
  <si>
    <t>0080036F</t>
  </si>
  <si>
    <t>currents[66]</t>
  </si>
  <si>
    <t>currents[67]</t>
  </si>
  <si>
    <t>currents[68]</t>
  </si>
  <si>
    <t>currents[69]</t>
  </si>
  <si>
    <t>currents[70]</t>
  </si>
  <si>
    <t>currents[71]</t>
  </si>
  <si>
    <t>0080037B</t>
  </si>
  <si>
    <t>currents[72]</t>
  </si>
  <si>
    <t>0080037D</t>
  </si>
  <si>
    <t>currents[73]</t>
  </si>
  <si>
    <t>0080037F</t>
  </si>
  <si>
    <t>currents[74]</t>
  </si>
  <si>
    <t>currents[75]</t>
  </si>
  <si>
    <t>currents[76]</t>
  </si>
  <si>
    <t>currents[77]</t>
  </si>
  <si>
    <t>currents[78]</t>
  </si>
  <si>
    <t>currents[79]</t>
  </si>
  <si>
    <t>0080038B</t>
  </si>
  <si>
    <t>currents[80]</t>
  </si>
  <si>
    <t>0080038D</t>
  </si>
  <si>
    <t>currents[81]</t>
  </si>
  <si>
    <t>0080038F</t>
  </si>
  <si>
    <t>currents[82]</t>
  </si>
  <si>
    <t>currents[83]</t>
  </si>
  <si>
    <t>currents[84]</t>
  </si>
  <si>
    <t>currents[85]</t>
  </si>
  <si>
    <t>currents[86]</t>
  </si>
  <si>
    <t>currents[87]</t>
  </si>
  <si>
    <t>0080039B</t>
  </si>
  <si>
    <t>currents[88]</t>
  </si>
  <si>
    <t>0080039D</t>
  </si>
  <si>
    <t>currents[89]</t>
  </si>
  <si>
    <t>0080039F</t>
  </si>
  <si>
    <t>currents[90]</t>
  </si>
  <si>
    <t>008003A1</t>
  </si>
  <si>
    <t>currents[91]</t>
  </si>
  <si>
    <t>008003A3</t>
  </si>
  <si>
    <t>currents[92]</t>
  </si>
  <si>
    <t>008003A5</t>
  </si>
  <si>
    <t>currents[93]</t>
  </si>
  <si>
    <t>008003A7</t>
  </si>
  <si>
    <t>currents[94]</t>
  </si>
  <si>
    <t>008003A9</t>
  </si>
  <si>
    <t>currents[95]</t>
  </si>
  <si>
    <t>currents[96]</t>
  </si>
  <si>
    <t>currents[97]</t>
  </si>
  <si>
    <t>currents[98]</t>
  </si>
  <si>
    <t>currents[99]</t>
  </si>
  <si>
    <t>currents[100]</t>
  </si>
  <si>
    <t>V readings</t>
  </si>
  <si>
    <t>Scaled back to origin</t>
  </si>
  <si>
    <t>Average Power</t>
  </si>
  <si>
    <t>%</t>
  </si>
  <si>
    <t>0080015B</t>
  </si>
  <si>
    <t>008002EB</t>
  </si>
  <si>
    <t>RMS Values</t>
  </si>
  <si>
    <t>V</t>
  </si>
  <si>
    <t>I</t>
  </si>
  <si>
    <t>Peak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</si>
</sst>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Sheet1!$H$10:$H$56</c:f>
              <c:numCache>
                <c:formatCode>General</c:formatCode>
                <c:ptCount val="47"/>
                <c:pt idx="0">
                  <c:v>1.9384765625</c:v>
                </c:pt>
                <c:pt idx="1">
                  <c:v>3.1494140625</c:v>
                </c:pt>
                <c:pt idx="2">
                  <c:v>4.130859375</c:v>
                </c:pt>
                <c:pt idx="3">
                  <c:v>4.4921875</c:v>
                </c:pt>
                <c:pt idx="4">
                  <c:v>4.091796875</c:v>
                </c:pt>
                <c:pt idx="5">
                  <c:v>3.0859375</c:v>
                </c:pt>
                <c:pt idx="6">
                  <c:v>1.8505859375</c:v>
                </c:pt>
                <c:pt idx="7">
                  <c:v>0.8642578125</c:v>
                </c:pt>
                <c:pt idx="8">
                  <c:v>0.5126953125</c:v>
                </c:pt>
                <c:pt idx="9">
                  <c:v>0.908203125</c:v>
                </c:pt>
                <c:pt idx="10">
                  <c:v>1.865234375</c:v>
                </c:pt>
                <c:pt idx="11">
                  <c:v>3.0810546875</c:v>
                </c:pt>
                <c:pt idx="12">
                  <c:v>4.0869140625</c:v>
                </c:pt>
                <c:pt idx="13">
                  <c:v>4.4873046875</c:v>
                </c:pt>
                <c:pt idx="14">
                  <c:v>4.1357421875</c:v>
                </c:pt>
                <c:pt idx="15">
                  <c:v>3.1591796875</c:v>
                </c:pt>
                <c:pt idx="16">
                  <c:v>1.923828125</c:v>
                </c:pt>
                <c:pt idx="17">
                  <c:v>0.908203125</c:v>
                </c:pt>
                <c:pt idx="18">
                  <c:v>0.5078125</c:v>
                </c:pt>
                <c:pt idx="19">
                  <c:v>0.859375</c:v>
                </c:pt>
                <c:pt idx="20">
                  <c:v>1.796875</c:v>
                </c:pt>
                <c:pt idx="21">
                  <c:v>3.0078125</c:v>
                </c:pt>
                <c:pt idx="22">
                  <c:v>4.04296875</c:v>
                </c:pt>
                <c:pt idx="23">
                  <c:v>4.4873046875</c:v>
                </c:pt>
                <c:pt idx="24">
                  <c:v>4.1748046875</c:v>
                </c:pt>
                <c:pt idx="25">
                  <c:v>3.22265625</c:v>
                </c:pt>
                <c:pt idx="26">
                  <c:v>1.9921875</c:v>
                </c:pt>
                <c:pt idx="27">
                  <c:v>0.9521484375</c:v>
                </c:pt>
                <c:pt idx="28">
                  <c:v>0.5029296875</c:v>
                </c:pt>
                <c:pt idx="29">
                  <c:v>0.8203125</c:v>
                </c:pt>
                <c:pt idx="30">
                  <c:v>1.77734375</c:v>
                </c:pt>
                <c:pt idx="31">
                  <c:v>3.0078125</c:v>
                </c:pt>
                <c:pt idx="32">
                  <c:v>4.0380859375</c:v>
                </c:pt>
                <c:pt idx="33">
                  <c:v>4.4873046875</c:v>
                </c:pt>
                <c:pt idx="34">
                  <c:v>4.1748046875</c:v>
                </c:pt>
                <c:pt idx="35">
                  <c:v>3.22265625</c:v>
                </c:pt>
                <c:pt idx="36">
                  <c:v>1.9921875</c:v>
                </c:pt>
                <c:pt idx="37">
                  <c:v>0.9521484375</c:v>
                </c:pt>
                <c:pt idx="38">
                  <c:v>0.5029296875</c:v>
                </c:pt>
                <c:pt idx="39">
                  <c:v>0.8203125</c:v>
                </c:pt>
                <c:pt idx="40">
                  <c:v>1.77734375</c:v>
                </c:pt>
                <c:pt idx="41">
                  <c:v>3.0078125</c:v>
                </c:pt>
                <c:pt idx="42">
                  <c:v>4.0478515625</c:v>
                </c:pt>
                <c:pt idx="43">
                  <c:v>4.4921875</c:v>
                </c:pt>
                <c:pt idx="44">
                  <c:v>4.1796875</c:v>
                </c:pt>
                <c:pt idx="45">
                  <c:v>3.22265625</c:v>
                </c:pt>
                <c:pt idx="46">
                  <c:v>1.9921875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F-4B76-8E4D-8F1E2DA08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Sheet1!$I$10:$I$56</c:f>
              <c:numCache>
                <c:formatCode>General</c:formatCode>
                <c:ptCount val="47"/>
                <c:pt idx="0">
                  <c:v>3.0126953125</c:v>
                </c:pt>
                <c:pt idx="1">
                  <c:v>3.41796875</c:v>
                </c:pt>
                <c:pt idx="2">
                  <c:v>3.4716796875</c:v>
                </c:pt>
                <c:pt idx="3">
                  <c:v>3.154296875</c:v>
                </c:pt>
                <c:pt idx="4">
                  <c:v>2.587890625</c:v>
                </c:pt>
                <c:pt idx="5">
                  <c:v>1.9873046875</c:v>
                </c:pt>
                <c:pt idx="6">
                  <c:v>1.58203125</c:v>
                </c:pt>
                <c:pt idx="7">
                  <c:v>1.5283203125</c:v>
                </c:pt>
                <c:pt idx="8">
                  <c:v>1.845703125</c:v>
                </c:pt>
                <c:pt idx="9">
                  <c:v>2.412109375</c:v>
                </c:pt>
                <c:pt idx="10">
                  <c:v>2.9833984375</c:v>
                </c:pt>
                <c:pt idx="11">
                  <c:v>3.4033203125</c:v>
                </c:pt>
                <c:pt idx="12">
                  <c:v>3.4814453125</c:v>
                </c:pt>
                <c:pt idx="13">
                  <c:v>3.18359375</c:v>
                </c:pt>
                <c:pt idx="14">
                  <c:v>2.626953125</c:v>
                </c:pt>
                <c:pt idx="15">
                  <c:v>2.0166015625</c:v>
                </c:pt>
                <c:pt idx="16">
                  <c:v>1.5966796875</c:v>
                </c:pt>
                <c:pt idx="17">
                  <c:v>1.5234375</c:v>
                </c:pt>
                <c:pt idx="18">
                  <c:v>1.8212890625</c:v>
                </c:pt>
                <c:pt idx="19">
                  <c:v>2.373046875</c:v>
                </c:pt>
                <c:pt idx="20">
                  <c:v>2.94921875</c:v>
                </c:pt>
                <c:pt idx="21">
                  <c:v>3.388671875</c:v>
                </c:pt>
                <c:pt idx="22">
                  <c:v>3.486328125</c:v>
                </c:pt>
                <c:pt idx="23">
                  <c:v>3.2080078125</c:v>
                </c:pt>
                <c:pt idx="24">
                  <c:v>2.6611328125</c:v>
                </c:pt>
                <c:pt idx="25">
                  <c:v>2.05078125</c:v>
                </c:pt>
                <c:pt idx="26">
                  <c:v>1.611328125</c:v>
                </c:pt>
                <c:pt idx="27">
                  <c:v>1.5185546875</c:v>
                </c:pt>
                <c:pt idx="28">
                  <c:v>1.7919921875</c:v>
                </c:pt>
                <c:pt idx="29">
                  <c:v>2.3388671875</c:v>
                </c:pt>
                <c:pt idx="30">
                  <c:v>2.94921875</c:v>
                </c:pt>
                <c:pt idx="31">
                  <c:v>3.388671875</c:v>
                </c:pt>
                <c:pt idx="32">
                  <c:v>3.486328125</c:v>
                </c:pt>
                <c:pt idx="33">
                  <c:v>3.2080078125</c:v>
                </c:pt>
                <c:pt idx="34">
                  <c:v>2.6611328125</c:v>
                </c:pt>
                <c:pt idx="35">
                  <c:v>2.05078125</c:v>
                </c:pt>
                <c:pt idx="36">
                  <c:v>1.611328125</c:v>
                </c:pt>
                <c:pt idx="37">
                  <c:v>1.5185546875</c:v>
                </c:pt>
                <c:pt idx="38">
                  <c:v>1.7919921875</c:v>
                </c:pt>
                <c:pt idx="39">
                  <c:v>2.3388671875</c:v>
                </c:pt>
                <c:pt idx="40">
                  <c:v>2.94921875</c:v>
                </c:pt>
                <c:pt idx="41">
                  <c:v>3.388671875</c:v>
                </c:pt>
                <c:pt idx="42">
                  <c:v>3.4814453125</c:v>
                </c:pt>
                <c:pt idx="43">
                  <c:v>3.2080078125</c:v>
                </c:pt>
                <c:pt idx="44">
                  <c:v>2.6611328125</c:v>
                </c:pt>
                <c:pt idx="45">
                  <c:v>2.05078125</c:v>
                </c:pt>
                <c:pt idx="46">
                  <c:v>1.611328125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F-4B76-8E4D-8F1E2DA0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575519"/>
        <c:axId val="821577919"/>
      </c:lineChart>
      <c:catAx>
        <c:axId val="82157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7919"/>
        <c:crosses val="autoZero"/>
        <c:auto val="1"/>
        <c:lblAlgn val="ctr"/>
        <c:lblOffset val="100"/>
        <c:noMultiLvlLbl val="0"/>
      </c:catAx>
      <c:valAx>
        <c:axId val="8215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7551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Sheet1!$K$10:$K$56</c:f>
              <c:numCache>
                <c:formatCode>General</c:formatCode>
                <c:ptCount val="47"/>
                <c:pt idx="0">
                  <c:v>-7.91748046875</c:v>
                </c:pt>
                <c:pt idx="1">
                  <c:v>9.15673828125</c:v>
                </c:pt>
                <c:pt idx="2">
                  <c:v>22.9951171875</c:v>
                </c:pt>
                <c:pt idx="3">
                  <c:v>28.08984375</c:v>
                </c:pt>
                <c:pt idx="4">
                  <c:v>22.4443359375</c:v>
                </c:pt>
                <c:pt idx="5">
                  <c:v>8.26171875</c:v>
                </c:pt>
                <c:pt idx="6">
                  <c:v>-9.15673828125</c:v>
                </c:pt>
                <c:pt idx="7">
                  <c:v>-23.06396484375</c:v>
                </c:pt>
                <c:pt idx="8">
                  <c:v>-28.02099609375</c:v>
                </c:pt>
                <c:pt idx="9">
                  <c:v>-22.4443359375</c:v>
                </c:pt>
                <c:pt idx="10">
                  <c:v>-8.9501953125</c:v>
                </c:pt>
                <c:pt idx="11">
                  <c:v>8.19287109375</c:v>
                </c:pt>
                <c:pt idx="12">
                  <c:v>22.37548828125</c:v>
                </c:pt>
                <c:pt idx="13">
                  <c:v>28.02099609375</c:v>
                </c:pt>
                <c:pt idx="14">
                  <c:v>23.06396484375</c:v>
                </c:pt>
                <c:pt idx="15">
                  <c:v>9.29443359375</c:v>
                </c:pt>
                <c:pt idx="16">
                  <c:v>-8.1240234375</c:v>
                </c:pt>
                <c:pt idx="17">
                  <c:v>-22.4443359375</c:v>
                </c:pt>
                <c:pt idx="18">
                  <c:v>-28.08984375</c:v>
                </c:pt>
                <c:pt idx="19">
                  <c:v>-23.1328125</c:v>
                </c:pt>
                <c:pt idx="20">
                  <c:v>-9.9140625</c:v>
                </c:pt>
                <c:pt idx="21">
                  <c:v>7.16015625</c:v>
                </c:pt>
                <c:pt idx="22">
                  <c:v>21.755859375</c:v>
                </c:pt>
                <c:pt idx="23">
                  <c:v>28.02099609375</c:v>
                </c:pt>
                <c:pt idx="24">
                  <c:v>23.61474609375</c:v>
                </c:pt>
                <c:pt idx="25">
                  <c:v>10.189453125</c:v>
                </c:pt>
                <c:pt idx="26">
                  <c:v>-7.16015625</c:v>
                </c:pt>
                <c:pt idx="27">
                  <c:v>-21.82470703125</c:v>
                </c:pt>
                <c:pt idx="28">
                  <c:v>-28.15869140625</c:v>
                </c:pt>
                <c:pt idx="29">
                  <c:v>-23.68359375</c:v>
                </c:pt>
                <c:pt idx="30">
                  <c:v>-10.189453125</c:v>
                </c:pt>
                <c:pt idx="31">
                  <c:v>7.16015625</c:v>
                </c:pt>
                <c:pt idx="32">
                  <c:v>21.68701171875</c:v>
                </c:pt>
                <c:pt idx="33">
                  <c:v>28.02099609375</c:v>
                </c:pt>
                <c:pt idx="34">
                  <c:v>23.61474609375</c:v>
                </c:pt>
                <c:pt idx="35">
                  <c:v>10.189453125</c:v>
                </c:pt>
                <c:pt idx="36">
                  <c:v>-7.16015625</c:v>
                </c:pt>
                <c:pt idx="37">
                  <c:v>-21.82470703125</c:v>
                </c:pt>
                <c:pt idx="38">
                  <c:v>-28.15869140625</c:v>
                </c:pt>
                <c:pt idx="39">
                  <c:v>-23.68359375</c:v>
                </c:pt>
                <c:pt idx="40">
                  <c:v>-10.189453125</c:v>
                </c:pt>
                <c:pt idx="41">
                  <c:v>7.16015625</c:v>
                </c:pt>
                <c:pt idx="42">
                  <c:v>21.82470703125</c:v>
                </c:pt>
                <c:pt idx="43">
                  <c:v>28.08984375</c:v>
                </c:pt>
                <c:pt idx="44">
                  <c:v>23.68359375</c:v>
                </c:pt>
                <c:pt idx="45">
                  <c:v>10.189453125</c:v>
                </c:pt>
                <c:pt idx="46">
                  <c:v>-7.16015625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8-41F2-ABBD-B6B76E8755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Sheet1!$L$10:$L$56</c:f>
              <c:numCache>
                <c:formatCode>General</c:formatCode>
                <c:ptCount val="47"/>
                <c:pt idx="0">
                  <c:v>1.025390625</c:v>
                </c:pt>
                <c:pt idx="1">
                  <c:v>1.8359375</c:v>
                </c:pt>
                <c:pt idx="2">
                  <c:v>1.943359375</c:v>
                </c:pt>
                <c:pt idx="3">
                  <c:v>1.30859375</c:v>
                </c:pt>
                <c:pt idx="4">
                  <c:v>0.17578125</c:v>
                </c:pt>
                <c:pt idx="5">
                  <c:v>-1.025390625</c:v>
                </c:pt>
                <c:pt idx="6">
                  <c:v>-1.8359375</c:v>
                </c:pt>
                <c:pt idx="7">
                  <c:v>-1.943359375</c:v>
                </c:pt>
                <c:pt idx="8">
                  <c:v>-1.30859375</c:v>
                </c:pt>
                <c:pt idx="9">
                  <c:v>-0.17578125</c:v>
                </c:pt>
                <c:pt idx="10">
                  <c:v>0.966796875</c:v>
                </c:pt>
                <c:pt idx="11">
                  <c:v>1.806640625</c:v>
                </c:pt>
                <c:pt idx="12">
                  <c:v>1.962890625</c:v>
                </c:pt>
                <c:pt idx="13">
                  <c:v>1.3671875</c:v>
                </c:pt>
                <c:pt idx="14">
                  <c:v>0.25390625</c:v>
                </c:pt>
                <c:pt idx="15">
                  <c:v>-0.966796875</c:v>
                </c:pt>
                <c:pt idx="16">
                  <c:v>-1.806640625</c:v>
                </c:pt>
                <c:pt idx="17">
                  <c:v>-1.953125</c:v>
                </c:pt>
                <c:pt idx="18">
                  <c:v>-1.357421875</c:v>
                </c:pt>
                <c:pt idx="19">
                  <c:v>-0.25390625</c:v>
                </c:pt>
                <c:pt idx="20">
                  <c:v>0.8984375</c:v>
                </c:pt>
                <c:pt idx="21">
                  <c:v>1.77734375</c:v>
                </c:pt>
                <c:pt idx="22">
                  <c:v>1.97265625</c:v>
                </c:pt>
                <c:pt idx="23">
                  <c:v>1.416015625</c:v>
                </c:pt>
                <c:pt idx="24">
                  <c:v>0.322265625</c:v>
                </c:pt>
                <c:pt idx="25">
                  <c:v>-0.8984375</c:v>
                </c:pt>
                <c:pt idx="26">
                  <c:v>-1.77734375</c:v>
                </c:pt>
                <c:pt idx="27">
                  <c:v>-1.962890625</c:v>
                </c:pt>
                <c:pt idx="28">
                  <c:v>-1.416015625</c:v>
                </c:pt>
                <c:pt idx="29">
                  <c:v>-0.322265625</c:v>
                </c:pt>
                <c:pt idx="30">
                  <c:v>0.8984375</c:v>
                </c:pt>
                <c:pt idx="31">
                  <c:v>1.77734375</c:v>
                </c:pt>
                <c:pt idx="32">
                  <c:v>1.97265625</c:v>
                </c:pt>
                <c:pt idx="33">
                  <c:v>1.416015625</c:v>
                </c:pt>
                <c:pt idx="34">
                  <c:v>0.322265625</c:v>
                </c:pt>
                <c:pt idx="35">
                  <c:v>-0.8984375</c:v>
                </c:pt>
                <c:pt idx="36">
                  <c:v>-1.77734375</c:v>
                </c:pt>
                <c:pt idx="37">
                  <c:v>-1.962890625</c:v>
                </c:pt>
                <c:pt idx="38">
                  <c:v>-1.416015625</c:v>
                </c:pt>
                <c:pt idx="39">
                  <c:v>-0.322265625</c:v>
                </c:pt>
                <c:pt idx="40">
                  <c:v>0.8984375</c:v>
                </c:pt>
                <c:pt idx="41">
                  <c:v>1.77734375</c:v>
                </c:pt>
                <c:pt idx="42">
                  <c:v>1.962890625</c:v>
                </c:pt>
                <c:pt idx="43">
                  <c:v>1.416015625</c:v>
                </c:pt>
                <c:pt idx="44">
                  <c:v>0.322265625</c:v>
                </c:pt>
                <c:pt idx="45">
                  <c:v>-0.8984375</c:v>
                </c:pt>
                <c:pt idx="46">
                  <c:v>-1.77734375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8-41F2-ABBD-B6B76E875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81631"/>
        <c:axId val="134582111"/>
      </c:lineChart>
      <c:catAx>
        <c:axId val="13458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111"/>
        <c:crosses val="autoZero"/>
        <c:auto val="1"/>
        <c:lblAlgn val="ctr"/>
        <c:lblOffset val="100"/>
        <c:noMultiLvlLbl val="0"/>
      </c:catAx>
      <c:valAx>
        <c:axId val="1345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Sheet1!$T$40:$T$88</c:f>
              <c:numCache>
                <c:formatCode>General</c:formatCode>
                <c:ptCount val="49"/>
                <c:pt idx="0">
                  <c:v>2.724609375</c:v>
                </c:pt>
                <c:pt idx="1">
                  <c:v>3.1787109375</c:v>
                </c:pt>
                <c:pt idx="2">
                  <c:v>3.359375</c:v>
                </c:pt>
                <c:pt idx="3">
                  <c:v>3.212890625</c:v>
                </c:pt>
                <c:pt idx="4">
                  <c:v>2.79296875</c:v>
                </c:pt>
                <c:pt idx="5">
                  <c:v>2.265625</c:v>
                </c:pt>
                <c:pt idx="6">
                  <c:v>1.826171875</c:v>
                </c:pt>
                <c:pt idx="7">
                  <c:v>1.640625</c:v>
                </c:pt>
                <c:pt idx="8">
                  <c:v>1.787109375</c:v>
                </c:pt>
                <c:pt idx="9">
                  <c:v>2.20703125</c:v>
                </c:pt>
                <c:pt idx="10">
                  <c:v>2.841796875</c:v>
                </c:pt>
                <c:pt idx="11">
                  <c:v>3.2275390625</c:v>
                </c:pt>
                <c:pt idx="12">
                  <c:v>3.3544921875</c:v>
                </c:pt>
                <c:pt idx="13">
                  <c:v>3.154296875</c:v>
                </c:pt>
                <c:pt idx="14">
                  <c:v>2.705078125</c:v>
                </c:pt>
                <c:pt idx="15">
                  <c:v>2.177734375</c:v>
                </c:pt>
                <c:pt idx="16">
                  <c:v>1.7724609375</c:v>
                </c:pt>
                <c:pt idx="17">
                  <c:v>1.6455078125</c:v>
                </c:pt>
                <c:pt idx="18">
                  <c:v>1.845703125</c:v>
                </c:pt>
                <c:pt idx="19">
                  <c:v>2.294921875</c:v>
                </c:pt>
                <c:pt idx="20">
                  <c:v>2.919921875</c:v>
                </c:pt>
                <c:pt idx="21">
                  <c:v>3.28125</c:v>
                </c:pt>
                <c:pt idx="22">
                  <c:v>3.33984375</c:v>
                </c:pt>
                <c:pt idx="23">
                  <c:v>3.0810546875</c:v>
                </c:pt>
                <c:pt idx="24">
                  <c:v>2.6025390625</c:v>
                </c:pt>
                <c:pt idx="25">
                  <c:v>2.080078125</c:v>
                </c:pt>
                <c:pt idx="26">
                  <c:v>1.7236328125</c:v>
                </c:pt>
                <c:pt idx="27">
                  <c:v>1.6552734375</c:v>
                </c:pt>
                <c:pt idx="28">
                  <c:v>1.9140625</c:v>
                </c:pt>
                <c:pt idx="29">
                  <c:v>2.3974609375</c:v>
                </c:pt>
                <c:pt idx="30">
                  <c:v>2.98828125</c:v>
                </c:pt>
                <c:pt idx="31">
                  <c:v>3.310546875</c:v>
                </c:pt>
                <c:pt idx="32">
                  <c:v>3.3203125</c:v>
                </c:pt>
                <c:pt idx="33">
                  <c:v>3.0224609375</c:v>
                </c:pt>
                <c:pt idx="34">
                  <c:v>2.51953125</c:v>
                </c:pt>
                <c:pt idx="35">
                  <c:v>2.01171875</c:v>
                </c:pt>
                <c:pt idx="36">
                  <c:v>1.689453125</c:v>
                </c:pt>
                <c:pt idx="37">
                  <c:v>1.6748046875</c:v>
                </c:pt>
                <c:pt idx="38">
                  <c:v>1.9775390625</c:v>
                </c:pt>
                <c:pt idx="39">
                  <c:v>2.6806640625</c:v>
                </c:pt>
                <c:pt idx="40">
                  <c:v>3.1298828125</c:v>
                </c:pt>
                <c:pt idx="41">
                  <c:v>3.349609375</c:v>
                </c:pt>
                <c:pt idx="42">
                  <c:v>3.2470703125</c:v>
                </c:pt>
                <c:pt idx="43">
                  <c:v>2.861328125</c:v>
                </c:pt>
                <c:pt idx="44">
                  <c:v>2.333984375</c:v>
                </c:pt>
                <c:pt idx="45">
                  <c:v>1.8701171875</c:v>
                </c:pt>
                <c:pt idx="46">
                  <c:v>1.6455078125</c:v>
                </c:pt>
                <c:pt idx="47">
                  <c:v>1.748046875</c:v>
                </c:pt>
                <c:pt idx="48">
                  <c:v>2.138671875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27B-B633-6EB14C9B261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Sheet1!$U$40:$U$88</c:f>
              <c:numCache>
                <c:formatCode>General</c:formatCode>
                <c:ptCount val="49"/>
                <c:pt idx="0">
                  <c:v>2.607421875</c:v>
                </c:pt>
                <c:pt idx="1">
                  <c:v>3.017578125</c:v>
                </c:pt>
                <c:pt idx="2">
                  <c:v>3.2275390625</c:v>
                </c:pt>
                <c:pt idx="3">
                  <c:v>3.1591796875</c:v>
                </c:pt>
                <c:pt idx="4">
                  <c:v>2.841796875</c:v>
                </c:pt>
                <c:pt idx="5">
                  <c:v>2.392578125</c:v>
                </c:pt>
                <c:pt idx="6">
                  <c:v>1.982421875</c:v>
                </c:pt>
                <c:pt idx="7">
                  <c:v>1.7724609375</c:v>
                </c:pt>
                <c:pt idx="8">
                  <c:v>1.8408203125</c:v>
                </c:pt>
                <c:pt idx="9">
                  <c:v>2.158203125</c:v>
                </c:pt>
                <c:pt idx="10">
                  <c:v>2.6904296875</c:v>
                </c:pt>
                <c:pt idx="11">
                  <c:v>3.0712890625</c:v>
                </c:pt>
                <c:pt idx="12">
                  <c:v>3.2373046875</c:v>
                </c:pt>
                <c:pt idx="13">
                  <c:v>3.125</c:v>
                </c:pt>
                <c:pt idx="14">
                  <c:v>2.7685546875</c:v>
                </c:pt>
                <c:pt idx="15">
                  <c:v>2.3095703125</c:v>
                </c:pt>
                <c:pt idx="16">
                  <c:v>1.9287109375</c:v>
                </c:pt>
                <c:pt idx="17">
                  <c:v>1.7626953125</c:v>
                </c:pt>
                <c:pt idx="18">
                  <c:v>1.8798828125</c:v>
                </c:pt>
                <c:pt idx="19">
                  <c:v>2.3291015625</c:v>
                </c:pt>
                <c:pt idx="20">
                  <c:v>2.7734375</c:v>
                </c:pt>
                <c:pt idx="21">
                  <c:v>3.125</c:v>
                </c:pt>
                <c:pt idx="22">
                  <c:v>3.2373046875</c:v>
                </c:pt>
                <c:pt idx="23">
                  <c:v>3.0712890625</c:v>
                </c:pt>
                <c:pt idx="24">
                  <c:v>2.685546875</c:v>
                </c:pt>
                <c:pt idx="25">
                  <c:v>2.2265625</c:v>
                </c:pt>
                <c:pt idx="26">
                  <c:v>1.875</c:v>
                </c:pt>
                <c:pt idx="27">
                  <c:v>1.7626953125</c:v>
                </c:pt>
                <c:pt idx="28">
                  <c:v>1.9287109375</c:v>
                </c:pt>
                <c:pt idx="29">
                  <c:v>2.40234375</c:v>
                </c:pt>
                <c:pt idx="30">
                  <c:v>2.8369140625</c:v>
                </c:pt>
                <c:pt idx="31">
                  <c:v>3.1591796875</c:v>
                </c:pt>
                <c:pt idx="32">
                  <c:v>3.232421875</c:v>
                </c:pt>
                <c:pt idx="33">
                  <c:v>3.0224609375</c:v>
                </c:pt>
                <c:pt idx="34">
                  <c:v>2.6123046875</c:v>
                </c:pt>
                <c:pt idx="35">
                  <c:v>2.158203125</c:v>
                </c:pt>
                <c:pt idx="36">
                  <c:v>1.8359375</c:v>
                </c:pt>
                <c:pt idx="37">
                  <c:v>1.7724609375</c:v>
                </c:pt>
                <c:pt idx="38">
                  <c:v>1.982421875</c:v>
                </c:pt>
                <c:pt idx="39">
                  <c:v>2.548828125</c:v>
                </c:pt>
                <c:pt idx="40">
                  <c:v>2.96875</c:v>
                </c:pt>
                <c:pt idx="41">
                  <c:v>3.212890625</c:v>
                </c:pt>
                <c:pt idx="42">
                  <c:v>3.1884765625</c:v>
                </c:pt>
                <c:pt idx="43">
                  <c:v>2.8955078125</c:v>
                </c:pt>
                <c:pt idx="44">
                  <c:v>2.451171875</c:v>
                </c:pt>
                <c:pt idx="45">
                  <c:v>2.0263671875</c:v>
                </c:pt>
                <c:pt idx="46">
                  <c:v>1.787109375</c:v>
                </c:pt>
                <c:pt idx="47">
                  <c:v>1.8115234375</c:v>
                </c:pt>
                <c:pt idx="48">
                  <c:v>2.1044921875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27B-B633-6EB14C9B2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571087"/>
        <c:axId val="873571567"/>
      </c:lineChart>
      <c:catAx>
        <c:axId val="87357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567"/>
        <c:crosses val="autoZero"/>
        <c:auto val="1"/>
        <c:lblAlgn val="ctr"/>
        <c:lblOffset val="100"/>
        <c:noMultiLvlLbl val="0"/>
      </c:catAx>
      <c:valAx>
        <c:axId val="8735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7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Sheet1!$W$40:$W$88</c:f>
              <c:numCache>
                <c:formatCode>General</c:formatCode>
                <c:ptCount val="49"/>
                <c:pt idx="0">
                  <c:v>5.166015625</c:v>
                </c:pt>
                <c:pt idx="1">
                  <c:v>15.6103515625</c:v>
                </c:pt>
                <c:pt idx="2">
                  <c:v>19.765625</c:v>
                </c:pt>
                <c:pt idx="3">
                  <c:v>16.396484375</c:v>
                </c:pt>
                <c:pt idx="4">
                  <c:v>6.73828125</c:v>
                </c:pt>
                <c:pt idx="5">
                  <c:v>-5.390625</c:v>
                </c:pt>
                <c:pt idx="6">
                  <c:v>-15.498046875</c:v>
                </c:pt>
                <c:pt idx="7">
                  <c:v>-19.765625</c:v>
                </c:pt>
                <c:pt idx="8">
                  <c:v>-16.396484375</c:v>
                </c:pt>
                <c:pt idx="9">
                  <c:v>-6.73828125</c:v>
                </c:pt>
                <c:pt idx="10">
                  <c:v>7.861328125</c:v>
                </c:pt>
                <c:pt idx="11">
                  <c:v>16.7333984375</c:v>
                </c:pt>
                <c:pt idx="12">
                  <c:v>19.6533203125</c:v>
                </c:pt>
                <c:pt idx="13">
                  <c:v>15.048828125</c:v>
                </c:pt>
                <c:pt idx="14">
                  <c:v>4.716796875</c:v>
                </c:pt>
                <c:pt idx="15">
                  <c:v>-7.412109375</c:v>
                </c:pt>
                <c:pt idx="16">
                  <c:v>-16.7333984375</c:v>
                </c:pt>
                <c:pt idx="17">
                  <c:v>-19.6533203125</c:v>
                </c:pt>
                <c:pt idx="18">
                  <c:v>-15.048828125</c:v>
                </c:pt>
                <c:pt idx="19">
                  <c:v>-4.716796875</c:v>
                </c:pt>
                <c:pt idx="20">
                  <c:v>9.658203125</c:v>
                </c:pt>
                <c:pt idx="21">
                  <c:v>17.96875</c:v>
                </c:pt>
                <c:pt idx="22">
                  <c:v>19.31640625</c:v>
                </c:pt>
                <c:pt idx="23">
                  <c:v>13.3642578125</c:v>
                </c:pt>
                <c:pt idx="24">
                  <c:v>2.3583984375</c:v>
                </c:pt>
                <c:pt idx="25">
                  <c:v>-9.658203125</c:v>
                </c:pt>
                <c:pt idx="26">
                  <c:v>-17.8564453125</c:v>
                </c:pt>
                <c:pt idx="27">
                  <c:v>-19.4287109375</c:v>
                </c:pt>
                <c:pt idx="28">
                  <c:v>-13.4765625</c:v>
                </c:pt>
                <c:pt idx="29">
                  <c:v>-2.3583984375</c:v>
                </c:pt>
                <c:pt idx="30">
                  <c:v>11.23046875</c:v>
                </c:pt>
                <c:pt idx="31">
                  <c:v>18.642578125</c:v>
                </c:pt>
                <c:pt idx="32">
                  <c:v>18.8671875</c:v>
                </c:pt>
                <c:pt idx="33">
                  <c:v>12.0166015625</c:v>
                </c:pt>
                <c:pt idx="34">
                  <c:v>0.44921875</c:v>
                </c:pt>
                <c:pt idx="35">
                  <c:v>-11.23046875</c:v>
                </c:pt>
                <c:pt idx="36">
                  <c:v>-18.642578125</c:v>
                </c:pt>
                <c:pt idx="37">
                  <c:v>-18.9794921875</c:v>
                </c:pt>
                <c:pt idx="38">
                  <c:v>-12.0166015625</c:v>
                </c:pt>
                <c:pt idx="39">
                  <c:v>4.1552734375</c:v>
                </c:pt>
                <c:pt idx="40">
                  <c:v>14.4873046875</c:v>
                </c:pt>
                <c:pt idx="41">
                  <c:v>19.541015625</c:v>
                </c:pt>
                <c:pt idx="42">
                  <c:v>17.1826171875</c:v>
                </c:pt>
                <c:pt idx="43">
                  <c:v>8.310546875</c:v>
                </c:pt>
                <c:pt idx="44">
                  <c:v>-3.818359375</c:v>
                </c:pt>
                <c:pt idx="45">
                  <c:v>-14.4873046875</c:v>
                </c:pt>
                <c:pt idx="46">
                  <c:v>-19.6533203125</c:v>
                </c:pt>
                <c:pt idx="47">
                  <c:v>-17.294921875</c:v>
                </c:pt>
                <c:pt idx="48">
                  <c:v>-8.310546875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E-475C-A053-6A4DD6A250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Sheet1!$X$40:$X$88</c:f>
              <c:numCache>
                <c:formatCode>General</c:formatCode>
                <c:ptCount val="49"/>
                <c:pt idx="0">
                  <c:v>2.7544070512820512E-2</c:v>
                </c:pt>
                <c:pt idx="1">
                  <c:v>0.13271233974358976</c:v>
                </c:pt>
                <c:pt idx="2">
                  <c:v>0.18654847756410256</c:v>
                </c:pt>
                <c:pt idx="3">
                  <c:v>0.16902043269230771</c:v>
                </c:pt>
                <c:pt idx="4">
                  <c:v>8.7640224358974367E-2</c:v>
                </c:pt>
                <c:pt idx="5">
                  <c:v>-2.7544070512820512E-2</c:v>
                </c:pt>
                <c:pt idx="6">
                  <c:v>-0.13271233974358976</c:v>
                </c:pt>
                <c:pt idx="7">
                  <c:v>-0.18654847756410256</c:v>
                </c:pt>
                <c:pt idx="8">
                  <c:v>-0.16902043269230771</c:v>
                </c:pt>
                <c:pt idx="9">
                  <c:v>-8.7640224358974367E-2</c:v>
                </c:pt>
                <c:pt idx="10">
                  <c:v>4.8828125E-2</c:v>
                </c:pt>
                <c:pt idx="11">
                  <c:v>0.146484375</c:v>
                </c:pt>
                <c:pt idx="12">
                  <c:v>0.18905248397435898</c:v>
                </c:pt>
                <c:pt idx="13">
                  <c:v>0.16025641025641027</c:v>
                </c:pt>
                <c:pt idx="14">
                  <c:v>6.886017628205128E-2</c:v>
                </c:pt>
                <c:pt idx="15">
                  <c:v>-4.8828125E-2</c:v>
                </c:pt>
                <c:pt idx="16">
                  <c:v>-0.146484375</c:v>
                </c:pt>
                <c:pt idx="17">
                  <c:v>-0.18905248397435898</c:v>
                </c:pt>
                <c:pt idx="18">
                  <c:v>-0.15900440705128205</c:v>
                </c:pt>
                <c:pt idx="19">
                  <c:v>-4.3820112179487183E-2</c:v>
                </c:pt>
                <c:pt idx="20">
                  <c:v>7.0112179487179488E-2</c:v>
                </c:pt>
                <c:pt idx="21">
                  <c:v>0.16025641025641027</c:v>
                </c:pt>
                <c:pt idx="22">
                  <c:v>0.18905248397435898</c:v>
                </c:pt>
                <c:pt idx="23">
                  <c:v>0.146484375</c:v>
                </c:pt>
                <c:pt idx="24">
                  <c:v>4.7576121794871799E-2</c:v>
                </c:pt>
                <c:pt idx="25">
                  <c:v>-7.0112179487179488E-2</c:v>
                </c:pt>
                <c:pt idx="26">
                  <c:v>-0.16025641025641027</c:v>
                </c:pt>
                <c:pt idx="27">
                  <c:v>-0.18905248397435898</c:v>
                </c:pt>
                <c:pt idx="28">
                  <c:v>-0.146484375</c:v>
                </c:pt>
                <c:pt idx="29">
                  <c:v>-2.5040064102564104E-2</c:v>
                </c:pt>
                <c:pt idx="30">
                  <c:v>8.6388221153846159E-2</c:v>
                </c:pt>
                <c:pt idx="31">
                  <c:v>0.16902043269230771</c:v>
                </c:pt>
                <c:pt idx="32">
                  <c:v>0.18780048076923078</c:v>
                </c:pt>
                <c:pt idx="33">
                  <c:v>0.13396434294871795</c:v>
                </c:pt>
                <c:pt idx="34">
                  <c:v>2.879607371794872E-2</c:v>
                </c:pt>
                <c:pt idx="35">
                  <c:v>-8.7640224358974367E-2</c:v>
                </c:pt>
                <c:pt idx="36">
                  <c:v>-0.1702724358974359</c:v>
                </c:pt>
                <c:pt idx="37">
                  <c:v>-0.18654847756410256</c:v>
                </c:pt>
                <c:pt idx="38">
                  <c:v>-0.13271233974358976</c:v>
                </c:pt>
                <c:pt idx="39">
                  <c:v>1.2520032051282052E-2</c:v>
                </c:pt>
                <c:pt idx="40">
                  <c:v>0.1201923076923077</c:v>
                </c:pt>
                <c:pt idx="41">
                  <c:v>0.18279246794871795</c:v>
                </c:pt>
                <c:pt idx="42">
                  <c:v>0.17653245192307693</c:v>
                </c:pt>
                <c:pt idx="43">
                  <c:v>0.10141225961538462</c:v>
                </c:pt>
                <c:pt idx="44">
                  <c:v>-1.2520032051282052E-2</c:v>
                </c:pt>
                <c:pt idx="45">
                  <c:v>-0.1214443108974359</c:v>
                </c:pt>
                <c:pt idx="46">
                  <c:v>-0.18279246794871795</c:v>
                </c:pt>
                <c:pt idx="47">
                  <c:v>-0.17653245192307693</c:v>
                </c:pt>
                <c:pt idx="48">
                  <c:v>-0.10141225961538462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E-475C-A053-6A4DD6A2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095135"/>
        <c:axId val="515095615"/>
      </c:lineChart>
      <c:catAx>
        <c:axId val="515095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615"/>
        <c:crosses val="autoZero"/>
        <c:auto val="1"/>
        <c:lblAlgn val="ctr"/>
        <c:lblOffset val="100"/>
        <c:noMultiLvlLbl val="0"/>
      </c:catAx>
      <c:valAx>
        <c:axId val="51509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0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Sheet2!$K$37:$K$137</c:f>
              <c:numCache>
                <c:formatCode>General</c:formatCode>
                <c:ptCount val="101"/>
                <c:pt idx="0">
                  <c:v>2.9345703125</c:v>
                </c:pt>
                <c:pt idx="1">
                  <c:v>3.271484375</c:v>
                </c:pt>
                <c:pt idx="2">
                  <c:v>3.3447265625</c:v>
                </c:pt>
                <c:pt idx="3">
                  <c:v>3.0908203125</c:v>
                </c:pt>
                <c:pt idx="4">
                  <c:v>2.6171875</c:v>
                </c:pt>
                <c:pt idx="5">
                  <c:v>2.0947265625</c:v>
                </c:pt>
                <c:pt idx="6">
                  <c:v>1.728515625</c:v>
                </c:pt>
                <c:pt idx="7">
                  <c:v>1.6552734375</c:v>
                </c:pt>
                <c:pt idx="8">
                  <c:v>1.904296875</c:v>
                </c:pt>
                <c:pt idx="9">
                  <c:v>2.3828125</c:v>
                </c:pt>
                <c:pt idx="10">
                  <c:v>2.9052734375</c:v>
                </c:pt>
                <c:pt idx="11">
                  <c:v>3.2763671875</c:v>
                </c:pt>
                <c:pt idx="12">
                  <c:v>3.3447265625</c:v>
                </c:pt>
                <c:pt idx="13">
                  <c:v>3.095703125</c:v>
                </c:pt>
                <c:pt idx="14">
                  <c:v>2.6171875</c:v>
                </c:pt>
                <c:pt idx="15">
                  <c:v>2.0947265625</c:v>
                </c:pt>
                <c:pt idx="16">
                  <c:v>1.728515625</c:v>
                </c:pt>
                <c:pt idx="17">
                  <c:v>1.6552734375</c:v>
                </c:pt>
                <c:pt idx="18">
                  <c:v>1.904296875</c:v>
                </c:pt>
                <c:pt idx="19">
                  <c:v>2.3828125</c:v>
                </c:pt>
                <c:pt idx="20">
                  <c:v>2.8466796875</c:v>
                </c:pt>
                <c:pt idx="21">
                  <c:v>3.2421875</c:v>
                </c:pt>
                <c:pt idx="22">
                  <c:v>3.3544921875</c:v>
                </c:pt>
                <c:pt idx="23">
                  <c:v>3.1396484375</c:v>
                </c:pt>
                <c:pt idx="24">
                  <c:v>2.6806640625</c:v>
                </c:pt>
                <c:pt idx="25">
                  <c:v>2.1533203125</c:v>
                </c:pt>
                <c:pt idx="26">
                  <c:v>1.7578125</c:v>
                </c:pt>
                <c:pt idx="27">
                  <c:v>1.6455078125</c:v>
                </c:pt>
                <c:pt idx="28">
                  <c:v>1.8603515625</c:v>
                </c:pt>
                <c:pt idx="29">
                  <c:v>2.3193359375</c:v>
                </c:pt>
                <c:pt idx="30">
                  <c:v>2.8466796875</c:v>
                </c:pt>
                <c:pt idx="31">
                  <c:v>3.2421875</c:v>
                </c:pt>
                <c:pt idx="32">
                  <c:v>3.3544921875</c:v>
                </c:pt>
                <c:pt idx="33">
                  <c:v>3.1396484375</c:v>
                </c:pt>
                <c:pt idx="34">
                  <c:v>2.6806640625</c:v>
                </c:pt>
                <c:pt idx="35">
                  <c:v>2.1533203125</c:v>
                </c:pt>
                <c:pt idx="36">
                  <c:v>1.7578125</c:v>
                </c:pt>
                <c:pt idx="37">
                  <c:v>1.6455078125</c:v>
                </c:pt>
                <c:pt idx="38">
                  <c:v>1.8603515625</c:v>
                </c:pt>
                <c:pt idx="39">
                  <c:v>2.3193359375</c:v>
                </c:pt>
                <c:pt idx="40">
                  <c:v>2.8466796875</c:v>
                </c:pt>
                <c:pt idx="41">
                  <c:v>3.2421875</c:v>
                </c:pt>
                <c:pt idx="42">
                  <c:v>3.3544921875</c:v>
                </c:pt>
                <c:pt idx="43">
                  <c:v>3.1396484375</c:v>
                </c:pt>
                <c:pt idx="44">
                  <c:v>2.6806640625</c:v>
                </c:pt>
                <c:pt idx="45">
                  <c:v>2.1533203125</c:v>
                </c:pt>
                <c:pt idx="46">
                  <c:v>1.7578125</c:v>
                </c:pt>
                <c:pt idx="47">
                  <c:v>1.6455078125</c:v>
                </c:pt>
                <c:pt idx="48">
                  <c:v>1.8603515625</c:v>
                </c:pt>
                <c:pt idx="49">
                  <c:v>2.3193359375</c:v>
                </c:pt>
                <c:pt idx="50">
                  <c:v>2.8466796875</c:v>
                </c:pt>
                <c:pt idx="51">
                  <c:v>3.2421875</c:v>
                </c:pt>
                <c:pt idx="52">
                  <c:v>3.3544921875</c:v>
                </c:pt>
                <c:pt idx="53">
                  <c:v>3.1396484375</c:v>
                </c:pt>
                <c:pt idx="54">
                  <c:v>2.6806640625</c:v>
                </c:pt>
                <c:pt idx="55">
                  <c:v>2.1533203125</c:v>
                </c:pt>
                <c:pt idx="56">
                  <c:v>1.7578125</c:v>
                </c:pt>
                <c:pt idx="57">
                  <c:v>1.6455078125</c:v>
                </c:pt>
                <c:pt idx="58">
                  <c:v>1.8603515625</c:v>
                </c:pt>
                <c:pt idx="59">
                  <c:v>2.3193359375</c:v>
                </c:pt>
                <c:pt idx="60">
                  <c:v>2.8466796875</c:v>
                </c:pt>
                <c:pt idx="61">
                  <c:v>3.2421875</c:v>
                </c:pt>
                <c:pt idx="62">
                  <c:v>3.3544921875</c:v>
                </c:pt>
                <c:pt idx="63">
                  <c:v>3.1396484375</c:v>
                </c:pt>
                <c:pt idx="64">
                  <c:v>2.6806640625</c:v>
                </c:pt>
                <c:pt idx="65">
                  <c:v>2.1533203125</c:v>
                </c:pt>
                <c:pt idx="66">
                  <c:v>1.7578125</c:v>
                </c:pt>
                <c:pt idx="67">
                  <c:v>1.6455078125</c:v>
                </c:pt>
                <c:pt idx="68">
                  <c:v>1.8603515625</c:v>
                </c:pt>
                <c:pt idx="69">
                  <c:v>2.3193359375</c:v>
                </c:pt>
                <c:pt idx="70">
                  <c:v>2.8466796875</c:v>
                </c:pt>
                <c:pt idx="71">
                  <c:v>3.2421875</c:v>
                </c:pt>
                <c:pt idx="72">
                  <c:v>3.3544921875</c:v>
                </c:pt>
                <c:pt idx="73">
                  <c:v>3.1396484375</c:v>
                </c:pt>
                <c:pt idx="74">
                  <c:v>2.6806640625</c:v>
                </c:pt>
                <c:pt idx="75">
                  <c:v>2.1533203125</c:v>
                </c:pt>
                <c:pt idx="76">
                  <c:v>1.7578125</c:v>
                </c:pt>
                <c:pt idx="77">
                  <c:v>1.6455078125</c:v>
                </c:pt>
                <c:pt idx="78">
                  <c:v>1.8603515625</c:v>
                </c:pt>
                <c:pt idx="79">
                  <c:v>2.3193359375</c:v>
                </c:pt>
                <c:pt idx="80">
                  <c:v>2.8466796875</c:v>
                </c:pt>
                <c:pt idx="81">
                  <c:v>3.2421875</c:v>
                </c:pt>
                <c:pt idx="82">
                  <c:v>3.3544921875</c:v>
                </c:pt>
                <c:pt idx="83">
                  <c:v>3.1396484375</c:v>
                </c:pt>
                <c:pt idx="84">
                  <c:v>2.6806640625</c:v>
                </c:pt>
                <c:pt idx="85">
                  <c:v>2.1533203125</c:v>
                </c:pt>
                <c:pt idx="86">
                  <c:v>1.7578125</c:v>
                </c:pt>
                <c:pt idx="87">
                  <c:v>1.6455078125</c:v>
                </c:pt>
                <c:pt idx="88">
                  <c:v>1.8603515625</c:v>
                </c:pt>
                <c:pt idx="89">
                  <c:v>2.3193359375</c:v>
                </c:pt>
                <c:pt idx="90">
                  <c:v>2.8466796875</c:v>
                </c:pt>
                <c:pt idx="91">
                  <c:v>3.2421875</c:v>
                </c:pt>
                <c:pt idx="92">
                  <c:v>3.3544921875</c:v>
                </c:pt>
                <c:pt idx="93">
                  <c:v>3.1396484375</c:v>
                </c:pt>
                <c:pt idx="94">
                  <c:v>2.6806640625</c:v>
                </c:pt>
                <c:pt idx="95">
                  <c:v>2.1533203125</c:v>
                </c:pt>
                <c:pt idx="96">
                  <c:v>1.7578125</c:v>
                </c:pt>
                <c:pt idx="97">
                  <c:v>1.6455078125</c:v>
                </c:pt>
                <c:pt idx="98">
                  <c:v>1.8603515625</c:v>
                </c:pt>
                <c:pt idx="99">
                  <c:v>2.3193359375</c:v>
                </c:pt>
                <c:pt idx="100">
                  <c:v>2.8466796875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B-44C2-9E8D-E58D9BF6C7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Sheet2!$L$37:$L$137</c:f>
              <c:numCache>
                <c:formatCode>General</c:formatCode>
                <c:ptCount val="101"/>
                <c:pt idx="0">
                  <c:v>2.48046875</c:v>
                </c:pt>
                <c:pt idx="1">
                  <c:v>2.9150390625</c:v>
                </c:pt>
                <c:pt idx="2">
                  <c:v>3.193359375</c:v>
                </c:pt>
                <c:pt idx="3">
                  <c:v>3.2080078125</c:v>
                </c:pt>
                <c:pt idx="4">
                  <c:v>2.9541015625</c:v>
                </c:pt>
                <c:pt idx="5">
                  <c:v>2.51953125</c:v>
                </c:pt>
                <c:pt idx="6">
                  <c:v>2.0849609375</c:v>
                </c:pt>
                <c:pt idx="7">
                  <c:v>1.806640625</c:v>
                </c:pt>
                <c:pt idx="8">
                  <c:v>1.7919921875</c:v>
                </c:pt>
                <c:pt idx="9">
                  <c:v>2.0458984375</c:v>
                </c:pt>
                <c:pt idx="10">
                  <c:v>2.48046875</c:v>
                </c:pt>
                <c:pt idx="11">
                  <c:v>2.9150390625</c:v>
                </c:pt>
                <c:pt idx="12">
                  <c:v>3.193359375</c:v>
                </c:pt>
                <c:pt idx="13">
                  <c:v>3.2080078125</c:v>
                </c:pt>
                <c:pt idx="14">
                  <c:v>2.9541015625</c:v>
                </c:pt>
                <c:pt idx="15">
                  <c:v>2.51953125</c:v>
                </c:pt>
                <c:pt idx="16">
                  <c:v>2.0849609375</c:v>
                </c:pt>
                <c:pt idx="17">
                  <c:v>1.806640625</c:v>
                </c:pt>
                <c:pt idx="18">
                  <c:v>1.7919921875</c:v>
                </c:pt>
                <c:pt idx="19">
                  <c:v>2.0458984375</c:v>
                </c:pt>
                <c:pt idx="20">
                  <c:v>2.48046875</c:v>
                </c:pt>
                <c:pt idx="21">
                  <c:v>2.9150390625</c:v>
                </c:pt>
                <c:pt idx="22">
                  <c:v>3.193359375</c:v>
                </c:pt>
                <c:pt idx="23">
                  <c:v>3.2080078125</c:v>
                </c:pt>
                <c:pt idx="24">
                  <c:v>2.94921875</c:v>
                </c:pt>
                <c:pt idx="25">
                  <c:v>2.51953125</c:v>
                </c:pt>
                <c:pt idx="26">
                  <c:v>2.080078125</c:v>
                </c:pt>
                <c:pt idx="27">
                  <c:v>1.806640625</c:v>
                </c:pt>
                <c:pt idx="28">
                  <c:v>1.7919921875</c:v>
                </c:pt>
                <c:pt idx="29">
                  <c:v>2.05078125</c:v>
                </c:pt>
                <c:pt idx="30">
                  <c:v>2.48046875</c:v>
                </c:pt>
                <c:pt idx="31">
                  <c:v>2.919921875</c:v>
                </c:pt>
                <c:pt idx="32">
                  <c:v>3.1982421875</c:v>
                </c:pt>
                <c:pt idx="33">
                  <c:v>3.212890625</c:v>
                </c:pt>
                <c:pt idx="34">
                  <c:v>2.9541015625</c:v>
                </c:pt>
                <c:pt idx="35">
                  <c:v>2.51953125</c:v>
                </c:pt>
                <c:pt idx="36">
                  <c:v>2.080078125</c:v>
                </c:pt>
                <c:pt idx="37">
                  <c:v>1.806640625</c:v>
                </c:pt>
                <c:pt idx="38">
                  <c:v>1.7919921875</c:v>
                </c:pt>
                <c:pt idx="39">
                  <c:v>2.05078125</c:v>
                </c:pt>
                <c:pt idx="40">
                  <c:v>2.48046875</c:v>
                </c:pt>
                <c:pt idx="41">
                  <c:v>2.9150390625</c:v>
                </c:pt>
                <c:pt idx="42">
                  <c:v>3.193359375</c:v>
                </c:pt>
                <c:pt idx="43">
                  <c:v>3.2080078125</c:v>
                </c:pt>
                <c:pt idx="44">
                  <c:v>2.94921875</c:v>
                </c:pt>
                <c:pt idx="45">
                  <c:v>2.51953125</c:v>
                </c:pt>
                <c:pt idx="46">
                  <c:v>2.080078125</c:v>
                </c:pt>
                <c:pt idx="47">
                  <c:v>1.806640625</c:v>
                </c:pt>
                <c:pt idx="48">
                  <c:v>1.7919921875</c:v>
                </c:pt>
                <c:pt idx="49">
                  <c:v>2.05078125</c:v>
                </c:pt>
                <c:pt idx="50">
                  <c:v>2.48046875</c:v>
                </c:pt>
                <c:pt idx="51">
                  <c:v>2.9150390625</c:v>
                </c:pt>
                <c:pt idx="52">
                  <c:v>3.193359375</c:v>
                </c:pt>
                <c:pt idx="53">
                  <c:v>3.2080078125</c:v>
                </c:pt>
                <c:pt idx="54">
                  <c:v>2.94921875</c:v>
                </c:pt>
                <c:pt idx="55">
                  <c:v>2.51953125</c:v>
                </c:pt>
                <c:pt idx="56">
                  <c:v>2.080078125</c:v>
                </c:pt>
                <c:pt idx="57">
                  <c:v>1.806640625</c:v>
                </c:pt>
                <c:pt idx="58">
                  <c:v>1.7919921875</c:v>
                </c:pt>
                <c:pt idx="59">
                  <c:v>2.05078125</c:v>
                </c:pt>
                <c:pt idx="60">
                  <c:v>2.48046875</c:v>
                </c:pt>
                <c:pt idx="61">
                  <c:v>2.9150390625</c:v>
                </c:pt>
                <c:pt idx="62">
                  <c:v>3.193359375</c:v>
                </c:pt>
                <c:pt idx="63">
                  <c:v>3.2080078125</c:v>
                </c:pt>
                <c:pt idx="64">
                  <c:v>2.94921875</c:v>
                </c:pt>
                <c:pt idx="65">
                  <c:v>2.51953125</c:v>
                </c:pt>
                <c:pt idx="66">
                  <c:v>2.080078125</c:v>
                </c:pt>
                <c:pt idx="67">
                  <c:v>1.806640625</c:v>
                </c:pt>
                <c:pt idx="68">
                  <c:v>1.7919921875</c:v>
                </c:pt>
                <c:pt idx="69">
                  <c:v>2.05078125</c:v>
                </c:pt>
                <c:pt idx="70">
                  <c:v>2.48046875</c:v>
                </c:pt>
                <c:pt idx="71">
                  <c:v>2.9150390625</c:v>
                </c:pt>
                <c:pt idx="72">
                  <c:v>3.193359375</c:v>
                </c:pt>
                <c:pt idx="73">
                  <c:v>3.2080078125</c:v>
                </c:pt>
                <c:pt idx="74">
                  <c:v>2.94921875</c:v>
                </c:pt>
                <c:pt idx="75">
                  <c:v>2.51953125</c:v>
                </c:pt>
                <c:pt idx="76">
                  <c:v>2.080078125</c:v>
                </c:pt>
                <c:pt idx="77">
                  <c:v>1.806640625</c:v>
                </c:pt>
                <c:pt idx="78">
                  <c:v>1.7919921875</c:v>
                </c:pt>
                <c:pt idx="79">
                  <c:v>2.05078125</c:v>
                </c:pt>
                <c:pt idx="80">
                  <c:v>2.48046875</c:v>
                </c:pt>
                <c:pt idx="81">
                  <c:v>2.9150390625</c:v>
                </c:pt>
                <c:pt idx="82">
                  <c:v>3.193359375</c:v>
                </c:pt>
                <c:pt idx="83">
                  <c:v>3.2080078125</c:v>
                </c:pt>
                <c:pt idx="84">
                  <c:v>2.94921875</c:v>
                </c:pt>
                <c:pt idx="85">
                  <c:v>2.51953125</c:v>
                </c:pt>
                <c:pt idx="86">
                  <c:v>2.080078125</c:v>
                </c:pt>
                <c:pt idx="87">
                  <c:v>1.806640625</c:v>
                </c:pt>
                <c:pt idx="88">
                  <c:v>1.7919921875</c:v>
                </c:pt>
                <c:pt idx="89">
                  <c:v>2.05078125</c:v>
                </c:pt>
                <c:pt idx="90">
                  <c:v>2.48046875</c:v>
                </c:pt>
                <c:pt idx="91">
                  <c:v>2.9150390625</c:v>
                </c:pt>
                <c:pt idx="92">
                  <c:v>3.193359375</c:v>
                </c:pt>
                <c:pt idx="93">
                  <c:v>3.2080078125</c:v>
                </c:pt>
                <c:pt idx="94">
                  <c:v>2.94921875</c:v>
                </c:pt>
                <c:pt idx="95">
                  <c:v>2.51953125</c:v>
                </c:pt>
                <c:pt idx="96">
                  <c:v>2.080078125</c:v>
                </c:pt>
                <c:pt idx="97">
                  <c:v>1.806640625</c:v>
                </c:pt>
                <c:pt idx="98">
                  <c:v>1.7919921875</c:v>
                </c:pt>
                <c:pt idx="99">
                  <c:v>2.05078125</c:v>
                </c:pt>
                <c:pt idx="100">
                  <c:v>2.48046875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B-44C2-9E8D-E58D9BF6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8080735"/>
        <c:axId val="1078075935"/>
      </c:lineChart>
      <c:catAx>
        <c:axId val="107808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75935"/>
        <c:crosses val="autoZero"/>
        <c:auto val="1"/>
        <c:lblAlgn val="ctr"/>
        <c:lblOffset val="100"/>
        <c:noMultiLvlLbl val="0"/>
      </c:catAx>
      <c:valAx>
        <c:axId val="10780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8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Sheet2!$R$10:$R$21</c:f>
              <c:numCache>
                <c:formatCode>General</c:formatCode>
                <c:ptCount val="12"/>
                <c:pt idx="0">
                  <c:v>2.5</c:v>
                </c:pt>
                <c:pt idx="1">
                  <c:v>3.0059806199029868</c:v>
                </c:pt>
                <c:pt idx="2">
                  <c:v>3.3186938406517741</c:v>
                </c:pt>
                <c:pt idx="3">
                  <c:v>3.3186938406517741</c:v>
                </c:pt>
                <c:pt idx="4">
                  <c:v>3.0059806199029868</c:v>
                </c:pt>
                <c:pt idx="5">
                  <c:v>2.5</c:v>
                </c:pt>
                <c:pt idx="6">
                  <c:v>1.9940193800970132</c:v>
                </c:pt>
                <c:pt idx="7">
                  <c:v>1.6813061593482259</c:v>
                </c:pt>
                <c:pt idx="8">
                  <c:v>1.6813061593482259</c:v>
                </c:pt>
                <c:pt idx="9">
                  <c:v>1.9940193800970132</c:v>
                </c:pt>
                <c:pt idx="10">
                  <c:v>2.5</c:v>
                </c:pt>
                <c:pt idx="11">
                  <c:v>3.0059806199029868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7-4E9C-9BB4-9A3C7B14A72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Sheet2!$S$10:$S$21</c:f>
              <c:numCache>
                <c:formatCode>General</c:formatCode>
                <c:ptCount val="12"/>
                <c:pt idx="0">
                  <c:v>2.5427284635984018</c:v>
                </c:pt>
                <c:pt idx="1">
                  <c:v>2.6925214866721121</c:v>
                </c:pt>
                <c:pt idx="2">
                  <c:v>2.7687778454017353</c:v>
                </c:pt>
                <c:pt idx="3">
                  <c:v>2.7423702026108603</c:v>
                </c:pt>
                <c:pt idx="4">
                  <c:v>2.6233853802828349</c:v>
                </c:pt>
                <c:pt idx="5">
                  <c:v>2.4572715364015982</c:v>
                </c:pt>
                <c:pt idx="6">
                  <c:v>2.3074785133278879</c:v>
                </c:pt>
                <c:pt idx="7">
                  <c:v>2.2312221545982647</c:v>
                </c:pt>
                <c:pt idx="8">
                  <c:v>2.2576297973891402</c:v>
                </c:pt>
                <c:pt idx="9">
                  <c:v>2.3766146197171651</c:v>
                </c:pt>
                <c:pt idx="10">
                  <c:v>2.5427284635984022</c:v>
                </c:pt>
                <c:pt idx="11">
                  <c:v>2.6925214866721121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7-4E9C-9BB4-9A3C7B14A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038127"/>
        <c:axId val="1247042927"/>
      </c:lineChart>
      <c:catAx>
        <c:axId val="1247038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42927"/>
        <c:crosses val="autoZero"/>
        <c:auto val="1"/>
        <c:lblAlgn val="ctr"/>
        <c:lblOffset val="100"/>
        <c:noMultiLvlLbl val="0"/>
      </c:catAx>
      <c:valAx>
        <c:axId val="12470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3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464820</xdr:colOff>
      <xdr:row>18</xdr:row>
      <xdr:rowOff>60960</xdr:rowOff>
    </xdr:from>
    <xdr:to>
      <xdr:col>24</xdr:col>
      <xdr:colOff>160020</xdr:colOff>
      <xdr:row>33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318CC-F685-BC6D-60D7-6DB7AC888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99060</xdr:colOff>
      <xdr:row>18</xdr:row>
      <xdr:rowOff>30480</xdr:rowOff>
    </xdr:from>
    <xdr:to>
      <xdr:col>32</xdr:col>
      <xdr:colOff>403860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16ADB-9694-8000-BB76-ADB0E622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632460</xdr:colOff>
      <xdr:row>47</xdr:row>
      <xdr:rowOff>15240</xdr:rowOff>
    </xdr:from>
    <xdr:to>
      <xdr:col>32</xdr:col>
      <xdr:colOff>510540</xdr:colOff>
      <xdr:row>62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A838B-4630-6504-96D8-EA1C19536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541020</xdr:colOff>
      <xdr:row>47</xdr:row>
      <xdr:rowOff>15240</xdr:rowOff>
    </xdr:from>
    <xdr:to>
      <xdr:col>41</xdr:col>
      <xdr:colOff>236220</xdr:colOff>
      <xdr:row>62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EEF9FF-D762-7329-4ED2-C2DCA29A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365760</xdr:colOff>
      <xdr:row>38</xdr:row>
      <xdr:rowOff>144780</xdr:rowOff>
    </xdr:from>
    <xdr:to>
      <xdr:col>44</xdr:col>
      <xdr:colOff>487680</xdr:colOff>
      <xdr:row>58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8440C-51EE-0186-0677-65524C6B2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365760</xdr:colOff>
      <xdr:row>7</xdr:row>
      <xdr:rowOff>129540</xdr:rowOff>
    </xdr:from>
    <xdr:to>
      <xdr:col>27</xdr:col>
      <xdr:colOff>60960</xdr:colOff>
      <xdr:row>22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D729FF-9363-8E3B-CB4A-99248FE46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F616-250D-46CA-B716-E8A9B416F08C}">
  <dimension ref="E5:AD90"/>
  <sheetViews>
    <sheetView topLeftCell="A25" zoomScale="106" zoomScaleNormal="100" workbookViewId="0">
      <selection activeCell="Y50" sqref="Y50"/>
    </sheetView>
  </sheetViews>
  <sheetFormatPr defaultRowHeight="14.4" x14ac:dyDescent="0.3"/>
  <cols>
    <col min="26" max="27" width="12" bestFit="1" customWidth="1"/>
  </cols>
  <sheetData>
    <row r="5" spans="5:18" x14ac:dyDescent="0.3">
      <c r="E5" t="s">
        <v>7</v>
      </c>
    </row>
    <row r="8" spans="5:18" x14ac:dyDescent="0.3">
      <c r="E8">
        <v>3816</v>
      </c>
      <c r="F8">
        <v>43828</v>
      </c>
    </row>
    <row r="9" spans="5:18" x14ac:dyDescent="0.3">
      <c r="E9">
        <v>50</v>
      </c>
    </row>
    <row r="10" spans="5:18" x14ac:dyDescent="0.3">
      <c r="E10">
        <v>397</v>
      </c>
      <c r="F10">
        <v>617</v>
      </c>
      <c r="H10">
        <f t="shared" ref="H10:H12" si="0">5/1024*E10</f>
        <v>1.9384765625</v>
      </c>
      <c r="I10">
        <f t="shared" ref="I10:I12" si="1">5/1024*F10</f>
        <v>3.0126953125</v>
      </c>
      <c r="K10">
        <f t="shared" ref="K10:K12" si="2">(H10-2.5)*14.1</f>
        <v>-7.91748046875</v>
      </c>
      <c r="L10">
        <f t="shared" ref="L10:L12" si="3">(I10-2.5)*2</f>
        <v>1.025390625</v>
      </c>
    </row>
    <row r="11" spans="5:18" x14ac:dyDescent="0.3">
      <c r="E11">
        <v>645</v>
      </c>
      <c r="F11">
        <v>700</v>
      </c>
      <c r="H11">
        <f t="shared" si="0"/>
        <v>3.1494140625</v>
      </c>
      <c r="I11">
        <f t="shared" si="1"/>
        <v>3.41796875</v>
      </c>
      <c r="K11">
        <f t="shared" si="2"/>
        <v>9.15673828125</v>
      </c>
      <c r="L11">
        <f t="shared" si="3"/>
        <v>1.8359375</v>
      </c>
    </row>
    <row r="12" spans="5:18" x14ac:dyDescent="0.3">
      <c r="E12">
        <v>846</v>
      </c>
      <c r="F12">
        <v>711</v>
      </c>
      <c r="H12">
        <f t="shared" si="0"/>
        <v>4.130859375</v>
      </c>
      <c r="I12">
        <f t="shared" si="1"/>
        <v>3.4716796875</v>
      </c>
      <c r="K12">
        <f t="shared" si="2"/>
        <v>22.9951171875</v>
      </c>
      <c r="L12">
        <f t="shared" si="3"/>
        <v>1.943359375</v>
      </c>
      <c r="O12" t="s">
        <v>1</v>
      </c>
      <c r="P12" t="s">
        <v>2</v>
      </c>
      <c r="Q12" t="s">
        <v>0</v>
      </c>
      <c r="R12" t="s">
        <v>3</v>
      </c>
    </row>
    <row r="13" spans="5:18" x14ac:dyDescent="0.3">
      <c r="E13">
        <v>920</v>
      </c>
      <c r="F13">
        <v>646</v>
      </c>
      <c r="H13">
        <f>5/1024*E13</f>
        <v>4.4921875</v>
      </c>
      <c r="I13">
        <f t="shared" ref="I13:I51" si="4">5/1024*F13</f>
        <v>3.154296875</v>
      </c>
      <c r="K13">
        <f>(H13-2.5)*14.1</f>
        <v>28.08984375</v>
      </c>
      <c r="L13">
        <f>(I13-2.5)*2</f>
        <v>1.30859375</v>
      </c>
      <c r="O13">
        <f>SQRT(SUMSQ(K10:K100)/COUNT(K10:K100))</f>
        <v>19.530263964367798</v>
      </c>
      <c r="P13">
        <f>SQRT(SUMSQ(L10:L100)/COUNT(L10:L100))</f>
        <v>1.4102433591939807</v>
      </c>
      <c r="Q13">
        <f>E8/F8*360</f>
        <v>31.344346080131423</v>
      </c>
      <c r="R13">
        <f>O13*P13*COS(Q13*PI()/180)</f>
        <v>23.522786436404747</v>
      </c>
    </row>
    <row r="14" spans="5:18" x14ac:dyDescent="0.3">
      <c r="E14">
        <v>838</v>
      </c>
      <c r="F14">
        <v>530</v>
      </c>
      <c r="H14">
        <f t="shared" ref="H14:H51" si="5">5/1024*E14</f>
        <v>4.091796875</v>
      </c>
      <c r="I14">
        <f t="shared" si="4"/>
        <v>2.587890625</v>
      </c>
      <c r="K14">
        <f t="shared" ref="K14:K51" si="6">(H14-2.5)*14.1</f>
        <v>22.4443359375</v>
      </c>
      <c r="L14">
        <f t="shared" ref="L14:L51" si="7">(I14-2.5)*2</f>
        <v>0.17578125</v>
      </c>
      <c r="N14" t="s">
        <v>4</v>
      </c>
      <c r="O14">
        <f>(O13-20)/20*100</f>
        <v>-2.3486801781610112</v>
      </c>
      <c r="P14">
        <f>(P13-SQRT(2))/SQRT(2)*100</f>
        <v>-0.28073575906402171</v>
      </c>
      <c r="Q14">
        <f>(Q13-30)/30*100</f>
        <v>4.481153600438077</v>
      </c>
      <c r="R14">
        <f>(R13-(20*SQRT(2)*COS(30*PI()/180)))/(20*SQRT(2)*COS(30*PI()/180))*100</f>
        <v>-3.9686265039121884</v>
      </c>
    </row>
    <row r="15" spans="5:18" x14ac:dyDescent="0.3">
      <c r="E15">
        <v>632</v>
      </c>
      <c r="F15">
        <v>407</v>
      </c>
      <c r="H15">
        <f t="shared" si="5"/>
        <v>3.0859375</v>
      </c>
      <c r="I15">
        <f t="shared" si="4"/>
        <v>1.9873046875</v>
      </c>
      <c r="K15">
        <f t="shared" si="6"/>
        <v>8.26171875</v>
      </c>
      <c r="L15">
        <f t="shared" si="7"/>
        <v>-1.025390625</v>
      </c>
    </row>
    <row r="16" spans="5:18" x14ac:dyDescent="0.3">
      <c r="E16">
        <v>379</v>
      </c>
      <c r="F16">
        <v>324</v>
      </c>
      <c r="H16">
        <f t="shared" si="5"/>
        <v>1.8505859375</v>
      </c>
      <c r="I16">
        <f t="shared" si="4"/>
        <v>1.58203125</v>
      </c>
      <c r="K16">
        <f t="shared" si="6"/>
        <v>-9.15673828125</v>
      </c>
      <c r="L16">
        <f t="shared" si="7"/>
        <v>-1.8359375</v>
      </c>
    </row>
    <row r="17" spans="5:12" x14ac:dyDescent="0.3">
      <c r="E17">
        <v>177</v>
      </c>
      <c r="F17">
        <v>313</v>
      </c>
      <c r="H17">
        <f t="shared" si="5"/>
        <v>0.8642578125</v>
      </c>
      <c r="I17">
        <f t="shared" si="4"/>
        <v>1.5283203125</v>
      </c>
      <c r="K17">
        <f t="shared" si="6"/>
        <v>-23.06396484375</v>
      </c>
      <c r="L17">
        <f t="shared" si="7"/>
        <v>-1.943359375</v>
      </c>
    </row>
    <row r="18" spans="5:12" x14ac:dyDescent="0.3">
      <c r="E18">
        <v>105</v>
      </c>
      <c r="F18">
        <v>378</v>
      </c>
      <c r="H18">
        <f t="shared" si="5"/>
        <v>0.5126953125</v>
      </c>
      <c r="I18">
        <f t="shared" si="4"/>
        <v>1.845703125</v>
      </c>
      <c r="K18">
        <f t="shared" si="6"/>
        <v>-28.02099609375</v>
      </c>
      <c r="L18">
        <f t="shared" si="7"/>
        <v>-1.30859375</v>
      </c>
    </row>
    <row r="19" spans="5:12" x14ac:dyDescent="0.3">
      <c r="E19">
        <v>186</v>
      </c>
      <c r="F19">
        <v>494</v>
      </c>
      <c r="H19">
        <f t="shared" si="5"/>
        <v>0.908203125</v>
      </c>
      <c r="I19">
        <f t="shared" si="4"/>
        <v>2.412109375</v>
      </c>
      <c r="K19">
        <f t="shared" si="6"/>
        <v>-22.4443359375</v>
      </c>
      <c r="L19">
        <f t="shared" si="7"/>
        <v>-0.17578125</v>
      </c>
    </row>
    <row r="20" spans="5:12" x14ac:dyDescent="0.3">
      <c r="E20">
        <v>382</v>
      </c>
      <c r="F20">
        <v>611</v>
      </c>
      <c r="H20">
        <f t="shared" si="5"/>
        <v>1.865234375</v>
      </c>
      <c r="I20">
        <f t="shared" si="4"/>
        <v>2.9833984375</v>
      </c>
      <c r="K20">
        <f t="shared" si="6"/>
        <v>-8.9501953125</v>
      </c>
      <c r="L20">
        <f t="shared" si="7"/>
        <v>0.966796875</v>
      </c>
    </row>
    <row r="21" spans="5:12" x14ac:dyDescent="0.3">
      <c r="E21">
        <v>631</v>
      </c>
      <c r="F21">
        <v>697</v>
      </c>
      <c r="H21">
        <f t="shared" si="5"/>
        <v>3.0810546875</v>
      </c>
      <c r="I21">
        <f t="shared" si="4"/>
        <v>3.4033203125</v>
      </c>
      <c r="K21">
        <f t="shared" si="6"/>
        <v>8.19287109375</v>
      </c>
      <c r="L21">
        <f t="shared" si="7"/>
        <v>1.806640625</v>
      </c>
    </row>
    <row r="22" spans="5:12" x14ac:dyDescent="0.3">
      <c r="E22">
        <v>837</v>
      </c>
      <c r="F22">
        <v>713</v>
      </c>
      <c r="H22">
        <f t="shared" si="5"/>
        <v>4.0869140625</v>
      </c>
      <c r="I22">
        <f t="shared" si="4"/>
        <v>3.4814453125</v>
      </c>
      <c r="K22">
        <f t="shared" si="6"/>
        <v>22.37548828125</v>
      </c>
      <c r="L22">
        <f t="shared" si="7"/>
        <v>1.962890625</v>
      </c>
    </row>
    <row r="23" spans="5:12" x14ac:dyDescent="0.3">
      <c r="E23">
        <v>919</v>
      </c>
      <c r="F23">
        <v>652</v>
      </c>
      <c r="H23">
        <f t="shared" si="5"/>
        <v>4.4873046875</v>
      </c>
      <c r="I23">
        <f t="shared" si="4"/>
        <v>3.18359375</v>
      </c>
      <c r="K23">
        <f t="shared" si="6"/>
        <v>28.02099609375</v>
      </c>
      <c r="L23">
        <f t="shared" si="7"/>
        <v>1.3671875</v>
      </c>
    </row>
    <row r="24" spans="5:12" x14ac:dyDescent="0.3">
      <c r="E24">
        <v>847</v>
      </c>
      <c r="F24">
        <v>538</v>
      </c>
      <c r="H24">
        <f t="shared" si="5"/>
        <v>4.1357421875</v>
      </c>
      <c r="I24">
        <f t="shared" si="4"/>
        <v>2.626953125</v>
      </c>
      <c r="K24">
        <f t="shared" si="6"/>
        <v>23.06396484375</v>
      </c>
      <c r="L24">
        <f t="shared" si="7"/>
        <v>0.25390625</v>
      </c>
    </row>
    <row r="25" spans="5:12" x14ac:dyDescent="0.3">
      <c r="E25">
        <v>647</v>
      </c>
      <c r="F25">
        <v>413</v>
      </c>
      <c r="H25">
        <f t="shared" si="5"/>
        <v>3.1591796875</v>
      </c>
      <c r="I25">
        <f t="shared" si="4"/>
        <v>2.0166015625</v>
      </c>
      <c r="K25">
        <f t="shared" si="6"/>
        <v>9.29443359375</v>
      </c>
      <c r="L25">
        <f t="shared" si="7"/>
        <v>-0.966796875</v>
      </c>
    </row>
    <row r="26" spans="5:12" x14ac:dyDescent="0.3">
      <c r="E26">
        <v>394</v>
      </c>
      <c r="F26">
        <v>327</v>
      </c>
      <c r="H26">
        <f t="shared" si="5"/>
        <v>1.923828125</v>
      </c>
      <c r="I26">
        <f t="shared" si="4"/>
        <v>1.5966796875</v>
      </c>
      <c r="K26">
        <f t="shared" si="6"/>
        <v>-8.1240234375</v>
      </c>
      <c r="L26">
        <f t="shared" si="7"/>
        <v>-1.806640625</v>
      </c>
    </row>
    <row r="27" spans="5:12" x14ac:dyDescent="0.3">
      <c r="E27">
        <v>186</v>
      </c>
      <c r="F27">
        <v>312</v>
      </c>
      <c r="H27">
        <f t="shared" si="5"/>
        <v>0.908203125</v>
      </c>
      <c r="I27">
        <f t="shared" si="4"/>
        <v>1.5234375</v>
      </c>
      <c r="K27">
        <f t="shared" si="6"/>
        <v>-22.4443359375</v>
      </c>
      <c r="L27">
        <f t="shared" si="7"/>
        <v>-1.953125</v>
      </c>
    </row>
    <row r="28" spans="5:12" x14ac:dyDescent="0.3">
      <c r="E28">
        <v>104</v>
      </c>
      <c r="F28">
        <v>373</v>
      </c>
      <c r="H28">
        <f t="shared" si="5"/>
        <v>0.5078125</v>
      </c>
      <c r="I28">
        <f t="shared" si="4"/>
        <v>1.8212890625</v>
      </c>
      <c r="K28">
        <f t="shared" si="6"/>
        <v>-28.08984375</v>
      </c>
      <c r="L28">
        <f t="shared" si="7"/>
        <v>-1.357421875</v>
      </c>
    </row>
    <row r="29" spans="5:12" x14ac:dyDescent="0.3">
      <c r="E29">
        <v>176</v>
      </c>
      <c r="F29">
        <v>486</v>
      </c>
      <c r="H29">
        <f t="shared" si="5"/>
        <v>0.859375</v>
      </c>
      <c r="I29">
        <f t="shared" si="4"/>
        <v>2.373046875</v>
      </c>
      <c r="K29">
        <f t="shared" si="6"/>
        <v>-23.1328125</v>
      </c>
      <c r="L29">
        <f t="shared" si="7"/>
        <v>-0.25390625</v>
      </c>
    </row>
    <row r="30" spans="5:12" x14ac:dyDescent="0.3">
      <c r="E30">
        <v>368</v>
      </c>
      <c r="F30">
        <v>604</v>
      </c>
      <c r="H30">
        <f t="shared" si="5"/>
        <v>1.796875</v>
      </c>
      <c r="I30">
        <f t="shared" si="4"/>
        <v>2.94921875</v>
      </c>
      <c r="K30">
        <f t="shared" si="6"/>
        <v>-9.9140625</v>
      </c>
      <c r="L30">
        <f t="shared" si="7"/>
        <v>0.8984375</v>
      </c>
    </row>
    <row r="31" spans="5:12" x14ac:dyDescent="0.3">
      <c r="E31">
        <v>616</v>
      </c>
      <c r="F31">
        <v>694</v>
      </c>
      <c r="H31">
        <f t="shared" si="5"/>
        <v>3.0078125</v>
      </c>
      <c r="I31">
        <f t="shared" si="4"/>
        <v>3.388671875</v>
      </c>
      <c r="K31">
        <f t="shared" si="6"/>
        <v>7.16015625</v>
      </c>
      <c r="L31">
        <f t="shared" si="7"/>
        <v>1.77734375</v>
      </c>
    </row>
    <row r="32" spans="5:12" x14ac:dyDescent="0.3">
      <c r="E32">
        <v>828</v>
      </c>
      <c r="F32">
        <v>714</v>
      </c>
      <c r="H32">
        <f t="shared" si="5"/>
        <v>4.04296875</v>
      </c>
      <c r="I32">
        <f t="shared" si="4"/>
        <v>3.486328125</v>
      </c>
      <c r="K32">
        <f t="shared" si="6"/>
        <v>21.755859375</v>
      </c>
      <c r="L32">
        <f t="shared" si="7"/>
        <v>1.97265625</v>
      </c>
    </row>
    <row r="33" spans="5:30" x14ac:dyDescent="0.3">
      <c r="E33">
        <v>919</v>
      </c>
      <c r="F33">
        <v>657</v>
      </c>
      <c r="H33">
        <f t="shared" si="5"/>
        <v>4.4873046875</v>
      </c>
      <c r="I33">
        <f t="shared" si="4"/>
        <v>3.2080078125</v>
      </c>
      <c r="K33">
        <f t="shared" si="6"/>
        <v>28.02099609375</v>
      </c>
      <c r="L33">
        <f t="shared" si="7"/>
        <v>1.416015625</v>
      </c>
    </row>
    <row r="34" spans="5:30" x14ac:dyDescent="0.3">
      <c r="E34">
        <v>855</v>
      </c>
      <c r="F34">
        <v>545</v>
      </c>
      <c r="H34">
        <f t="shared" si="5"/>
        <v>4.1748046875</v>
      </c>
      <c r="I34">
        <f t="shared" si="4"/>
        <v>2.6611328125</v>
      </c>
      <c r="K34">
        <f t="shared" si="6"/>
        <v>23.61474609375</v>
      </c>
      <c r="L34">
        <f t="shared" si="7"/>
        <v>0.322265625</v>
      </c>
    </row>
    <row r="35" spans="5:30" x14ac:dyDescent="0.3">
      <c r="E35">
        <v>660</v>
      </c>
      <c r="F35">
        <v>420</v>
      </c>
      <c r="H35">
        <f t="shared" si="5"/>
        <v>3.22265625</v>
      </c>
      <c r="I35">
        <f t="shared" si="4"/>
        <v>2.05078125</v>
      </c>
      <c r="K35">
        <f t="shared" si="6"/>
        <v>10.189453125</v>
      </c>
      <c r="L35">
        <f t="shared" si="7"/>
        <v>-0.8984375</v>
      </c>
    </row>
    <row r="36" spans="5:30" x14ac:dyDescent="0.3">
      <c r="E36">
        <v>408</v>
      </c>
      <c r="F36">
        <v>330</v>
      </c>
      <c r="H36">
        <f t="shared" si="5"/>
        <v>1.9921875</v>
      </c>
      <c r="I36">
        <f t="shared" si="4"/>
        <v>1.611328125</v>
      </c>
      <c r="K36">
        <f t="shared" si="6"/>
        <v>-7.16015625</v>
      </c>
      <c r="L36">
        <f t="shared" si="7"/>
        <v>-1.77734375</v>
      </c>
      <c r="Q36" t="s">
        <v>8</v>
      </c>
    </row>
    <row r="37" spans="5:30" x14ac:dyDescent="0.3">
      <c r="E37">
        <v>195</v>
      </c>
      <c r="F37">
        <v>311</v>
      </c>
      <c r="H37">
        <f t="shared" si="5"/>
        <v>0.9521484375</v>
      </c>
      <c r="I37">
        <f t="shared" si="4"/>
        <v>1.5185546875</v>
      </c>
      <c r="K37">
        <f t="shared" si="6"/>
        <v>-21.82470703125</v>
      </c>
      <c r="L37">
        <f t="shared" si="7"/>
        <v>-1.962890625</v>
      </c>
    </row>
    <row r="38" spans="5:30" x14ac:dyDescent="0.3">
      <c r="E38">
        <v>103</v>
      </c>
      <c r="F38">
        <v>367</v>
      </c>
      <c r="H38">
        <f t="shared" si="5"/>
        <v>0.5029296875</v>
      </c>
      <c r="I38">
        <f t="shared" si="4"/>
        <v>1.7919921875</v>
      </c>
      <c r="K38">
        <f t="shared" si="6"/>
        <v>-28.15869140625</v>
      </c>
      <c r="L38">
        <f t="shared" si="7"/>
        <v>-1.416015625</v>
      </c>
      <c r="Q38">
        <v>43978</v>
      </c>
    </row>
    <row r="39" spans="5:30" x14ac:dyDescent="0.3">
      <c r="E39">
        <v>168</v>
      </c>
      <c r="F39">
        <v>479</v>
      </c>
      <c r="H39">
        <f t="shared" si="5"/>
        <v>0.8203125</v>
      </c>
      <c r="I39">
        <f t="shared" si="4"/>
        <v>2.3388671875</v>
      </c>
      <c r="K39">
        <f t="shared" si="6"/>
        <v>-23.68359375</v>
      </c>
      <c r="L39">
        <f t="shared" si="7"/>
        <v>-0.322265625</v>
      </c>
      <c r="Q39">
        <v>49</v>
      </c>
      <c r="AA39" t="s">
        <v>1</v>
      </c>
      <c r="AB39" t="s">
        <v>2</v>
      </c>
      <c r="AC39" t="s">
        <v>0</v>
      </c>
      <c r="AD39" t="s">
        <v>3</v>
      </c>
    </row>
    <row r="40" spans="5:30" x14ac:dyDescent="0.3">
      <c r="E40">
        <v>364</v>
      </c>
      <c r="F40">
        <v>604</v>
      </c>
      <c r="H40">
        <f t="shared" si="5"/>
        <v>1.77734375</v>
      </c>
      <c r="I40">
        <f t="shared" si="4"/>
        <v>2.94921875</v>
      </c>
      <c r="K40">
        <f t="shared" si="6"/>
        <v>-10.189453125</v>
      </c>
      <c r="L40">
        <f t="shared" si="7"/>
        <v>0.8984375</v>
      </c>
      <c r="P40">
        <v>1</v>
      </c>
      <c r="Q40">
        <v>558</v>
      </c>
      <c r="R40">
        <v>534</v>
      </c>
      <c r="T40">
        <f>Q40*5/1024</f>
        <v>2.724609375</v>
      </c>
      <c r="U40">
        <f>R40*5/1024</f>
        <v>2.607421875</v>
      </c>
      <c r="W40">
        <f>(T40-2.5)*23</f>
        <v>5.166015625</v>
      </c>
      <c r="X40">
        <f>(U40-2.5)/3.9</f>
        <v>2.7544070512820512E-2</v>
      </c>
      <c r="Z40" s="1" t="s">
        <v>10</v>
      </c>
      <c r="AA40">
        <f>SQRT(SUMSQ(W40:W88)/Q39)</f>
        <v>14.106831435065212</v>
      </c>
      <c r="AB40">
        <f>SQRT(SUMSQ(X40:X88)/Q39)/0.282</f>
        <v>0.47858492544055864</v>
      </c>
      <c r="AC40" t="e">
        <f>Q38/R38*360</f>
        <v>#DIV/0!</v>
      </c>
      <c r="AD40" t="e">
        <f>AA40*AB40*COS(Q38/R38*2*PI())</f>
        <v>#DIV/0!</v>
      </c>
    </row>
    <row r="41" spans="5:30" x14ac:dyDescent="0.3">
      <c r="E41">
        <v>616</v>
      </c>
      <c r="F41">
        <v>694</v>
      </c>
      <c r="H41">
        <f t="shared" si="5"/>
        <v>3.0078125</v>
      </c>
      <c r="I41">
        <f t="shared" si="4"/>
        <v>3.388671875</v>
      </c>
      <c r="K41">
        <f t="shared" si="6"/>
        <v>7.16015625</v>
      </c>
      <c r="L41">
        <f t="shared" si="7"/>
        <v>1.77734375</v>
      </c>
      <c r="P41">
        <v>2</v>
      </c>
      <c r="Q41">
        <v>651</v>
      </c>
      <c r="R41">
        <v>618</v>
      </c>
      <c r="T41">
        <f t="shared" ref="T41:T85" si="8">Q41*5/1024</f>
        <v>3.1787109375</v>
      </c>
      <c r="U41">
        <f t="shared" ref="U41:U85" si="9">R41*5/1024</f>
        <v>3.017578125</v>
      </c>
      <c r="W41">
        <f t="shared" ref="W41:W88" si="10">(T41-2.5)*23</f>
        <v>15.6103515625</v>
      </c>
      <c r="X41">
        <f>(U41-2.5)/3.9</f>
        <v>0.13271233974358976</v>
      </c>
      <c r="Z41" s="1" t="s">
        <v>9</v>
      </c>
      <c r="AA41" s="1">
        <v>14</v>
      </c>
      <c r="AB41">
        <f>14/(SQRT(26.532^2+(2*PI()*500*0.004)^2))</f>
        <v>0.47688042756412657</v>
      </c>
      <c r="AC41">
        <f>ATAN((2*PI()*500*0.004)/(26.532))*180/PI()</f>
        <v>25.343673373870875</v>
      </c>
      <c r="AD41">
        <f>AA41*AB41*COS(AC41*PI()/180)</f>
        <v>6.0337732462844205</v>
      </c>
    </row>
    <row r="42" spans="5:30" x14ac:dyDescent="0.3">
      <c r="E42">
        <v>827</v>
      </c>
      <c r="F42">
        <v>714</v>
      </c>
      <c r="H42">
        <f t="shared" si="5"/>
        <v>4.0380859375</v>
      </c>
      <c r="I42">
        <f t="shared" si="4"/>
        <v>3.486328125</v>
      </c>
      <c r="K42">
        <f t="shared" si="6"/>
        <v>21.68701171875</v>
      </c>
      <c r="L42">
        <f t="shared" si="7"/>
        <v>1.97265625</v>
      </c>
      <c r="P42">
        <v>3</v>
      </c>
      <c r="Q42">
        <v>688</v>
      </c>
      <c r="R42">
        <v>661</v>
      </c>
      <c r="T42">
        <f t="shared" si="8"/>
        <v>3.359375</v>
      </c>
      <c r="U42">
        <f t="shared" si="9"/>
        <v>3.2275390625</v>
      </c>
      <c r="W42">
        <f t="shared" si="10"/>
        <v>19.765625</v>
      </c>
      <c r="X42">
        <f t="shared" ref="X42:X86" si="11">(U42-2.5)/3.9</f>
        <v>0.18654847756410256</v>
      </c>
      <c r="Z42" s="1" t="s">
        <v>11</v>
      </c>
      <c r="AA42">
        <f>(AA40-AA41)/AA41*100</f>
        <v>0.76308167903722846</v>
      </c>
      <c r="AB42">
        <f t="shared" ref="AB42:AD42" si="12">(AB40-AB41)/AB41*100</f>
        <v>0.35742667929118555</v>
      </c>
      <c r="AC42" t="e">
        <f t="shared" si="12"/>
        <v>#DIV/0!</v>
      </c>
      <c r="AD42" t="e">
        <f t="shared" si="12"/>
        <v>#DIV/0!</v>
      </c>
    </row>
    <row r="43" spans="5:30" x14ac:dyDescent="0.3">
      <c r="E43">
        <v>919</v>
      </c>
      <c r="F43">
        <v>657</v>
      </c>
      <c r="H43">
        <f t="shared" si="5"/>
        <v>4.4873046875</v>
      </c>
      <c r="I43">
        <f t="shared" si="4"/>
        <v>3.2080078125</v>
      </c>
      <c r="K43">
        <f t="shared" si="6"/>
        <v>28.02099609375</v>
      </c>
      <c r="L43">
        <f t="shared" si="7"/>
        <v>1.416015625</v>
      </c>
      <c r="P43">
        <v>4</v>
      </c>
      <c r="Q43">
        <v>658</v>
      </c>
      <c r="R43">
        <v>647</v>
      </c>
      <c r="T43">
        <f t="shared" si="8"/>
        <v>3.212890625</v>
      </c>
      <c r="U43">
        <f t="shared" si="9"/>
        <v>3.1591796875</v>
      </c>
      <c r="W43">
        <f t="shared" si="10"/>
        <v>16.396484375</v>
      </c>
      <c r="X43">
        <f t="shared" si="11"/>
        <v>0.16902043269230771</v>
      </c>
    </row>
    <row r="44" spans="5:30" x14ac:dyDescent="0.3">
      <c r="E44">
        <v>855</v>
      </c>
      <c r="F44">
        <v>545</v>
      </c>
      <c r="H44">
        <f t="shared" si="5"/>
        <v>4.1748046875</v>
      </c>
      <c r="I44">
        <f t="shared" si="4"/>
        <v>2.6611328125</v>
      </c>
      <c r="K44">
        <f t="shared" si="6"/>
        <v>23.61474609375</v>
      </c>
      <c r="L44">
        <f t="shared" si="7"/>
        <v>0.322265625</v>
      </c>
      <c r="P44">
        <v>5</v>
      </c>
      <c r="Q44">
        <v>572</v>
      </c>
      <c r="R44">
        <v>582</v>
      </c>
      <c r="T44">
        <f t="shared" si="8"/>
        <v>2.79296875</v>
      </c>
      <c r="U44">
        <f t="shared" si="9"/>
        <v>2.841796875</v>
      </c>
      <c r="W44">
        <f t="shared" si="10"/>
        <v>6.73828125</v>
      </c>
      <c r="X44">
        <f t="shared" si="11"/>
        <v>8.7640224358974367E-2</v>
      </c>
    </row>
    <row r="45" spans="5:30" x14ac:dyDescent="0.3">
      <c r="E45">
        <v>660</v>
      </c>
      <c r="F45">
        <v>420</v>
      </c>
      <c r="H45">
        <f t="shared" si="5"/>
        <v>3.22265625</v>
      </c>
      <c r="I45">
        <f t="shared" si="4"/>
        <v>2.05078125</v>
      </c>
      <c r="K45">
        <f t="shared" si="6"/>
        <v>10.189453125</v>
      </c>
      <c r="L45">
        <f t="shared" si="7"/>
        <v>-0.8984375</v>
      </c>
      <c r="P45">
        <v>6</v>
      </c>
      <c r="Q45">
        <v>464</v>
      </c>
      <c r="R45">
        <v>490</v>
      </c>
      <c r="T45">
        <f t="shared" si="8"/>
        <v>2.265625</v>
      </c>
      <c r="U45">
        <f t="shared" si="9"/>
        <v>2.392578125</v>
      </c>
      <c r="W45">
        <f t="shared" si="10"/>
        <v>-5.390625</v>
      </c>
      <c r="X45">
        <f t="shared" si="11"/>
        <v>-2.7544070512820512E-2</v>
      </c>
    </row>
    <row r="46" spans="5:30" x14ac:dyDescent="0.3">
      <c r="E46">
        <v>408</v>
      </c>
      <c r="F46">
        <v>330</v>
      </c>
      <c r="H46">
        <f t="shared" si="5"/>
        <v>1.9921875</v>
      </c>
      <c r="I46">
        <f t="shared" si="4"/>
        <v>1.611328125</v>
      </c>
      <c r="K46">
        <f t="shared" si="6"/>
        <v>-7.16015625</v>
      </c>
      <c r="L46">
        <f t="shared" si="7"/>
        <v>-1.77734375</v>
      </c>
      <c r="P46">
        <v>7</v>
      </c>
      <c r="Q46">
        <v>374</v>
      </c>
      <c r="R46">
        <v>406</v>
      </c>
      <c r="T46">
        <f t="shared" si="8"/>
        <v>1.826171875</v>
      </c>
      <c r="U46">
        <f t="shared" si="9"/>
        <v>1.982421875</v>
      </c>
      <c r="W46">
        <f t="shared" si="10"/>
        <v>-15.498046875</v>
      </c>
      <c r="X46">
        <f t="shared" si="11"/>
        <v>-0.13271233974358976</v>
      </c>
    </row>
    <row r="47" spans="5:30" x14ac:dyDescent="0.3">
      <c r="E47">
        <v>195</v>
      </c>
      <c r="F47">
        <v>311</v>
      </c>
      <c r="H47">
        <f t="shared" si="5"/>
        <v>0.9521484375</v>
      </c>
      <c r="I47">
        <f t="shared" si="4"/>
        <v>1.5185546875</v>
      </c>
      <c r="K47">
        <f t="shared" si="6"/>
        <v>-21.82470703125</v>
      </c>
      <c r="L47">
        <f t="shared" si="7"/>
        <v>-1.962890625</v>
      </c>
      <c r="P47">
        <v>8</v>
      </c>
      <c r="Q47">
        <v>336</v>
      </c>
      <c r="R47">
        <v>363</v>
      </c>
      <c r="T47">
        <f t="shared" si="8"/>
        <v>1.640625</v>
      </c>
      <c r="U47">
        <f t="shared" si="9"/>
        <v>1.7724609375</v>
      </c>
      <c r="W47">
        <f t="shared" si="10"/>
        <v>-19.765625</v>
      </c>
      <c r="X47">
        <f t="shared" si="11"/>
        <v>-0.18654847756410256</v>
      </c>
    </row>
    <row r="48" spans="5:30" x14ac:dyDescent="0.3">
      <c r="E48">
        <v>103</v>
      </c>
      <c r="F48">
        <v>367</v>
      </c>
      <c r="H48">
        <f t="shared" si="5"/>
        <v>0.5029296875</v>
      </c>
      <c r="I48">
        <f t="shared" si="4"/>
        <v>1.7919921875</v>
      </c>
      <c r="K48">
        <f t="shared" si="6"/>
        <v>-28.15869140625</v>
      </c>
      <c r="L48">
        <f t="shared" si="7"/>
        <v>-1.416015625</v>
      </c>
      <c r="P48">
        <v>9</v>
      </c>
      <c r="Q48">
        <v>366</v>
      </c>
      <c r="R48">
        <v>377</v>
      </c>
      <c r="T48">
        <f t="shared" si="8"/>
        <v>1.787109375</v>
      </c>
      <c r="U48">
        <f t="shared" si="9"/>
        <v>1.8408203125</v>
      </c>
      <c r="W48">
        <f t="shared" si="10"/>
        <v>-16.396484375</v>
      </c>
      <c r="X48">
        <f t="shared" si="11"/>
        <v>-0.16902043269230771</v>
      </c>
    </row>
    <row r="49" spans="5:24" x14ac:dyDescent="0.3">
      <c r="E49">
        <v>168</v>
      </c>
      <c r="F49">
        <v>479</v>
      </c>
      <c r="H49">
        <f t="shared" si="5"/>
        <v>0.8203125</v>
      </c>
      <c r="I49">
        <f t="shared" si="4"/>
        <v>2.3388671875</v>
      </c>
      <c r="K49">
        <f t="shared" si="6"/>
        <v>-23.68359375</v>
      </c>
      <c r="L49">
        <f t="shared" si="7"/>
        <v>-0.322265625</v>
      </c>
      <c r="P49">
        <v>10</v>
      </c>
      <c r="Q49">
        <v>452</v>
      </c>
      <c r="R49">
        <v>442</v>
      </c>
      <c r="T49">
        <f t="shared" si="8"/>
        <v>2.20703125</v>
      </c>
      <c r="U49">
        <f t="shared" si="9"/>
        <v>2.158203125</v>
      </c>
      <c r="W49">
        <f t="shared" si="10"/>
        <v>-6.73828125</v>
      </c>
      <c r="X49">
        <f t="shared" si="11"/>
        <v>-8.7640224358974367E-2</v>
      </c>
    </row>
    <row r="50" spans="5:24" x14ac:dyDescent="0.3">
      <c r="E50">
        <v>364</v>
      </c>
      <c r="F50">
        <v>604</v>
      </c>
      <c r="H50">
        <f t="shared" si="5"/>
        <v>1.77734375</v>
      </c>
      <c r="I50">
        <f t="shared" si="4"/>
        <v>2.94921875</v>
      </c>
      <c r="K50">
        <f t="shared" si="6"/>
        <v>-10.189453125</v>
      </c>
      <c r="L50">
        <f t="shared" si="7"/>
        <v>0.8984375</v>
      </c>
      <c r="P50">
        <v>11</v>
      </c>
      <c r="Q50">
        <v>582</v>
      </c>
      <c r="R50">
        <v>551</v>
      </c>
      <c r="T50">
        <f>Q50*5/1024</f>
        <v>2.841796875</v>
      </c>
      <c r="U50">
        <f t="shared" si="9"/>
        <v>2.6904296875</v>
      </c>
      <c r="W50">
        <f t="shared" si="10"/>
        <v>7.861328125</v>
      </c>
      <c r="X50">
        <f t="shared" si="11"/>
        <v>4.8828125E-2</v>
      </c>
    </row>
    <row r="51" spans="5:24" x14ac:dyDescent="0.3">
      <c r="E51">
        <v>616</v>
      </c>
      <c r="F51">
        <v>694</v>
      </c>
      <c r="H51">
        <f t="shared" si="5"/>
        <v>3.0078125</v>
      </c>
      <c r="I51">
        <f t="shared" si="4"/>
        <v>3.388671875</v>
      </c>
      <c r="K51">
        <f t="shared" si="6"/>
        <v>7.16015625</v>
      </c>
      <c r="L51">
        <f t="shared" si="7"/>
        <v>1.77734375</v>
      </c>
      <c r="P51">
        <v>12</v>
      </c>
      <c r="Q51">
        <v>661</v>
      </c>
      <c r="R51">
        <v>629</v>
      </c>
      <c r="T51">
        <f t="shared" si="8"/>
        <v>3.2275390625</v>
      </c>
      <c r="U51">
        <f t="shared" si="9"/>
        <v>3.0712890625</v>
      </c>
      <c r="W51">
        <f t="shared" si="10"/>
        <v>16.7333984375</v>
      </c>
      <c r="X51">
        <f t="shared" si="11"/>
        <v>0.146484375</v>
      </c>
    </row>
    <row r="52" spans="5:24" x14ac:dyDescent="0.3">
      <c r="E52">
        <v>829</v>
      </c>
      <c r="F52">
        <v>713</v>
      </c>
      <c r="H52">
        <f t="shared" ref="H52:H56" si="13">5/1024*E52</f>
        <v>4.0478515625</v>
      </c>
      <c r="I52">
        <f t="shared" ref="I52:I56" si="14">5/1024*F52</f>
        <v>3.4814453125</v>
      </c>
      <c r="K52">
        <f t="shared" ref="K52:K54" si="15">(H52-2.5)*14.1</f>
        <v>21.82470703125</v>
      </c>
      <c r="L52">
        <f t="shared" ref="L52:L54" si="16">(I52-2.5)*2</f>
        <v>1.962890625</v>
      </c>
      <c r="P52">
        <v>13</v>
      </c>
      <c r="Q52">
        <v>687</v>
      </c>
      <c r="R52">
        <v>663</v>
      </c>
      <c r="T52">
        <f t="shared" si="8"/>
        <v>3.3544921875</v>
      </c>
      <c r="U52">
        <f t="shared" si="9"/>
        <v>3.2373046875</v>
      </c>
      <c r="W52">
        <f t="shared" si="10"/>
        <v>19.6533203125</v>
      </c>
      <c r="X52">
        <f t="shared" si="11"/>
        <v>0.18905248397435898</v>
      </c>
    </row>
    <row r="53" spans="5:24" x14ac:dyDescent="0.3">
      <c r="E53">
        <v>920</v>
      </c>
      <c r="F53">
        <v>657</v>
      </c>
      <c r="H53">
        <f t="shared" si="13"/>
        <v>4.4921875</v>
      </c>
      <c r="I53">
        <f t="shared" si="14"/>
        <v>3.2080078125</v>
      </c>
      <c r="K53">
        <f t="shared" si="15"/>
        <v>28.08984375</v>
      </c>
      <c r="L53">
        <f t="shared" si="16"/>
        <v>1.416015625</v>
      </c>
      <c r="P53">
        <v>14</v>
      </c>
      <c r="Q53">
        <v>646</v>
      </c>
      <c r="R53">
        <v>640</v>
      </c>
      <c r="T53">
        <f t="shared" si="8"/>
        <v>3.154296875</v>
      </c>
      <c r="U53">
        <f t="shared" si="9"/>
        <v>3.125</v>
      </c>
      <c r="W53">
        <f t="shared" si="10"/>
        <v>15.048828125</v>
      </c>
      <c r="X53">
        <f t="shared" si="11"/>
        <v>0.16025641025641027</v>
      </c>
    </row>
    <row r="54" spans="5:24" x14ac:dyDescent="0.3">
      <c r="E54">
        <v>856</v>
      </c>
      <c r="F54">
        <v>545</v>
      </c>
      <c r="H54">
        <f t="shared" si="13"/>
        <v>4.1796875</v>
      </c>
      <c r="I54">
        <f t="shared" si="14"/>
        <v>2.6611328125</v>
      </c>
      <c r="K54">
        <f t="shared" si="15"/>
        <v>23.68359375</v>
      </c>
      <c r="L54">
        <f t="shared" si="16"/>
        <v>0.322265625</v>
      </c>
      <c r="P54">
        <v>15</v>
      </c>
      <c r="Q54">
        <v>554</v>
      </c>
      <c r="R54">
        <v>567</v>
      </c>
      <c r="T54">
        <f t="shared" si="8"/>
        <v>2.705078125</v>
      </c>
      <c r="U54">
        <f t="shared" si="9"/>
        <v>2.7685546875</v>
      </c>
      <c r="W54">
        <f t="shared" si="10"/>
        <v>4.716796875</v>
      </c>
      <c r="X54">
        <f t="shared" si="11"/>
        <v>6.886017628205128E-2</v>
      </c>
    </row>
    <row r="55" spans="5:24" x14ac:dyDescent="0.3">
      <c r="E55">
        <v>660</v>
      </c>
      <c r="F55">
        <v>420</v>
      </c>
      <c r="H55">
        <f t="shared" si="13"/>
        <v>3.22265625</v>
      </c>
      <c r="I55">
        <f t="shared" si="14"/>
        <v>2.05078125</v>
      </c>
      <c r="K55">
        <f t="shared" ref="K55:K56" si="17">(H55-2.5)*14.1</f>
        <v>10.189453125</v>
      </c>
      <c r="L55">
        <f t="shared" ref="L55:L56" si="18">(I55-2.5)*2</f>
        <v>-0.8984375</v>
      </c>
      <c r="P55">
        <v>16</v>
      </c>
      <c r="Q55">
        <v>446</v>
      </c>
      <c r="R55">
        <v>473</v>
      </c>
      <c r="T55">
        <f t="shared" si="8"/>
        <v>2.177734375</v>
      </c>
      <c r="U55">
        <f t="shared" si="9"/>
        <v>2.3095703125</v>
      </c>
      <c r="W55">
        <f t="shared" si="10"/>
        <v>-7.412109375</v>
      </c>
      <c r="X55">
        <f t="shared" si="11"/>
        <v>-4.8828125E-2</v>
      </c>
    </row>
    <row r="56" spans="5:24" x14ac:dyDescent="0.3">
      <c r="E56">
        <v>408</v>
      </c>
      <c r="F56">
        <v>330</v>
      </c>
      <c r="H56">
        <f t="shared" si="13"/>
        <v>1.9921875</v>
      </c>
      <c r="I56">
        <f t="shared" si="14"/>
        <v>1.611328125</v>
      </c>
      <c r="K56">
        <f t="shared" si="17"/>
        <v>-7.16015625</v>
      </c>
      <c r="L56">
        <f t="shared" si="18"/>
        <v>-1.77734375</v>
      </c>
      <c r="P56">
        <v>17</v>
      </c>
      <c r="Q56">
        <v>363</v>
      </c>
      <c r="R56">
        <v>395</v>
      </c>
      <c r="T56">
        <f t="shared" si="8"/>
        <v>1.7724609375</v>
      </c>
      <c r="U56">
        <f t="shared" si="9"/>
        <v>1.9287109375</v>
      </c>
      <c r="W56">
        <f t="shared" si="10"/>
        <v>-16.7333984375</v>
      </c>
      <c r="X56">
        <f t="shared" si="11"/>
        <v>-0.146484375</v>
      </c>
    </row>
    <row r="57" spans="5:24" x14ac:dyDescent="0.3">
      <c r="E57">
        <v>195</v>
      </c>
      <c r="F57">
        <v>311</v>
      </c>
      <c r="P57">
        <v>18</v>
      </c>
      <c r="Q57">
        <v>337</v>
      </c>
      <c r="R57">
        <v>361</v>
      </c>
      <c r="T57">
        <f t="shared" si="8"/>
        <v>1.6455078125</v>
      </c>
      <c r="U57">
        <f t="shared" si="9"/>
        <v>1.7626953125</v>
      </c>
      <c r="W57">
        <f t="shared" si="10"/>
        <v>-19.6533203125</v>
      </c>
      <c r="X57">
        <f t="shared" si="11"/>
        <v>-0.18905248397435898</v>
      </c>
    </row>
    <row r="58" spans="5:24" x14ac:dyDescent="0.3">
      <c r="E58">
        <v>103</v>
      </c>
      <c r="F58">
        <v>367</v>
      </c>
      <c r="P58">
        <v>19</v>
      </c>
      <c r="Q58">
        <v>378</v>
      </c>
      <c r="R58">
        <v>385</v>
      </c>
      <c r="T58">
        <f t="shared" si="8"/>
        <v>1.845703125</v>
      </c>
      <c r="U58">
        <f t="shared" si="9"/>
        <v>1.8798828125</v>
      </c>
      <c r="W58">
        <f t="shared" si="10"/>
        <v>-15.048828125</v>
      </c>
      <c r="X58">
        <f t="shared" si="11"/>
        <v>-0.15900440705128205</v>
      </c>
    </row>
    <row r="59" spans="5:24" x14ac:dyDescent="0.3">
      <c r="E59">
        <v>168</v>
      </c>
      <c r="F59">
        <v>479</v>
      </c>
      <c r="P59">
        <v>20</v>
      </c>
      <c r="Q59">
        <v>470</v>
      </c>
      <c r="R59">
        <v>477</v>
      </c>
      <c r="T59">
        <f t="shared" si="8"/>
        <v>2.294921875</v>
      </c>
      <c r="U59">
        <f t="shared" si="9"/>
        <v>2.3291015625</v>
      </c>
      <c r="W59">
        <f t="shared" si="10"/>
        <v>-4.716796875</v>
      </c>
      <c r="X59">
        <f t="shared" si="11"/>
        <v>-4.3820112179487183E-2</v>
      </c>
    </row>
    <row r="60" spans="5:24" x14ac:dyDescent="0.3">
      <c r="E60" t="s">
        <v>5</v>
      </c>
      <c r="P60">
        <v>21</v>
      </c>
      <c r="Q60">
        <v>598</v>
      </c>
      <c r="R60">
        <v>568</v>
      </c>
      <c r="T60">
        <f t="shared" si="8"/>
        <v>2.919921875</v>
      </c>
      <c r="U60">
        <f t="shared" si="9"/>
        <v>2.7734375</v>
      </c>
      <c r="W60">
        <f t="shared" si="10"/>
        <v>9.658203125</v>
      </c>
      <c r="X60">
        <f t="shared" si="11"/>
        <v>7.0112179487179488E-2</v>
      </c>
    </row>
    <row r="61" spans="5:24" x14ac:dyDescent="0.3">
      <c r="E61" t="s">
        <v>6</v>
      </c>
      <c r="P61">
        <v>22</v>
      </c>
      <c r="Q61">
        <v>672</v>
      </c>
      <c r="R61">
        <v>640</v>
      </c>
      <c r="T61">
        <f t="shared" si="8"/>
        <v>3.28125</v>
      </c>
      <c r="U61">
        <f t="shared" si="9"/>
        <v>3.125</v>
      </c>
      <c r="W61">
        <f t="shared" si="10"/>
        <v>17.96875</v>
      </c>
      <c r="X61">
        <f t="shared" si="11"/>
        <v>0.16025641025641027</v>
      </c>
    </row>
    <row r="62" spans="5:24" x14ac:dyDescent="0.3">
      <c r="P62">
        <v>23</v>
      </c>
      <c r="Q62">
        <v>684</v>
      </c>
      <c r="R62">
        <v>663</v>
      </c>
      <c r="T62">
        <f t="shared" si="8"/>
        <v>3.33984375</v>
      </c>
      <c r="U62">
        <f t="shared" si="9"/>
        <v>3.2373046875</v>
      </c>
      <c r="W62">
        <f t="shared" si="10"/>
        <v>19.31640625</v>
      </c>
      <c r="X62">
        <f t="shared" si="11"/>
        <v>0.18905248397435898</v>
      </c>
    </row>
    <row r="63" spans="5:24" x14ac:dyDescent="0.3">
      <c r="P63">
        <v>24</v>
      </c>
      <c r="Q63">
        <v>631</v>
      </c>
      <c r="R63">
        <v>629</v>
      </c>
      <c r="T63">
        <f t="shared" si="8"/>
        <v>3.0810546875</v>
      </c>
      <c r="U63">
        <f t="shared" si="9"/>
        <v>3.0712890625</v>
      </c>
      <c r="W63">
        <f t="shared" si="10"/>
        <v>13.3642578125</v>
      </c>
      <c r="X63">
        <f t="shared" si="11"/>
        <v>0.146484375</v>
      </c>
    </row>
    <row r="64" spans="5:24" x14ac:dyDescent="0.3">
      <c r="P64">
        <v>25</v>
      </c>
      <c r="Q64">
        <v>533</v>
      </c>
      <c r="R64">
        <v>550</v>
      </c>
      <c r="T64">
        <f t="shared" si="8"/>
        <v>2.6025390625</v>
      </c>
      <c r="U64">
        <f t="shared" si="9"/>
        <v>2.685546875</v>
      </c>
      <c r="W64">
        <f t="shared" si="10"/>
        <v>2.3583984375</v>
      </c>
      <c r="X64">
        <f t="shared" si="11"/>
        <v>4.7576121794871799E-2</v>
      </c>
    </row>
    <row r="65" spans="16:27" x14ac:dyDescent="0.3">
      <c r="P65">
        <v>26</v>
      </c>
      <c r="Q65">
        <v>426</v>
      </c>
      <c r="R65">
        <v>456</v>
      </c>
      <c r="T65">
        <f t="shared" si="8"/>
        <v>2.080078125</v>
      </c>
      <c r="U65">
        <f t="shared" si="9"/>
        <v>2.2265625</v>
      </c>
      <c r="W65">
        <f t="shared" si="10"/>
        <v>-9.658203125</v>
      </c>
      <c r="X65">
        <f t="shared" si="11"/>
        <v>-7.0112179487179488E-2</v>
      </c>
    </row>
    <row r="66" spans="16:27" x14ac:dyDescent="0.3">
      <c r="P66">
        <v>27</v>
      </c>
      <c r="Q66">
        <v>353</v>
      </c>
      <c r="R66">
        <v>384</v>
      </c>
      <c r="T66">
        <f t="shared" si="8"/>
        <v>1.7236328125</v>
      </c>
      <c r="U66">
        <f t="shared" si="9"/>
        <v>1.875</v>
      </c>
      <c r="W66">
        <f t="shared" si="10"/>
        <v>-17.8564453125</v>
      </c>
      <c r="X66">
        <f t="shared" si="11"/>
        <v>-0.16025641025641027</v>
      </c>
      <c r="AA66" cm="1">
        <f t="array" ref="AA66">MATCH(MIN(ABS(U40:U88-2.5)), ABS(U40:U88-2.5), 0)</f>
        <v>40</v>
      </c>
    </row>
    <row r="67" spans="16:27" x14ac:dyDescent="0.3">
      <c r="P67">
        <v>28</v>
      </c>
      <c r="Q67">
        <v>339</v>
      </c>
      <c r="R67">
        <v>361</v>
      </c>
      <c r="T67">
        <f t="shared" si="8"/>
        <v>1.6552734375</v>
      </c>
      <c r="U67">
        <f t="shared" si="9"/>
        <v>1.7626953125</v>
      </c>
      <c r="W67">
        <f t="shared" si="10"/>
        <v>-19.4287109375</v>
      </c>
      <c r="X67">
        <f t="shared" si="11"/>
        <v>-0.18905248397435898</v>
      </c>
    </row>
    <row r="68" spans="16:27" x14ac:dyDescent="0.3">
      <c r="P68">
        <v>29</v>
      </c>
      <c r="Q68">
        <v>392</v>
      </c>
      <c r="R68">
        <v>395</v>
      </c>
      <c r="T68">
        <f t="shared" si="8"/>
        <v>1.9140625</v>
      </c>
      <c r="U68">
        <f t="shared" si="9"/>
        <v>1.9287109375</v>
      </c>
      <c r="W68">
        <f t="shared" si="10"/>
        <v>-13.4765625</v>
      </c>
      <c r="X68">
        <f t="shared" si="11"/>
        <v>-0.146484375</v>
      </c>
    </row>
    <row r="69" spans="16:27" x14ac:dyDescent="0.3">
      <c r="P69">
        <v>30</v>
      </c>
      <c r="Q69">
        <v>491</v>
      </c>
      <c r="R69">
        <v>492</v>
      </c>
      <c r="T69">
        <f t="shared" si="8"/>
        <v>2.3974609375</v>
      </c>
      <c r="U69">
        <f t="shared" si="9"/>
        <v>2.40234375</v>
      </c>
      <c r="W69">
        <f t="shared" si="10"/>
        <v>-2.3583984375</v>
      </c>
      <c r="X69">
        <f t="shared" si="11"/>
        <v>-2.5040064102564104E-2</v>
      </c>
    </row>
    <row r="70" spans="16:27" x14ac:dyDescent="0.3">
      <c r="P70">
        <v>31</v>
      </c>
      <c r="Q70">
        <v>612</v>
      </c>
      <c r="R70">
        <v>581</v>
      </c>
      <c r="T70">
        <f t="shared" si="8"/>
        <v>2.98828125</v>
      </c>
      <c r="U70">
        <f t="shared" si="9"/>
        <v>2.8369140625</v>
      </c>
      <c r="W70">
        <f t="shared" si="10"/>
        <v>11.23046875</v>
      </c>
      <c r="X70">
        <f t="shared" si="11"/>
        <v>8.6388221153846159E-2</v>
      </c>
    </row>
    <row r="71" spans="16:27" x14ac:dyDescent="0.3">
      <c r="P71">
        <v>32</v>
      </c>
      <c r="Q71">
        <v>678</v>
      </c>
      <c r="R71">
        <v>647</v>
      </c>
      <c r="T71">
        <f t="shared" si="8"/>
        <v>3.310546875</v>
      </c>
      <c r="U71">
        <f t="shared" si="9"/>
        <v>3.1591796875</v>
      </c>
      <c r="W71">
        <f t="shared" si="10"/>
        <v>18.642578125</v>
      </c>
      <c r="X71">
        <f t="shared" si="11"/>
        <v>0.16902043269230771</v>
      </c>
    </row>
    <row r="72" spans="16:27" x14ac:dyDescent="0.3">
      <c r="P72">
        <v>33</v>
      </c>
      <c r="Q72">
        <v>680</v>
      </c>
      <c r="R72">
        <v>662</v>
      </c>
      <c r="T72">
        <f t="shared" si="8"/>
        <v>3.3203125</v>
      </c>
      <c r="U72">
        <f t="shared" si="9"/>
        <v>3.232421875</v>
      </c>
      <c r="W72">
        <f t="shared" si="10"/>
        <v>18.8671875</v>
      </c>
      <c r="X72">
        <f t="shared" si="11"/>
        <v>0.18780048076923078</v>
      </c>
    </row>
    <row r="73" spans="16:27" x14ac:dyDescent="0.3">
      <c r="P73">
        <v>34</v>
      </c>
      <c r="Q73">
        <v>619</v>
      </c>
      <c r="R73">
        <v>619</v>
      </c>
      <c r="T73">
        <f t="shared" si="8"/>
        <v>3.0224609375</v>
      </c>
      <c r="U73">
        <f t="shared" si="9"/>
        <v>3.0224609375</v>
      </c>
      <c r="W73">
        <f t="shared" si="10"/>
        <v>12.0166015625</v>
      </c>
      <c r="X73">
        <f t="shared" si="11"/>
        <v>0.13396434294871795</v>
      </c>
    </row>
    <row r="74" spans="16:27" x14ac:dyDescent="0.3">
      <c r="P74">
        <v>35</v>
      </c>
      <c r="Q74">
        <v>516</v>
      </c>
      <c r="R74">
        <v>535</v>
      </c>
      <c r="T74">
        <f t="shared" si="8"/>
        <v>2.51953125</v>
      </c>
      <c r="U74">
        <f t="shared" si="9"/>
        <v>2.6123046875</v>
      </c>
      <c r="W74">
        <f t="shared" si="10"/>
        <v>0.44921875</v>
      </c>
      <c r="X74">
        <f t="shared" si="11"/>
        <v>2.879607371794872E-2</v>
      </c>
    </row>
    <row r="75" spans="16:27" x14ac:dyDescent="0.3">
      <c r="P75">
        <v>36</v>
      </c>
      <c r="Q75">
        <v>412</v>
      </c>
      <c r="R75">
        <v>442</v>
      </c>
      <c r="T75">
        <f t="shared" si="8"/>
        <v>2.01171875</v>
      </c>
      <c r="U75">
        <f t="shared" si="9"/>
        <v>2.158203125</v>
      </c>
      <c r="W75">
        <f t="shared" si="10"/>
        <v>-11.23046875</v>
      </c>
      <c r="X75">
        <f t="shared" si="11"/>
        <v>-8.7640224358974367E-2</v>
      </c>
    </row>
    <row r="76" spans="16:27" x14ac:dyDescent="0.3">
      <c r="P76">
        <v>37</v>
      </c>
      <c r="Q76">
        <v>346</v>
      </c>
      <c r="R76">
        <v>376</v>
      </c>
      <c r="T76">
        <f t="shared" si="8"/>
        <v>1.689453125</v>
      </c>
      <c r="U76">
        <f t="shared" si="9"/>
        <v>1.8359375</v>
      </c>
      <c r="W76">
        <f t="shared" si="10"/>
        <v>-18.642578125</v>
      </c>
      <c r="X76">
        <f t="shared" si="11"/>
        <v>-0.1702724358974359</v>
      </c>
    </row>
    <row r="77" spans="16:27" x14ac:dyDescent="0.3">
      <c r="P77">
        <v>38</v>
      </c>
      <c r="Q77">
        <v>343</v>
      </c>
      <c r="R77">
        <v>363</v>
      </c>
      <c r="T77">
        <f t="shared" si="8"/>
        <v>1.6748046875</v>
      </c>
      <c r="U77">
        <f t="shared" si="9"/>
        <v>1.7724609375</v>
      </c>
      <c r="W77">
        <f t="shared" si="10"/>
        <v>-18.9794921875</v>
      </c>
      <c r="X77">
        <f t="shared" si="11"/>
        <v>-0.18654847756410256</v>
      </c>
    </row>
    <row r="78" spans="16:27" x14ac:dyDescent="0.3">
      <c r="P78">
        <v>39</v>
      </c>
      <c r="Q78">
        <v>405</v>
      </c>
      <c r="R78">
        <v>406</v>
      </c>
      <c r="T78">
        <f t="shared" si="8"/>
        <v>1.9775390625</v>
      </c>
      <c r="U78">
        <f t="shared" si="9"/>
        <v>1.982421875</v>
      </c>
      <c r="W78">
        <f t="shared" si="10"/>
        <v>-12.0166015625</v>
      </c>
      <c r="X78">
        <f t="shared" si="11"/>
        <v>-0.13271233974358976</v>
      </c>
    </row>
    <row r="79" spans="16:27" x14ac:dyDescent="0.3">
      <c r="P79">
        <v>40</v>
      </c>
      <c r="Q79">
        <v>549</v>
      </c>
      <c r="R79">
        <v>522</v>
      </c>
      <c r="T79">
        <f t="shared" si="8"/>
        <v>2.6806640625</v>
      </c>
      <c r="U79">
        <f t="shared" si="9"/>
        <v>2.548828125</v>
      </c>
      <c r="W79">
        <f t="shared" si="10"/>
        <v>4.1552734375</v>
      </c>
      <c r="X79">
        <f t="shared" si="11"/>
        <v>1.2520032051282052E-2</v>
      </c>
    </row>
    <row r="80" spans="16:27" x14ac:dyDescent="0.3">
      <c r="P80">
        <v>41</v>
      </c>
      <c r="Q80">
        <v>641</v>
      </c>
      <c r="R80">
        <v>608</v>
      </c>
      <c r="T80">
        <f t="shared" si="8"/>
        <v>3.1298828125</v>
      </c>
      <c r="U80">
        <f t="shared" si="9"/>
        <v>2.96875</v>
      </c>
      <c r="W80">
        <f t="shared" si="10"/>
        <v>14.4873046875</v>
      </c>
      <c r="X80">
        <f t="shared" si="11"/>
        <v>0.1201923076923077</v>
      </c>
    </row>
    <row r="81" spans="16:24" x14ac:dyDescent="0.3">
      <c r="P81">
        <v>42</v>
      </c>
      <c r="Q81">
        <v>686</v>
      </c>
      <c r="R81">
        <v>658</v>
      </c>
      <c r="T81">
        <f t="shared" si="8"/>
        <v>3.349609375</v>
      </c>
      <c r="U81">
        <f t="shared" si="9"/>
        <v>3.212890625</v>
      </c>
      <c r="W81">
        <f t="shared" si="10"/>
        <v>19.541015625</v>
      </c>
      <c r="X81">
        <f t="shared" si="11"/>
        <v>0.18279246794871795</v>
      </c>
    </row>
    <row r="82" spans="16:24" x14ac:dyDescent="0.3">
      <c r="P82">
        <v>43</v>
      </c>
      <c r="Q82">
        <v>665</v>
      </c>
      <c r="R82">
        <v>653</v>
      </c>
      <c r="T82">
        <f t="shared" si="8"/>
        <v>3.2470703125</v>
      </c>
      <c r="U82">
        <f t="shared" si="9"/>
        <v>3.1884765625</v>
      </c>
      <c r="W82">
        <f t="shared" si="10"/>
        <v>17.1826171875</v>
      </c>
      <c r="X82">
        <f t="shared" si="11"/>
        <v>0.17653245192307693</v>
      </c>
    </row>
    <row r="83" spans="16:24" x14ac:dyDescent="0.3">
      <c r="P83">
        <v>44</v>
      </c>
      <c r="Q83">
        <v>586</v>
      </c>
      <c r="R83">
        <v>593</v>
      </c>
      <c r="T83">
        <f t="shared" si="8"/>
        <v>2.861328125</v>
      </c>
      <c r="U83">
        <f t="shared" si="9"/>
        <v>2.8955078125</v>
      </c>
      <c r="W83">
        <f t="shared" si="10"/>
        <v>8.310546875</v>
      </c>
      <c r="X83">
        <f t="shared" si="11"/>
        <v>0.10141225961538462</v>
      </c>
    </row>
    <row r="84" spans="16:24" x14ac:dyDescent="0.3">
      <c r="P84">
        <v>45</v>
      </c>
      <c r="Q84">
        <v>478</v>
      </c>
      <c r="R84">
        <v>502</v>
      </c>
      <c r="T84">
        <f t="shared" si="8"/>
        <v>2.333984375</v>
      </c>
      <c r="U84">
        <f t="shared" si="9"/>
        <v>2.451171875</v>
      </c>
      <c r="W84">
        <f t="shared" si="10"/>
        <v>-3.818359375</v>
      </c>
      <c r="X84">
        <f t="shared" si="11"/>
        <v>-1.2520032051282052E-2</v>
      </c>
    </row>
    <row r="85" spans="16:24" x14ac:dyDescent="0.3">
      <c r="P85">
        <v>46</v>
      </c>
      <c r="Q85">
        <v>383</v>
      </c>
      <c r="R85">
        <v>415</v>
      </c>
      <c r="T85">
        <f t="shared" si="8"/>
        <v>1.8701171875</v>
      </c>
      <c r="U85">
        <f t="shared" si="9"/>
        <v>2.0263671875</v>
      </c>
      <c r="W85">
        <f t="shared" si="10"/>
        <v>-14.4873046875</v>
      </c>
      <c r="X85">
        <f t="shared" si="11"/>
        <v>-0.1214443108974359</v>
      </c>
    </row>
    <row r="86" spans="16:24" x14ac:dyDescent="0.3">
      <c r="P86">
        <v>47</v>
      </c>
      <c r="Q86">
        <v>337</v>
      </c>
      <c r="R86">
        <v>366</v>
      </c>
      <c r="T86">
        <f t="shared" ref="T86" si="19">Q86*5/1024</f>
        <v>1.6455078125</v>
      </c>
      <c r="U86">
        <f t="shared" ref="U86" si="20">R86*5/1024</f>
        <v>1.787109375</v>
      </c>
      <c r="W86">
        <f t="shared" si="10"/>
        <v>-19.6533203125</v>
      </c>
      <c r="X86">
        <f t="shared" si="11"/>
        <v>-0.18279246794871795</v>
      </c>
    </row>
    <row r="87" spans="16:24" x14ac:dyDescent="0.3">
      <c r="P87">
        <v>48</v>
      </c>
      <c r="Q87">
        <v>358</v>
      </c>
      <c r="R87">
        <v>371</v>
      </c>
      <c r="T87">
        <f t="shared" ref="T87:T88" si="21">Q87*5/1024</f>
        <v>1.748046875</v>
      </c>
      <c r="U87">
        <f t="shared" ref="U87:U88" si="22">R87*5/1024</f>
        <v>1.8115234375</v>
      </c>
      <c r="W87">
        <f t="shared" si="10"/>
        <v>-17.294921875</v>
      </c>
      <c r="X87">
        <f t="shared" ref="X87:X88" si="23">(U87-2.5)/3.9</f>
        <v>-0.17653245192307693</v>
      </c>
    </row>
    <row r="88" spans="16:24" x14ac:dyDescent="0.3">
      <c r="P88">
        <v>49</v>
      </c>
      <c r="Q88">
        <v>438</v>
      </c>
      <c r="R88">
        <v>431</v>
      </c>
      <c r="T88">
        <f t="shared" si="21"/>
        <v>2.138671875</v>
      </c>
      <c r="U88">
        <f t="shared" si="22"/>
        <v>2.1044921875</v>
      </c>
      <c r="W88">
        <f t="shared" si="10"/>
        <v>-8.310546875</v>
      </c>
      <c r="X88">
        <f t="shared" si="23"/>
        <v>-0.10141225961538462</v>
      </c>
    </row>
    <row r="89" spans="16:24" x14ac:dyDescent="0.3">
      <c r="Q89" t="s">
        <v>12</v>
      </c>
    </row>
    <row r="90" spans="16:24" x14ac:dyDescent="0.3">
      <c r="Q9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33CF-01AB-433F-B8EB-89FAB0430329}">
  <dimension ref="B3:AD137"/>
  <sheetViews>
    <sheetView tabSelected="1" topLeftCell="A4" workbookViewId="0">
      <selection activeCell="P11" sqref="P11"/>
    </sheetView>
  </sheetViews>
  <sheetFormatPr defaultRowHeight="14.4" x14ac:dyDescent="0.3"/>
  <sheetData>
    <row r="3" spans="3:19" x14ac:dyDescent="0.3">
      <c r="C3" t="s">
        <v>17</v>
      </c>
    </row>
    <row r="4" spans="3:19" x14ac:dyDescent="0.3">
      <c r="C4" t="s">
        <v>18</v>
      </c>
      <c r="D4" t="s">
        <v>20</v>
      </c>
      <c r="E4" t="s">
        <v>19</v>
      </c>
      <c r="F4" t="s">
        <v>2</v>
      </c>
      <c r="G4" t="s">
        <v>21</v>
      </c>
      <c r="H4" t="s">
        <v>0</v>
      </c>
    </row>
    <row r="5" spans="3:19" x14ac:dyDescent="0.3">
      <c r="C5">
        <f>2*PI()*500*0.004</f>
        <v>12.566370614359172</v>
      </c>
      <c r="D5">
        <f>105*0.75+0.282</f>
        <v>79.031999999999996</v>
      </c>
      <c r="E5">
        <f>SQRT(SUMSQ(C5:D5))</f>
        <v>80.024812992080328</v>
      </c>
      <c r="F5">
        <f>14/E5</f>
        <v>0.17494573840972941</v>
      </c>
      <c r="G5">
        <f>F5*0.282*SQRT(2)</f>
        <v>6.9769799334633037E-2</v>
      </c>
      <c r="H5">
        <f>ATAN(C5/D5)</f>
        <v>0.1576835591301893</v>
      </c>
    </row>
    <row r="9" spans="3:19" x14ac:dyDescent="0.3">
      <c r="C9" t="s">
        <v>14</v>
      </c>
      <c r="D9" t="s">
        <v>15</v>
      </c>
      <c r="E9" t="s">
        <v>16</v>
      </c>
      <c r="G9" t="s">
        <v>3</v>
      </c>
      <c r="J9" t="s">
        <v>22</v>
      </c>
      <c r="L9" t="s">
        <v>23</v>
      </c>
      <c r="P9" t="s">
        <v>24</v>
      </c>
    </row>
    <row r="10" spans="3:19" x14ac:dyDescent="0.3">
      <c r="C10">
        <f>2*PI()/10*0</f>
        <v>0</v>
      </c>
      <c r="D10">
        <f>14*SQRT(2)*SIN(C10/180*PI())</f>
        <v>0</v>
      </c>
      <c r="E10">
        <f>G5*SIN(C10+H5)</f>
        <v>1.0956016307282553E-2</v>
      </c>
      <c r="G10">
        <f>D10*E10/0.282</f>
        <v>0</v>
      </c>
      <c r="J10">
        <f>AVERAGE(G11:G32)</f>
        <v>2.4074217603139245</v>
      </c>
      <c r="L10">
        <f>SQRT(SUMSQ(D11:D32)/COUNT(D11:D32))</f>
        <v>13.907412497304019</v>
      </c>
      <c r="M10">
        <f>SQRT(SUMSQ(E11:E32)/COUNT(E11:E32))/0.282</f>
        <v>0.17518358748029594</v>
      </c>
      <c r="N10">
        <f>L10*M10*COS(H5)</f>
        <v>2.4061242845532713</v>
      </c>
      <c r="P10">
        <f>14*F5*COS(H5)</f>
        <v>2.4188542919947187</v>
      </c>
      <c r="R10">
        <f>D10/23+2.5</f>
        <v>2.5</v>
      </c>
      <c r="S10">
        <f>E10*3.9+2.5</f>
        <v>2.5427284635984018</v>
      </c>
    </row>
    <row r="11" spans="3:19" x14ac:dyDescent="0.3">
      <c r="C11">
        <f>2*PI()/10*1</f>
        <v>0.62831853071795862</v>
      </c>
      <c r="D11">
        <f>14*SQRT(2)*SIN(C11)</f>
        <v>11.637554257768697</v>
      </c>
      <c r="E11">
        <f>G5*SIN(C11+H5)</f>
        <v>4.936448376207999E-2</v>
      </c>
      <c r="G11">
        <f>D11*E11/0.282</f>
        <v>2.0371697098863395</v>
      </c>
      <c r="I11" t="s">
        <v>25</v>
      </c>
      <c r="J11">
        <f>(J10-P10)/P10*100</f>
        <v>-0.47264242904711218</v>
      </c>
      <c r="L11">
        <f>(L10-14)/L10*100</f>
        <v>-0.66574211927581139</v>
      </c>
      <c r="M11">
        <f>(M10-F5)/F5*100</f>
        <v>0.13595590994590886</v>
      </c>
      <c r="N11">
        <f>(N10-P10)/P10*100</f>
        <v>-0.52628252489526806</v>
      </c>
      <c r="P11">
        <f>(2.38-P10)/P10*100</f>
        <v>-1.6063097361138454</v>
      </c>
      <c r="R11">
        <f t="shared" ref="R11:R32" si="0">D11/23+2.5</f>
        <v>3.0059806199029868</v>
      </c>
      <c r="S11">
        <f t="shared" ref="S11:S32" si="1">E11*3.9+2.5</f>
        <v>2.6925214866721121</v>
      </c>
    </row>
    <row r="12" spans="3:19" x14ac:dyDescent="0.3">
      <c r="C12">
        <f>2*PI()/10*2</f>
        <v>1.2566370614359172</v>
      </c>
      <c r="D12">
        <f t="shared" ref="D12:D32" si="2">14*SQRT(2)*SIN(C12)</f>
        <v>18.829958334990803</v>
      </c>
      <c r="E12">
        <f>G5*SIN(C12+H5)</f>
        <v>6.8917396256855154E-2</v>
      </c>
      <c r="G12">
        <f t="shared" ref="G12:G32" si="3">D12*E12/0.282</f>
        <v>4.6018145392646588</v>
      </c>
      <c r="R12">
        <f t="shared" si="0"/>
        <v>3.3186938406517741</v>
      </c>
      <c r="S12">
        <f t="shared" si="1"/>
        <v>2.7687778454017353</v>
      </c>
    </row>
    <row r="13" spans="3:19" x14ac:dyDescent="0.3">
      <c r="C13">
        <f>2*PI()/10*3</f>
        <v>1.8849555921538759</v>
      </c>
      <c r="D13">
        <f t="shared" si="2"/>
        <v>18.829958334990806</v>
      </c>
      <c r="E13">
        <f>G5*SIN(C13+H5)</f>
        <v>6.2146205797656437E-2</v>
      </c>
      <c r="G13">
        <f t="shared" si="3"/>
        <v>4.1496825030057982</v>
      </c>
      <c r="R13">
        <f t="shared" si="0"/>
        <v>3.3186938406517741</v>
      </c>
      <c r="S13">
        <f t="shared" si="1"/>
        <v>2.7423702026108603</v>
      </c>
    </row>
    <row r="14" spans="3:19" x14ac:dyDescent="0.3">
      <c r="C14">
        <f>2*PI()/10*4</f>
        <v>2.5132741228718345</v>
      </c>
      <c r="D14">
        <f t="shared" si="2"/>
        <v>11.637554257768699</v>
      </c>
      <c r="E14">
        <f>G5*SIN(C14+H5)</f>
        <v>3.1637276995598727E-2</v>
      </c>
      <c r="G14">
        <f t="shared" si="3"/>
        <v>1.3056047078168003</v>
      </c>
      <c r="R14">
        <f t="shared" si="0"/>
        <v>3.0059806199029868</v>
      </c>
      <c r="S14">
        <f t="shared" si="1"/>
        <v>2.6233853802828349</v>
      </c>
    </row>
    <row r="15" spans="3:19" x14ac:dyDescent="0.3">
      <c r="C15">
        <f>2*PI()/10*5</f>
        <v>3.1415926535897931</v>
      </c>
      <c r="D15">
        <f t="shared" si="2"/>
        <v>2.425670185193098E-15</v>
      </c>
      <c r="E15">
        <f>G5*SIN(C15+H5)</f>
        <v>-1.095601630728254E-2</v>
      </c>
      <c r="G15">
        <f t="shared" si="3"/>
        <v>-9.4240007464768242E-17</v>
      </c>
      <c r="R15">
        <f t="shared" si="0"/>
        <v>2.5</v>
      </c>
      <c r="S15">
        <f t="shared" si="1"/>
        <v>2.4572715364015982</v>
      </c>
    </row>
    <row r="16" spans="3:19" x14ac:dyDescent="0.3">
      <c r="C16">
        <f>2*PI()/10*6</f>
        <v>3.7699111843077517</v>
      </c>
      <c r="D16">
        <f t="shared" si="2"/>
        <v>-11.637554257768693</v>
      </c>
      <c r="E16">
        <f>G5*SIN(C16+H5)</f>
        <v>-4.936448376207999E-2</v>
      </c>
      <c r="G16">
        <f t="shared" si="3"/>
        <v>2.0371697098863391</v>
      </c>
      <c r="R16">
        <f t="shared" si="0"/>
        <v>1.9940193800970132</v>
      </c>
      <c r="S16">
        <f t="shared" si="1"/>
        <v>2.3074785133278879</v>
      </c>
    </row>
    <row r="17" spans="2:19" x14ac:dyDescent="0.3">
      <c r="C17">
        <f>2*PI()/10*7</f>
        <v>4.3982297150257104</v>
      </c>
      <c r="D17">
        <f t="shared" si="2"/>
        <v>-18.829958334990803</v>
      </c>
      <c r="E17">
        <f>G5*SIN(C17+H5)</f>
        <v>-6.8917396256855168E-2</v>
      </c>
      <c r="G17">
        <f t="shared" si="3"/>
        <v>4.6018145392646597</v>
      </c>
      <c r="R17">
        <f t="shared" si="0"/>
        <v>1.6813061593482259</v>
      </c>
      <c r="S17">
        <f t="shared" si="1"/>
        <v>2.2312221545982647</v>
      </c>
    </row>
    <row r="18" spans="2:19" x14ac:dyDescent="0.3">
      <c r="C18">
        <f>2*PI()/10*8</f>
        <v>5.026548245743669</v>
      </c>
      <c r="D18">
        <f t="shared" si="2"/>
        <v>-18.829958334990806</v>
      </c>
      <c r="E18">
        <f>G5*SIN(C18+H5)</f>
        <v>-6.214620579765643E-2</v>
      </c>
      <c r="G18">
        <f t="shared" si="3"/>
        <v>4.1496825030057973</v>
      </c>
      <c r="R18">
        <f t="shared" si="0"/>
        <v>1.6813061593482259</v>
      </c>
      <c r="S18">
        <f t="shared" si="1"/>
        <v>2.2576297973891402</v>
      </c>
    </row>
    <row r="19" spans="2:19" x14ac:dyDescent="0.3">
      <c r="C19">
        <f>2*PI()/10*9</f>
        <v>5.6548667764616276</v>
      </c>
      <c r="D19">
        <f t="shared" si="2"/>
        <v>-11.6375542577687</v>
      </c>
      <c r="E19">
        <f>G5*SIN(C19+H5)</f>
        <v>-3.1637276995598707E-2</v>
      </c>
      <c r="G19">
        <f t="shared" si="3"/>
        <v>1.3056047078167998</v>
      </c>
      <c r="R19">
        <f t="shared" si="0"/>
        <v>1.9940193800970132</v>
      </c>
      <c r="S19">
        <f t="shared" si="1"/>
        <v>2.3766146197171651</v>
      </c>
    </row>
    <row r="20" spans="2:19" x14ac:dyDescent="0.3">
      <c r="C20">
        <f>2*PI()/10*10</f>
        <v>6.2831853071795862</v>
      </c>
      <c r="D20">
        <f t="shared" si="2"/>
        <v>-4.8513403703861959E-15</v>
      </c>
      <c r="E20">
        <f>G5*SIN(C20+H5)</f>
        <v>1.0956016307282565E-2</v>
      </c>
      <c r="G20">
        <f t="shared" si="3"/>
        <v>-1.884800149295369E-16</v>
      </c>
      <c r="R20">
        <f t="shared" si="0"/>
        <v>2.5</v>
      </c>
      <c r="S20">
        <f t="shared" si="1"/>
        <v>2.5427284635984022</v>
      </c>
    </row>
    <row r="21" spans="2:19" x14ac:dyDescent="0.3">
      <c r="C21">
        <f>2*PI()/10*11</f>
        <v>6.9115038378975449</v>
      </c>
      <c r="D21">
        <f t="shared" si="2"/>
        <v>11.637554257768691</v>
      </c>
      <c r="E21">
        <f>G5*SIN(C21+H5)</f>
        <v>4.9364483762080011E-2</v>
      </c>
      <c r="G21">
        <f t="shared" si="3"/>
        <v>2.0371697098863391</v>
      </c>
      <c r="R21">
        <f t="shared" si="0"/>
        <v>3.0059806199029868</v>
      </c>
      <c r="S21">
        <f t="shared" si="1"/>
        <v>2.6925214866721121</v>
      </c>
    </row>
    <row r="22" spans="2:19" x14ac:dyDescent="0.3">
      <c r="B22" s="1" t="s">
        <v>26</v>
      </c>
      <c r="C22">
        <f>C11+B23</f>
        <v>0.7283185307179586</v>
      </c>
      <c r="D22">
        <f>14*SQRT(2)*SIN(C22)</f>
        <v>13.178518602630747</v>
      </c>
      <c r="E22">
        <f>G5*SIN(C22+H6)</f>
        <v>4.6439874171398055E-2</v>
      </c>
      <c r="G22">
        <f t="shared" si="3"/>
        <v>2.1702437789773068</v>
      </c>
      <c r="R22">
        <f t="shared" si="0"/>
        <v>3.0729790696795978</v>
      </c>
      <c r="S22">
        <f t="shared" si="1"/>
        <v>2.6811155092684524</v>
      </c>
    </row>
    <row r="23" spans="2:19" x14ac:dyDescent="0.3">
      <c r="B23" s="1">
        <f>0.1</f>
        <v>0.1</v>
      </c>
      <c r="C23">
        <f>C12+B23</f>
        <v>1.3566370614359173</v>
      </c>
      <c r="D23">
        <f t="shared" si="2"/>
        <v>19.346690215229483</v>
      </c>
      <c r="E23">
        <f>G5*SIN(C23+H5)</f>
        <v>6.9658563329342393E-2</v>
      </c>
      <c r="G23">
        <f t="shared" si="3"/>
        <v>4.7789455516692616</v>
      </c>
      <c r="R23">
        <f t="shared" si="0"/>
        <v>3.3411604441404124</v>
      </c>
      <c r="S23">
        <f t="shared" si="1"/>
        <v>2.7716683969844356</v>
      </c>
    </row>
    <row r="24" spans="2:19" x14ac:dyDescent="0.3">
      <c r="C24">
        <f>C13+B25</f>
        <v>1.8849555921538759</v>
      </c>
      <c r="D24">
        <f t="shared" si="2"/>
        <v>18.829958334990806</v>
      </c>
      <c r="E24">
        <f>G5*SIN(C24+H5)</f>
        <v>6.2146205797656437E-2</v>
      </c>
      <c r="G24">
        <f t="shared" si="3"/>
        <v>4.1496825030057982</v>
      </c>
      <c r="R24">
        <f t="shared" si="0"/>
        <v>3.3186938406517741</v>
      </c>
      <c r="S24">
        <f t="shared" si="1"/>
        <v>2.7423702026108603</v>
      </c>
    </row>
    <row r="25" spans="2:19" x14ac:dyDescent="0.3">
      <c r="C25">
        <f>C14+B23</f>
        <v>2.6132741228718346</v>
      </c>
      <c r="D25">
        <f t="shared" si="2"/>
        <v>9.9803113176270024</v>
      </c>
      <c r="E25">
        <f>G5*SIN(C25+H5)</f>
        <v>2.5271134852668325E-2</v>
      </c>
      <c r="G25">
        <f t="shared" si="3"/>
        <v>0.89437515311831173</v>
      </c>
      <c r="R25">
        <f t="shared" si="0"/>
        <v>2.9339265790272608</v>
      </c>
      <c r="S25">
        <f t="shared" si="1"/>
        <v>2.5985574259254065</v>
      </c>
    </row>
    <row r="26" spans="2:19" x14ac:dyDescent="0.3">
      <c r="C26">
        <f>C15+B23</f>
        <v>3.2415926535897932</v>
      </c>
      <c r="D26">
        <f t="shared" si="2"/>
        <v>-1.9766008051998354</v>
      </c>
      <c r="E26">
        <f>G5*SIN(C26+H5)</f>
        <v>-1.7780224892352311E-2</v>
      </c>
      <c r="G26">
        <f t="shared" si="3"/>
        <v>0.12462555616616219</v>
      </c>
      <c r="R26">
        <f t="shared" si="0"/>
        <v>2.4140608345565289</v>
      </c>
      <c r="S26">
        <f t="shared" si="1"/>
        <v>2.4306571229198259</v>
      </c>
    </row>
    <row r="27" spans="2:19" x14ac:dyDescent="0.3">
      <c r="C27">
        <f>C16+B23</f>
        <v>3.8699111843077518</v>
      </c>
      <c r="D27">
        <f t="shared" si="2"/>
        <v>-13.178518602630747</v>
      </c>
      <c r="E27">
        <f>G5*SIN(C27+H5)</f>
        <v>-5.4040143056111302E-2</v>
      </c>
      <c r="G27">
        <f t="shared" si="3"/>
        <v>2.5254220941623751</v>
      </c>
      <c r="R27">
        <f t="shared" si="0"/>
        <v>1.9270209303204022</v>
      </c>
      <c r="S27">
        <f t="shared" si="1"/>
        <v>2.2892434420811658</v>
      </c>
    </row>
    <row r="28" spans="2:19" x14ac:dyDescent="0.3">
      <c r="C28">
        <f>C17+B23</f>
        <v>4.49822971502571</v>
      </c>
      <c r="D28">
        <f t="shared" si="2"/>
        <v>-19.346690215229483</v>
      </c>
      <c r="E28">
        <f>G5*SIN(C28+H5)</f>
        <v>-6.9658563329342393E-2</v>
      </c>
      <c r="G28">
        <f t="shared" si="3"/>
        <v>4.7789455516692616</v>
      </c>
      <c r="R28">
        <f t="shared" si="0"/>
        <v>1.6588395558595876</v>
      </c>
      <c r="S28">
        <f t="shared" si="1"/>
        <v>2.2283316030155644</v>
      </c>
    </row>
    <row r="29" spans="2:19" x14ac:dyDescent="0.3">
      <c r="C29">
        <f>C18+B23</f>
        <v>5.1265482457436686</v>
      </c>
      <c r="D29">
        <f t="shared" si="2"/>
        <v>-18.12508373542558</v>
      </c>
      <c r="E29">
        <f>G5*SIN(C29+H5)</f>
        <v>-5.8669780018251731E-2</v>
      </c>
      <c r="G29">
        <f t="shared" si="3"/>
        <v>3.7709031048574868</v>
      </c>
      <c r="R29">
        <f t="shared" si="0"/>
        <v>1.711952881068453</v>
      </c>
      <c r="S29">
        <f t="shared" si="1"/>
        <v>2.2711878579288181</v>
      </c>
    </row>
    <row r="30" spans="2:19" x14ac:dyDescent="0.3">
      <c r="C30">
        <f>C19+B23</f>
        <v>5.7548667764616273</v>
      </c>
      <c r="D30">
        <f t="shared" si="2"/>
        <v>-9.9803113176270148</v>
      </c>
      <c r="E30">
        <f>G5*SIN(C30+H5)</f>
        <v>-2.5271134852668332E-2</v>
      </c>
      <c r="G30">
        <f t="shared" si="3"/>
        <v>0.89437515311831306</v>
      </c>
      <c r="R30">
        <f t="shared" si="0"/>
        <v>2.0660734209727387</v>
      </c>
      <c r="S30">
        <f t="shared" si="1"/>
        <v>2.4014425740745935</v>
      </c>
    </row>
    <row r="31" spans="2:19" x14ac:dyDescent="0.3">
      <c r="C31">
        <f>C20+B23</f>
        <v>6.3831853071795859</v>
      </c>
      <c r="D31">
        <f t="shared" si="2"/>
        <v>1.9766008051998243</v>
      </c>
      <c r="E31">
        <f>G5*SIN(C31+H5)</f>
        <v>1.7780224892352304E-2</v>
      </c>
      <c r="G31">
        <f t="shared" si="3"/>
        <v>0.12462555616616143</v>
      </c>
      <c r="R31">
        <f t="shared" si="0"/>
        <v>2.5859391654434707</v>
      </c>
      <c r="S31">
        <f t="shared" si="1"/>
        <v>2.5693428770801741</v>
      </c>
    </row>
    <row r="32" spans="2:19" x14ac:dyDescent="0.3">
      <c r="C32">
        <f>C21+B23</f>
        <v>7.0115038378975445</v>
      </c>
      <c r="D32">
        <f t="shared" si="2"/>
        <v>13.178518602630739</v>
      </c>
      <c r="E32">
        <f>G5*SIN(C32+H5)</f>
        <v>5.4040143056111295E-2</v>
      </c>
      <c r="G32">
        <f t="shared" si="3"/>
        <v>2.5254220941623724</v>
      </c>
      <c r="R32">
        <f t="shared" si="0"/>
        <v>3.0729790696795973</v>
      </c>
      <c r="S32">
        <f t="shared" si="1"/>
        <v>2.7107565579188342</v>
      </c>
    </row>
    <row r="35" spans="3:24" x14ac:dyDescent="0.3">
      <c r="K35" t="s">
        <v>334</v>
      </c>
      <c r="N35" t="s">
        <v>335</v>
      </c>
      <c r="Q35" t="s">
        <v>3</v>
      </c>
      <c r="S35" t="s">
        <v>336</v>
      </c>
      <c r="V35" t="s">
        <v>340</v>
      </c>
      <c r="X35" t="s">
        <v>343</v>
      </c>
    </row>
    <row r="36" spans="3:24" x14ac:dyDescent="0.3">
      <c r="V36" t="s">
        <v>341</v>
      </c>
      <c r="W36" t="s">
        <v>342</v>
      </c>
    </row>
    <row r="37" spans="3:24" x14ac:dyDescent="0.3">
      <c r="C37" t="s">
        <v>27</v>
      </c>
      <c r="D37">
        <v>800151</v>
      </c>
      <c r="E37">
        <v>601</v>
      </c>
      <c r="G37" t="s">
        <v>188</v>
      </c>
      <c r="H37" s="2">
        <v>80020</v>
      </c>
      <c r="I37">
        <v>508</v>
      </c>
      <c r="K37">
        <f>E37*5/1024</f>
        <v>2.9345703125</v>
      </c>
      <c r="L37">
        <f>I37*5/1024</f>
        <v>2.48046875</v>
      </c>
      <c r="N37">
        <f>(K37-2.5)*23</f>
        <v>9.9951171875</v>
      </c>
      <c r="O37">
        <f>(L37-2.5)/3.9</f>
        <v>-5.0080128205128209E-3</v>
      </c>
      <c r="Q37">
        <f>N37*O37/0.282</f>
        <v>-0.1775023936791775</v>
      </c>
      <c r="S37">
        <f>AVERAGE(Q37:Q137)</f>
        <v>5.8738650186891803</v>
      </c>
      <c r="T37">
        <f>SQRT(SUMSQ(Q37:Q137)/100)</f>
        <v>7.5559487210254321</v>
      </c>
      <c r="V37">
        <f>SQRT(SUMSQ(N37:N137)/100)</f>
        <v>13.990455328530459</v>
      </c>
      <c r="W37">
        <f>SQRT(SUMSQ(O37:O137)/100)/0.282</f>
        <v>0.47422776150549989</v>
      </c>
      <c r="X37" cm="1">
        <f t="array" ref="X37">MAX(ABS(O37:O137))/0.282</f>
        <v>0.64820024095290063</v>
      </c>
    </row>
    <row r="38" spans="3:24" x14ac:dyDescent="0.3">
      <c r="C38" t="s">
        <v>29</v>
      </c>
      <c r="D38">
        <v>800153</v>
      </c>
      <c r="E38">
        <v>670</v>
      </c>
      <c r="G38" t="s">
        <v>190</v>
      </c>
      <c r="H38" s="2">
        <v>8002000</v>
      </c>
      <c r="I38">
        <v>597</v>
      </c>
      <c r="K38">
        <f t="shared" ref="K38:K101" si="4">E38*5/1024</f>
        <v>3.271484375</v>
      </c>
      <c r="L38">
        <f t="shared" ref="L38:L101" si="5">I38*5/1024</f>
        <v>2.9150390625</v>
      </c>
      <c r="N38">
        <f t="shared" ref="N38:N101" si="6">(K38-2.5)*23</f>
        <v>17.744140625</v>
      </c>
      <c r="O38">
        <f t="shared" ref="O38:O101" si="7">(L38-2.5)/3.9</f>
        <v>0.10642027243589744</v>
      </c>
      <c r="Q38">
        <f t="shared" ref="Q38:Q101" si="8">N38*O38/0.282</f>
        <v>6.6962279413240271</v>
      </c>
      <c r="S38">
        <f>(S37-P10)/P10*100</f>
        <v>142.83666189108365</v>
      </c>
      <c r="T38">
        <f>(T37-P10)/P10*100</f>
        <v>212.37717567495088</v>
      </c>
      <c r="U38" t="s">
        <v>337</v>
      </c>
      <c r="V38">
        <f>(V37-14)/14*100</f>
        <v>-6.8176224782437858E-2</v>
      </c>
      <c r="W38">
        <f>(W37-F5)/F5*100</f>
        <v>171.07134235807499</v>
      </c>
      <c r="X38">
        <f>(X37-F5*SQRT(2))/(F5*SQRT(2))*100</f>
        <v>161.99368450524062</v>
      </c>
    </row>
    <row r="39" spans="3:24" x14ac:dyDescent="0.3">
      <c r="C39" t="s">
        <v>31</v>
      </c>
      <c r="D39">
        <v>800155</v>
      </c>
      <c r="E39">
        <v>685</v>
      </c>
      <c r="G39" t="s">
        <v>192</v>
      </c>
      <c r="H39" s="2">
        <v>800200000</v>
      </c>
      <c r="I39">
        <v>654</v>
      </c>
      <c r="K39">
        <f t="shared" si="4"/>
        <v>3.3447265625</v>
      </c>
      <c r="L39">
        <f t="shared" si="5"/>
        <v>3.193359375</v>
      </c>
      <c r="N39">
        <f t="shared" si="6"/>
        <v>19.4287109375</v>
      </c>
      <c r="O39">
        <f t="shared" si="7"/>
        <v>0.17778445512820512</v>
      </c>
      <c r="Q39">
        <f t="shared" si="8"/>
        <v>12.248662368322119</v>
      </c>
    </row>
    <row r="40" spans="3:24" x14ac:dyDescent="0.3">
      <c r="C40" t="s">
        <v>32</v>
      </c>
      <c r="D40">
        <v>800157</v>
      </c>
      <c r="E40">
        <v>633</v>
      </c>
      <c r="G40" t="s">
        <v>194</v>
      </c>
      <c r="H40" s="2">
        <v>80020000000</v>
      </c>
      <c r="I40">
        <v>657</v>
      </c>
      <c r="K40">
        <f t="shared" si="4"/>
        <v>3.0908203125</v>
      </c>
      <c r="L40">
        <f t="shared" si="5"/>
        <v>3.2080078125</v>
      </c>
      <c r="N40">
        <f t="shared" si="6"/>
        <v>13.5888671875</v>
      </c>
      <c r="O40">
        <f t="shared" si="7"/>
        <v>0.18154046474358976</v>
      </c>
      <c r="Q40">
        <f t="shared" si="8"/>
        <v>8.7479761154527225</v>
      </c>
    </row>
    <row r="41" spans="3:24" x14ac:dyDescent="0.3">
      <c r="C41" t="s">
        <v>33</v>
      </c>
      <c r="D41">
        <v>800159</v>
      </c>
      <c r="E41">
        <v>536</v>
      </c>
      <c r="G41" t="s">
        <v>196</v>
      </c>
      <c r="H41" s="2">
        <v>8002000000000</v>
      </c>
      <c r="I41">
        <v>605</v>
      </c>
      <c r="K41">
        <f t="shared" si="4"/>
        <v>2.6171875</v>
      </c>
      <c r="L41">
        <f t="shared" si="5"/>
        <v>2.9541015625</v>
      </c>
      <c r="N41">
        <f t="shared" si="6"/>
        <v>2.6953125</v>
      </c>
      <c r="O41">
        <f t="shared" si="7"/>
        <v>0.11643629807692307</v>
      </c>
      <c r="Q41">
        <f t="shared" si="8"/>
        <v>1.1128801761009104</v>
      </c>
    </row>
    <row r="42" spans="3:24" x14ac:dyDescent="0.3">
      <c r="C42" t="s">
        <v>34</v>
      </c>
      <c r="D42" t="s">
        <v>338</v>
      </c>
      <c r="E42">
        <v>429</v>
      </c>
      <c r="G42" t="s">
        <v>198</v>
      </c>
      <c r="H42" t="s">
        <v>339</v>
      </c>
      <c r="I42">
        <v>516</v>
      </c>
      <c r="K42">
        <f t="shared" si="4"/>
        <v>2.0947265625</v>
      </c>
      <c r="L42">
        <f t="shared" si="5"/>
        <v>2.51953125</v>
      </c>
      <c r="N42">
        <f t="shared" si="6"/>
        <v>-9.3212890625</v>
      </c>
      <c r="O42">
        <f t="shared" si="7"/>
        <v>5.0080128205128209E-3</v>
      </c>
      <c r="Q42">
        <f t="shared" si="8"/>
        <v>-0.16553594017271608</v>
      </c>
    </row>
    <row r="43" spans="3:24" x14ac:dyDescent="0.3">
      <c r="C43" t="s">
        <v>35</v>
      </c>
      <c r="D43" t="s">
        <v>28</v>
      </c>
      <c r="E43">
        <v>354</v>
      </c>
      <c r="G43" t="s">
        <v>200</v>
      </c>
      <c r="H43" t="s">
        <v>189</v>
      </c>
      <c r="I43">
        <v>427</v>
      </c>
      <c r="K43">
        <f t="shared" si="4"/>
        <v>1.728515625</v>
      </c>
      <c r="L43">
        <f t="shared" si="5"/>
        <v>2.0849609375</v>
      </c>
      <c r="N43">
        <f t="shared" si="6"/>
        <v>-17.744140625</v>
      </c>
      <c r="O43">
        <f t="shared" si="7"/>
        <v>-0.10642027243589744</v>
      </c>
      <c r="Q43">
        <f t="shared" si="8"/>
        <v>6.6962279413240271</v>
      </c>
    </row>
    <row r="44" spans="3:24" x14ac:dyDescent="0.3">
      <c r="C44" t="s">
        <v>36</v>
      </c>
      <c r="D44" t="s">
        <v>30</v>
      </c>
      <c r="E44">
        <v>339</v>
      </c>
      <c r="G44" t="s">
        <v>202</v>
      </c>
      <c r="H44" t="s">
        <v>191</v>
      </c>
      <c r="I44">
        <v>370</v>
      </c>
      <c r="K44">
        <f t="shared" si="4"/>
        <v>1.6552734375</v>
      </c>
      <c r="L44">
        <f t="shared" si="5"/>
        <v>1.806640625</v>
      </c>
      <c r="N44">
        <f t="shared" si="6"/>
        <v>-19.4287109375</v>
      </c>
      <c r="O44">
        <f t="shared" si="7"/>
        <v>-0.17778445512820512</v>
      </c>
      <c r="Q44">
        <f t="shared" si="8"/>
        <v>12.248662368322119</v>
      </c>
    </row>
    <row r="45" spans="3:24" x14ac:dyDescent="0.3">
      <c r="C45" t="s">
        <v>38</v>
      </c>
      <c r="D45">
        <v>800161</v>
      </c>
      <c r="E45">
        <v>390</v>
      </c>
      <c r="G45" t="s">
        <v>204</v>
      </c>
      <c r="H45" t="s">
        <v>193</v>
      </c>
      <c r="I45">
        <v>367</v>
      </c>
      <c r="K45">
        <f t="shared" si="4"/>
        <v>1.904296875</v>
      </c>
      <c r="L45">
        <f t="shared" si="5"/>
        <v>1.7919921875</v>
      </c>
      <c r="N45">
        <f t="shared" si="6"/>
        <v>-13.701171875</v>
      </c>
      <c r="O45">
        <f t="shared" si="7"/>
        <v>-0.18154046474358976</v>
      </c>
      <c r="Q45">
        <f t="shared" si="8"/>
        <v>8.8202734387209265</v>
      </c>
    </row>
    <row r="46" spans="3:24" x14ac:dyDescent="0.3">
      <c r="C46" t="s">
        <v>40</v>
      </c>
      <c r="D46">
        <v>800163</v>
      </c>
      <c r="E46">
        <v>488</v>
      </c>
      <c r="G46" t="s">
        <v>206</v>
      </c>
      <c r="H46" t="s">
        <v>195</v>
      </c>
      <c r="I46">
        <v>419</v>
      </c>
      <c r="K46">
        <f t="shared" si="4"/>
        <v>2.3828125</v>
      </c>
      <c r="L46">
        <f t="shared" si="5"/>
        <v>2.0458984375</v>
      </c>
      <c r="N46">
        <f t="shared" si="6"/>
        <v>-2.6953125</v>
      </c>
      <c r="O46">
        <f t="shared" si="7"/>
        <v>-0.11643629807692307</v>
      </c>
      <c r="Q46">
        <f t="shared" si="8"/>
        <v>1.1128801761009104</v>
      </c>
    </row>
    <row r="47" spans="3:24" x14ac:dyDescent="0.3">
      <c r="C47" t="s">
        <v>42</v>
      </c>
      <c r="D47">
        <v>800165</v>
      </c>
      <c r="E47">
        <v>595</v>
      </c>
      <c r="G47" t="s">
        <v>208</v>
      </c>
      <c r="H47" t="s">
        <v>197</v>
      </c>
      <c r="I47">
        <v>508</v>
      </c>
      <c r="K47">
        <f t="shared" si="4"/>
        <v>2.9052734375</v>
      </c>
      <c r="L47">
        <f t="shared" si="5"/>
        <v>2.48046875</v>
      </c>
      <c r="N47">
        <f t="shared" si="6"/>
        <v>9.3212890625</v>
      </c>
      <c r="O47">
        <f t="shared" si="7"/>
        <v>-5.0080128205128209E-3</v>
      </c>
      <c r="Q47">
        <f t="shared" si="8"/>
        <v>-0.16553594017271608</v>
      </c>
    </row>
    <row r="48" spans="3:24" x14ac:dyDescent="0.3">
      <c r="C48" t="s">
        <v>43</v>
      </c>
      <c r="D48">
        <v>800167</v>
      </c>
      <c r="E48">
        <v>671</v>
      </c>
      <c r="G48" t="s">
        <v>209</v>
      </c>
      <c r="H48" t="s">
        <v>199</v>
      </c>
      <c r="I48">
        <v>597</v>
      </c>
      <c r="K48">
        <f t="shared" si="4"/>
        <v>3.2763671875</v>
      </c>
      <c r="L48">
        <f t="shared" si="5"/>
        <v>2.9150390625</v>
      </c>
      <c r="N48">
        <f t="shared" si="6"/>
        <v>17.8564453125</v>
      </c>
      <c r="O48">
        <f t="shared" si="7"/>
        <v>0.10642027243589744</v>
      </c>
      <c r="Q48">
        <f t="shared" si="8"/>
        <v>6.7386091308260783</v>
      </c>
    </row>
    <row r="49" spans="3:30" x14ac:dyDescent="0.3">
      <c r="C49" t="s">
        <v>44</v>
      </c>
      <c r="D49">
        <v>800169</v>
      </c>
      <c r="E49">
        <v>685</v>
      </c>
      <c r="G49" t="s">
        <v>210</v>
      </c>
      <c r="H49" t="s">
        <v>201</v>
      </c>
      <c r="I49">
        <v>654</v>
      </c>
      <c r="K49">
        <f t="shared" si="4"/>
        <v>3.3447265625</v>
      </c>
      <c r="L49">
        <f t="shared" si="5"/>
        <v>3.193359375</v>
      </c>
      <c r="N49">
        <f t="shared" si="6"/>
        <v>19.4287109375</v>
      </c>
      <c r="O49">
        <f t="shared" si="7"/>
        <v>0.17778445512820512</v>
      </c>
      <c r="Q49">
        <f t="shared" si="8"/>
        <v>12.248662368322119</v>
      </c>
    </row>
    <row r="50" spans="3:30" x14ac:dyDescent="0.3">
      <c r="C50" t="s">
        <v>45</v>
      </c>
      <c r="D50" t="s">
        <v>37</v>
      </c>
      <c r="E50">
        <v>634</v>
      </c>
      <c r="G50" t="s">
        <v>211</v>
      </c>
      <c r="H50" t="s">
        <v>203</v>
      </c>
      <c r="I50">
        <v>657</v>
      </c>
      <c r="K50">
        <f t="shared" si="4"/>
        <v>3.095703125</v>
      </c>
      <c r="L50">
        <f t="shared" si="5"/>
        <v>3.2080078125</v>
      </c>
      <c r="N50">
        <f t="shared" si="6"/>
        <v>13.701171875</v>
      </c>
      <c r="O50">
        <f t="shared" si="7"/>
        <v>0.18154046474358976</v>
      </c>
      <c r="Q50">
        <f t="shared" si="8"/>
        <v>8.8202734387209265</v>
      </c>
    </row>
    <row r="51" spans="3:30" x14ac:dyDescent="0.3">
      <c r="C51" t="s">
        <v>46</v>
      </c>
      <c r="D51" t="s">
        <v>39</v>
      </c>
      <c r="E51">
        <v>536</v>
      </c>
      <c r="G51" t="s">
        <v>212</v>
      </c>
      <c r="H51" t="s">
        <v>205</v>
      </c>
      <c r="I51">
        <v>605</v>
      </c>
      <c r="K51">
        <f t="shared" si="4"/>
        <v>2.6171875</v>
      </c>
      <c r="L51">
        <f t="shared" si="5"/>
        <v>2.9541015625</v>
      </c>
      <c r="N51">
        <f t="shared" si="6"/>
        <v>2.6953125</v>
      </c>
      <c r="O51">
        <f t="shared" si="7"/>
        <v>0.11643629807692307</v>
      </c>
      <c r="Q51">
        <f t="shared" si="8"/>
        <v>1.1128801761009104</v>
      </c>
    </row>
    <row r="52" spans="3:30" x14ac:dyDescent="0.3">
      <c r="C52" t="s">
        <v>47</v>
      </c>
      <c r="D52" t="s">
        <v>41</v>
      </c>
      <c r="E52">
        <v>429</v>
      </c>
      <c r="G52" t="s">
        <v>213</v>
      </c>
      <c r="H52" t="s">
        <v>207</v>
      </c>
      <c r="I52">
        <v>516</v>
      </c>
      <c r="K52">
        <f t="shared" si="4"/>
        <v>2.0947265625</v>
      </c>
      <c r="L52">
        <f t="shared" si="5"/>
        <v>2.51953125</v>
      </c>
      <c r="N52">
        <f t="shared" si="6"/>
        <v>-9.3212890625</v>
      </c>
      <c r="O52">
        <f t="shared" si="7"/>
        <v>5.0080128205128209E-3</v>
      </c>
      <c r="Q52">
        <f t="shared" si="8"/>
        <v>-0.16553594017271608</v>
      </c>
    </row>
    <row r="53" spans="3:30" x14ac:dyDescent="0.3">
      <c r="C53" t="s">
        <v>49</v>
      </c>
      <c r="D53">
        <v>800171</v>
      </c>
      <c r="E53">
        <v>354</v>
      </c>
      <c r="G53" t="s">
        <v>215</v>
      </c>
      <c r="H53">
        <v>800301</v>
      </c>
      <c r="I53">
        <v>427</v>
      </c>
      <c r="K53">
        <f t="shared" si="4"/>
        <v>1.728515625</v>
      </c>
      <c r="L53">
        <f t="shared" si="5"/>
        <v>2.0849609375</v>
      </c>
      <c r="N53">
        <f t="shared" si="6"/>
        <v>-17.744140625</v>
      </c>
      <c r="O53">
        <f t="shared" si="7"/>
        <v>-0.10642027243589744</v>
      </c>
      <c r="Q53">
        <f t="shared" si="8"/>
        <v>6.6962279413240271</v>
      </c>
    </row>
    <row r="54" spans="3:30" x14ac:dyDescent="0.3">
      <c r="C54" t="s">
        <v>51</v>
      </c>
      <c r="D54">
        <v>800173</v>
      </c>
      <c r="E54">
        <v>339</v>
      </c>
      <c r="G54" t="s">
        <v>217</v>
      </c>
      <c r="H54">
        <v>800303</v>
      </c>
      <c r="I54">
        <v>370</v>
      </c>
      <c r="K54">
        <f t="shared" si="4"/>
        <v>1.6552734375</v>
      </c>
      <c r="L54">
        <f t="shared" si="5"/>
        <v>1.806640625</v>
      </c>
      <c r="N54">
        <f t="shared" si="6"/>
        <v>-19.4287109375</v>
      </c>
      <c r="O54">
        <f t="shared" si="7"/>
        <v>-0.17778445512820512</v>
      </c>
      <c r="Q54">
        <f t="shared" si="8"/>
        <v>12.248662368322119</v>
      </c>
    </row>
    <row r="55" spans="3:30" x14ac:dyDescent="0.3">
      <c r="C55" t="s">
        <v>53</v>
      </c>
      <c r="D55">
        <v>800175</v>
      </c>
      <c r="E55">
        <v>390</v>
      </c>
      <c r="G55" t="s">
        <v>219</v>
      </c>
      <c r="H55">
        <v>800305</v>
      </c>
      <c r="I55">
        <v>367</v>
      </c>
      <c r="K55">
        <f t="shared" si="4"/>
        <v>1.904296875</v>
      </c>
      <c r="L55">
        <f t="shared" si="5"/>
        <v>1.7919921875</v>
      </c>
      <c r="N55">
        <f t="shared" si="6"/>
        <v>-13.701171875</v>
      </c>
      <c r="O55">
        <f t="shared" si="7"/>
        <v>-0.18154046474358976</v>
      </c>
      <c r="Q55">
        <f t="shared" si="8"/>
        <v>8.8202734387209265</v>
      </c>
    </row>
    <row r="56" spans="3:30" x14ac:dyDescent="0.3">
      <c r="C56" t="s">
        <v>54</v>
      </c>
      <c r="D56">
        <v>800177</v>
      </c>
      <c r="E56">
        <v>488</v>
      </c>
      <c r="G56" t="s">
        <v>220</v>
      </c>
      <c r="H56">
        <v>800307</v>
      </c>
      <c r="I56">
        <v>419</v>
      </c>
      <c r="K56">
        <f t="shared" si="4"/>
        <v>2.3828125</v>
      </c>
      <c r="L56">
        <f t="shared" si="5"/>
        <v>2.0458984375</v>
      </c>
      <c r="N56">
        <f t="shared" si="6"/>
        <v>-2.6953125</v>
      </c>
      <c r="O56">
        <f t="shared" si="7"/>
        <v>-0.11643629807692307</v>
      </c>
      <c r="Q56">
        <f t="shared" si="8"/>
        <v>1.1128801761009104</v>
      </c>
    </row>
    <row r="57" spans="3:30" x14ac:dyDescent="0.3">
      <c r="C57" t="s">
        <v>55</v>
      </c>
      <c r="D57">
        <v>800179</v>
      </c>
      <c r="E57">
        <v>583</v>
      </c>
      <c r="G57" t="s">
        <v>221</v>
      </c>
      <c r="H57">
        <v>800309</v>
      </c>
      <c r="I57">
        <v>508</v>
      </c>
      <c r="K57">
        <f t="shared" si="4"/>
        <v>2.8466796875</v>
      </c>
      <c r="L57">
        <f t="shared" si="5"/>
        <v>2.48046875</v>
      </c>
      <c r="N57">
        <f t="shared" si="6"/>
        <v>7.9736328125</v>
      </c>
      <c r="O57">
        <f t="shared" si="7"/>
        <v>-5.0080128205128209E-3</v>
      </c>
      <c r="Q57">
        <f t="shared" si="8"/>
        <v>-0.14160303315979328</v>
      </c>
    </row>
    <row r="58" spans="3:30" x14ac:dyDescent="0.3">
      <c r="C58" t="s">
        <v>56</v>
      </c>
      <c r="D58" t="s">
        <v>48</v>
      </c>
      <c r="E58">
        <v>664</v>
      </c>
      <c r="G58" t="s">
        <v>222</v>
      </c>
      <c r="H58" t="s">
        <v>214</v>
      </c>
      <c r="I58">
        <v>597</v>
      </c>
      <c r="K58">
        <f t="shared" si="4"/>
        <v>3.2421875</v>
      </c>
      <c r="L58">
        <f t="shared" si="5"/>
        <v>2.9150390625</v>
      </c>
      <c r="N58">
        <f t="shared" si="6"/>
        <v>17.0703125</v>
      </c>
      <c r="O58">
        <f t="shared" si="7"/>
        <v>0.10642027243589744</v>
      </c>
      <c r="Q58">
        <f t="shared" si="8"/>
        <v>6.4419408043117228</v>
      </c>
    </row>
    <row r="59" spans="3:30" x14ac:dyDescent="0.3">
      <c r="C59" t="s">
        <v>57</v>
      </c>
      <c r="D59" t="s">
        <v>50</v>
      </c>
      <c r="E59">
        <v>687</v>
      </c>
      <c r="G59" t="s">
        <v>223</v>
      </c>
      <c r="H59" t="s">
        <v>216</v>
      </c>
      <c r="I59">
        <v>654</v>
      </c>
      <c r="K59">
        <f t="shared" si="4"/>
        <v>3.3544921875</v>
      </c>
      <c r="L59">
        <f t="shared" si="5"/>
        <v>3.193359375</v>
      </c>
      <c r="N59">
        <f t="shared" si="6"/>
        <v>19.6533203125</v>
      </c>
      <c r="O59">
        <f t="shared" si="7"/>
        <v>0.17778445512820512</v>
      </c>
      <c r="Q59">
        <f t="shared" si="8"/>
        <v>12.39026540148191</v>
      </c>
      <c r="AD59" s="2"/>
    </row>
    <row r="60" spans="3:30" x14ac:dyDescent="0.3">
      <c r="C60" t="s">
        <v>58</v>
      </c>
      <c r="D60" t="s">
        <v>52</v>
      </c>
      <c r="E60">
        <v>643</v>
      </c>
      <c r="G60" t="s">
        <v>224</v>
      </c>
      <c r="H60" t="s">
        <v>218</v>
      </c>
      <c r="I60">
        <v>657</v>
      </c>
      <c r="K60">
        <f t="shared" si="4"/>
        <v>3.1396484375</v>
      </c>
      <c r="L60">
        <f t="shared" si="5"/>
        <v>3.2080078125</v>
      </c>
      <c r="N60">
        <f t="shared" si="6"/>
        <v>14.7119140625</v>
      </c>
      <c r="O60">
        <f t="shared" si="7"/>
        <v>0.18154046474358976</v>
      </c>
      <c r="Q60">
        <f t="shared" si="8"/>
        <v>9.4709493481347646</v>
      </c>
      <c r="U60" cm="1">
        <f t="array" ref="U60">SUM(N37:N137*1000)</f>
        <v>8647.4609375</v>
      </c>
      <c r="AD60" s="2"/>
    </row>
    <row r="61" spans="3:30" x14ac:dyDescent="0.3">
      <c r="C61" t="s">
        <v>60</v>
      </c>
      <c r="D61">
        <v>800181</v>
      </c>
      <c r="E61">
        <v>549</v>
      </c>
      <c r="G61" t="s">
        <v>226</v>
      </c>
      <c r="H61">
        <v>800311</v>
      </c>
      <c r="I61">
        <v>604</v>
      </c>
      <c r="K61">
        <f t="shared" si="4"/>
        <v>2.6806640625</v>
      </c>
      <c r="L61">
        <f t="shared" si="5"/>
        <v>2.94921875</v>
      </c>
      <c r="N61">
        <f t="shared" si="6"/>
        <v>4.1552734375</v>
      </c>
      <c r="O61">
        <f t="shared" si="7"/>
        <v>0.11518429487179488</v>
      </c>
      <c r="Q61">
        <f t="shared" si="8"/>
        <v>1.6972419889997756</v>
      </c>
      <c r="AD61" s="2"/>
    </row>
    <row r="62" spans="3:30" x14ac:dyDescent="0.3">
      <c r="C62" t="s">
        <v>62</v>
      </c>
      <c r="D62">
        <v>800183</v>
      </c>
      <c r="E62">
        <v>441</v>
      </c>
      <c r="G62" t="s">
        <v>228</v>
      </c>
      <c r="H62">
        <v>800313</v>
      </c>
      <c r="I62">
        <v>516</v>
      </c>
      <c r="K62">
        <f t="shared" si="4"/>
        <v>2.1533203125</v>
      </c>
      <c r="L62">
        <f t="shared" si="5"/>
        <v>2.51953125</v>
      </c>
      <c r="N62">
        <f t="shared" si="6"/>
        <v>-7.9736328125</v>
      </c>
      <c r="O62">
        <f t="shared" si="7"/>
        <v>5.0080128205128209E-3</v>
      </c>
      <c r="Q62">
        <f t="shared" si="8"/>
        <v>-0.14160303315979328</v>
      </c>
      <c r="AD62" s="2"/>
    </row>
    <row r="63" spans="3:30" x14ac:dyDescent="0.3">
      <c r="C63" t="s">
        <v>64</v>
      </c>
      <c r="D63">
        <v>800185</v>
      </c>
      <c r="E63">
        <v>360</v>
      </c>
      <c r="G63" t="s">
        <v>230</v>
      </c>
      <c r="H63">
        <v>800315</v>
      </c>
      <c r="I63">
        <v>426</v>
      </c>
      <c r="K63">
        <f t="shared" si="4"/>
        <v>1.7578125</v>
      </c>
      <c r="L63">
        <f t="shared" si="5"/>
        <v>2.080078125</v>
      </c>
      <c r="N63">
        <f t="shared" si="6"/>
        <v>-17.0703125</v>
      </c>
      <c r="O63">
        <f t="shared" si="7"/>
        <v>-0.10767227564102565</v>
      </c>
      <c r="Q63">
        <f t="shared" si="8"/>
        <v>6.5177283431859783</v>
      </c>
      <c r="AD63" s="2"/>
    </row>
    <row r="64" spans="3:30" x14ac:dyDescent="0.3">
      <c r="C64" t="s">
        <v>65</v>
      </c>
      <c r="D64">
        <v>800187</v>
      </c>
      <c r="E64">
        <v>337</v>
      </c>
      <c r="G64" t="s">
        <v>231</v>
      </c>
      <c r="H64">
        <v>800317</v>
      </c>
      <c r="I64">
        <v>370</v>
      </c>
      <c r="K64">
        <f t="shared" si="4"/>
        <v>1.6455078125</v>
      </c>
      <c r="L64">
        <f t="shared" si="5"/>
        <v>1.806640625</v>
      </c>
      <c r="N64">
        <f t="shared" si="6"/>
        <v>-19.6533203125</v>
      </c>
      <c r="O64">
        <f t="shared" si="7"/>
        <v>-0.17778445512820512</v>
      </c>
      <c r="Q64">
        <f t="shared" si="8"/>
        <v>12.39026540148191</v>
      </c>
    </row>
    <row r="65" spans="3:17" x14ac:dyDescent="0.3">
      <c r="C65" t="s">
        <v>66</v>
      </c>
      <c r="D65">
        <v>800189</v>
      </c>
      <c r="E65">
        <v>381</v>
      </c>
      <c r="G65" t="s">
        <v>232</v>
      </c>
      <c r="H65">
        <v>800319</v>
      </c>
      <c r="I65">
        <v>367</v>
      </c>
      <c r="K65">
        <f t="shared" si="4"/>
        <v>1.8603515625</v>
      </c>
      <c r="L65">
        <f t="shared" si="5"/>
        <v>1.7919921875</v>
      </c>
      <c r="N65">
        <f t="shared" si="6"/>
        <v>-14.7119140625</v>
      </c>
      <c r="O65">
        <f t="shared" si="7"/>
        <v>-0.18154046474358976</v>
      </c>
      <c r="Q65">
        <f t="shared" si="8"/>
        <v>9.4709493481347646</v>
      </c>
    </row>
    <row r="66" spans="3:17" x14ac:dyDescent="0.3">
      <c r="C66" t="s">
        <v>67</v>
      </c>
      <c r="D66" t="s">
        <v>59</v>
      </c>
      <c r="E66">
        <v>475</v>
      </c>
      <c r="G66" t="s">
        <v>233</v>
      </c>
      <c r="H66" t="s">
        <v>225</v>
      </c>
      <c r="I66">
        <v>420</v>
      </c>
      <c r="K66">
        <f t="shared" si="4"/>
        <v>2.3193359375</v>
      </c>
      <c r="L66">
        <f t="shared" si="5"/>
        <v>2.05078125</v>
      </c>
      <c r="N66">
        <f t="shared" si="6"/>
        <v>-4.1552734375</v>
      </c>
      <c r="O66">
        <f t="shared" si="7"/>
        <v>-0.11518429487179488</v>
      </c>
      <c r="Q66">
        <f t="shared" si="8"/>
        <v>1.6972419889997756</v>
      </c>
    </row>
    <row r="67" spans="3:17" x14ac:dyDescent="0.3">
      <c r="C67" t="s">
        <v>68</v>
      </c>
      <c r="D67" t="s">
        <v>61</v>
      </c>
      <c r="E67">
        <v>583</v>
      </c>
      <c r="G67" t="s">
        <v>234</v>
      </c>
      <c r="H67" t="s">
        <v>227</v>
      </c>
      <c r="I67">
        <v>508</v>
      </c>
      <c r="K67">
        <f t="shared" si="4"/>
        <v>2.8466796875</v>
      </c>
      <c r="L67">
        <f t="shared" si="5"/>
        <v>2.48046875</v>
      </c>
      <c r="N67">
        <f t="shared" si="6"/>
        <v>7.9736328125</v>
      </c>
      <c r="O67">
        <f t="shared" si="7"/>
        <v>-5.0080128205128209E-3</v>
      </c>
      <c r="Q67">
        <f t="shared" si="8"/>
        <v>-0.14160303315979328</v>
      </c>
    </row>
    <row r="68" spans="3:17" x14ac:dyDescent="0.3">
      <c r="C68" t="s">
        <v>69</v>
      </c>
      <c r="D68" t="s">
        <v>63</v>
      </c>
      <c r="E68">
        <v>664</v>
      </c>
      <c r="G68" t="s">
        <v>235</v>
      </c>
      <c r="H68" t="s">
        <v>229</v>
      </c>
      <c r="I68">
        <v>598</v>
      </c>
      <c r="K68">
        <f t="shared" si="4"/>
        <v>3.2421875</v>
      </c>
      <c r="L68">
        <f t="shared" si="5"/>
        <v>2.919921875</v>
      </c>
      <c r="N68">
        <f t="shared" si="6"/>
        <v>17.0703125</v>
      </c>
      <c r="O68">
        <f t="shared" si="7"/>
        <v>0.10767227564102565</v>
      </c>
      <c r="Q68">
        <f t="shared" si="8"/>
        <v>6.5177283431859783</v>
      </c>
    </row>
    <row r="69" spans="3:17" x14ac:dyDescent="0.3">
      <c r="C69" t="s">
        <v>71</v>
      </c>
      <c r="D69">
        <v>800191</v>
      </c>
      <c r="E69">
        <v>687</v>
      </c>
      <c r="G69" t="s">
        <v>237</v>
      </c>
      <c r="H69">
        <v>800321</v>
      </c>
      <c r="I69">
        <v>655</v>
      </c>
      <c r="K69">
        <f t="shared" si="4"/>
        <v>3.3544921875</v>
      </c>
      <c r="L69">
        <f t="shared" si="5"/>
        <v>3.1982421875</v>
      </c>
      <c r="N69">
        <f t="shared" si="6"/>
        <v>19.6533203125</v>
      </c>
      <c r="O69">
        <f t="shared" si="7"/>
        <v>0.17903645833333334</v>
      </c>
      <c r="Q69">
        <f t="shared" si="8"/>
        <v>12.477520791633193</v>
      </c>
    </row>
    <row r="70" spans="3:17" x14ac:dyDescent="0.3">
      <c r="C70" t="s">
        <v>73</v>
      </c>
      <c r="D70">
        <v>800193</v>
      </c>
      <c r="E70">
        <v>643</v>
      </c>
      <c r="G70" t="s">
        <v>239</v>
      </c>
      <c r="H70">
        <v>800323</v>
      </c>
      <c r="I70">
        <v>658</v>
      </c>
      <c r="K70">
        <f t="shared" si="4"/>
        <v>3.1396484375</v>
      </c>
      <c r="L70">
        <f t="shared" si="5"/>
        <v>3.212890625</v>
      </c>
      <c r="N70">
        <f t="shared" si="6"/>
        <v>14.7119140625</v>
      </c>
      <c r="O70">
        <f t="shared" si="7"/>
        <v>0.18279246794871795</v>
      </c>
      <c r="Q70">
        <f t="shared" si="8"/>
        <v>9.5362662401908675</v>
      </c>
    </row>
    <row r="71" spans="3:17" x14ac:dyDescent="0.3">
      <c r="C71" t="s">
        <v>75</v>
      </c>
      <c r="D71">
        <v>800195</v>
      </c>
      <c r="E71">
        <v>549</v>
      </c>
      <c r="G71" t="s">
        <v>241</v>
      </c>
      <c r="H71">
        <v>800325</v>
      </c>
      <c r="I71">
        <v>605</v>
      </c>
      <c r="K71">
        <f t="shared" si="4"/>
        <v>2.6806640625</v>
      </c>
      <c r="L71">
        <f t="shared" si="5"/>
        <v>2.9541015625</v>
      </c>
      <c r="N71">
        <f t="shared" si="6"/>
        <v>4.1552734375</v>
      </c>
      <c r="O71">
        <f t="shared" si="7"/>
        <v>0.11643629807692307</v>
      </c>
      <c r="Q71">
        <f t="shared" si="8"/>
        <v>1.7156902714889037</v>
      </c>
    </row>
    <row r="72" spans="3:17" x14ac:dyDescent="0.3">
      <c r="C72" t="s">
        <v>77</v>
      </c>
      <c r="D72">
        <v>800197</v>
      </c>
      <c r="E72">
        <v>441</v>
      </c>
      <c r="G72" t="s">
        <v>242</v>
      </c>
      <c r="H72">
        <v>800327</v>
      </c>
      <c r="I72">
        <v>516</v>
      </c>
      <c r="K72">
        <f t="shared" si="4"/>
        <v>2.1533203125</v>
      </c>
      <c r="L72">
        <f t="shared" si="5"/>
        <v>2.51953125</v>
      </c>
      <c r="N72">
        <f t="shared" si="6"/>
        <v>-7.9736328125</v>
      </c>
      <c r="O72">
        <f t="shared" si="7"/>
        <v>5.0080128205128209E-3</v>
      </c>
      <c r="Q72">
        <f t="shared" si="8"/>
        <v>-0.14160303315979328</v>
      </c>
    </row>
    <row r="73" spans="3:17" x14ac:dyDescent="0.3">
      <c r="C73" t="s">
        <v>79</v>
      </c>
      <c r="D73">
        <v>800199</v>
      </c>
      <c r="E73">
        <v>360</v>
      </c>
      <c r="G73" t="s">
        <v>243</v>
      </c>
      <c r="H73">
        <v>800329</v>
      </c>
      <c r="I73">
        <v>426</v>
      </c>
      <c r="K73">
        <f t="shared" si="4"/>
        <v>1.7578125</v>
      </c>
      <c r="L73">
        <f t="shared" si="5"/>
        <v>2.080078125</v>
      </c>
      <c r="N73">
        <f t="shared" si="6"/>
        <v>-17.0703125</v>
      </c>
      <c r="O73">
        <f t="shared" si="7"/>
        <v>-0.10767227564102565</v>
      </c>
      <c r="Q73">
        <f t="shared" si="8"/>
        <v>6.5177283431859783</v>
      </c>
    </row>
    <row r="74" spans="3:17" x14ac:dyDescent="0.3">
      <c r="C74" t="s">
        <v>81</v>
      </c>
      <c r="D74" t="s">
        <v>70</v>
      </c>
      <c r="E74">
        <v>337</v>
      </c>
      <c r="G74" t="s">
        <v>244</v>
      </c>
      <c r="H74" t="s">
        <v>236</v>
      </c>
      <c r="I74">
        <v>370</v>
      </c>
      <c r="K74">
        <f t="shared" si="4"/>
        <v>1.6455078125</v>
      </c>
      <c r="L74">
        <f t="shared" si="5"/>
        <v>1.806640625</v>
      </c>
      <c r="N74">
        <f t="shared" si="6"/>
        <v>-19.6533203125</v>
      </c>
      <c r="O74">
        <f t="shared" si="7"/>
        <v>-0.17778445512820512</v>
      </c>
      <c r="Q74">
        <f t="shared" si="8"/>
        <v>12.39026540148191</v>
      </c>
    </row>
    <row r="75" spans="3:17" x14ac:dyDescent="0.3">
      <c r="C75" t="s">
        <v>83</v>
      </c>
      <c r="D75" t="s">
        <v>72</v>
      </c>
      <c r="E75">
        <v>381</v>
      </c>
      <c r="G75" t="s">
        <v>245</v>
      </c>
      <c r="H75" t="s">
        <v>238</v>
      </c>
      <c r="I75">
        <v>367</v>
      </c>
      <c r="K75">
        <f t="shared" si="4"/>
        <v>1.8603515625</v>
      </c>
      <c r="L75">
        <f t="shared" si="5"/>
        <v>1.7919921875</v>
      </c>
      <c r="N75">
        <f t="shared" si="6"/>
        <v>-14.7119140625</v>
      </c>
      <c r="O75">
        <f t="shared" si="7"/>
        <v>-0.18154046474358976</v>
      </c>
      <c r="Q75">
        <f t="shared" si="8"/>
        <v>9.4709493481347646</v>
      </c>
    </row>
    <row r="76" spans="3:17" x14ac:dyDescent="0.3">
      <c r="C76" t="s">
        <v>85</v>
      </c>
      <c r="D76" t="s">
        <v>74</v>
      </c>
      <c r="E76">
        <v>475</v>
      </c>
      <c r="G76" t="s">
        <v>246</v>
      </c>
      <c r="H76" t="s">
        <v>240</v>
      </c>
      <c r="I76">
        <v>420</v>
      </c>
      <c r="K76">
        <f t="shared" si="4"/>
        <v>2.3193359375</v>
      </c>
      <c r="L76">
        <f t="shared" si="5"/>
        <v>2.05078125</v>
      </c>
      <c r="N76">
        <f t="shared" si="6"/>
        <v>-4.1552734375</v>
      </c>
      <c r="O76">
        <f t="shared" si="7"/>
        <v>-0.11518429487179488</v>
      </c>
      <c r="Q76">
        <f t="shared" si="8"/>
        <v>1.6972419889997756</v>
      </c>
    </row>
    <row r="77" spans="3:17" x14ac:dyDescent="0.3">
      <c r="C77" t="s">
        <v>87</v>
      </c>
      <c r="D77" t="s">
        <v>76</v>
      </c>
      <c r="E77">
        <v>583</v>
      </c>
      <c r="G77" t="s">
        <v>248</v>
      </c>
      <c r="H77">
        <v>800331</v>
      </c>
      <c r="I77">
        <v>508</v>
      </c>
      <c r="K77">
        <f t="shared" si="4"/>
        <v>2.8466796875</v>
      </c>
      <c r="L77">
        <f t="shared" si="5"/>
        <v>2.48046875</v>
      </c>
      <c r="N77">
        <f t="shared" si="6"/>
        <v>7.9736328125</v>
      </c>
      <c r="O77">
        <f t="shared" si="7"/>
        <v>-5.0080128205128209E-3</v>
      </c>
      <c r="Q77">
        <f t="shared" si="8"/>
        <v>-0.14160303315979328</v>
      </c>
    </row>
    <row r="78" spans="3:17" x14ac:dyDescent="0.3">
      <c r="C78" t="s">
        <v>89</v>
      </c>
      <c r="D78" t="s">
        <v>78</v>
      </c>
      <c r="E78">
        <v>664</v>
      </c>
      <c r="G78" t="s">
        <v>250</v>
      </c>
      <c r="H78">
        <v>800333</v>
      </c>
      <c r="I78">
        <v>597</v>
      </c>
      <c r="K78">
        <f t="shared" si="4"/>
        <v>3.2421875</v>
      </c>
      <c r="L78">
        <f t="shared" si="5"/>
        <v>2.9150390625</v>
      </c>
      <c r="N78">
        <f t="shared" si="6"/>
        <v>17.0703125</v>
      </c>
      <c r="O78">
        <f t="shared" si="7"/>
        <v>0.10642027243589744</v>
      </c>
      <c r="Q78">
        <f t="shared" si="8"/>
        <v>6.4419408043117228</v>
      </c>
    </row>
    <row r="79" spans="3:17" x14ac:dyDescent="0.3">
      <c r="C79" t="s">
        <v>91</v>
      </c>
      <c r="D79" t="s">
        <v>80</v>
      </c>
      <c r="E79">
        <v>687</v>
      </c>
      <c r="G79" t="s">
        <v>252</v>
      </c>
      <c r="H79">
        <v>800335</v>
      </c>
      <c r="I79">
        <v>654</v>
      </c>
      <c r="K79">
        <f t="shared" si="4"/>
        <v>3.3544921875</v>
      </c>
      <c r="L79">
        <f t="shared" si="5"/>
        <v>3.193359375</v>
      </c>
      <c r="N79">
        <f t="shared" si="6"/>
        <v>19.6533203125</v>
      </c>
      <c r="O79">
        <f t="shared" si="7"/>
        <v>0.17778445512820512</v>
      </c>
      <c r="Q79">
        <f t="shared" si="8"/>
        <v>12.39026540148191</v>
      </c>
    </row>
    <row r="80" spans="3:17" x14ac:dyDescent="0.3">
      <c r="C80" t="s">
        <v>93</v>
      </c>
      <c r="D80" t="s">
        <v>82</v>
      </c>
      <c r="E80">
        <v>643</v>
      </c>
      <c r="G80" t="s">
        <v>253</v>
      </c>
      <c r="H80">
        <v>800337</v>
      </c>
      <c r="I80">
        <v>657</v>
      </c>
      <c r="K80">
        <f t="shared" si="4"/>
        <v>3.1396484375</v>
      </c>
      <c r="L80">
        <f t="shared" si="5"/>
        <v>3.2080078125</v>
      </c>
      <c r="N80">
        <f t="shared" si="6"/>
        <v>14.7119140625</v>
      </c>
      <c r="O80">
        <f t="shared" si="7"/>
        <v>0.18154046474358976</v>
      </c>
      <c r="Q80">
        <f t="shared" si="8"/>
        <v>9.4709493481347646</v>
      </c>
    </row>
    <row r="81" spans="3:17" x14ac:dyDescent="0.3">
      <c r="C81" t="s">
        <v>95</v>
      </c>
      <c r="D81" t="s">
        <v>84</v>
      </c>
      <c r="E81">
        <v>549</v>
      </c>
      <c r="G81" t="s">
        <v>254</v>
      </c>
      <c r="H81">
        <v>800339</v>
      </c>
      <c r="I81">
        <v>604</v>
      </c>
      <c r="K81">
        <f t="shared" si="4"/>
        <v>2.6806640625</v>
      </c>
      <c r="L81">
        <f t="shared" si="5"/>
        <v>2.94921875</v>
      </c>
      <c r="N81">
        <f t="shared" si="6"/>
        <v>4.1552734375</v>
      </c>
      <c r="O81">
        <f t="shared" si="7"/>
        <v>0.11518429487179488</v>
      </c>
      <c r="Q81">
        <f t="shared" si="8"/>
        <v>1.6972419889997756</v>
      </c>
    </row>
    <row r="82" spans="3:17" x14ac:dyDescent="0.3">
      <c r="C82" t="s">
        <v>97</v>
      </c>
      <c r="D82" t="s">
        <v>86</v>
      </c>
      <c r="E82">
        <v>441</v>
      </c>
      <c r="G82" t="s">
        <v>255</v>
      </c>
      <c r="H82" t="s">
        <v>247</v>
      </c>
      <c r="I82">
        <v>516</v>
      </c>
      <c r="K82">
        <f t="shared" si="4"/>
        <v>2.1533203125</v>
      </c>
      <c r="L82">
        <f t="shared" si="5"/>
        <v>2.51953125</v>
      </c>
      <c r="N82">
        <f t="shared" si="6"/>
        <v>-7.9736328125</v>
      </c>
      <c r="O82">
        <f t="shared" si="7"/>
        <v>5.0080128205128209E-3</v>
      </c>
      <c r="Q82">
        <f t="shared" si="8"/>
        <v>-0.14160303315979328</v>
      </c>
    </row>
    <row r="83" spans="3:17" x14ac:dyDescent="0.3">
      <c r="C83" t="s">
        <v>99</v>
      </c>
      <c r="D83" t="s">
        <v>88</v>
      </c>
      <c r="E83">
        <v>360</v>
      </c>
      <c r="G83" t="s">
        <v>256</v>
      </c>
      <c r="H83" t="s">
        <v>249</v>
      </c>
      <c r="I83">
        <v>426</v>
      </c>
      <c r="K83">
        <f t="shared" si="4"/>
        <v>1.7578125</v>
      </c>
      <c r="L83">
        <f t="shared" si="5"/>
        <v>2.080078125</v>
      </c>
      <c r="N83">
        <f t="shared" si="6"/>
        <v>-17.0703125</v>
      </c>
      <c r="O83">
        <f t="shared" si="7"/>
        <v>-0.10767227564102565</v>
      </c>
      <c r="Q83">
        <f t="shared" si="8"/>
        <v>6.5177283431859783</v>
      </c>
    </row>
    <row r="84" spans="3:17" x14ac:dyDescent="0.3">
      <c r="C84" t="s">
        <v>101</v>
      </c>
      <c r="D84" t="s">
        <v>90</v>
      </c>
      <c r="E84">
        <v>337</v>
      </c>
      <c r="G84" t="s">
        <v>257</v>
      </c>
      <c r="H84" t="s">
        <v>251</v>
      </c>
      <c r="I84">
        <v>370</v>
      </c>
      <c r="K84">
        <f t="shared" si="4"/>
        <v>1.6455078125</v>
      </c>
      <c r="L84">
        <f t="shared" si="5"/>
        <v>1.806640625</v>
      </c>
      <c r="N84">
        <f t="shared" si="6"/>
        <v>-19.6533203125</v>
      </c>
      <c r="O84">
        <f t="shared" si="7"/>
        <v>-0.17778445512820512</v>
      </c>
      <c r="Q84">
        <f t="shared" si="8"/>
        <v>12.39026540148191</v>
      </c>
    </row>
    <row r="85" spans="3:17" x14ac:dyDescent="0.3">
      <c r="C85" t="s">
        <v>103</v>
      </c>
      <c r="D85" t="s">
        <v>92</v>
      </c>
      <c r="E85">
        <v>381</v>
      </c>
      <c r="G85" t="s">
        <v>259</v>
      </c>
      <c r="H85">
        <v>800341</v>
      </c>
      <c r="I85">
        <v>367</v>
      </c>
      <c r="K85">
        <f t="shared" si="4"/>
        <v>1.8603515625</v>
      </c>
      <c r="L85">
        <f t="shared" si="5"/>
        <v>1.7919921875</v>
      </c>
      <c r="N85">
        <f t="shared" si="6"/>
        <v>-14.7119140625</v>
      </c>
      <c r="O85">
        <f t="shared" si="7"/>
        <v>-0.18154046474358976</v>
      </c>
      <c r="Q85">
        <f t="shared" si="8"/>
        <v>9.4709493481347646</v>
      </c>
    </row>
    <row r="86" spans="3:17" x14ac:dyDescent="0.3">
      <c r="C86" t="s">
        <v>105</v>
      </c>
      <c r="D86" t="s">
        <v>94</v>
      </c>
      <c r="E86">
        <v>475</v>
      </c>
      <c r="G86" t="s">
        <v>261</v>
      </c>
      <c r="H86">
        <v>800343</v>
      </c>
      <c r="I86">
        <v>420</v>
      </c>
      <c r="K86">
        <f t="shared" si="4"/>
        <v>2.3193359375</v>
      </c>
      <c r="L86">
        <f t="shared" si="5"/>
        <v>2.05078125</v>
      </c>
      <c r="N86">
        <f t="shared" si="6"/>
        <v>-4.1552734375</v>
      </c>
      <c r="O86">
        <f t="shared" si="7"/>
        <v>-0.11518429487179488</v>
      </c>
      <c r="Q86">
        <f t="shared" si="8"/>
        <v>1.6972419889997756</v>
      </c>
    </row>
    <row r="87" spans="3:17" x14ac:dyDescent="0.3">
      <c r="C87" t="s">
        <v>107</v>
      </c>
      <c r="D87" t="s">
        <v>96</v>
      </c>
      <c r="E87">
        <v>583</v>
      </c>
      <c r="G87" t="s">
        <v>263</v>
      </c>
      <c r="H87">
        <v>800345</v>
      </c>
      <c r="I87">
        <v>508</v>
      </c>
      <c r="K87">
        <f t="shared" si="4"/>
        <v>2.8466796875</v>
      </c>
      <c r="L87">
        <f t="shared" si="5"/>
        <v>2.48046875</v>
      </c>
      <c r="N87">
        <f t="shared" si="6"/>
        <v>7.9736328125</v>
      </c>
      <c r="O87">
        <f t="shared" si="7"/>
        <v>-5.0080128205128209E-3</v>
      </c>
      <c r="Q87">
        <f t="shared" si="8"/>
        <v>-0.14160303315979328</v>
      </c>
    </row>
    <row r="88" spans="3:17" x14ac:dyDescent="0.3">
      <c r="C88" t="s">
        <v>109</v>
      </c>
      <c r="D88" t="s">
        <v>98</v>
      </c>
      <c r="E88">
        <v>664</v>
      </c>
      <c r="G88" t="s">
        <v>264</v>
      </c>
      <c r="H88">
        <v>800347</v>
      </c>
      <c r="I88">
        <v>597</v>
      </c>
      <c r="K88">
        <f t="shared" si="4"/>
        <v>3.2421875</v>
      </c>
      <c r="L88">
        <f t="shared" si="5"/>
        <v>2.9150390625</v>
      </c>
      <c r="N88">
        <f t="shared" si="6"/>
        <v>17.0703125</v>
      </c>
      <c r="O88">
        <f t="shared" si="7"/>
        <v>0.10642027243589744</v>
      </c>
      <c r="Q88">
        <f t="shared" si="8"/>
        <v>6.4419408043117228</v>
      </c>
    </row>
    <row r="89" spans="3:17" x14ac:dyDescent="0.3">
      <c r="C89" t="s">
        <v>111</v>
      </c>
      <c r="D89" t="s">
        <v>100</v>
      </c>
      <c r="E89">
        <v>687</v>
      </c>
      <c r="G89" t="s">
        <v>265</v>
      </c>
      <c r="H89">
        <v>800349</v>
      </c>
      <c r="I89">
        <v>654</v>
      </c>
      <c r="K89">
        <f t="shared" si="4"/>
        <v>3.3544921875</v>
      </c>
      <c r="L89">
        <f t="shared" si="5"/>
        <v>3.193359375</v>
      </c>
      <c r="N89">
        <f t="shared" si="6"/>
        <v>19.6533203125</v>
      </c>
      <c r="O89">
        <f t="shared" si="7"/>
        <v>0.17778445512820512</v>
      </c>
      <c r="Q89">
        <f t="shared" si="8"/>
        <v>12.39026540148191</v>
      </c>
    </row>
    <row r="90" spans="3:17" x14ac:dyDescent="0.3">
      <c r="C90" t="s">
        <v>113</v>
      </c>
      <c r="D90" t="s">
        <v>102</v>
      </c>
      <c r="E90">
        <v>643</v>
      </c>
      <c r="G90" t="s">
        <v>266</v>
      </c>
      <c r="H90" t="s">
        <v>258</v>
      </c>
      <c r="I90">
        <v>657</v>
      </c>
      <c r="K90">
        <f t="shared" si="4"/>
        <v>3.1396484375</v>
      </c>
      <c r="L90">
        <f t="shared" si="5"/>
        <v>3.2080078125</v>
      </c>
      <c r="N90">
        <f t="shared" si="6"/>
        <v>14.7119140625</v>
      </c>
      <c r="O90">
        <f t="shared" si="7"/>
        <v>0.18154046474358976</v>
      </c>
      <c r="Q90">
        <f t="shared" si="8"/>
        <v>9.4709493481347646</v>
      </c>
    </row>
    <row r="91" spans="3:17" x14ac:dyDescent="0.3">
      <c r="C91" t="s">
        <v>115</v>
      </c>
      <c r="D91" t="s">
        <v>104</v>
      </c>
      <c r="E91">
        <v>549</v>
      </c>
      <c r="G91" t="s">
        <v>267</v>
      </c>
      <c r="H91" t="s">
        <v>260</v>
      </c>
      <c r="I91">
        <v>604</v>
      </c>
      <c r="K91">
        <f t="shared" si="4"/>
        <v>2.6806640625</v>
      </c>
      <c r="L91">
        <f t="shared" si="5"/>
        <v>2.94921875</v>
      </c>
      <c r="N91">
        <f t="shared" si="6"/>
        <v>4.1552734375</v>
      </c>
      <c r="O91">
        <f t="shared" si="7"/>
        <v>0.11518429487179488</v>
      </c>
      <c r="Q91">
        <f t="shared" si="8"/>
        <v>1.6972419889997756</v>
      </c>
    </row>
    <row r="92" spans="3:17" x14ac:dyDescent="0.3">
      <c r="C92" t="s">
        <v>117</v>
      </c>
      <c r="D92" t="s">
        <v>106</v>
      </c>
      <c r="E92">
        <v>441</v>
      </c>
      <c r="G92" t="s">
        <v>268</v>
      </c>
      <c r="H92" t="s">
        <v>262</v>
      </c>
      <c r="I92">
        <v>516</v>
      </c>
      <c r="K92">
        <f t="shared" si="4"/>
        <v>2.1533203125</v>
      </c>
      <c r="L92">
        <f t="shared" si="5"/>
        <v>2.51953125</v>
      </c>
      <c r="N92">
        <f t="shared" si="6"/>
        <v>-7.9736328125</v>
      </c>
      <c r="O92">
        <f t="shared" si="7"/>
        <v>5.0080128205128209E-3</v>
      </c>
      <c r="Q92">
        <f t="shared" si="8"/>
        <v>-0.14160303315979328</v>
      </c>
    </row>
    <row r="93" spans="3:17" x14ac:dyDescent="0.3">
      <c r="C93" t="s">
        <v>119</v>
      </c>
      <c r="D93" t="s">
        <v>108</v>
      </c>
      <c r="E93">
        <v>360</v>
      </c>
      <c r="G93" t="s">
        <v>270</v>
      </c>
      <c r="H93">
        <v>800351</v>
      </c>
      <c r="I93">
        <v>426</v>
      </c>
      <c r="K93">
        <f t="shared" si="4"/>
        <v>1.7578125</v>
      </c>
      <c r="L93">
        <f t="shared" si="5"/>
        <v>2.080078125</v>
      </c>
      <c r="N93">
        <f t="shared" si="6"/>
        <v>-17.0703125</v>
      </c>
      <c r="O93">
        <f t="shared" si="7"/>
        <v>-0.10767227564102565</v>
      </c>
      <c r="Q93">
        <f t="shared" si="8"/>
        <v>6.5177283431859783</v>
      </c>
    </row>
    <row r="94" spans="3:17" x14ac:dyDescent="0.3">
      <c r="C94" t="s">
        <v>121</v>
      </c>
      <c r="D94" t="s">
        <v>110</v>
      </c>
      <c r="E94">
        <v>337</v>
      </c>
      <c r="G94" t="s">
        <v>272</v>
      </c>
      <c r="H94">
        <v>800353</v>
      </c>
      <c r="I94">
        <v>370</v>
      </c>
      <c r="K94">
        <f t="shared" si="4"/>
        <v>1.6455078125</v>
      </c>
      <c r="L94">
        <f t="shared" si="5"/>
        <v>1.806640625</v>
      </c>
      <c r="N94">
        <f t="shared" si="6"/>
        <v>-19.6533203125</v>
      </c>
      <c r="O94">
        <f t="shared" si="7"/>
        <v>-0.17778445512820512</v>
      </c>
      <c r="Q94">
        <f t="shared" si="8"/>
        <v>12.39026540148191</v>
      </c>
    </row>
    <row r="95" spans="3:17" x14ac:dyDescent="0.3">
      <c r="C95" t="s">
        <v>123</v>
      </c>
      <c r="D95" t="s">
        <v>112</v>
      </c>
      <c r="E95">
        <v>381</v>
      </c>
      <c r="G95" t="s">
        <v>274</v>
      </c>
      <c r="H95">
        <v>800355</v>
      </c>
      <c r="I95">
        <v>367</v>
      </c>
      <c r="K95">
        <f t="shared" si="4"/>
        <v>1.8603515625</v>
      </c>
      <c r="L95">
        <f t="shared" si="5"/>
        <v>1.7919921875</v>
      </c>
      <c r="N95">
        <f t="shared" si="6"/>
        <v>-14.7119140625</v>
      </c>
      <c r="O95">
        <f t="shared" si="7"/>
        <v>-0.18154046474358976</v>
      </c>
      <c r="Q95">
        <f t="shared" si="8"/>
        <v>9.4709493481347646</v>
      </c>
    </row>
    <row r="96" spans="3:17" x14ac:dyDescent="0.3">
      <c r="C96" t="s">
        <v>125</v>
      </c>
      <c r="D96" t="s">
        <v>114</v>
      </c>
      <c r="E96">
        <v>475</v>
      </c>
      <c r="G96" t="s">
        <v>275</v>
      </c>
      <c r="H96">
        <v>800357</v>
      </c>
      <c r="I96">
        <v>420</v>
      </c>
      <c r="K96">
        <f t="shared" si="4"/>
        <v>2.3193359375</v>
      </c>
      <c r="L96">
        <f t="shared" si="5"/>
        <v>2.05078125</v>
      </c>
      <c r="N96">
        <f t="shared" si="6"/>
        <v>-4.1552734375</v>
      </c>
      <c r="O96">
        <f t="shared" si="7"/>
        <v>-0.11518429487179488</v>
      </c>
      <c r="Q96">
        <f t="shared" si="8"/>
        <v>1.6972419889997756</v>
      </c>
    </row>
    <row r="97" spans="3:17" x14ac:dyDescent="0.3">
      <c r="C97" t="s">
        <v>127</v>
      </c>
      <c r="D97" t="s">
        <v>116</v>
      </c>
      <c r="E97">
        <v>583</v>
      </c>
      <c r="G97" t="s">
        <v>276</v>
      </c>
      <c r="H97">
        <v>800359</v>
      </c>
      <c r="I97">
        <v>508</v>
      </c>
      <c r="K97">
        <f t="shared" si="4"/>
        <v>2.8466796875</v>
      </c>
      <c r="L97">
        <f t="shared" si="5"/>
        <v>2.48046875</v>
      </c>
      <c r="N97">
        <f t="shared" si="6"/>
        <v>7.9736328125</v>
      </c>
      <c r="O97">
        <f t="shared" si="7"/>
        <v>-5.0080128205128209E-3</v>
      </c>
      <c r="Q97">
        <f t="shared" si="8"/>
        <v>-0.14160303315979328</v>
      </c>
    </row>
    <row r="98" spans="3:17" x14ac:dyDescent="0.3">
      <c r="C98" t="s">
        <v>129</v>
      </c>
      <c r="D98" t="s">
        <v>118</v>
      </c>
      <c r="E98">
        <v>664</v>
      </c>
      <c r="G98" t="s">
        <v>277</v>
      </c>
      <c r="H98" t="s">
        <v>269</v>
      </c>
      <c r="I98">
        <v>597</v>
      </c>
      <c r="K98">
        <f t="shared" si="4"/>
        <v>3.2421875</v>
      </c>
      <c r="L98">
        <f t="shared" si="5"/>
        <v>2.9150390625</v>
      </c>
      <c r="N98">
        <f t="shared" si="6"/>
        <v>17.0703125</v>
      </c>
      <c r="O98">
        <f t="shared" si="7"/>
        <v>0.10642027243589744</v>
      </c>
      <c r="Q98">
        <f t="shared" si="8"/>
        <v>6.4419408043117228</v>
      </c>
    </row>
    <row r="99" spans="3:17" x14ac:dyDescent="0.3">
      <c r="C99" t="s">
        <v>131</v>
      </c>
      <c r="D99" t="s">
        <v>120</v>
      </c>
      <c r="E99">
        <v>687</v>
      </c>
      <c r="G99" t="s">
        <v>278</v>
      </c>
      <c r="H99" t="s">
        <v>271</v>
      </c>
      <c r="I99">
        <v>654</v>
      </c>
      <c r="K99">
        <f t="shared" si="4"/>
        <v>3.3544921875</v>
      </c>
      <c r="L99">
        <f t="shared" si="5"/>
        <v>3.193359375</v>
      </c>
      <c r="N99">
        <f t="shared" si="6"/>
        <v>19.6533203125</v>
      </c>
      <c r="O99">
        <f t="shared" si="7"/>
        <v>0.17778445512820512</v>
      </c>
      <c r="Q99">
        <f t="shared" si="8"/>
        <v>12.39026540148191</v>
      </c>
    </row>
    <row r="100" spans="3:17" x14ac:dyDescent="0.3">
      <c r="C100" t="s">
        <v>133</v>
      </c>
      <c r="D100" t="s">
        <v>122</v>
      </c>
      <c r="E100">
        <v>643</v>
      </c>
      <c r="G100" t="s">
        <v>279</v>
      </c>
      <c r="H100" t="s">
        <v>273</v>
      </c>
      <c r="I100">
        <v>657</v>
      </c>
      <c r="K100">
        <f t="shared" si="4"/>
        <v>3.1396484375</v>
      </c>
      <c r="L100">
        <f t="shared" si="5"/>
        <v>3.2080078125</v>
      </c>
      <c r="N100">
        <f t="shared" si="6"/>
        <v>14.7119140625</v>
      </c>
      <c r="O100">
        <f t="shared" si="7"/>
        <v>0.18154046474358976</v>
      </c>
      <c r="Q100">
        <f t="shared" si="8"/>
        <v>9.4709493481347646</v>
      </c>
    </row>
    <row r="101" spans="3:17" x14ac:dyDescent="0.3">
      <c r="C101" t="s">
        <v>135</v>
      </c>
      <c r="D101" t="s">
        <v>124</v>
      </c>
      <c r="E101">
        <v>549</v>
      </c>
      <c r="G101" t="s">
        <v>281</v>
      </c>
      <c r="H101">
        <v>800361</v>
      </c>
      <c r="I101">
        <v>604</v>
      </c>
      <c r="K101">
        <f t="shared" si="4"/>
        <v>2.6806640625</v>
      </c>
      <c r="L101">
        <f t="shared" si="5"/>
        <v>2.94921875</v>
      </c>
      <c r="N101">
        <f t="shared" si="6"/>
        <v>4.1552734375</v>
      </c>
      <c r="O101">
        <f t="shared" si="7"/>
        <v>0.11518429487179488</v>
      </c>
      <c r="Q101">
        <f t="shared" si="8"/>
        <v>1.6972419889997756</v>
      </c>
    </row>
    <row r="102" spans="3:17" x14ac:dyDescent="0.3">
      <c r="C102" t="s">
        <v>137</v>
      </c>
      <c r="D102" t="s">
        <v>126</v>
      </c>
      <c r="E102">
        <v>441</v>
      </c>
      <c r="G102" t="s">
        <v>283</v>
      </c>
      <c r="H102">
        <v>800363</v>
      </c>
      <c r="I102">
        <v>516</v>
      </c>
      <c r="K102">
        <f t="shared" ref="K102:K137" si="9">E102*5/1024</f>
        <v>2.1533203125</v>
      </c>
      <c r="L102">
        <f t="shared" ref="L102:L137" si="10">I102*5/1024</f>
        <v>2.51953125</v>
      </c>
      <c r="N102">
        <f t="shared" ref="N102:N137" si="11">(K102-2.5)*23</f>
        <v>-7.9736328125</v>
      </c>
      <c r="O102">
        <f t="shared" ref="O102:O137" si="12">(L102-2.5)/3.9</f>
        <v>5.0080128205128209E-3</v>
      </c>
      <c r="Q102">
        <f t="shared" ref="Q102:Q137" si="13">N102*O102/0.282</f>
        <v>-0.14160303315979328</v>
      </c>
    </row>
    <row r="103" spans="3:17" x14ac:dyDescent="0.3">
      <c r="C103" t="s">
        <v>139</v>
      </c>
      <c r="D103" s="2" t="s">
        <v>128</v>
      </c>
      <c r="E103">
        <v>360</v>
      </c>
      <c r="G103" t="s">
        <v>285</v>
      </c>
      <c r="H103">
        <v>800365</v>
      </c>
      <c r="I103">
        <v>426</v>
      </c>
      <c r="K103">
        <f t="shared" si="9"/>
        <v>1.7578125</v>
      </c>
      <c r="L103">
        <f t="shared" si="10"/>
        <v>2.080078125</v>
      </c>
      <c r="N103">
        <f t="shared" si="11"/>
        <v>-17.0703125</v>
      </c>
      <c r="O103">
        <f t="shared" si="12"/>
        <v>-0.10767227564102565</v>
      </c>
      <c r="Q103">
        <f t="shared" si="13"/>
        <v>6.5177283431859783</v>
      </c>
    </row>
    <row r="104" spans="3:17" x14ac:dyDescent="0.3">
      <c r="C104" t="s">
        <v>140</v>
      </c>
      <c r="D104" s="2" t="s">
        <v>130</v>
      </c>
      <c r="E104">
        <v>337</v>
      </c>
      <c r="G104" t="s">
        <v>286</v>
      </c>
      <c r="H104">
        <v>800367</v>
      </c>
      <c r="I104">
        <v>370</v>
      </c>
      <c r="K104">
        <f t="shared" si="9"/>
        <v>1.6455078125</v>
      </c>
      <c r="L104">
        <f t="shared" si="10"/>
        <v>1.806640625</v>
      </c>
      <c r="N104">
        <f t="shared" si="11"/>
        <v>-19.6533203125</v>
      </c>
      <c r="O104">
        <f t="shared" si="12"/>
        <v>-0.17778445512820512</v>
      </c>
      <c r="Q104">
        <f t="shared" si="13"/>
        <v>12.39026540148191</v>
      </c>
    </row>
    <row r="105" spans="3:17" x14ac:dyDescent="0.3">
      <c r="C105" t="s">
        <v>141</v>
      </c>
      <c r="D105" s="2" t="s">
        <v>132</v>
      </c>
      <c r="E105">
        <v>381</v>
      </c>
      <c r="G105" t="s">
        <v>287</v>
      </c>
      <c r="H105">
        <v>800369</v>
      </c>
      <c r="I105">
        <v>367</v>
      </c>
      <c r="K105">
        <f t="shared" si="9"/>
        <v>1.8603515625</v>
      </c>
      <c r="L105">
        <f t="shared" si="10"/>
        <v>1.7919921875</v>
      </c>
      <c r="N105">
        <f t="shared" si="11"/>
        <v>-14.7119140625</v>
      </c>
      <c r="O105">
        <f t="shared" si="12"/>
        <v>-0.18154046474358976</v>
      </c>
      <c r="Q105">
        <f t="shared" si="13"/>
        <v>9.4709493481347646</v>
      </c>
    </row>
    <row r="106" spans="3:17" x14ac:dyDescent="0.3">
      <c r="C106" t="s">
        <v>142</v>
      </c>
      <c r="D106" s="2" t="s">
        <v>134</v>
      </c>
      <c r="E106">
        <v>475</v>
      </c>
      <c r="G106" t="s">
        <v>288</v>
      </c>
      <c r="H106" t="s">
        <v>280</v>
      </c>
      <c r="I106">
        <v>420</v>
      </c>
      <c r="K106">
        <f t="shared" si="9"/>
        <v>2.3193359375</v>
      </c>
      <c r="L106">
        <f t="shared" si="10"/>
        <v>2.05078125</v>
      </c>
      <c r="N106">
        <f t="shared" si="11"/>
        <v>-4.1552734375</v>
      </c>
      <c r="O106">
        <f t="shared" si="12"/>
        <v>-0.11518429487179488</v>
      </c>
      <c r="Q106">
        <f t="shared" si="13"/>
        <v>1.6972419889997756</v>
      </c>
    </row>
    <row r="107" spans="3:17" x14ac:dyDescent="0.3">
      <c r="C107" t="s">
        <v>143</v>
      </c>
      <c r="D107" s="2" t="s">
        <v>136</v>
      </c>
      <c r="E107">
        <v>583</v>
      </c>
      <c r="G107" t="s">
        <v>289</v>
      </c>
      <c r="H107" t="s">
        <v>282</v>
      </c>
      <c r="I107">
        <v>508</v>
      </c>
      <c r="K107">
        <f t="shared" si="9"/>
        <v>2.8466796875</v>
      </c>
      <c r="L107">
        <f t="shared" si="10"/>
        <v>2.48046875</v>
      </c>
      <c r="N107">
        <f t="shared" si="11"/>
        <v>7.9736328125</v>
      </c>
      <c r="O107">
        <f t="shared" si="12"/>
        <v>-5.0080128205128209E-3</v>
      </c>
      <c r="Q107">
        <f t="shared" si="13"/>
        <v>-0.14160303315979328</v>
      </c>
    </row>
    <row r="108" spans="3:17" x14ac:dyDescent="0.3">
      <c r="C108" t="s">
        <v>144</v>
      </c>
      <c r="D108" t="s">
        <v>138</v>
      </c>
      <c r="E108">
        <v>664</v>
      </c>
      <c r="G108" t="s">
        <v>290</v>
      </c>
      <c r="H108" t="s">
        <v>284</v>
      </c>
      <c r="I108">
        <v>597</v>
      </c>
      <c r="K108">
        <f t="shared" si="9"/>
        <v>3.2421875</v>
      </c>
      <c r="L108">
        <f t="shared" si="10"/>
        <v>2.9150390625</v>
      </c>
      <c r="N108">
        <f t="shared" si="11"/>
        <v>17.0703125</v>
      </c>
      <c r="O108">
        <f t="shared" si="12"/>
        <v>0.10642027243589744</v>
      </c>
      <c r="Q108">
        <f t="shared" si="13"/>
        <v>6.4419408043117228</v>
      </c>
    </row>
    <row r="109" spans="3:17" x14ac:dyDescent="0.3">
      <c r="C109" t="s">
        <v>146</v>
      </c>
      <c r="D109" s="2">
        <v>80010</v>
      </c>
      <c r="E109">
        <v>687</v>
      </c>
      <c r="G109" t="s">
        <v>292</v>
      </c>
      <c r="H109">
        <v>800371</v>
      </c>
      <c r="I109">
        <v>654</v>
      </c>
      <c r="K109">
        <f t="shared" si="9"/>
        <v>3.3544921875</v>
      </c>
      <c r="L109">
        <f t="shared" si="10"/>
        <v>3.193359375</v>
      </c>
      <c r="N109">
        <f t="shared" si="11"/>
        <v>19.6533203125</v>
      </c>
      <c r="O109">
        <f t="shared" si="12"/>
        <v>0.17778445512820512</v>
      </c>
      <c r="Q109">
        <f t="shared" si="13"/>
        <v>12.39026540148191</v>
      </c>
    </row>
    <row r="110" spans="3:17" x14ac:dyDescent="0.3">
      <c r="C110" t="s">
        <v>148</v>
      </c>
      <c r="D110" s="2">
        <v>8001000</v>
      </c>
      <c r="E110">
        <v>643</v>
      </c>
      <c r="G110" t="s">
        <v>294</v>
      </c>
      <c r="H110">
        <v>800373</v>
      </c>
      <c r="I110">
        <v>657</v>
      </c>
      <c r="K110">
        <f t="shared" si="9"/>
        <v>3.1396484375</v>
      </c>
      <c r="L110">
        <f t="shared" si="10"/>
        <v>3.2080078125</v>
      </c>
      <c r="N110">
        <f t="shared" si="11"/>
        <v>14.7119140625</v>
      </c>
      <c r="O110">
        <f t="shared" si="12"/>
        <v>0.18154046474358976</v>
      </c>
      <c r="Q110">
        <f t="shared" si="13"/>
        <v>9.4709493481347646</v>
      </c>
    </row>
    <row r="111" spans="3:17" x14ac:dyDescent="0.3">
      <c r="C111" t="s">
        <v>150</v>
      </c>
      <c r="D111" s="2">
        <v>800100000</v>
      </c>
      <c r="E111">
        <v>549</v>
      </c>
      <c r="G111" t="s">
        <v>296</v>
      </c>
      <c r="H111">
        <v>800375</v>
      </c>
      <c r="I111">
        <v>604</v>
      </c>
      <c r="K111">
        <f t="shared" si="9"/>
        <v>2.6806640625</v>
      </c>
      <c r="L111">
        <f t="shared" si="10"/>
        <v>2.94921875</v>
      </c>
      <c r="N111">
        <f t="shared" si="11"/>
        <v>4.1552734375</v>
      </c>
      <c r="O111">
        <f t="shared" si="12"/>
        <v>0.11518429487179488</v>
      </c>
      <c r="Q111">
        <f t="shared" si="13"/>
        <v>1.6972419889997756</v>
      </c>
    </row>
    <row r="112" spans="3:17" x14ac:dyDescent="0.3">
      <c r="C112" t="s">
        <v>152</v>
      </c>
      <c r="D112" s="2">
        <v>80010000000</v>
      </c>
      <c r="E112">
        <v>441</v>
      </c>
      <c r="G112" t="s">
        <v>297</v>
      </c>
      <c r="H112">
        <v>800377</v>
      </c>
      <c r="I112">
        <v>516</v>
      </c>
      <c r="K112">
        <f t="shared" si="9"/>
        <v>2.1533203125</v>
      </c>
      <c r="L112">
        <f t="shared" si="10"/>
        <v>2.51953125</v>
      </c>
      <c r="N112">
        <f t="shared" si="11"/>
        <v>-7.9736328125</v>
      </c>
      <c r="O112">
        <f t="shared" si="12"/>
        <v>5.0080128205128209E-3</v>
      </c>
      <c r="Q112">
        <f t="shared" si="13"/>
        <v>-0.14160303315979328</v>
      </c>
    </row>
    <row r="113" spans="3:17" x14ac:dyDescent="0.3">
      <c r="C113" t="s">
        <v>154</v>
      </c>
      <c r="D113" s="2">
        <v>8001000000000</v>
      </c>
      <c r="E113">
        <v>360</v>
      </c>
      <c r="G113" t="s">
        <v>298</v>
      </c>
      <c r="H113">
        <v>800379</v>
      </c>
      <c r="I113">
        <v>426</v>
      </c>
      <c r="K113">
        <f t="shared" si="9"/>
        <v>1.7578125</v>
      </c>
      <c r="L113">
        <f t="shared" si="10"/>
        <v>2.080078125</v>
      </c>
      <c r="N113">
        <f t="shared" si="11"/>
        <v>-17.0703125</v>
      </c>
      <c r="O113">
        <f t="shared" si="12"/>
        <v>-0.10767227564102565</v>
      </c>
      <c r="Q113">
        <f t="shared" si="13"/>
        <v>6.5177283431859783</v>
      </c>
    </row>
    <row r="114" spans="3:17" x14ac:dyDescent="0.3">
      <c r="C114" t="s">
        <v>156</v>
      </c>
      <c r="D114" t="s">
        <v>145</v>
      </c>
      <c r="E114">
        <v>337</v>
      </c>
      <c r="G114" t="s">
        <v>299</v>
      </c>
      <c r="H114" t="s">
        <v>291</v>
      </c>
      <c r="I114">
        <v>370</v>
      </c>
      <c r="K114">
        <f t="shared" si="9"/>
        <v>1.6455078125</v>
      </c>
      <c r="L114">
        <f t="shared" si="10"/>
        <v>1.806640625</v>
      </c>
      <c r="N114">
        <f t="shared" si="11"/>
        <v>-19.6533203125</v>
      </c>
      <c r="O114">
        <f t="shared" si="12"/>
        <v>-0.17778445512820512</v>
      </c>
      <c r="Q114">
        <f t="shared" si="13"/>
        <v>12.39026540148191</v>
      </c>
    </row>
    <row r="115" spans="3:17" x14ac:dyDescent="0.3">
      <c r="C115" t="s">
        <v>158</v>
      </c>
      <c r="D115" t="s">
        <v>147</v>
      </c>
      <c r="E115">
        <v>381</v>
      </c>
      <c r="G115" t="s">
        <v>300</v>
      </c>
      <c r="H115" t="s">
        <v>293</v>
      </c>
      <c r="I115">
        <v>367</v>
      </c>
      <c r="K115">
        <f t="shared" si="9"/>
        <v>1.8603515625</v>
      </c>
      <c r="L115">
        <f t="shared" si="10"/>
        <v>1.7919921875</v>
      </c>
      <c r="N115">
        <f t="shared" si="11"/>
        <v>-14.7119140625</v>
      </c>
      <c r="O115">
        <f t="shared" si="12"/>
        <v>-0.18154046474358976</v>
      </c>
      <c r="Q115">
        <f t="shared" si="13"/>
        <v>9.4709493481347646</v>
      </c>
    </row>
    <row r="116" spans="3:17" x14ac:dyDescent="0.3">
      <c r="C116" t="s">
        <v>160</v>
      </c>
      <c r="D116" t="s">
        <v>149</v>
      </c>
      <c r="E116">
        <v>475</v>
      </c>
      <c r="G116" t="s">
        <v>301</v>
      </c>
      <c r="H116" t="s">
        <v>295</v>
      </c>
      <c r="I116">
        <v>420</v>
      </c>
      <c r="K116">
        <f t="shared" si="9"/>
        <v>2.3193359375</v>
      </c>
      <c r="L116">
        <f t="shared" si="10"/>
        <v>2.05078125</v>
      </c>
      <c r="N116">
        <f t="shared" si="11"/>
        <v>-4.1552734375</v>
      </c>
      <c r="O116">
        <f t="shared" si="12"/>
        <v>-0.11518429487179488</v>
      </c>
      <c r="Q116">
        <f t="shared" si="13"/>
        <v>1.6972419889997756</v>
      </c>
    </row>
    <row r="117" spans="3:17" x14ac:dyDescent="0.3">
      <c r="C117" t="s">
        <v>162</v>
      </c>
      <c r="D117" t="s">
        <v>151</v>
      </c>
      <c r="E117">
        <v>583</v>
      </c>
      <c r="G117" t="s">
        <v>303</v>
      </c>
      <c r="H117">
        <v>800381</v>
      </c>
      <c r="I117">
        <v>508</v>
      </c>
      <c r="K117">
        <f t="shared" si="9"/>
        <v>2.8466796875</v>
      </c>
      <c r="L117">
        <f t="shared" si="10"/>
        <v>2.48046875</v>
      </c>
      <c r="N117">
        <f t="shared" si="11"/>
        <v>7.9736328125</v>
      </c>
      <c r="O117">
        <f t="shared" si="12"/>
        <v>-5.0080128205128209E-3</v>
      </c>
      <c r="Q117">
        <f t="shared" si="13"/>
        <v>-0.14160303315979328</v>
      </c>
    </row>
    <row r="118" spans="3:17" x14ac:dyDescent="0.3">
      <c r="C118" t="s">
        <v>164</v>
      </c>
      <c r="D118" t="s">
        <v>153</v>
      </c>
      <c r="E118">
        <v>664</v>
      </c>
      <c r="G118" t="s">
        <v>305</v>
      </c>
      <c r="H118">
        <v>800383</v>
      </c>
      <c r="I118">
        <v>597</v>
      </c>
      <c r="K118">
        <f t="shared" si="9"/>
        <v>3.2421875</v>
      </c>
      <c r="L118">
        <f t="shared" si="10"/>
        <v>2.9150390625</v>
      </c>
      <c r="N118">
        <f t="shared" si="11"/>
        <v>17.0703125</v>
      </c>
      <c r="O118">
        <f t="shared" si="12"/>
        <v>0.10642027243589744</v>
      </c>
      <c r="Q118">
        <f t="shared" si="13"/>
        <v>6.4419408043117228</v>
      </c>
    </row>
    <row r="119" spans="3:17" x14ac:dyDescent="0.3">
      <c r="C119" t="s">
        <v>166</v>
      </c>
      <c r="D119" t="s">
        <v>155</v>
      </c>
      <c r="E119">
        <v>687</v>
      </c>
      <c r="G119" t="s">
        <v>307</v>
      </c>
      <c r="H119">
        <v>800385</v>
      </c>
      <c r="I119">
        <v>654</v>
      </c>
      <c r="K119">
        <f t="shared" si="9"/>
        <v>3.3544921875</v>
      </c>
      <c r="L119">
        <f t="shared" si="10"/>
        <v>3.193359375</v>
      </c>
      <c r="N119">
        <f t="shared" si="11"/>
        <v>19.6533203125</v>
      </c>
      <c r="O119">
        <f t="shared" si="12"/>
        <v>0.17778445512820512</v>
      </c>
      <c r="Q119">
        <f t="shared" si="13"/>
        <v>12.39026540148191</v>
      </c>
    </row>
    <row r="120" spans="3:17" x14ac:dyDescent="0.3">
      <c r="C120" t="s">
        <v>167</v>
      </c>
      <c r="D120" t="s">
        <v>157</v>
      </c>
      <c r="E120">
        <v>643</v>
      </c>
      <c r="G120" t="s">
        <v>308</v>
      </c>
      <c r="H120">
        <v>800387</v>
      </c>
      <c r="I120">
        <v>657</v>
      </c>
      <c r="K120">
        <f t="shared" si="9"/>
        <v>3.1396484375</v>
      </c>
      <c r="L120">
        <f t="shared" si="10"/>
        <v>3.2080078125</v>
      </c>
      <c r="N120">
        <f t="shared" si="11"/>
        <v>14.7119140625</v>
      </c>
      <c r="O120">
        <f t="shared" si="12"/>
        <v>0.18154046474358976</v>
      </c>
      <c r="Q120">
        <f t="shared" si="13"/>
        <v>9.4709493481347646</v>
      </c>
    </row>
    <row r="121" spans="3:17" x14ac:dyDescent="0.3">
      <c r="C121" t="s">
        <v>168</v>
      </c>
      <c r="D121" t="s">
        <v>159</v>
      </c>
      <c r="E121">
        <v>549</v>
      </c>
      <c r="G121" t="s">
        <v>309</v>
      </c>
      <c r="H121">
        <v>800389</v>
      </c>
      <c r="I121">
        <v>604</v>
      </c>
      <c r="K121">
        <f t="shared" si="9"/>
        <v>2.6806640625</v>
      </c>
      <c r="L121">
        <f t="shared" si="10"/>
        <v>2.94921875</v>
      </c>
      <c r="N121">
        <f t="shared" si="11"/>
        <v>4.1552734375</v>
      </c>
      <c r="O121">
        <f t="shared" si="12"/>
        <v>0.11518429487179488</v>
      </c>
      <c r="Q121">
        <f t="shared" si="13"/>
        <v>1.6972419889997756</v>
      </c>
    </row>
    <row r="122" spans="3:17" x14ac:dyDescent="0.3">
      <c r="C122" t="s">
        <v>169</v>
      </c>
      <c r="D122" t="s">
        <v>161</v>
      </c>
      <c r="E122">
        <v>441</v>
      </c>
      <c r="G122" t="s">
        <v>310</v>
      </c>
      <c r="H122" t="s">
        <v>302</v>
      </c>
      <c r="I122">
        <v>516</v>
      </c>
      <c r="K122">
        <f t="shared" si="9"/>
        <v>2.1533203125</v>
      </c>
      <c r="L122">
        <f t="shared" si="10"/>
        <v>2.51953125</v>
      </c>
      <c r="N122">
        <f t="shared" si="11"/>
        <v>-7.9736328125</v>
      </c>
      <c r="O122">
        <f t="shared" si="12"/>
        <v>5.0080128205128209E-3</v>
      </c>
      <c r="Q122">
        <f t="shared" si="13"/>
        <v>-0.14160303315979328</v>
      </c>
    </row>
    <row r="123" spans="3:17" x14ac:dyDescent="0.3">
      <c r="C123" t="s">
        <v>170</v>
      </c>
      <c r="D123" t="s">
        <v>163</v>
      </c>
      <c r="E123">
        <v>360</v>
      </c>
      <c r="G123" t="s">
        <v>311</v>
      </c>
      <c r="H123" t="s">
        <v>304</v>
      </c>
      <c r="I123">
        <v>426</v>
      </c>
      <c r="K123">
        <f t="shared" si="9"/>
        <v>1.7578125</v>
      </c>
      <c r="L123">
        <f t="shared" si="10"/>
        <v>2.080078125</v>
      </c>
      <c r="N123">
        <f t="shared" si="11"/>
        <v>-17.0703125</v>
      </c>
      <c r="O123">
        <f t="shared" si="12"/>
        <v>-0.10767227564102565</v>
      </c>
      <c r="Q123">
        <f t="shared" si="13"/>
        <v>6.5177283431859783</v>
      </c>
    </row>
    <row r="124" spans="3:17" x14ac:dyDescent="0.3">
      <c r="C124" t="s">
        <v>171</v>
      </c>
      <c r="D124" t="s">
        <v>165</v>
      </c>
      <c r="E124">
        <v>337</v>
      </c>
      <c r="G124" t="s">
        <v>312</v>
      </c>
      <c r="H124" t="s">
        <v>306</v>
      </c>
      <c r="I124">
        <v>370</v>
      </c>
      <c r="K124">
        <f t="shared" si="9"/>
        <v>1.6455078125</v>
      </c>
      <c r="L124">
        <f t="shared" si="10"/>
        <v>1.806640625</v>
      </c>
      <c r="N124">
        <f t="shared" si="11"/>
        <v>-19.6533203125</v>
      </c>
      <c r="O124">
        <f t="shared" si="12"/>
        <v>-0.17778445512820512</v>
      </c>
      <c r="Q124">
        <f t="shared" si="13"/>
        <v>12.39026540148191</v>
      </c>
    </row>
    <row r="125" spans="3:17" x14ac:dyDescent="0.3">
      <c r="C125" t="s">
        <v>173</v>
      </c>
      <c r="D125">
        <v>800201</v>
      </c>
      <c r="E125">
        <v>381</v>
      </c>
      <c r="G125" t="s">
        <v>314</v>
      </c>
      <c r="H125">
        <v>800391</v>
      </c>
      <c r="I125">
        <v>367</v>
      </c>
      <c r="K125">
        <f t="shared" si="9"/>
        <v>1.8603515625</v>
      </c>
      <c r="L125">
        <f t="shared" si="10"/>
        <v>1.7919921875</v>
      </c>
      <c r="N125">
        <f t="shared" si="11"/>
        <v>-14.7119140625</v>
      </c>
      <c r="O125">
        <f t="shared" si="12"/>
        <v>-0.18154046474358976</v>
      </c>
      <c r="Q125">
        <f t="shared" si="13"/>
        <v>9.4709493481347646</v>
      </c>
    </row>
    <row r="126" spans="3:17" x14ac:dyDescent="0.3">
      <c r="C126" t="s">
        <v>175</v>
      </c>
      <c r="D126">
        <v>800203</v>
      </c>
      <c r="E126">
        <v>475</v>
      </c>
      <c r="G126" t="s">
        <v>316</v>
      </c>
      <c r="H126">
        <v>800393</v>
      </c>
      <c r="I126">
        <v>420</v>
      </c>
      <c r="K126">
        <f t="shared" si="9"/>
        <v>2.3193359375</v>
      </c>
      <c r="L126">
        <f t="shared" si="10"/>
        <v>2.05078125</v>
      </c>
      <c r="N126">
        <f t="shared" si="11"/>
        <v>-4.1552734375</v>
      </c>
      <c r="O126">
        <f t="shared" si="12"/>
        <v>-0.11518429487179488</v>
      </c>
      <c r="Q126">
        <f t="shared" si="13"/>
        <v>1.6972419889997756</v>
      </c>
    </row>
    <row r="127" spans="3:17" x14ac:dyDescent="0.3">
      <c r="C127" t="s">
        <v>177</v>
      </c>
      <c r="D127">
        <v>800205</v>
      </c>
      <c r="E127">
        <v>583</v>
      </c>
      <c r="G127" t="s">
        <v>318</v>
      </c>
      <c r="H127">
        <v>800395</v>
      </c>
      <c r="I127">
        <v>508</v>
      </c>
      <c r="K127">
        <f t="shared" si="9"/>
        <v>2.8466796875</v>
      </c>
      <c r="L127">
        <f t="shared" si="10"/>
        <v>2.48046875</v>
      </c>
      <c r="N127">
        <f t="shared" si="11"/>
        <v>7.9736328125</v>
      </c>
      <c r="O127">
        <f t="shared" si="12"/>
        <v>-5.0080128205128209E-3</v>
      </c>
      <c r="Q127">
        <f t="shared" si="13"/>
        <v>-0.14160303315979328</v>
      </c>
    </row>
    <row r="128" spans="3:17" x14ac:dyDescent="0.3">
      <c r="C128" t="s">
        <v>178</v>
      </c>
      <c r="D128">
        <v>800207</v>
      </c>
      <c r="E128">
        <v>664</v>
      </c>
      <c r="G128" t="s">
        <v>320</v>
      </c>
      <c r="H128">
        <v>800397</v>
      </c>
      <c r="I128">
        <v>597</v>
      </c>
      <c r="K128">
        <f t="shared" si="9"/>
        <v>3.2421875</v>
      </c>
      <c r="L128">
        <f t="shared" si="10"/>
        <v>2.9150390625</v>
      </c>
      <c r="N128">
        <f t="shared" si="11"/>
        <v>17.0703125</v>
      </c>
      <c r="O128">
        <f t="shared" si="12"/>
        <v>0.10642027243589744</v>
      </c>
      <c r="Q128">
        <f t="shared" si="13"/>
        <v>6.4419408043117228</v>
      </c>
    </row>
    <row r="129" spans="3:17" x14ac:dyDescent="0.3">
      <c r="C129" t="s">
        <v>179</v>
      </c>
      <c r="D129">
        <v>800209</v>
      </c>
      <c r="E129">
        <v>687</v>
      </c>
      <c r="G129" t="s">
        <v>322</v>
      </c>
      <c r="H129">
        <v>800399</v>
      </c>
      <c r="I129">
        <v>654</v>
      </c>
      <c r="K129">
        <f t="shared" si="9"/>
        <v>3.3544921875</v>
      </c>
      <c r="L129">
        <f t="shared" si="10"/>
        <v>3.193359375</v>
      </c>
      <c r="N129">
        <f t="shared" si="11"/>
        <v>19.6533203125</v>
      </c>
      <c r="O129">
        <f t="shared" si="12"/>
        <v>0.17778445512820512</v>
      </c>
      <c r="Q129">
        <f t="shared" si="13"/>
        <v>12.39026540148191</v>
      </c>
    </row>
    <row r="130" spans="3:17" x14ac:dyDescent="0.3">
      <c r="C130" t="s">
        <v>180</v>
      </c>
      <c r="D130" t="s">
        <v>172</v>
      </c>
      <c r="E130">
        <v>643</v>
      </c>
      <c r="G130" t="s">
        <v>324</v>
      </c>
      <c r="H130" t="s">
        <v>313</v>
      </c>
      <c r="I130">
        <v>657</v>
      </c>
      <c r="K130">
        <f t="shared" si="9"/>
        <v>3.1396484375</v>
      </c>
      <c r="L130">
        <f t="shared" si="10"/>
        <v>3.2080078125</v>
      </c>
      <c r="N130">
        <f t="shared" si="11"/>
        <v>14.7119140625</v>
      </c>
      <c r="O130">
        <f t="shared" si="12"/>
        <v>0.18154046474358976</v>
      </c>
      <c r="Q130">
        <f t="shared" si="13"/>
        <v>9.4709493481347646</v>
      </c>
    </row>
    <row r="131" spans="3:17" x14ac:dyDescent="0.3">
      <c r="C131" t="s">
        <v>181</v>
      </c>
      <c r="D131" t="s">
        <v>174</v>
      </c>
      <c r="E131">
        <v>549</v>
      </c>
      <c r="G131" t="s">
        <v>326</v>
      </c>
      <c r="H131" t="s">
        <v>315</v>
      </c>
      <c r="I131">
        <v>604</v>
      </c>
      <c r="K131">
        <f t="shared" si="9"/>
        <v>2.6806640625</v>
      </c>
      <c r="L131">
        <f t="shared" si="10"/>
        <v>2.94921875</v>
      </c>
      <c r="N131">
        <f t="shared" si="11"/>
        <v>4.1552734375</v>
      </c>
      <c r="O131">
        <f t="shared" si="12"/>
        <v>0.11518429487179488</v>
      </c>
      <c r="Q131">
        <f t="shared" si="13"/>
        <v>1.6972419889997756</v>
      </c>
    </row>
    <row r="132" spans="3:17" x14ac:dyDescent="0.3">
      <c r="C132" t="s">
        <v>182</v>
      </c>
      <c r="D132" t="s">
        <v>176</v>
      </c>
      <c r="E132">
        <v>441</v>
      </c>
      <c r="G132" t="s">
        <v>328</v>
      </c>
      <c r="H132" t="s">
        <v>317</v>
      </c>
      <c r="I132">
        <v>516</v>
      </c>
      <c r="K132">
        <f t="shared" si="9"/>
        <v>2.1533203125</v>
      </c>
      <c r="L132">
        <f t="shared" si="10"/>
        <v>2.51953125</v>
      </c>
      <c r="N132">
        <f t="shared" si="11"/>
        <v>-7.9736328125</v>
      </c>
      <c r="O132">
        <f t="shared" si="12"/>
        <v>5.0080128205128209E-3</v>
      </c>
      <c r="Q132">
        <f t="shared" si="13"/>
        <v>-0.14160303315979328</v>
      </c>
    </row>
    <row r="133" spans="3:17" x14ac:dyDescent="0.3">
      <c r="C133" t="s">
        <v>183</v>
      </c>
      <c r="D133">
        <v>800211</v>
      </c>
      <c r="E133">
        <v>360</v>
      </c>
      <c r="G133" t="s">
        <v>329</v>
      </c>
      <c r="H133" t="s">
        <v>319</v>
      </c>
      <c r="I133">
        <v>426</v>
      </c>
      <c r="K133">
        <f t="shared" si="9"/>
        <v>1.7578125</v>
      </c>
      <c r="L133">
        <f t="shared" si="10"/>
        <v>2.080078125</v>
      </c>
      <c r="N133">
        <f t="shared" si="11"/>
        <v>-17.0703125</v>
      </c>
      <c r="O133">
        <f t="shared" si="12"/>
        <v>-0.10767227564102565</v>
      </c>
      <c r="Q133">
        <f t="shared" si="13"/>
        <v>6.5177283431859783</v>
      </c>
    </row>
    <row r="134" spans="3:17" x14ac:dyDescent="0.3">
      <c r="C134" t="s">
        <v>184</v>
      </c>
      <c r="D134">
        <v>800213</v>
      </c>
      <c r="E134">
        <v>337</v>
      </c>
      <c r="G134" t="s">
        <v>330</v>
      </c>
      <c r="H134" t="s">
        <v>321</v>
      </c>
      <c r="I134">
        <v>370</v>
      </c>
      <c r="K134">
        <f t="shared" si="9"/>
        <v>1.6455078125</v>
      </c>
      <c r="L134">
        <f t="shared" si="10"/>
        <v>1.806640625</v>
      </c>
      <c r="N134">
        <f t="shared" si="11"/>
        <v>-19.6533203125</v>
      </c>
      <c r="O134">
        <f t="shared" si="12"/>
        <v>-0.17778445512820512</v>
      </c>
      <c r="Q134">
        <f t="shared" si="13"/>
        <v>12.39026540148191</v>
      </c>
    </row>
    <row r="135" spans="3:17" x14ac:dyDescent="0.3">
      <c r="C135" t="s">
        <v>185</v>
      </c>
      <c r="D135">
        <v>800215</v>
      </c>
      <c r="E135">
        <v>381</v>
      </c>
      <c r="G135" t="s">
        <v>331</v>
      </c>
      <c r="H135" t="s">
        <v>323</v>
      </c>
      <c r="I135">
        <v>367</v>
      </c>
      <c r="K135">
        <f t="shared" si="9"/>
        <v>1.8603515625</v>
      </c>
      <c r="L135">
        <f t="shared" si="10"/>
        <v>1.7919921875</v>
      </c>
      <c r="N135">
        <f t="shared" si="11"/>
        <v>-14.7119140625</v>
      </c>
      <c r="O135">
        <f t="shared" si="12"/>
        <v>-0.18154046474358976</v>
      </c>
      <c r="Q135">
        <f t="shared" si="13"/>
        <v>9.4709493481347646</v>
      </c>
    </row>
    <row r="136" spans="3:17" x14ac:dyDescent="0.3">
      <c r="C136" t="s">
        <v>186</v>
      </c>
      <c r="D136">
        <v>800217</v>
      </c>
      <c r="E136">
        <v>475</v>
      </c>
      <c r="G136" t="s">
        <v>332</v>
      </c>
      <c r="H136" t="s">
        <v>325</v>
      </c>
      <c r="I136">
        <v>420</v>
      </c>
      <c r="K136">
        <f t="shared" si="9"/>
        <v>2.3193359375</v>
      </c>
      <c r="L136">
        <f t="shared" si="10"/>
        <v>2.05078125</v>
      </c>
      <c r="N136">
        <f t="shared" si="11"/>
        <v>-4.1552734375</v>
      </c>
      <c r="O136">
        <f t="shared" si="12"/>
        <v>-0.11518429487179488</v>
      </c>
      <c r="Q136">
        <f t="shared" si="13"/>
        <v>1.6972419889997756</v>
      </c>
    </row>
    <row r="137" spans="3:17" x14ac:dyDescent="0.3">
      <c r="C137" t="s">
        <v>187</v>
      </c>
      <c r="D137">
        <v>800219</v>
      </c>
      <c r="E137">
        <v>583</v>
      </c>
      <c r="G137" t="s">
        <v>333</v>
      </c>
      <c r="H137" t="s">
        <v>327</v>
      </c>
      <c r="I137">
        <v>508</v>
      </c>
      <c r="K137">
        <f t="shared" si="9"/>
        <v>2.8466796875</v>
      </c>
      <c r="L137">
        <f t="shared" si="10"/>
        <v>2.48046875</v>
      </c>
      <c r="N137">
        <f t="shared" si="11"/>
        <v>7.9736328125</v>
      </c>
      <c r="O137">
        <f t="shared" si="12"/>
        <v>-5.0080128205128209E-3</v>
      </c>
      <c r="Q137">
        <f t="shared" si="13"/>
        <v>-0.14160303315979328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2024-09-28T19:35:29Z</dcterms:created>
  <dcterms:modified xsi:type="dcterms:W3CDTF">2024-10-14T10:08:23Z</dcterms:modified>
</cp:coreProperties>
</file>