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8.xml" ContentType="application/vnd.openxmlformats-officedocument.spreadsheetml.table+xml"/>
  <Override PartName="/xl/queryTables/queryTable1.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judieu/Desktop/"/>
    </mc:Choice>
  </mc:AlternateContent>
  <xr:revisionPtr revIDLastSave="0" documentId="13_ncr:1_{4F9ABA07-3EA3-DC43-94C2-E6ECEF1A0519}" xr6:coauthVersionLast="47" xr6:coauthVersionMax="47" xr10:uidLastSave="{00000000-0000-0000-0000-000000000000}"/>
  <bookViews>
    <workbookView xWindow="0" yWindow="760" windowWidth="30240" windowHeight="18880" activeTab="6" xr2:uid="{00000000-000D-0000-FFFF-FFFF00000000}"/>
  </bookViews>
  <sheets>
    <sheet name="Sheet1" sheetId="21" r:id="rId1"/>
    <sheet name="BUDGET" sheetId="1" r:id="rId2"/>
    <sheet name="Grocery List" sheetId="25" r:id="rId3"/>
    <sheet name="Recaliberation" sheetId="23" r:id="rId4"/>
    <sheet name="ACTUAL" sheetId="19" r:id="rId5"/>
    <sheet name="REPORT " sheetId="20" r:id="rId6"/>
    <sheet name="ACTUAL EXPENSES (2)" sheetId="28" r:id="rId7"/>
    <sheet name="ACTUAL EXPENSES" sheetId="3" r:id="rId8"/>
    <sheet name="ACTUAL INCOME" sheetId="10" r:id="rId9"/>
    <sheet name="Planned Expenses" sheetId="22" r:id="rId10"/>
    <sheet name="Sheet2" sheetId="26" r:id="rId11"/>
    <sheet name="Sheet3" sheetId="27" r:id="rId12"/>
  </sheets>
  <definedNames>
    <definedName name="_xlnm._FilterDatabase" localSheetId="3" hidden="1">Recaliberation!$D$22:$E$22</definedName>
    <definedName name="Category1">'Grocery List'!$D$2</definedName>
    <definedName name="Category1Total">'Grocery List'!$D$3</definedName>
    <definedName name="Category2">'Grocery List'!$E$2</definedName>
    <definedName name="Category2Total">'Grocery List'!$E$3</definedName>
    <definedName name="Category3">'Grocery List'!$F$2</definedName>
    <definedName name="Category3Total">'Grocery List'!$F$3</definedName>
    <definedName name="Category4">'Grocery List'!$G$2</definedName>
    <definedName name="Category4Total">'Grocery List'!$G$3</definedName>
    <definedName name="Category5">'Grocery List'!$H$2</definedName>
    <definedName name="Category5Total">'Grocery List'!$H$3</definedName>
    <definedName name="CategoryLookup">'Grocery List'!$D$2:$H$2</definedName>
    <definedName name="ColumnTitle1">GroceryList[[#Headers],[DONE?]]</definedName>
    <definedName name="ColumnTitleRegion1..J3.1">'Grocery List'!$D$2</definedName>
    <definedName name="ExternalData_1" localSheetId="6" hidden="1">'ACTUAL EXPENSES (2)'!$A$1:$D$1685</definedName>
    <definedName name="GrandTotal">SUM(GroceryList[TOTAL])</definedName>
    <definedName name="_xlnm.Print_Titles" localSheetId="2">'Grocery List'!$5:$5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8" l="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158" i="28"/>
  <c r="E159" i="28"/>
  <c r="E160" i="28"/>
  <c r="E161" i="28"/>
  <c r="E162" i="28"/>
  <c r="E163" i="28"/>
  <c r="E164" i="28"/>
  <c r="E165" i="28"/>
  <c r="E166" i="28"/>
  <c r="E167" i="28"/>
  <c r="E168" i="28"/>
  <c r="E169" i="28"/>
  <c r="E170" i="28"/>
  <c r="E171" i="28"/>
  <c r="E172" i="28"/>
  <c r="E173" i="28"/>
  <c r="E174" i="28"/>
  <c r="E175" i="28"/>
  <c r="E176" i="28"/>
  <c r="E177" i="28"/>
  <c r="E178" i="28"/>
  <c r="E179" i="28"/>
  <c r="E180" i="28"/>
  <c r="E181" i="28"/>
  <c r="E182" i="28"/>
  <c r="E183" i="28"/>
  <c r="E184" i="28"/>
  <c r="E185" i="28"/>
  <c r="E186" i="28"/>
  <c r="E187" i="28"/>
  <c r="E188" i="28"/>
  <c r="E189" i="28"/>
  <c r="E190" i="28"/>
  <c r="E191" i="28"/>
  <c r="E192" i="28"/>
  <c r="E193" i="28"/>
  <c r="E194" i="28"/>
  <c r="E195" i="28"/>
  <c r="E196" i="28"/>
  <c r="E197" i="28"/>
  <c r="E198" i="28"/>
  <c r="E199" i="28"/>
  <c r="E200" i="28"/>
  <c r="E201" i="28"/>
  <c r="E202" i="28"/>
  <c r="E203" i="28"/>
  <c r="E204" i="28"/>
  <c r="E205" i="28"/>
  <c r="E206" i="28"/>
  <c r="E207" i="28"/>
  <c r="E208" i="28"/>
  <c r="E209" i="28"/>
  <c r="E210" i="28"/>
  <c r="E211" i="28"/>
  <c r="E212" i="28"/>
  <c r="E213" i="28"/>
  <c r="E214" i="28"/>
  <c r="E215" i="28"/>
  <c r="E216" i="28"/>
  <c r="E217" i="28"/>
  <c r="E218" i="28"/>
  <c r="E219" i="28"/>
  <c r="E220" i="28"/>
  <c r="E221" i="28"/>
  <c r="E222" i="28"/>
  <c r="E223" i="28"/>
  <c r="E224" i="28"/>
  <c r="E225" i="28"/>
  <c r="E226" i="28"/>
  <c r="E227" i="28"/>
  <c r="E228" i="28"/>
  <c r="E229" i="28"/>
  <c r="E230" i="28"/>
  <c r="E231" i="28"/>
  <c r="E232" i="28"/>
  <c r="E233" i="28"/>
  <c r="E234" i="28"/>
  <c r="E235" i="28"/>
  <c r="E236" i="28"/>
  <c r="E237" i="28"/>
  <c r="E238" i="28"/>
  <c r="E239" i="28"/>
  <c r="E240" i="28"/>
  <c r="E241" i="28"/>
  <c r="E242" i="28"/>
  <c r="E243" i="28"/>
  <c r="E244" i="28"/>
  <c r="E245" i="28"/>
  <c r="E246" i="28"/>
  <c r="E247" i="28"/>
  <c r="E248" i="28"/>
  <c r="E249" i="28"/>
  <c r="E250" i="28"/>
  <c r="E251" i="28"/>
  <c r="E252" i="28"/>
  <c r="E253" i="28"/>
  <c r="E254" i="28"/>
  <c r="E255" i="28"/>
  <c r="E256" i="28"/>
  <c r="E257" i="28"/>
  <c r="E258" i="28"/>
  <c r="E259" i="28"/>
  <c r="E260" i="28"/>
  <c r="E261" i="28"/>
  <c r="E262" i="28"/>
  <c r="E263" i="28"/>
  <c r="E264" i="28"/>
  <c r="E265" i="28"/>
  <c r="E266" i="28"/>
  <c r="E267" i="28"/>
  <c r="E268" i="28"/>
  <c r="E269" i="28"/>
  <c r="E270" i="28"/>
  <c r="E271" i="28"/>
  <c r="E272" i="28"/>
  <c r="E273" i="28"/>
  <c r="E274" i="28"/>
  <c r="E275" i="28"/>
  <c r="E276" i="28"/>
  <c r="E277" i="28"/>
  <c r="E278" i="28"/>
  <c r="E279" i="28"/>
  <c r="E280" i="28"/>
  <c r="E281" i="28"/>
  <c r="E282" i="28"/>
  <c r="E283" i="28"/>
  <c r="E284" i="28"/>
  <c r="E285" i="28"/>
  <c r="E286" i="28"/>
  <c r="E287" i="28"/>
  <c r="E288" i="28"/>
  <c r="E289" i="28"/>
  <c r="E290" i="28"/>
  <c r="E291" i="28"/>
  <c r="E292" i="28"/>
  <c r="E293" i="28"/>
  <c r="E294" i="28"/>
  <c r="E295" i="28"/>
  <c r="E296" i="28"/>
  <c r="E297" i="28"/>
  <c r="E298" i="28"/>
  <c r="E299" i="28"/>
  <c r="E300" i="28"/>
  <c r="E301" i="28"/>
  <c r="E302" i="28"/>
  <c r="E303" i="28"/>
  <c r="E304" i="28"/>
  <c r="E305" i="28"/>
  <c r="E306" i="28"/>
  <c r="E307" i="28"/>
  <c r="E308" i="28"/>
  <c r="E309" i="28"/>
  <c r="E310" i="28"/>
  <c r="E311" i="28"/>
  <c r="E312" i="28"/>
  <c r="E313" i="28"/>
  <c r="E314" i="28"/>
  <c r="E315" i="28"/>
  <c r="E316" i="28"/>
  <c r="E317" i="28"/>
  <c r="E318" i="28"/>
  <c r="E319" i="28"/>
  <c r="E320" i="28"/>
  <c r="E321" i="28"/>
  <c r="E322" i="28"/>
  <c r="E323" i="28"/>
  <c r="E324" i="28"/>
  <c r="E325" i="28"/>
  <c r="E326" i="28"/>
  <c r="E327" i="28"/>
  <c r="E328" i="28"/>
  <c r="E329" i="28"/>
  <c r="E330" i="28"/>
  <c r="E331" i="28"/>
  <c r="E332" i="28"/>
  <c r="E333" i="28"/>
  <c r="E334" i="28"/>
  <c r="E335" i="28"/>
  <c r="E336" i="28"/>
  <c r="E337" i="28"/>
  <c r="E338" i="28"/>
  <c r="E339" i="28"/>
  <c r="E340" i="28"/>
  <c r="E341" i="28"/>
  <c r="E342" i="28"/>
  <c r="E343" i="28"/>
  <c r="E344" i="28"/>
  <c r="E345" i="28"/>
  <c r="E346" i="28"/>
  <c r="E347" i="28"/>
  <c r="E348" i="28"/>
  <c r="E349" i="28"/>
  <c r="E350" i="28"/>
  <c r="E351" i="28"/>
  <c r="E352" i="28"/>
  <c r="E353" i="28"/>
  <c r="E354" i="28"/>
  <c r="E355" i="28"/>
  <c r="E356" i="28"/>
  <c r="E357" i="28"/>
  <c r="E358" i="28"/>
  <c r="E359" i="28"/>
  <c r="E360" i="28"/>
  <c r="E361" i="28"/>
  <c r="E362" i="28"/>
  <c r="E363" i="28"/>
  <c r="E364" i="28"/>
  <c r="E365" i="28"/>
  <c r="E366" i="28"/>
  <c r="E367" i="28"/>
  <c r="E368" i="28"/>
  <c r="E369" i="28"/>
  <c r="E370" i="28"/>
  <c r="E371" i="28"/>
  <c r="E372" i="28"/>
  <c r="E373" i="28"/>
  <c r="E374" i="28"/>
  <c r="E375" i="28"/>
  <c r="E376" i="28"/>
  <c r="E377" i="28"/>
  <c r="E378" i="28"/>
  <c r="E379" i="28"/>
  <c r="E380" i="28"/>
  <c r="E381" i="28"/>
  <c r="E382" i="28"/>
  <c r="E383" i="28"/>
  <c r="E384" i="28"/>
  <c r="E385" i="28"/>
  <c r="E386" i="28"/>
  <c r="E387" i="28"/>
  <c r="E388" i="28"/>
  <c r="E389" i="28"/>
  <c r="E390" i="28"/>
  <c r="E391" i="28"/>
  <c r="E392" i="28"/>
  <c r="E393" i="28"/>
  <c r="E394" i="28"/>
  <c r="E395" i="28"/>
  <c r="E396" i="28"/>
  <c r="E397" i="28"/>
  <c r="E398" i="28"/>
  <c r="E399" i="28"/>
  <c r="E400" i="28"/>
  <c r="E401" i="28"/>
  <c r="E402" i="28"/>
  <c r="E403" i="28"/>
  <c r="E404" i="28"/>
  <c r="E405" i="28"/>
  <c r="E406" i="28"/>
  <c r="E407" i="28"/>
  <c r="E408" i="28"/>
  <c r="E409" i="28"/>
  <c r="E410" i="28"/>
  <c r="E411" i="28"/>
  <c r="E412" i="28"/>
  <c r="E413" i="28"/>
  <c r="E414" i="28"/>
  <c r="E415" i="28"/>
  <c r="E416" i="28"/>
  <c r="E417" i="28"/>
  <c r="E418" i="28"/>
  <c r="E419" i="28"/>
  <c r="E420" i="28"/>
  <c r="E421" i="28"/>
  <c r="E422" i="28"/>
  <c r="E423" i="28"/>
  <c r="E424" i="28"/>
  <c r="E425" i="28"/>
  <c r="E426" i="28"/>
  <c r="E427" i="28"/>
  <c r="E428" i="28"/>
  <c r="E429" i="28"/>
  <c r="E430" i="28"/>
  <c r="E431" i="28"/>
  <c r="E432" i="28"/>
  <c r="E433" i="28"/>
  <c r="E434" i="28"/>
  <c r="E435" i="28"/>
  <c r="E436" i="28"/>
  <c r="E437" i="28"/>
  <c r="E438" i="28"/>
  <c r="E439" i="28"/>
  <c r="E440" i="28"/>
  <c r="E441" i="28"/>
  <c r="E442" i="28"/>
  <c r="E443" i="28"/>
  <c r="E444" i="28"/>
  <c r="E445" i="28"/>
  <c r="E446" i="28"/>
  <c r="E447" i="28"/>
  <c r="E448" i="28"/>
  <c r="E449" i="28"/>
  <c r="E450" i="28"/>
  <c r="E451" i="28"/>
  <c r="E452" i="28"/>
  <c r="E453" i="28"/>
  <c r="E454" i="28"/>
  <c r="E455" i="28"/>
  <c r="E456" i="28"/>
  <c r="E457" i="28"/>
  <c r="E458" i="28"/>
  <c r="E459" i="28"/>
  <c r="E460" i="28"/>
  <c r="E461" i="28"/>
  <c r="E462" i="28"/>
  <c r="E463" i="28"/>
  <c r="E464" i="28"/>
  <c r="E465" i="28"/>
  <c r="E466" i="28"/>
  <c r="E467" i="28"/>
  <c r="E468" i="28"/>
  <c r="E469" i="28"/>
  <c r="E470" i="28"/>
  <c r="E471" i="28"/>
  <c r="E472" i="28"/>
  <c r="E473" i="28"/>
  <c r="E474" i="28"/>
  <c r="E475" i="28"/>
  <c r="E476" i="28"/>
  <c r="E477" i="28"/>
  <c r="E478" i="28"/>
  <c r="E479" i="28"/>
  <c r="E480" i="28"/>
  <c r="E481" i="28"/>
  <c r="E482" i="28"/>
  <c r="E483" i="28"/>
  <c r="E484" i="28"/>
  <c r="E485" i="28"/>
  <c r="E486" i="28"/>
  <c r="E487" i="28"/>
  <c r="E488" i="28"/>
  <c r="E489" i="28"/>
  <c r="E490" i="28"/>
  <c r="E491" i="28"/>
  <c r="E492" i="28"/>
  <c r="E493" i="28"/>
  <c r="E494" i="28"/>
  <c r="E495" i="28"/>
  <c r="E496" i="28"/>
  <c r="E497" i="28"/>
  <c r="E498" i="28"/>
  <c r="E499" i="28"/>
  <c r="E500" i="28"/>
  <c r="E501" i="28"/>
  <c r="E502" i="28"/>
  <c r="E503" i="28"/>
  <c r="E504" i="28"/>
  <c r="E505" i="28"/>
  <c r="E506" i="28"/>
  <c r="E507" i="28"/>
  <c r="E508" i="28"/>
  <c r="E509" i="28"/>
  <c r="E510" i="28"/>
  <c r="E511" i="28"/>
  <c r="E512" i="28"/>
  <c r="E513" i="28"/>
  <c r="E514" i="28"/>
  <c r="E515" i="28"/>
  <c r="E516" i="28"/>
  <c r="E517" i="28"/>
  <c r="E518" i="28"/>
  <c r="E519" i="28"/>
  <c r="E520" i="28"/>
  <c r="E521" i="28"/>
  <c r="E522" i="28"/>
  <c r="E523" i="28"/>
  <c r="E524" i="28"/>
  <c r="E525" i="28"/>
  <c r="E526" i="28"/>
  <c r="E527" i="28"/>
  <c r="E528" i="28"/>
  <c r="E529" i="28"/>
  <c r="E530" i="28"/>
  <c r="E531" i="28"/>
  <c r="E532" i="28"/>
  <c r="E533" i="28"/>
  <c r="E534" i="28"/>
  <c r="E535" i="28"/>
  <c r="E536" i="28"/>
  <c r="E537" i="28"/>
  <c r="E538" i="28"/>
  <c r="E539" i="28"/>
  <c r="E540" i="28"/>
  <c r="E541" i="28"/>
  <c r="E542" i="28"/>
  <c r="E543" i="28"/>
  <c r="E544" i="28"/>
  <c r="E545" i="28"/>
  <c r="E546" i="28"/>
  <c r="E547" i="28"/>
  <c r="E548" i="28"/>
  <c r="E549" i="28"/>
  <c r="E550" i="28"/>
  <c r="E551" i="28"/>
  <c r="E552" i="28"/>
  <c r="E553" i="28"/>
  <c r="E554" i="28"/>
  <c r="E555" i="28"/>
  <c r="E556" i="28"/>
  <c r="E557" i="28"/>
  <c r="E558" i="28"/>
  <c r="E559" i="28"/>
  <c r="E560" i="28"/>
  <c r="E561" i="28"/>
  <c r="E562" i="28"/>
  <c r="E563" i="28"/>
  <c r="E564" i="28"/>
  <c r="E565" i="28"/>
  <c r="E566" i="28"/>
  <c r="E567" i="28"/>
  <c r="E568" i="28"/>
  <c r="E569" i="28"/>
  <c r="E570" i="28"/>
  <c r="E571" i="28"/>
  <c r="E572" i="28"/>
  <c r="E573" i="28"/>
  <c r="E574" i="28"/>
  <c r="E575" i="28"/>
  <c r="E576" i="28"/>
  <c r="E577" i="28"/>
  <c r="E578" i="28"/>
  <c r="E579" i="28"/>
  <c r="E580" i="28"/>
  <c r="E581" i="28"/>
  <c r="E582" i="28"/>
  <c r="E583" i="28"/>
  <c r="E584" i="28"/>
  <c r="E585" i="28"/>
  <c r="E586" i="28"/>
  <c r="E587" i="28"/>
  <c r="E588" i="28"/>
  <c r="E589" i="28"/>
  <c r="E590" i="28"/>
  <c r="E591" i="28"/>
  <c r="E592" i="28"/>
  <c r="E593" i="28"/>
  <c r="E594" i="28"/>
  <c r="E595" i="28"/>
  <c r="E596" i="28"/>
  <c r="E597" i="28"/>
  <c r="E598" i="28"/>
  <c r="E599" i="28"/>
  <c r="E600" i="28"/>
  <c r="E601" i="28"/>
  <c r="E602" i="28"/>
  <c r="E603" i="28"/>
  <c r="E604" i="28"/>
  <c r="E605" i="28"/>
  <c r="E606" i="28"/>
  <c r="E607" i="28"/>
  <c r="E608" i="28"/>
  <c r="E609" i="28"/>
  <c r="E610" i="28"/>
  <c r="E611" i="28"/>
  <c r="E612" i="28"/>
  <c r="E613" i="28"/>
  <c r="E614" i="28"/>
  <c r="E615" i="28"/>
  <c r="E616" i="28"/>
  <c r="E617" i="28"/>
  <c r="E618" i="28"/>
  <c r="E619" i="28"/>
  <c r="E620" i="28"/>
  <c r="E621" i="28"/>
  <c r="E622" i="28"/>
  <c r="E623" i="28"/>
  <c r="E624" i="28"/>
  <c r="E625" i="28"/>
  <c r="E626" i="28"/>
  <c r="E627" i="28"/>
  <c r="E628" i="28"/>
  <c r="E629" i="28"/>
  <c r="E630" i="28"/>
  <c r="E631" i="28"/>
  <c r="E632" i="28"/>
  <c r="E633" i="28"/>
  <c r="E634" i="28"/>
  <c r="E635" i="28"/>
  <c r="E636" i="28"/>
  <c r="E637" i="28"/>
  <c r="E638" i="28"/>
  <c r="E639" i="28"/>
  <c r="E640" i="28"/>
  <c r="E641" i="28"/>
  <c r="E642" i="28"/>
  <c r="E643" i="28"/>
  <c r="E644" i="28"/>
  <c r="E645" i="28"/>
  <c r="E646" i="28"/>
  <c r="E647" i="28"/>
  <c r="E648" i="28"/>
  <c r="E649" i="28"/>
  <c r="E650" i="28"/>
  <c r="E651" i="28"/>
  <c r="E652" i="28"/>
  <c r="E653" i="28"/>
  <c r="E654" i="28"/>
  <c r="E655" i="28"/>
  <c r="E656" i="28"/>
  <c r="E657" i="28"/>
  <c r="E658" i="28"/>
  <c r="E659" i="28"/>
  <c r="E660" i="28"/>
  <c r="E661" i="28"/>
  <c r="E662" i="28"/>
  <c r="E663" i="28"/>
  <c r="E664" i="28"/>
  <c r="E665" i="28"/>
  <c r="E666" i="28"/>
  <c r="E667" i="28"/>
  <c r="E668" i="28"/>
  <c r="E669" i="28"/>
  <c r="E670" i="28"/>
  <c r="E671" i="28"/>
  <c r="E672" i="28"/>
  <c r="E673" i="28"/>
  <c r="E674" i="28"/>
  <c r="E675" i="28"/>
  <c r="E676" i="28"/>
  <c r="E677" i="28"/>
  <c r="E678" i="28"/>
  <c r="E679" i="28"/>
  <c r="E680" i="28"/>
  <c r="E681" i="28"/>
  <c r="E682" i="28"/>
  <c r="E683" i="28"/>
  <c r="E684" i="28"/>
  <c r="E685" i="28"/>
  <c r="E686" i="28"/>
  <c r="E687" i="28"/>
  <c r="E688" i="28"/>
  <c r="E689" i="28"/>
  <c r="E690" i="28"/>
  <c r="E691" i="28"/>
  <c r="E692" i="28"/>
  <c r="E693" i="28"/>
  <c r="E694" i="28"/>
  <c r="E695" i="28"/>
  <c r="E696" i="28"/>
  <c r="E697" i="28"/>
  <c r="E698" i="28"/>
  <c r="E699" i="28"/>
  <c r="E700" i="28"/>
  <c r="E701" i="28"/>
  <c r="E702" i="28"/>
  <c r="E703" i="28"/>
  <c r="E704" i="28"/>
  <c r="E705" i="28"/>
  <c r="E706" i="28"/>
  <c r="E707" i="28"/>
  <c r="E708" i="28"/>
  <c r="E709" i="28"/>
  <c r="E710" i="28"/>
  <c r="E711" i="28"/>
  <c r="E712" i="28"/>
  <c r="E713" i="28"/>
  <c r="E714" i="28"/>
  <c r="E715" i="28"/>
  <c r="E716" i="28"/>
  <c r="E717" i="28"/>
  <c r="E718" i="28"/>
  <c r="E719" i="28"/>
  <c r="E720" i="28"/>
  <c r="E721" i="28"/>
  <c r="E722" i="28"/>
  <c r="E723" i="28"/>
  <c r="E724" i="28"/>
  <c r="E725" i="28"/>
  <c r="E726" i="28"/>
  <c r="E727" i="28"/>
  <c r="E728" i="28"/>
  <c r="E729" i="28"/>
  <c r="E730" i="28"/>
  <c r="E731" i="28"/>
  <c r="E732" i="28"/>
  <c r="E733" i="28"/>
  <c r="E734" i="28"/>
  <c r="E735" i="28"/>
  <c r="E736" i="28"/>
  <c r="E737" i="28"/>
  <c r="E738" i="28"/>
  <c r="E739" i="28"/>
  <c r="E740" i="28"/>
  <c r="E741" i="28"/>
  <c r="E742" i="28"/>
  <c r="E743" i="28"/>
  <c r="E744" i="28"/>
  <c r="E745" i="28"/>
  <c r="E746" i="28"/>
  <c r="E747" i="28"/>
  <c r="E748" i="28"/>
  <c r="E749" i="28"/>
  <c r="E750" i="28"/>
  <c r="E751" i="28"/>
  <c r="E752" i="28"/>
  <c r="E753" i="28"/>
  <c r="E754" i="28"/>
  <c r="E755" i="28"/>
  <c r="E756" i="28"/>
  <c r="E757" i="28"/>
  <c r="E758" i="28"/>
  <c r="E759" i="28"/>
  <c r="E760" i="28"/>
  <c r="E761" i="28"/>
  <c r="E762" i="28"/>
  <c r="E763" i="28"/>
  <c r="E764" i="28"/>
  <c r="E765" i="28"/>
  <c r="E766" i="28"/>
  <c r="E767" i="28"/>
  <c r="E768" i="28"/>
  <c r="E769" i="28"/>
  <c r="E770" i="28"/>
  <c r="E771" i="28"/>
  <c r="E772" i="28"/>
  <c r="E773" i="28"/>
  <c r="E774" i="28"/>
  <c r="E775" i="28"/>
  <c r="E776" i="28"/>
  <c r="E777" i="28"/>
  <c r="E778" i="28"/>
  <c r="E779" i="28"/>
  <c r="E780" i="28"/>
  <c r="E781" i="28"/>
  <c r="E782" i="28"/>
  <c r="E783" i="28"/>
  <c r="E784" i="28"/>
  <c r="E785" i="28"/>
  <c r="E786" i="28"/>
  <c r="E787" i="28"/>
  <c r="E788" i="28"/>
  <c r="E789" i="28"/>
  <c r="E790" i="28"/>
  <c r="E791" i="28"/>
  <c r="E792" i="28"/>
  <c r="E793" i="28"/>
  <c r="E794" i="28"/>
  <c r="E795" i="28"/>
  <c r="E796" i="28"/>
  <c r="E797" i="28"/>
  <c r="E798" i="28"/>
  <c r="E799" i="28"/>
  <c r="E800" i="28"/>
  <c r="E801" i="28"/>
  <c r="E802" i="28"/>
  <c r="E803" i="28"/>
  <c r="E804" i="28"/>
  <c r="E805" i="28"/>
  <c r="E806" i="28"/>
  <c r="E807" i="28"/>
  <c r="E808" i="28"/>
  <c r="E809" i="28"/>
  <c r="E810" i="28"/>
  <c r="E811" i="28"/>
  <c r="E812" i="28"/>
  <c r="E813" i="28"/>
  <c r="E814" i="28"/>
  <c r="E815" i="28"/>
  <c r="E816" i="28"/>
  <c r="E817" i="28"/>
  <c r="E818" i="28"/>
  <c r="E819" i="28"/>
  <c r="E820" i="28"/>
  <c r="E821" i="28"/>
  <c r="E822" i="28"/>
  <c r="E823" i="28"/>
  <c r="E824" i="28"/>
  <c r="E825" i="28"/>
  <c r="E826" i="28"/>
  <c r="E827" i="28"/>
  <c r="E828" i="28"/>
  <c r="E829" i="28"/>
  <c r="E830" i="28"/>
  <c r="E831" i="28"/>
  <c r="E832" i="28"/>
  <c r="E833" i="28"/>
  <c r="E834" i="28"/>
  <c r="E835" i="28"/>
  <c r="E836" i="28"/>
  <c r="E837" i="28"/>
  <c r="E838" i="28"/>
  <c r="E839" i="28"/>
  <c r="E840" i="28"/>
  <c r="E841" i="28"/>
  <c r="E842" i="28"/>
  <c r="E843" i="28"/>
  <c r="E844" i="28"/>
  <c r="E845" i="28"/>
  <c r="E846" i="28"/>
  <c r="E847" i="28"/>
  <c r="E848" i="28"/>
  <c r="E849" i="28"/>
  <c r="E850" i="28"/>
  <c r="E851" i="28"/>
  <c r="E852" i="28"/>
  <c r="E853" i="28"/>
  <c r="E854" i="28"/>
  <c r="E855" i="28"/>
  <c r="E856" i="28"/>
  <c r="E857" i="28"/>
  <c r="E858" i="28"/>
  <c r="E859" i="28"/>
  <c r="E860" i="28"/>
  <c r="E861" i="28"/>
  <c r="E862" i="28"/>
  <c r="E863" i="28"/>
  <c r="E864" i="28"/>
  <c r="E865" i="28"/>
  <c r="E866" i="28"/>
  <c r="E867" i="28"/>
  <c r="E868" i="28"/>
  <c r="E869" i="28"/>
  <c r="E870" i="28"/>
  <c r="E871" i="28"/>
  <c r="E872" i="28"/>
  <c r="E873" i="28"/>
  <c r="E874" i="28"/>
  <c r="E875" i="28"/>
  <c r="E876" i="28"/>
  <c r="E877" i="28"/>
  <c r="E878" i="28"/>
  <c r="E879" i="28"/>
  <c r="E880" i="28"/>
  <c r="E881" i="28"/>
  <c r="E882" i="28"/>
  <c r="E883" i="28"/>
  <c r="E884" i="28"/>
  <c r="E885" i="28"/>
  <c r="E886" i="28"/>
  <c r="E887" i="28"/>
  <c r="E888" i="28"/>
  <c r="E889" i="28"/>
  <c r="E890" i="28"/>
  <c r="E891" i="28"/>
  <c r="E892" i="28"/>
  <c r="E893" i="28"/>
  <c r="E894" i="28"/>
  <c r="E895" i="28"/>
  <c r="E896" i="28"/>
  <c r="E897" i="28"/>
  <c r="E898" i="28"/>
  <c r="E899" i="28"/>
  <c r="E900" i="28"/>
  <c r="E901" i="28"/>
  <c r="E902" i="28"/>
  <c r="E903" i="28"/>
  <c r="E904" i="28"/>
  <c r="E905" i="28"/>
  <c r="E906" i="28"/>
  <c r="E907" i="28"/>
  <c r="E908" i="28"/>
  <c r="E909" i="28"/>
  <c r="E910" i="28"/>
  <c r="E911" i="28"/>
  <c r="E912" i="28"/>
  <c r="E913" i="28"/>
  <c r="E914" i="28"/>
  <c r="E915" i="28"/>
  <c r="E916" i="28"/>
  <c r="E917" i="28"/>
  <c r="E918" i="28"/>
  <c r="E919" i="28"/>
  <c r="E920" i="28"/>
  <c r="E921" i="28"/>
  <c r="E922" i="28"/>
  <c r="E923" i="28"/>
  <c r="E924" i="28"/>
  <c r="E925" i="28"/>
  <c r="E926" i="28"/>
  <c r="E927" i="28"/>
  <c r="E928" i="28"/>
  <c r="E929" i="28"/>
  <c r="E930" i="28"/>
  <c r="E931" i="28"/>
  <c r="E932" i="28"/>
  <c r="E933" i="28"/>
  <c r="E934" i="28"/>
  <c r="E935" i="28"/>
  <c r="E936" i="28"/>
  <c r="E937" i="28"/>
  <c r="E938" i="28"/>
  <c r="E939" i="28"/>
  <c r="E940" i="28"/>
  <c r="E941" i="28"/>
  <c r="E942" i="28"/>
  <c r="E943" i="28"/>
  <c r="E944" i="28"/>
  <c r="E945" i="28"/>
  <c r="E946" i="28"/>
  <c r="E947" i="28"/>
  <c r="E948" i="28"/>
  <c r="E949" i="28"/>
  <c r="E950" i="28"/>
  <c r="E951" i="28"/>
  <c r="E952" i="28"/>
  <c r="E953" i="28"/>
  <c r="E954" i="28"/>
  <c r="E955" i="28"/>
  <c r="E956" i="28"/>
  <c r="E957" i="28"/>
  <c r="E958" i="28"/>
  <c r="E959" i="28"/>
  <c r="E960" i="28"/>
  <c r="E961" i="28"/>
  <c r="E962" i="28"/>
  <c r="E963" i="28"/>
  <c r="E964" i="28"/>
  <c r="E965" i="28"/>
  <c r="E966" i="28"/>
  <c r="E967" i="28"/>
  <c r="E968" i="28"/>
  <c r="E969" i="28"/>
  <c r="E970" i="28"/>
  <c r="E971" i="28"/>
  <c r="E972" i="28"/>
  <c r="E973" i="28"/>
  <c r="E974" i="28"/>
  <c r="E975" i="28"/>
  <c r="E976" i="28"/>
  <c r="E977" i="28"/>
  <c r="E978" i="28"/>
  <c r="E979" i="28"/>
  <c r="E980" i="28"/>
  <c r="E981" i="28"/>
  <c r="E982" i="28"/>
  <c r="E983" i="28"/>
  <c r="E984" i="28"/>
  <c r="E985" i="28"/>
  <c r="E986" i="28"/>
  <c r="E987" i="28"/>
  <c r="E988" i="28"/>
  <c r="E989" i="28"/>
  <c r="E990" i="28"/>
  <c r="E991" i="28"/>
  <c r="E992" i="28"/>
  <c r="E993" i="28"/>
  <c r="E994" i="28"/>
  <c r="E995" i="28"/>
  <c r="E996" i="28"/>
  <c r="E997" i="28"/>
  <c r="E998" i="28"/>
  <c r="E999" i="28"/>
  <c r="E1000" i="28"/>
  <c r="E1001" i="28"/>
  <c r="E1002" i="28"/>
  <c r="E1003" i="28"/>
  <c r="E1004" i="28"/>
  <c r="E1005" i="28"/>
  <c r="E1006" i="28"/>
  <c r="E1007" i="28"/>
  <c r="E1008" i="28"/>
  <c r="E1009" i="28"/>
  <c r="E1010" i="28"/>
  <c r="E1011" i="28"/>
  <c r="E1012" i="28"/>
  <c r="E1013" i="28"/>
  <c r="E1014" i="28"/>
  <c r="E1015" i="28"/>
  <c r="E1016" i="28"/>
  <c r="E1017" i="28"/>
  <c r="E1018" i="28"/>
  <c r="E1019" i="28"/>
  <c r="E1020" i="28"/>
  <c r="E1021" i="28"/>
  <c r="E1022" i="28"/>
  <c r="E1023" i="28"/>
  <c r="E1024" i="28"/>
  <c r="E1025" i="28"/>
  <c r="E1026" i="28"/>
  <c r="E1027" i="28"/>
  <c r="E1028" i="28"/>
  <c r="E1029" i="28"/>
  <c r="E1030" i="28"/>
  <c r="E1031" i="28"/>
  <c r="E1032" i="28"/>
  <c r="E1033" i="28"/>
  <c r="E1034" i="28"/>
  <c r="E1035" i="28"/>
  <c r="E1036" i="28"/>
  <c r="E1037" i="28"/>
  <c r="E1038" i="28"/>
  <c r="E1039" i="28"/>
  <c r="E1040" i="28"/>
  <c r="E1041" i="28"/>
  <c r="E1042" i="28"/>
  <c r="E1043" i="28"/>
  <c r="E1044" i="28"/>
  <c r="E1045" i="28"/>
  <c r="E1046" i="28"/>
  <c r="E1047" i="28"/>
  <c r="E1048" i="28"/>
  <c r="E1049" i="28"/>
  <c r="E1050" i="28"/>
  <c r="E1051" i="28"/>
  <c r="E1052" i="28"/>
  <c r="E1053" i="28"/>
  <c r="E1054" i="28"/>
  <c r="E1055" i="28"/>
  <c r="E1056" i="28"/>
  <c r="E1057" i="28"/>
  <c r="E1058" i="28"/>
  <c r="E1059" i="28"/>
  <c r="E1060" i="28"/>
  <c r="E1061" i="28"/>
  <c r="E1062" i="28"/>
  <c r="E1063" i="28"/>
  <c r="E1064" i="28"/>
  <c r="E1065" i="28"/>
  <c r="E1066" i="28"/>
  <c r="E1067" i="28"/>
  <c r="E1068" i="28"/>
  <c r="E1069" i="28"/>
  <c r="E1070" i="28"/>
  <c r="E1071" i="28"/>
  <c r="E1072" i="28"/>
  <c r="E1073" i="28"/>
  <c r="E1074" i="28"/>
  <c r="E1075" i="28"/>
  <c r="E1076" i="28"/>
  <c r="E1077" i="28"/>
  <c r="E1078" i="28"/>
  <c r="E1079" i="28"/>
  <c r="E1080" i="28"/>
  <c r="E1081" i="28"/>
  <c r="E1082" i="28"/>
  <c r="E1083" i="28"/>
  <c r="E1084" i="28"/>
  <c r="E1085" i="28"/>
  <c r="E1086" i="28"/>
  <c r="E1087" i="28"/>
  <c r="E1088" i="28"/>
  <c r="E1089" i="28"/>
  <c r="E1090" i="28"/>
  <c r="E1091" i="28"/>
  <c r="E1092" i="28"/>
  <c r="E1093" i="28"/>
  <c r="E1094" i="28"/>
  <c r="E1095" i="28"/>
  <c r="E1096" i="28"/>
  <c r="E1097" i="28"/>
  <c r="E1098" i="28"/>
  <c r="E1099" i="28"/>
  <c r="E1100" i="28"/>
  <c r="E1101" i="28"/>
  <c r="E1102" i="28"/>
  <c r="E1103" i="28"/>
  <c r="E1104" i="28"/>
  <c r="E1105" i="28"/>
  <c r="E1106" i="28"/>
  <c r="E1107" i="28"/>
  <c r="E1108" i="28"/>
  <c r="E1109" i="28"/>
  <c r="E1110" i="28"/>
  <c r="E1111" i="28"/>
  <c r="E1112" i="28"/>
  <c r="E1113" i="28"/>
  <c r="E1114" i="28"/>
  <c r="E1115" i="28"/>
  <c r="E1116" i="28"/>
  <c r="E1117" i="28"/>
  <c r="E1118" i="28"/>
  <c r="E1119" i="28"/>
  <c r="E1120" i="28"/>
  <c r="E1121" i="28"/>
  <c r="E1122" i="28"/>
  <c r="E1123" i="28"/>
  <c r="E1124" i="28"/>
  <c r="E1125" i="28"/>
  <c r="E1126" i="28"/>
  <c r="E1127" i="28"/>
  <c r="E1128" i="28"/>
  <c r="E1129" i="28"/>
  <c r="E1130" i="28"/>
  <c r="E1131" i="28"/>
  <c r="E1132" i="28"/>
  <c r="E1133" i="28"/>
  <c r="E1134" i="28"/>
  <c r="E1135" i="28"/>
  <c r="E1136" i="28"/>
  <c r="E1137" i="28"/>
  <c r="E1138" i="28"/>
  <c r="E1139" i="28"/>
  <c r="E1140" i="28"/>
  <c r="E1141" i="28"/>
  <c r="E1142" i="28"/>
  <c r="E1143" i="28"/>
  <c r="E1144" i="28"/>
  <c r="E1145" i="28"/>
  <c r="E1146" i="28"/>
  <c r="E1147" i="28"/>
  <c r="E1148" i="28"/>
  <c r="E1149" i="28"/>
  <c r="E1150" i="28"/>
  <c r="E1151" i="28"/>
  <c r="E1152" i="28"/>
  <c r="E1153" i="28"/>
  <c r="E1154" i="28"/>
  <c r="E1155" i="28"/>
  <c r="E1156" i="28"/>
  <c r="E1157" i="28"/>
  <c r="E1158" i="28"/>
  <c r="E1159" i="28"/>
  <c r="E1160" i="28"/>
  <c r="E1161" i="28"/>
  <c r="E1162" i="28"/>
  <c r="E1163" i="28"/>
  <c r="E1164" i="28"/>
  <c r="E1165" i="28"/>
  <c r="E1166" i="28"/>
  <c r="E1167" i="28"/>
  <c r="E1168" i="28"/>
  <c r="E1169" i="28"/>
  <c r="E1170" i="28"/>
  <c r="E1171" i="28"/>
  <c r="E1172" i="28"/>
  <c r="E1173" i="28"/>
  <c r="E1174" i="28"/>
  <c r="E1175" i="28"/>
  <c r="E1176" i="28"/>
  <c r="E1177" i="28"/>
  <c r="E1178" i="28"/>
  <c r="E1179" i="28"/>
  <c r="E1180" i="28"/>
  <c r="E1181" i="28"/>
  <c r="E1182" i="28"/>
  <c r="E1183" i="28"/>
  <c r="E1184" i="28"/>
  <c r="E1185" i="28"/>
  <c r="E1186" i="28"/>
  <c r="E1187" i="28"/>
  <c r="E1188" i="28"/>
  <c r="E1189" i="28"/>
  <c r="E1190" i="28"/>
  <c r="E1191" i="28"/>
  <c r="E1192" i="28"/>
  <c r="E1193" i="28"/>
  <c r="E1194" i="28"/>
  <c r="E1195" i="28"/>
  <c r="E1196" i="28"/>
  <c r="E1197" i="28"/>
  <c r="E1198" i="28"/>
  <c r="E1199" i="28"/>
  <c r="E1200" i="28"/>
  <c r="E1201" i="28"/>
  <c r="E1202" i="28"/>
  <c r="E1203" i="28"/>
  <c r="E1204" i="28"/>
  <c r="E1205" i="28"/>
  <c r="E1206" i="28"/>
  <c r="E1207" i="28"/>
  <c r="E1208" i="28"/>
  <c r="E1209" i="28"/>
  <c r="E1210" i="28"/>
  <c r="E1211" i="28"/>
  <c r="E1212" i="28"/>
  <c r="E1213" i="28"/>
  <c r="E1214" i="28"/>
  <c r="E1215" i="28"/>
  <c r="E1216" i="28"/>
  <c r="E1217" i="28"/>
  <c r="E1218" i="28"/>
  <c r="E1219" i="28"/>
  <c r="E1220" i="28"/>
  <c r="E1221" i="28"/>
  <c r="E1222" i="28"/>
  <c r="E1223" i="28"/>
  <c r="E1224" i="28"/>
  <c r="E1225" i="28"/>
  <c r="E1226" i="28"/>
  <c r="E1227" i="28"/>
  <c r="E1228" i="28"/>
  <c r="E1229" i="28"/>
  <c r="E1230" i="28"/>
  <c r="E1231" i="28"/>
  <c r="E1232" i="28"/>
  <c r="E1233" i="28"/>
  <c r="E1234" i="28"/>
  <c r="E1235" i="28"/>
  <c r="E1236" i="28"/>
  <c r="E1237" i="28"/>
  <c r="E1238" i="28"/>
  <c r="E1239" i="28"/>
  <c r="E1240" i="28"/>
  <c r="E1241" i="28"/>
  <c r="E1242" i="28"/>
  <c r="E1243" i="28"/>
  <c r="E1244" i="28"/>
  <c r="E1245" i="28"/>
  <c r="E1246" i="28"/>
  <c r="E1247" i="28"/>
  <c r="E1248" i="28"/>
  <c r="E1249" i="28"/>
  <c r="E1250" i="28"/>
  <c r="E1251" i="28"/>
  <c r="E1252" i="28"/>
  <c r="E1253" i="28"/>
  <c r="E1254" i="28"/>
  <c r="E1255" i="28"/>
  <c r="E1256" i="28"/>
  <c r="E1257" i="28"/>
  <c r="E1258" i="28"/>
  <c r="E1259" i="28"/>
  <c r="E1260" i="28"/>
  <c r="E1261" i="28"/>
  <c r="E1262" i="28"/>
  <c r="E1263" i="28"/>
  <c r="E1264" i="28"/>
  <c r="E1265" i="28"/>
  <c r="E1266" i="28"/>
  <c r="E1267" i="28"/>
  <c r="E1268" i="28"/>
  <c r="E1269" i="28"/>
  <c r="E1270" i="28"/>
  <c r="E1271" i="28"/>
  <c r="E1272" i="28"/>
  <c r="E1273" i="28"/>
  <c r="E1274" i="28"/>
  <c r="E1275" i="28"/>
  <c r="E1276" i="28"/>
  <c r="E1277" i="28"/>
  <c r="E1278" i="28"/>
  <c r="E1279" i="28"/>
  <c r="E1280" i="28"/>
  <c r="E1281" i="28"/>
  <c r="E1282" i="28"/>
  <c r="E1283" i="28"/>
  <c r="E1284" i="28"/>
  <c r="E1285" i="28"/>
  <c r="E1286" i="28"/>
  <c r="E1287" i="28"/>
  <c r="E1288" i="28"/>
  <c r="E1289" i="28"/>
  <c r="E1290" i="28"/>
  <c r="E1291" i="28"/>
  <c r="E1292" i="28"/>
  <c r="E1293" i="28"/>
  <c r="E1294" i="28"/>
  <c r="E1295" i="28"/>
  <c r="E1296" i="28"/>
  <c r="E1297" i="28"/>
  <c r="E1298" i="28"/>
  <c r="E1299" i="28"/>
  <c r="E1300" i="28"/>
  <c r="E1301" i="28"/>
  <c r="E1302" i="28"/>
  <c r="E1303" i="28"/>
  <c r="E1304" i="28"/>
  <c r="E1305" i="28"/>
  <c r="E1306" i="28"/>
  <c r="E1307" i="28"/>
  <c r="E1308" i="28"/>
  <c r="E1309" i="28"/>
  <c r="E1310" i="28"/>
  <c r="E1311" i="28"/>
  <c r="E1312" i="28"/>
  <c r="E1313" i="28"/>
  <c r="E1314" i="28"/>
  <c r="E1315" i="28"/>
  <c r="E1316" i="28"/>
  <c r="E1317" i="28"/>
  <c r="E1318" i="28"/>
  <c r="E1319" i="28"/>
  <c r="E1320" i="28"/>
  <c r="E1321" i="28"/>
  <c r="E1322" i="28"/>
  <c r="E1323" i="28"/>
  <c r="E1324" i="28"/>
  <c r="E1325" i="28"/>
  <c r="E1326" i="28"/>
  <c r="E1327" i="28"/>
  <c r="E1328" i="28"/>
  <c r="E1329" i="28"/>
  <c r="E1330" i="28"/>
  <c r="E1331" i="28"/>
  <c r="E1332" i="28"/>
  <c r="E1333" i="28"/>
  <c r="E1334" i="28"/>
  <c r="E1335" i="28"/>
  <c r="E1336" i="28"/>
  <c r="E1337" i="28"/>
  <c r="E1338" i="28"/>
  <c r="E1339" i="28"/>
  <c r="E1340" i="28"/>
  <c r="E1341" i="28"/>
  <c r="E1342" i="28"/>
  <c r="E1343" i="28"/>
  <c r="E1344" i="28"/>
  <c r="E1345" i="28"/>
  <c r="E1346" i="28"/>
  <c r="E1347" i="28"/>
  <c r="E1348" i="28"/>
  <c r="E1349" i="28"/>
  <c r="E1350" i="28"/>
  <c r="E1351" i="28"/>
  <c r="E1352" i="28"/>
  <c r="E1353" i="28"/>
  <c r="E1354" i="28"/>
  <c r="E1355" i="28"/>
  <c r="E1356" i="28"/>
  <c r="E1357" i="28"/>
  <c r="E1358" i="28"/>
  <c r="E1359" i="28"/>
  <c r="E1360" i="28"/>
  <c r="E1361" i="28"/>
  <c r="E1362" i="28"/>
  <c r="E1363" i="28"/>
  <c r="E1364" i="28"/>
  <c r="E1365" i="28"/>
  <c r="E1366" i="28"/>
  <c r="E1367" i="28"/>
  <c r="E1368" i="28"/>
  <c r="E1369" i="28"/>
  <c r="E1370" i="28"/>
  <c r="E1371" i="28"/>
  <c r="E1372" i="28"/>
  <c r="E1373" i="28"/>
  <c r="E1374" i="28"/>
  <c r="E1375" i="28"/>
  <c r="E1376" i="28"/>
  <c r="E1377" i="28"/>
  <c r="E1378" i="28"/>
  <c r="E1379" i="28"/>
  <c r="E1380" i="28"/>
  <c r="E1381" i="28"/>
  <c r="E1382" i="28"/>
  <c r="E1383" i="28"/>
  <c r="E1384" i="28"/>
  <c r="E1385" i="28"/>
  <c r="E1386" i="28"/>
  <c r="E1387" i="28"/>
  <c r="E1388" i="28"/>
  <c r="E1389" i="28"/>
  <c r="E1390" i="28"/>
  <c r="E1391" i="28"/>
  <c r="E1392" i="28"/>
  <c r="E1393" i="28"/>
  <c r="E1394" i="28"/>
  <c r="E1395" i="28"/>
  <c r="E1396" i="28"/>
  <c r="E1397" i="28"/>
  <c r="E1398" i="28"/>
  <c r="E1399" i="28"/>
  <c r="E1400" i="28"/>
  <c r="E1401" i="28"/>
  <c r="E1402" i="28"/>
  <c r="E1403" i="28"/>
  <c r="E1404" i="28"/>
  <c r="E1405" i="28"/>
  <c r="E1406" i="28"/>
  <c r="E1407" i="28"/>
  <c r="E1408" i="28"/>
  <c r="E1409" i="28"/>
  <c r="E1410" i="28"/>
  <c r="E1411" i="28"/>
  <c r="E1412" i="28"/>
  <c r="E1413" i="28"/>
  <c r="E1414" i="28"/>
  <c r="E1415" i="28"/>
  <c r="E1416" i="28"/>
  <c r="E1417" i="28"/>
  <c r="E1418" i="28"/>
  <c r="E1419" i="28"/>
  <c r="E1420" i="28"/>
  <c r="E1421" i="28"/>
  <c r="E1422" i="28"/>
  <c r="E1423" i="28"/>
  <c r="E1424" i="28"/>
  <c r="E1425" i="28"/>
  <c r="E1426" i="28"/>
  <c r="E1427" i="28"/>
  <c r="E1428" i="28"/>
  <c r="E1429" i="28"/>
  <c r="E1430" i="28"/>
  <c r="E1431" i="28"/>
  <c r="E1432" i="28"/>
  <c r="E1433" i="28"/>
  <c r="E1434" i="28"/>
  <c r="E1435" i="28"/>
  <c r="E1436" i="28"/>
  <c r="E1437" i="28"/>
  <c r="E1438" i="28"/>
  <c r="E1439" i="28"/>
  <c r="E1440" i="28"/>
  <c r="E1441" i="28"/>
  <c r="E1442" i="28"/>
  <c r="E1443" i="28"/>
  <c r="E1444" i="28"/>
  <c r="E1445" i="28"/>
  <c r="E1446" i="28"/>
  <c r="E1447" i="28"/>
  <c r="E1448" i="28"/>
  <c r="E1449" i="28"/>
  <c r="E1450" i="28"/>
  <c r="E1451" i="28"/>
  <c r="E1452" i="28"/>
  <c r="E1453" i="28"/>
  <c r="E1454" i="28"/>
  <c r="E1455" i="28"/>
  <c r="E1456" i="28"/>
  <c r="E1457" i="28"/>
  <c r="E1458" i="28"/>
  <c r="E1459" i="28"/>
  <c r="E1460" i="28"/>
  <c r="E1461" i="28"/>
  <c r="E1462" i="28"/>
  <c r="E1463" i="28"/>
  <c r="E1464" i="28"/>
  <c r="E1465" i="28"/>
  <c r="E1466" i="28"/>
  <c r="E1467" i="28"/>
  <c r="E1468" i="28"/>
  <c r="E1469" i="28"/>
  <c r="E1470" i="28"/>
  <c r="E1471" i="28"/>
  <c r="E1472" i="28"/>
  <c r="E1473" i="28"/>
  <c r="E1474" i="28"/>
  <c r="E1475" i="28"/>
  <c r="E1476" i="28"/>
  <c r="E1477" i="28"/>
  <c r="E1478" i="28"/>
  <c r="E1479" i="28"/>
  <c r="E1480" i="28"/>
  <c r="E1481" i="28"/>
  <c r="E1482" i="28"/>
  <c r="E1483" i="28"/>
  <c r="E1484" i="28"/>
  <c r="E1485" i="28"/>
  <c r="E1486" i="28"/>
  <c r="E1487" i="28"/>
  <c r="E1488" i="28"/>
  <c r="E1489" i="28"/>
  <c r="E1490" i="28"/>
  <c r="E1491" i="28"/>
  <c r="E1492" i="28"/>
  <c r="E1493" i="28"/>
  <c r="E1494" i="28"/>
  <c r="E1495" i="28"/>
  <c r="E1496" i="28"/>
  <c r="E1497" i="28"/>
  <c r="E1498" i="28"/>
  <c r="E1499" i="28"/>
  <c r="E1500" i="28"/>
  <c r="E1501" i="28"/>
  <c r="E1502" i="28"/>
  <c r="E1503" i="28"/>
  <c r="E1504" i="28"/>
  <c r="E1505" i="28"/>
  <c r="E1506" i="28"/>
  <c r="E1507" i="28"/>
  <c r="E1508" i="28"/>
  <c r="E1509" i="28"/>
  <c r="E1510" i="28"/>
  <c r="E1511" i="28"/>
  <c r="E1512" i="28"/>
  <c r="E1513" i="28"/>
  <c r="E1514" i="28"/>
  <c r="E1515" i="28"/>
  <c r="E1516" i="28"/>
  <c r="E1517" i="28"/>
  <c r="E1518" i="28"/>
  <c r="E1519" i="28"/>
  <c r="E1520" i="28"/>
  <c r="E1521" i="28"/>
  <c r="E1522" i="28"/>
  <c r="E1523" i="28"/>
  <c r="E1524" i="28"/>
  <c r="E1525" i="28"/>
  <c r="E1526" i="28"/>
  <c r="E1527" i="28"/>
  <c r="E1528" i="28"/>
  <c r="E1529" i="28"/>
  <c r="E1530" i="28"/>
  <c r="E1531" i="28"/>
  <c r="E1532" i="28"/>
  <c r="E1533" i="28"/>
  <c r="E1534" i="28"/>
  <c r="E1535" i="28"/>
  <c r="E1536" i="28"/>
  <c r="E1537" i="28"/>
  <c r="E1538" i="28"/>
  <c r="E1539" i="28"/>
  <c r="E1540" i="28"/>
  <c r="E1541" i="28"/>
  <c r="E1542" i="28"/>
  <c r="E1543" i="28"/>
  <c r="E1544" i="28"/>
  <c r="E1545" i="28"/>
  <c r="E1546" i="28"/>
  <c r="E1547" i="28"/>
  <c r="E1548" i="28"/>
  <c r="E1549" i="28"/>
  <c r="E1550" i="28"/>
  <c r="E1551" i="28"/>
  <c r="E1552" i="28"/>
  <c r="E1553" i="28"/>
  <c r="E1554" i="28"/>
  <c r="E1555" i="28"/>
  <c r="E1556" i="28"/>
  <c r="E1557" i="28"/>
  <c r="E1558" i="28"/>
  <c r="E1559" i="28"/>
  <c r="E1560" i="28"/>
  <c r="E1561" i="28"/>
  <c r="E1562" i="28"/>
  <c r="E1563" i="28"/>
  <c r="E1564" i="28"/>
  <c r="E1565" i="28"/>
  <c r="E1566" i="28"/>
  <c r="E1567" i="28"/>
  <c r="E1568" i="28"/>
  <c r="E1569" i="28"/>
  <c r="E1570" i="28"/>
  <c r="E1571" i="28"/>
  <c r="E1572" i="28"/>
  <c r="E1573" i="28"/>
  <c r="E1574" i="28"/>
  <c r="E1575" i="28"/>
  <c r="E1576" i="28"/>
  <c r="E1577" i="28"/>
  <c r="E1578" i="28"/>
  <c r="E1579" i="28"/>
  <c r="E1580" i="28"/>
  <c r="E1581" i="28"/>
  <c r="E1582" i="28"/>
  <c r="E1583" i="28"/>
  <c r="E1584" i="28"/>
  <c r="E1585" i="28"/>
  <c r="E1586" i="28"/>
  <c r="E1587" i="28"/>
  <c r="E1588" i="28"/>
  <c r="E1589" i="28"/>
  <c r="E1590" i="28"/>
  <c r="E1591" i="28"/>
  <c r="E1592" i="28"/>
  <c r="E1593" i="28"/>
  <c r="E1594" i="28"/>
  <c r="E1595" i="28"/>
  <c r="E1596" i="28"/>
  <c r="E1597" i="28"/>
  <c r="E1598" i="28"/>
  <c r="E1599" i="28"/>
  <c r="E1600" i="28"/>
  <c r="E1601" i="28"/>
  <c r="E1602" i="28"/>
  <c r="E1603" i="28"/>
  <c r="E1604" i="28"/>
  <c r="E1605" i="28"/>
  <c r="E1606" i="28"/>
  <c r="E1607" i="28"/>
  <c r="E1608" i="28"/>
  <c r="E1609" i="28"/>
  <c r="E1610" i="28"/>
  <c r="E1611" i="28"/>
  <c r="E1612" i="28"/>
  <c r="E1613" i="28"/>
  <c r="E1614" i="28"/>
  <c r="E1615" i="28"/>
  <c r="E1616" i="28"/>
  <c r="E1617" i="28"/>
  <c r="E1618" i="28"/>
  <c r="E1619" i="28"/>
  <c r="E1620" i="28"/>
  <c r="E1621" i="28"/>
  <c r="E1622" i="28"/>
  <c r="E1623" i="28"/>
  <c r="E1624" i="28"/>
  <c r="E1625" i="28"/>
  <c r="E1626" i="28"/>
  <c r="E1627" i="28"/>
  <c r="E1628" i="28"/>
  <c r="E1629" i="28"/>
  <c r="E1630" i="28"/>
  <c r="E1631" i="28"/>
  <c r="E1632" i="28"/>
  <c r="E1633" i="28"/>
  <c r="E1634" i="28"/>
  <c r="E1635" i="28"/>
  <c r="E1636" i="28"/>
  <c r="E1637" i="28"/>
  <c r="E1638" i="28"/>
  <c r="E1639" i="28"/>
  <c r="E1640" i="28"/>
  <c r="E1641" i="28"/>
  <c r="E1642" i="28"/>
  <c r="E1643" i="28"/>
  <c r="E1644" i="28"/>
  <c r="E1645" i="28"/>
  <c r="E1646" i="28"/>
  <c r="E1647" i="28"/>
  <c r="E1648" i="28"/>
  <c r="E1649" i="28"/>
  <c r="E1650" i="28"/>
  <c r="E1651" i="28"/>
  <c r="E1652" i="28"/>
  <c r="E1653" i="28"/>
  <c r="E1654" i="28"/>
  <c r="E1655" i="28"/>
  <c r="E1656" i="28"/>
  <c r="E1657" i="28"/>
  <c r="E1658" i="28"/>
  <c r="E1659" i="28"/>
  <c r="E1660" i="28"/>
  <c r="E1661" i="28"/>
  <c r="E1662" i="28"/>
  <c r="E1663" i="28"/>
  <c r="E1664" i="28"/>
  <c r="E1665" i="28"/>
  <c r="E1666" i="28"/>
  <c r="E1667" i="28"/>
  <c r="E1668" i="28"/>
  <c r="E1669" i="28"/>
  <c r="E1670" i="28"/>
  <c r="E1671" i="28"/>
  <c r="E1672" i="28"/>
  <c r="E1673" i="28"/>
  <c r="E1674" i="28"/>
  <c r="E1675" i="28"/>
  <c r="E1676" i="28"/>
  <c r="E1677" i="28"/>
  <c r="E1678" i="28"/>
  <c r="E1679" i="28"/>
  <c r="E1680" i="28"/>
  <c r="E1681" i="28"/>
  <c r="E1682" i="28"/>
  <c r="E1683" i="28"/>
  <c r="E1684" i="28"/>
  <c r="E1685" i="28"/>
  <c r="I35" i="19" l="1"/>
  <c r="H35" i="19"/>
  <c r="AF304" i="3"/>
  <c r="AF297" i="3"/>
  <c r="B14" i="27"/>
  <c r="B4" i="23"/>
  <c r="AD297" i="3" l="1"/>
  <c r="K4" i="19"/>
  <c r="AA297" i="3" l="1"/>
  <c r="AA304" i="3"/>
  <c r="Z304" i="3" l="1"/>
  <c r="Y304" i="3"/>
  <c r="C13" i="27"/>
  <c r="X297" i="3"/>
  <c r="X304" i="3"/>
  <c r="X303" i="3"/>
  <c r="W304" i="3" l="1"/>
  <c r="W297" i="3"/>
  <c r="W312" i="3" s="1"/>
  <c r="V304" i="3"/>
  <c r="V297" i="3"/>
  <c r="U304" i="3"/>
  <c r="AG304" i="3" s="1"/>
  <c r="T304" i="3"/>
  <c r="T297" i="3"/>
  <c r="Q297" i="3"/>
  <c r="Q298" i="3"/>
  <c r="R304" i="3"/>
  <c r="P305" i="3"/>
  <c r="P297" i="3"/>
  <c r="O304" i="3"/>
  <c r="O297" i="3"/>
  <c r="N304" i="3"/>
  <c r="N297" i="3"/>
  <c r="M297" i="3"/>
  <c r="L297" i="3"/>
  <c r="GS54" i="25"/>
  <c r="GR53" i="25"/>
  <c r="GS53" i="25"/>
  <c r="GS52" i="25"/>
  <c r="GS51" i="25"/>
  <c r="GS50" i="25"/>
  <c r="GS49" i="25"/>
  <c r="GS48" i="25"/>
  <c r="GS47" i="25"/>
  <c r="GR46" i="25"/>
  <c r="GS46" i="25"/>
  <c r="GS45" i="25"/>
  <c r="GS44" i="25"/>
  <c r="GS43" i="25"/>
  <c r="GS42" i="25"/>
  <c r="GS41" i="25"/>
  <c r="GS40" i="25"/>
  <c r="GS39" i="25"/>
  <c r="GS38" i="25"/>
  <c r="GS37" i="25"/>
  <c r="GS36" i="25"/>
  <c r="GS35" i="25"/>
  <c r="GS34" i="25"/>
  <c r="GS33" i="25"/>
  <c r="GS32" i="25"/>
  <c r="GS31" i="25"/>
  <c r="GS30" i="25"/>
  <c r="GS29" i="25"/>
  <c r="GS28" i="25"/>
  <c r="GS27" i="25"/>
  <c r="GS26" i="25"/>
  <c r="GS25" i="25"/>
  <c r="GS24" i="25"/>
  <c r="GS23" i="25"/>
  <c r="GS22" i="25"/>
  <c r="GS21" i="25"/>
  <c r="GS20" i="25"/>
  <c r="GS19" i="25"/>
  <c r="GS18" i="25"/>
  <c r="GR18" i="25"/>
  <c r="GS17" i="25"/>
  <c r="GR16" i="25"/>
  <c r="GS16" i="25"/>
  <c r="GS15" i="25"/>
  <c r="GS14" i="25"/>
  <c r="GS13" i="25"/>
  <c r="GS12" i="25"/>
  <c r="GS11" i="25"/>
  <c r="GR11" i="25"/>
  <c r="GS10" i="25"/>
  <c r="GS9" i="25"/>
  <c r="GS8" i="25"/>
  <c r="GR7" i="25"/>
  <c r="GS7" i="25"/>
  <c r="GS6" i="25"/>
  <c r="GR3" i="25"/>
  <c r="AG293" i="3"/>
  <c r="M9" i="19" s="1"/>
  <c r="O9" i="19" s="1"/>
  <c r="C10" i="20" s="1"/>
  <c r="AG294" i="3"/>
  <c r="AG295" i="3"/>
  <c r="AG296" i="3"/>
  <c r="AG298" i="3"/>
  <c r="M14" i="19" s="1"/>
  <c r="O14" i="19" s="1"/>
  <c r="C15" i="20" s="1"/>
  <c r="AG299" i="3"/>
  <c r="M15" i="19" s="1"/>
  <c r="O15" i="19" s="1"/>
  <c r="C16" i="20" s="1"/>
  <c r="AG300" i="3"/>
  <c r="M16" i="19" s="1"/>
  <c r="O16" i="19" s="1"/>
  <c r="C17" i="20" s="1"/>
  <c r="AG301" i="3"/>
  <c r="AG302" i="3"/>
  <c r="AG303" i="3"/>
  <c r="M19" i="19" s="1"/>
  <c r="AG305" i="3"/>
  <c r="M21" i="19" s="1"/>
  <c r="O21" i="19" s="1"/>
  <c r="C22" i="20" s="1"/>
  <c r="AG306" i="3"/>
  <c r="M22" i="19" s="1"/>
  <c r="AG307" i="3"/>
  <c r="AG308" i="3"/>
  <c r="AG309" i="3"/>
  <c r="M25" i="19" s="1"/>
  <c r="O25" i="19" s="1"/>
  <c r="C26" i="20" s="1"/>
  <c r="D26" i="20" s="1"/>
  <c r="AG310" i="3"/>
  <c r="AG311" i="3"/>
  <c r="AG267" i="3"/>
  <c r="AG268" i="3"/>
  <c r="AG269" i="3"/>
  <c r="AG270" i="3"/>
  <c r="AG271" i="3"/>
  <c r="AG272" i="3"/>
  <c r="AG273" i="3"/>
  <c r="AG274" i="3"/>
  <c r="AG275" i="3"/>
  <c r="AG276" i="3"/>
  <c r="AG277" i="3"/>
  <c r="AG278" i="3"/>
  <c r="AG279" i="3"/>
  <c r="AG280" i="3"/>
  <c r="AG281" i="3"/>
  <c r="AG282" i="3"/>
  <c r="AG283" i="3"/>
  <c r="AG284" i="3"/>
  <c r="AG285" i="3"/>
  <c r="GQ3" i="25"/>
  <c r="GP3" i="25"/>
  <c r="GN3" i="25"/>
  <c r="GS3" i="25"/>
  <c r="GO3" i="25"/>
  <c r="GS4" i="25"/>
  <c r="J297" i="3"/>
  <c r="J304" i="3"/>
  <c r="I304" i="3"/>
  <c r="I312" i="3"/>
  <c r="I297" i="3"/>
  <c r="H297" i="3"/>
  <c r="H304" i="3"/>
  <c r="B13" i="27"/>
  <c r="G297" i="3"/>
  <c r="G304" i="3"/>
  <c r="F297" i="3"/>
  <c r="E305" i="3"/>
  <c r="E304" i="3"/>
  <c r="AE271" i="3"/>
  <c r="AE278" i="3"/>
  <c r="AE286" i="3"/>
  <c r="AD279" i="3"/>
  <c r="AD278" i="3"/>
  <c r="AD286" i="3"/>
  <c r="AC278" i="3"/>
  <c r="AB284" i="3"/>
  <c r="AB279" i="3"/>
  <c r="AB271" i="3"/>
  <c r="AB278" i="3"/>
  <c r="AA278" i="3"/>
  <c r="Z278" i="3"/>
  <c r="L4" i="19"/>
  <c r="Z271" i="3"/>
  <c r="Z277" i="3"/>
  <c r="Y278" i="3"/>
  <c r="Y286" i="3"/>
  <c r="S278" i="3"/>
  <c r="Y271" i="3"/>
  <c r="AW286" i="3"/>
  <c r="BM286" i="3"/>
  <c r="BL286" i="3"/>
  <c r="BK286" i="3"/>
  <c r="BJ286" i="3"/>
  <c r="BI286" i="3"/>
  <c r="BH286" i="3"/>
  <c r="BG286" i="3"/>
  <c r="BD286" i="3"/>
  <c r="BC286" i="3"/>
  <c r="BB286" i="3"/>
  <c r="BA286" i="3"/>
  <c r="AZ286" i="3"/>
  <c r="AY286" i="3"/>
  <c r="AV286" i="3"/>
  <c r="AU286" i="3"/>
  <c r="AQ286" i="3"/>
  <c r="AN286" i="3"/>
  <c r="AM286" i="3"/>
  <c r="AJ286" i="3"/>
  <c r="BO285" i="3"/>
  <c r="BO284" i="3"/>
  <c r="BO283" i="3"/>
  <c r="BO282" i="3"/>
  <c r="BO281" i="3"/>
  <c r="BO280" i="3"/>
  <c r="BO279" i="3"/>
  <c r="BO278" i="3"/>
  <c r="AX286" i="3"/>
  <c r="AL286" i="3"/>
  <c r="AK286" i="3"/>
  <c r="BO277" i="3"/>
  <c r="BO271" i="3"/>
  <c r="BF286" i="3"/>
  <c r="BE286" i="3"/>
  <c r="AT286" i="3"/>
  <c r="AS286" i="3"/>
  <c r="AR286" i="3"/>
  <c r="AP286" i="3"/>
  <c r="AO286" i="3"/>
  <c r="BO270" i="3"/>
  <c r="BO269" i="3"/>
  <c r="BO268" i="3"/>
  <c r="BO267" i="3"/>
  <c r="BO266" i="3"/>
  <c r="AC286" i="3"/>
  <c r="W285" i="3"/>
  <c r="X271" i="3"/>
  <c r="W278" i="3"/>
  <c r="W271" i="3"/>
  <c r="C3" i="23"/>
  <c r="S271" i="3"/>
  <c r="GF46" i="25"/>
  <c r="GG13" i="25"/>
  <c r="GF7" i="25"/>
  <c r="GF11" i="25"/>
  <c r="GF18" i="25"/>
  <c r="GF16" i="25"/>
  <c r="R278" i="3"/>
  <c r="R271" i="3"/>
  <c r="L13" i="19"/>
  <c r="G22" i="22"/>
  <c r="M3" i="22"/>
  <c r="K17" i="22"/>
  <c r="L3" i="22"/>
  <c r="L4" i="22"/>
  <c r="L5" i="22"/>
  <c r="L6" i="22"/>
  <c r="L7" i="22"/>
  <c r="P278" i="3"/>
  <c r="O271" i="3"/>
  <c r="GF53" i="25"/>
  <c r="GG54" i="25"/>
  <c r="GG53" i="25"/>
  <c r="GG52" i="25"/>
  <c r="GG51" i="25"/>
  <c r="GG50" i="25"/>
  <c r="GG49" i="25"/>
  <c r="GG48" i="25"/>
  <c r="GG47" i="25"/>
  <c r="GG46" i="25"/>
  <c r="GG45" i="25"/>
  <c r="GG44" i="25"/>
  <c r="GG43" i="25"/>
  <c r="GG42" i="25"/>
  <c r="GG41" i="25"/>
  <c r="GG40" i="25"/>
  <c r="GG39" i="25"/>
  <c r="GG38" i="25"/>
  <c r="GG37" i="25"/>
  <c r="GG36" i="25"/>
  <c r="GG35" i="25"/>
  <c r="GG34" i="25"/>
  <c r="GG33" i="25"/>
  <c r="GG32" i="25"/>
  <c r="GG31" i="25"/>
  <c r="GG30" i="25"/>
  <c r="GG29" i="25"/>
  <c r="GG28" i="25"/>
  <c r="GG27" i="25"/>
  <c r="GG26" i="25"/>
  <c r="GG25" i="25"/>
  <c r="GG24" i="25"/>
  <c r="GG23" i="25"/>
  <c r="GG22" i="25"/>
  <c r="GG21" i="25"/>
  <c r="GG20" i="25"/>
  <c r="GG19" i="25"/>
  <c r="GG18" i="25"/>
  <c r="GG17" i="25"/>
  <c r="GG16" i="25"/>
  <c r="GG15" i="25"/>
  <c r="GG14" i="25"/>
  <c r="GG12" i="25"/>
  <c r="GG11" i="25"/>
  <c r="GG10" i="25"/>
  <c r="GG9" i="25"/>
  <c r="GG8" i="25"/>
  <c r="GG7" i="25"/>
  <c r="GG6" i="25"/>
  <c r="GF3" i="25"/>
  <c r="L271" i="3"/>
  <c r="K271" i="3"/>
  <c r="J278" i="3"/>
  <c r="J271" i="3"/>
  <c r="G25" i="22"/>
  <c r="H271" i="3"/>
  <c r="H286" i="3"/>
  <c r="G271" i="3"/>
  <c r="G286" i="3"/>
  <c r="E271" i="3"/>
  <c r="D278" i="3"/>
  <c r="C278" i="3"/>
  <c r="B285" i="3"/>
  <c r="B271" i="3"/>
  <c r="AE245" i="3"/>
  <c r="AD252" i="3"/>
  <c r="AC245" i="3"/>
  <c r="AB245" i="3"/>
  <c r="AB260" i="3"/>
  <c r="B26" i="22"/>
  <c r="M12" i="19"/>
  <c r="M17" i="19"/>
  <c r="M18" i="19"/>
  <c r="L14" i="19"/>
  <c r="L15" i="19"/>
  <c r="L16" i="19"/>
  <c r="L17" i="19"/>
  <c r="L18" i="19"/>
  <c r="F286" i="3"/>
  <c r="D312" i="3"/>
  <c r="B312" i="3"/>
  <c r="A267" i="3"/>
  <c r="A268" i="3"/>
  <c r="A269" i="3"/>
  <c r="A270" i="3"/>
  <c r="A271" i="3"/>
  <c r="A272" i="3"/>
  <c r="A273" i="3"/>
  <c r="A274" i="3"/>
  <c r="A275" i="3"/>
  <c r="A276" i="3"/>
  <c r="A277" i="3"/>
  <c r="A278" i="3"/>
  <c r="A279" i="3"/>
  <c r="A280" i="3"/>
  <c r="A281" i="3"/>
  <c r="A282" i="3"/>
  <c r="A283" i="3"/>
  <c r="A284" i="3"/>
  <c r="A285" i="3"/>
  <c r="A293" i="3"/>
  <c r="A294" i="3"/>
  <c r="A295" i="3"/>
  <c r="A296" i="3"/>
  <c r="A297" i="3"/>
  <c r="A298" i="3"/>
  <c r="A299" i="3"/>
  <c r="A300" i="3"/>
  <c r="A301" i="3"/>
  <c r="A302" i="3"/>
  <c r="A303" i="3"/>
  <c r="A304" i="3"/>
  <c r="A305" i="3"/>
  <c r="A306" i="3"/>
  <c r="A307" i="3"/>
  <c r="A308" i="3"/>
  <c r="A309" i="3"/>
  <c r="A310" i="3"/>
  <c r="A311" i="3"/>
  <c r="Z245" i="3"/>
  <c r="Y245" i="3"/>
  <c r="X245" i="3"/>
  <c r="W252" i="3"/>
  <c r="FH53" i="25"/>
  <c r="FH11" i="25"/>
  <c r="FH16" i="25"/>
  <c r="FH52" i="25"/>
  <c r="FU54" i="25"/>
  <c r="FU53" i="25"/>
  <c r="FU52" i="25"/>
  <c r="FU51" i="25"/>
  <c r="FU50" i="25"/>
  <c r="FU49" i="25"/>
  <c r="FU48" i="25"/>
  <c r="FU47" i="25"/>
  <c r="FU46" i="25"/>
  <c r="FU45" i="25"/>
  <c r="FU44" i="25"/>
  <c r="FU43" i="25"/>
  <c r="FU42" i="25"/>
  <c r="FU41" i="25"/>
  <c r="FU40" i="25"/>
  <c r="FU39" i="25"/>
  <c r="FU38" i="25"/>
  <c r="FU37" i="25"/>
  <c r="FU36" i="25"/>
  <c r="FU35" i="25"/>
  <c r="FU34" i="25"/>
  <c r="FU33" i="25"/>
  <c r="FU32" i="25"/>
  <c r="FU31" i="25"/>
  <c r="FU30" i="25"/>
  <c r="FU29" i="25"/>
  <c r="FU28" i="25"/>
  <c r="FU27" i="25"/>
  <c r="FU26" i="25"/>
  <c r="FU25" i="25"/>
  <c r="FU24" i="25"/>
  <c r="FU23" i="25"/>
  <c r="FU22" i="25"/>
  <c r="FS3" i="25"/>
  <c r="FU21" i="25"/>
  <c r="FU20" i="25"/>
  <c r="FU19" i="25"/>
  <c r="FU18" i="25"/>
  <c r="FU17" i="25"/>
  <c r="FU16" i="25"/>
  <c r="FT16" i="25"/>
  <c r="FU15" i="25"/>
  <c r="FU14" i="25"/>
  <c r="FU13" i="25"/>
  <c r="FT12" i="25"/>
  <c r="FU12" i="25"/>
  <c r="FU11" i="25"/>
  <c r="FT11" i="25"/>
  <c r="FU10" i="25"/>
  <c r="FU9" i="25"/>
  <c r="FU8" i="25"/>
  <c r="FP3" i="25"/>
  <c r="FU7" i="25"/>
  <c r="FU6" i="25"/>
  <c r="FT3" i="25"/>
  <c r="V252" i="3"/>
  <c r="V245" i="3"/>
  <c r="S252" i="3"/>
  <c r="S245" i="3"/>
  <c r="R245" i="3"/>
  <c r="AG253" i="3"/>
  <c r="K21" i="19"/>
  <c r="P245" i="3"/>
  <c r="O252" i="3"/>
  <c r="N252" i="3"/>
  <c r="M245" i="3"/>
  <c r="EJ11" i="25"/>
  <c r="FI54" i="25"/>
  <c r="FI53" i="25"/>
  <c r="FI52" i="25"/>
  <c r="FI51" i="25"/>
  <c r="FI50" i="25"/>
  <c r="FI49" i="25"/>
  <c r="FI48" i="25"/>
  <c r="FI47" i="25"/>
  <c r="FI46" i="25"/>
  <c r="FI45" i="25"/>
  <c r="FI44" i="25"/>
  <c r="FI43" i="25"/>
  <c r="FI42" i="25"/>
  <c r="FI41" i="25"/>
  <c r="FI40" i="25"/>
  <c r="FI39" i="25"/>
  <c r="FI38" i="25"/>
  <c r="FI37" i="25"/>
  <c r="FI36" i="25"/>
  <c r="FI35" i="25"/>
  <c r="FI34" i="25"/>
  <c r="FI33" i="25"/>
  <c r="FI32" i="25"/>
  <c r="FI31" i="25"/>
  <c r="FI30" i="25"/>
  <c r="FI29" i="25"/>
  <c r="FI28" i="25"/>
  <c r="FI27" i="25"/>
  <c r="FI26" i="25"/>
  <c r="FI25" i="25"/>
  <c r="FI24" i="25"/>
  <c r="FI23" i="25"/>
  <c r="FI22" i="25"/>
  <c r="FG3" i="25"/>
  <c r="FI21" i="25"/>
  <c r="FI20" i="25"/>
  <c r="FI19" i="25"/>
  <c r="FI18" i="25"/>
  <c r="FI17" i="25"/>
  <c r="FI16" i="25"/>
  <c r="FI15" i="25"/>
  <c r="FI14" i="25"/>
  <c r="FI13" i="25"/>
  <c r="FI12" i="25"/>
  <c r="FI11" i="25"/>
  <c r="FI10" i="25"/>
  <c r="FI9" i="25"/>
  <c r="FI8" i="25"/>
  <c r="FI7" i="25"/>
  <c r="FI6" i="25"/>
  <c r="FH3" i="25"/>
  <c r="J4" i="19"/>
  <c r="L245" i="3"/>
  <c r="K245" i="3"/>
  <c r="J253" i="3"/>
  <c r="H245" i="3"/>
  <c r="G245" i="3"/>
  <c r="G260" i="3"/>
  <c r="H5" i="10"/>
  <c r="I5" i="10"/>
  <c r="J5" i="10"/>
  <c r="K5" i="10"/>
  <c r="O5" i="10" s="1"/>
  <c r="O6" i="10" s="1"/>
  <c r="K4" i="10"/>
  <c r="L5" i="10"/>
  <c r="M5" i="10"/>
  <c r="G5" i="10"/>
  <c r="I4" i="10"/>
  <c r="J4" i="10"/>
  <c r="L4" i="10"/>
  <c r="L10" i="10"/>
  <c r="M4" i="10"/>
  <c r="M9" i="10"/>
  <c r="H4" i="10"/>
  <c r="AG251" i="3"/>
  <c r="K19" i="19"/>
  <c r="AG256" i="3"/>
  <c r="K24" i="19"/>
  <c r="E245" i="3"/>
  <c r="E260" i="3"/>
  <c r="D245" i="3"/>
  <c r="D260" i="3"/>
  <c r="AG241" i="3"/>
  <c r="K9" i="19"/>
  <c r="AG242" i="3"/>
  <c r="K10" i="19"/>
  <c r="AG243" i="3"/>
  <c r="AG260" i="3"/>
  <c r="AG244" i="3"/>
  <c r="K12" i="19"/>
  <c r="AG246" i="3"/>
  <c r="K14" i="19"/>
  <c r="AG247" i="3"/>
  <c r="K15" i="19"/>
  <c r="AG248" i="3"/>
  <c r="K16" i="19"/>
  <c r="AG249" i="3"/>
  <c r="K17" i="19"/>
  <c r="AG250" i="3"/>
  <c r="K18" i="19"/>
  <c r="AG254" i="3"/>
  <c r="K22" i="19"/>
  <c r="AG255" i="3"/>
  <c r="K23" i="19"/>
  <c r="AG257" i="3"/>
  <c r="K25" i="19"/>
  <c r="AG258" i="3"/>
  <c r="K26" i="19"/>
  <c r="AG259" i="3"/>
  <c r="K27" i="19"/>
  <c r="AE219" i="3"/>
  <c r="AC226" i="3"/>
  <c r="AB219" i="3"/>
  <c r="X225" i="3"/>
  <c r="W226" i="3"/>
  <c r="EW54" i="25"/>
  <c r="EW53" i="25"/>
  <c r="EW52" i="25"/>
  <c r="EW51" i="25"/>
  <c r="EW50" i="25"/>
  <c r="EW49" i="25"/>
  <c r="EW48" i="25"/>
  <c r="EW47" i="25"/>
  <c r="EW46" i="25"/>
  <c r="EW45" i="25"/>
  <c r="EW44" i="25"/>
  <c r="EW43" i="25"/>
  <c r="EW42" i="25"/>
  <c r="EW41" i="25"/>
  <c r="EW40" i="25"/>
  <c r="EW39" i="25"/>
  <c r="EW38" i="25"/>
  <c r="EW37" i="25"/>
  <c r="EW36" i="25"/>
  <c r="EW35" i="25"/>
  <c r="EW34" i="25"/>
  <c r="EW33" i="25"/>
  <c r="EW32" i="25"/>
  <c r="EW31" i="25"/>
  <c r="EW30" i="25"/>
  <c r="EW29" i="25"/>
  <c r="EW28" i="25"/>
  <c r="EW27" i="25"/>
  <c r="EW26" i="25"/>
  <c r="EW25" i="25"/>
  <c r="EW24" i="25"/>
  <c r="EW23" i="25"/>
  <c r="EW22" i="25"/>
  <c r="EU3" i="25"/>
  <c r="EW21" i="25"/>
  <c r="EW20" i="25"/>
  <c r="EW19" i="25"/>
  <c r="EW18" i="25"/>
  <c r="EW17" i="25"/>
  <c r="EW16" i="25"/>
  <c r="EV16" i="25"/>
  <c r="EW15" i="25"/>
  <c r="EW14" i="25"/>
  <c r="EW13" i="25"/>
  <c r="EV12" i="25"/>
  <c r="EW12" i="25"/>
  <c r="EV11" i="25"/>
  <c r="EW11" i="25"/>
  <c r="EW10" i="25"/>
  <c r="EW9" i="25"/>
  <c r="EW8" i="25"/>
  <c r="EW7" i="25"/>
  <c r="EW6" i="25"/>
  <c r="EV3" i="25"/>
  <c r="EJ12" i="25"/>
  <c r="EJ16" i="25"/>
  <c r="EK7" i="25"/>
  <c r="EK10" i="25"/>
  <c r="EK12" i="25"/>
  <c r="EK13" i="25"/>
  <c r="EK15" i="25"/>
  <c r="EK20" i="25"/>
  <c r="EK21" i="25"/>
  <c r="EK23" i="25"/>
  <c r="EK28" i="25"/>
  <c r="EK29" i="25"/>
  <c r="EK31" i="25"/>
  <c r="EK36" i="25"/>
  <c r="EK37" i="25"/>
  <c r="EK39" i="25"/>
  <c r="EK44" i="25"/>
  <c r="EK45" i="25"/>
  <c r="EK47" i="25"/>
  <c r="EK52" i="25"/>
  <c r="EK53" i="25"/>
  <c r="B6" i="26"/>
  <c r="B7" i="26"/>
  <c r="B1" i="26"/>
  <c r="V226" i="3"/>
  <c r="V219" i="3"/>
  <c r="U219" i="3"/>
  <c r="T227" i="3"/>
  <c r="T219" i="3"/>
  <c r="S219" i="3"/>
  <c r="R226" i="3"/>
  <c r="Q219" i="3"/>
  <c r="Q226" i="3"/>
  <c r="P219" i="3"/>
  <c r="O219" i="3"/>
  <c r="N219" i="3"/>
  <c r="I20" i="22"/>
  <c r="AG136" i="3"/>
  <c r="AG137" i="3"/>
  <c r="AG138" i="3"/>
  <c r="G11" i="19"/>
  <c r="AG139" i="3"/>
  <c r="G12" i="19"/>
  <c r="AG141" i="3"/>
  <c r="AG142" i="3"/>
  <c r="G15" i="19"/>
  <c r="AG143" i="3"/>
  <c r="AG144" i="3"/>
  <c r="AG145" i="3"/>
  <c r="G18" i="19"/>
  <c r="AG149" i="3"/>
  <c r="G22" i="19"/>
  <c r="AG150" i="3"/>
  <c r="G23" i="19"/>
  <c r="AG151" i="3"/>
  <c r="AG152" i="3"/>
  <c r="AG153" i="3"/>
  <c r="G26" i="19"/>
  <c r="EK54" i="25"/>
  <c r="EK51" i="25"/>
  <c r="EK50" i="25"/>
  <c r="EK49" i="25"/>
  <c r="EK48" i="25"/>
  <c r="EK46" i="25"/>
  <c r="EK43" i="25"/>
  <c r="EK42" i="25"/>
  <c r="EK41" i="25"/>
  <c r="EK40" i="25"/>
  <c r="EK38" i="25"/>
  <c r="EK35" i="25"/>
  <c r="EK34" i="25"/>
  <c r="EK33" i="25"/>
  <c r="EK32" i="25"/>
  <c r="EK30" i="25"/>
  <c r="EK27" i="25"/>
  <c r="EK26" i="25"/>
  <c r="EK25" i="25"/>
  <c r="EK24" i="25"/>
  <c r="EK22" i="25"/>
  <c r="EK19" i="25"/>
  <c r="EK18" i="25"/>
  <c r="EK17" i="25"/>
  <c r="EK16" i="25"/>
  <c r="EK14" i="25"/>
  <c r="EK11" i="25"/>
  <c r="EK9" i="25"/>
  <c r="EK8" i="25"/>
  <c r="EK6" i="25"/>
  <c r="EJ3" i="25"/>
  <c r="F20" i="22"/>
  <c r="J225" i="3"/>
  <c r="J219" i="3"/>
  <c r="J234" i="3"/>
  <c r="I219" i="3"/>
  <c r="I226" i="3"/>
  <c r="C260" i="3"/>
  <c r="A241" i="3"/>
  <c r="A242" i="3"/>
  <c r="A243" i="3"/>
  <c r="A244" i="3"/>
  <c r="A245" i="3"/>
  <c r="A246" i="3"/>
  <c r="A247" i="3"/>
  <c r="A248" i="3"/>
  <c r="A249" i="3"/>
  <c r="A250" i="3"/>
  <c r="A251" i="3"/>
  <c r="A252" i="3"/>
  <c r="A253" i="3"/>
  <c r="A254" i="3"/>
  <c r="A255" i="3"/>
  <c r="A256" i="3"/>
  <c r="A257" i="3"/>
  <c r="A258" i="3"/>
  <c r="A259" i="3"/>
  <c r="AG215" i="3"/>
  <c r="J9" i="19"/>
  <c r="AG216" i="3"/>
  <c r="J10" i="19"/>
  <c r="AG217" i="3"/>
  <c r="J11" i="19"/>
  <c r="AG218" i="3"/>
  <c r="J12" i="19"/>
  <c r="C219" i="3"/>
  <c r="E219" i="3"/>
  <c r="E234" i="3"/>
  <c r="AG220" i="3"/>
  <c r="J14" i="19"/>
  <c r="AG221" i="3"/>
  <c r="J15" i="19"/>
  <c r="AG222" i="3"/>
  <c r="J16" i="19"/>
  <c r="AG223" i="3"/>
  <c r="J17" i="19"/>
  <c r="AG224" i="3"/>
  <c r="J18" i="19"/>
  <c r="B226" i="3"/>
  <c r="B234" i="3"/>
  <c r="AG228" i="3"/>
  <c r="J22" i="19"/>
  <c r="AG229" i="3"/>
  <c r="J23" i="19"/>
  <c r="AG230" i="3"/>
  <c r="J24" i="19"/>
  <c r="AG231" i="3"/>
  <c r="J25" i="19"/>
  <c r="AG232" i="3"/>
  <c r="J26" i="19"/>
  <c r="AG233" i="3"/>
  <c r="J27" i="19"/>
  <c r="AF192" i="3"/>
  <c r="AF207" i="3"/>
  <c r="AC199" i="3"/>
  <c r="AC192" i="3"/>
  <c r="Z198" i="3"/>
  <c r="AG198" i="3"/>
  <c r="I19" i="19"/>
  <c r="Z199" i="3"/>
  <c r="Z192" i="3"/>
  <c r="H234" i="3"/>
  <c r="A215" i="3"/>
  <c r="A216" i="3"/>
  <c r="A217" i="3"/>
  <c r="A218" i="3"/>
  <c r="A219" i="3"/>
  <c r="A220" i="3"/>
  <c r="A221" i="3"/>
  <c r="A222" i="3"/>
  <c r="A223" i="3"/>
  <c r="A224" i="3"/>
  <c r="A225" i="3"/>
  <c r="A226" i="3"/>
  <c r="A227" i="3"/>
  <c r="A228" i="3"/>
  <c r="A229" i="3"/>
  <c r="A230" i="3"/>
  <c r="A231" i="3"/>
  <c r="A232" i="3"/>
  <c r="A233" i="3"/>
  <c r="DY54" i="25"/>
  <c r="DY53" i="25"/>
  <c r="DY52" i="25"/>
  <c r="DY51" i="25"/>
  <c r="DY50" i="25"/>
  <c r="DY49" i="25"/>
  <c r="DY48" i="25"/>
  <c r="DY47" i="25"/>
  <c r="DY46" i="25"/>
  <c r="DY45" i="25"/>
  <c r="DY44" i="25"/>
  <c r="DY43" i="25"/>
  <c r="DY42" i="25"/>
  <c r="DY41" i="25"/>
  <c r="DY40" i="25"/>
  <c r="DY39" i="25"/>
  <c r="DY38" i="25"/>
  <c r="DY37" i="25"/>
  <c r="DY36" i="25"/>
  <c r="DY35" i="25"/>
  <c r="DY34" i="25"/>
  <c r="DY33" i="25"/>
  <c r="DY32" i="25"/>
  <c r="DY31" i="25"/>
  <c r="DY30" i="25"/>
  <c r="DY29" i="25"/>
  <c r="DY28" i="25"/>
  <c r="DY27" i="25"/>
  <c r="DY26" i="25"/>
  <c r="DY25" i="25"/>
  <c r="DY24" i="25"/>
  <c r="DY23" i="25"/>
  <c r="DY22" i="25"/>
  <c r="DY21" i="25"/>
  <c r="DY20" i="25"/>
  <c r="DY19" i="25"/>
  <c r="DY18" i="25"/>
  <c r="DY17" i="25"/>
  <c r="DY16" i="25"/>
  <c r="DY15" i="25"/>
  <c r="DY14" i="25"/>
  <c r="DY13" i="25"/>
  <c r="DY12" i="25"/>
  <c r="DY11" i="25"/>
  <c r="DY10" i="25"/>
  <c r="DY9" i="25"/>
  <c r="DY8" i="25"/>
  <c r="DY7" i="25"/>
  <c r="DY6" i="25"/>
  <c r="DX3" i="25"/>
  <c r="J10" i="1"/>
  <c r="AG188" i="3"/>
  <c r="I9" i="19"/>
  <c r="AG189" i="3"/>
  <c r="AG190" i="3"/>
  <c r="I11" i="19"/>
  <c r="AG191" i="3"/>
  <c r="I12" i="19"/>
  <c r="AG193" i="3"/>
  <c r="I14" i="19"/>
  <c r="AG194" i="3"/>
  <c r="I15" i="19"/>
  <c r="AG195" i="3"/>
  <c r="I16" i="19"/>
  <c r="AG196" i="3"/>
  <c r="I17" i="19"/>
  <c r="AG197" i="3"/>
  <c r="I18" i="19"/>
  <c r="AG200" i="3"/>
  <c r="I21" i="19"/>
  <c r="AG201" i="3"/>
  <c r="I22" i="19"/>
  <c r="AG202" i="3"/>
  <c r="I23" i="19"/>
  <c r="AG203" i="3"/>
  <c r="I24" i="19"/>
  <c r="AG204" i="3"/>
  <c r="I25" i="19"/>
  <c r="AG205" i="3"/>
  <c r="I26" i="19"/>
  <c r="AG206" i="3"/>
  <c r="I27" i="19"/>
  <c r="DC9" i="25"/>
  <c r="CZ9" i="25"/>
  <c r="CZ8" i="25"/>
  <c r="DC8" i="25"/>
  <c r="DM54" i="25"/>
  <c r="DM53" i="25"/>
  <c r="DM52" i="25"/>
  <c r="DM51" i="25"/>
  <c r="DM50" i="25"/>
  <c r="DM49" i="25"/>
  <c r="DM48" i="25"/>
  <c r="DM47" i="25"/>
  <c r="DM46" i="25"/>
  <c r="DM45" i="25"/>
  <c r="DM44" i="25"/>
  <c r="DM43" i="25"/>
  <c r="DM42" i="25"/>
  <c r="DM41" i="25"/>
  <c r="DM40" i="25"/>
  <c r="DM39" i="25"/>
  <c r="DM38" i="25"/>
  <c r="DM37" i="25"/>
  <c r="DM36" i="25"/>
  <c r="DM35" i="25"/>
  <c r="DM34" i="25"/>
  <c r="DM33" i="25"/>
  <c r="DM32" i="25"/>
  <c r="DM31" i="25"/>
  <c r="DM30" i="25"/>
  <c r="DM29" i="25"/>
  <c r="DM28" i="25"/>
  <c r="DM27" i="25"/>
  <c r="DM26" i="25"/>
  <c r="DM25" i="25"/>
  <c r="DM24" i="25"/>
  <c r="DM23" i="25"/>
  <c r="DM22" i="25"/>
  <c r="DK3" i="25"/>
  <c r="DM21" i="25"/>
  <c r="DM20" i="25"/>
  <c r="DM19" i="25"/>
  <c r="DM18" i="25"/>
  <c r="DM17" i="25"/>
  <c r="DM16" i="25"/>
  <c r="DM15" i="25"/>
  <c r="DM14" i="25"/>
  <c r="DM13" i="25"/>
  <c r="DM12" i="25"/>
  <c r="DM11" i="25"/>
  <c r="DM10" i="25"/>
  <c r="DM9" i="25"/>
  <c r="DM8" i="25"/>
  <c r="DM7" i="25"/>
  <c r="DM6" i="25"/>
  <c r="DL3" i="25"/>
  <c r="P199" i="3"/>
  <c r="P207" i="3"/>
  <c r="O199" i="3"/>
  <c r="O207" i="3"/>
  <c r="L199" i="3"/>
  <c r="J192" i="3"/>
  <c r="DA54" i="25"/>
  <c r="DA53" i="25"/>
  <c r="DA52" i="25"/>
  <c r="DA51" i="25"/>
  <c r="DA50" i="25"/>
  <c r="DA49" i="25"/>
  <c r="DA48" i="25"/>
  <c r="DA47" i="25"/>
  <c r="DA46" i="25"/>
  <c r="DA45" i="25"/>
  <c r="DA44" i="25"/>
  <c r="DA43" i="25"/>
  <c r="DA42" i="25"/>
  <c r="DA41" i="25"/>
  <c r="DA40" i="25"/>
  <c r="DA39" i="25"/>
  <c r="DA38" i="25"/>
  <c r="DA37" i="25"/>
  <c r="DA36" i="25"/>
  <c r="DA35" i="25"/>
  <c r="DA34" i="25"/>
  <c r="DA33" i="25"/>
  <c r="DA32" i="25"/>
  <c r="DA31" i="25"/>
  <c r="DA30" i="25"/>
  <c r="DA29" i="25"/>
  <c r="DA28" i="25"/>
  <c r="DA27" i="25"/>
  <c r="DA26" i="25"/>
  <c r="DA25" i="25"/>
  <c r="DA24" i="25"/>
  <c r="DA23" i="25"/>
  <c r="DA22" i="25"/>
  <c r="DA21" i="25"/>
  <c r="DA20" i="25"/>
  <c r="DA19" i="25"/>
  <c r="DA18" i="25"/>
  <c r="DA17" i="25"/>
  <c r="DA16" i="25"/>
  <c r="DA15" i="25"/>
  <c r="DA14" i="25"/>
  <c r="DA13" i="25"/>
  <c r="DA12" i="25"/>
  <c r="DA11" i="25"/>
  <c r="DA10" i="25"/>
  <c r="DA9" i="25"/>
  <c r="DA8" i="25"/>
  <c r="DA7" i="25"/>
  <c r="DA6" i="25"/>
  <c r="CZ3" i="25"/>
  <c r="H199" i="3"/>
  <c r="G199" i="3"/>
  <c r="G207" i="3"/>
  <c r="F199" i="3"/>
  <c r="E199" i="3"/>
  <c r="C192" i="3"/>
  <c r="B192" i="3"/>
  <c r="B207" i="3"/>
  <c r="O29" i="19"/>
  <c r="AF166" i="3"/>
  <c r="AD173" i="3"/>
  <c r="AD166" i="3"/>
  <c r="B5" i="23"/>
  <c r="E18" i="23"/>
  <c r="AD180" i="3"/>
  <c r="AC166" i="3"/>
  <c r="AC173" i="3"/>
  <c r="A188" i="3"/>
  <c r="A189" i="3"/>
  <c r="A190" i="3"/>
  <c r="A191" i="3"/>
  <c r="A192" i="3"/>
  <c r="A193" i="3"/>
  <c r="A194" i="3"/>
  <c r="A195" i="3"/>
  <c r="A196" i="3"/>
  <c r="A197" i="3"/>
  <c r="A198" i="3"/>
  <c r="A199" i="3"/>
  <c r="A200" i="3"/>
  <c r="A201" i="3"/>
  <c r="A202" i="3"/>
  <c r="A203" i="3"/>
  <c r="A204" i="3"/>
  <c r="A205" i="3"/>
  <c r="A206" i="3"/>
  <c r="AA173" i="3"/>
  <c r="AA181" i="3"/>
  <c r="Z173" i="3"/>
  <c r="Z166" i="3"/>
  <c r="X180" i="3"/>
  <c r="X173" i="3"/>
  <c r="W173" i="3"/>
  <c r="V173" i="3"/>
  <c r="V181" i="3"/>
  <c r="U166" i="3"/>
  <c r="U181" i="3"/>
  <c r="S166" i="3"/>
  <c r="S181" i="3"/>
  <c r="O166" i="3"/>
  <c r="O181" i="3"/>
  <c r="CO54" i="25"/>
  <c r="CO53" i="25"/>
  <c r="CO52" i="25"/>
  <c r="CO51" i="25"/>
  <c r="CO50" i="25"/>
  <c r="CO49" i="25"/>
  <c r="CO48" i="25"/>
  <c r="CO47" i="25"/>
  <c r="CO46" i="25"/>
  <c r="CO45" i="25"/>
  <c r="CO44" i="25"/>
  <c r="CO43" i="25"/>
  <c r="CO42" i="25"/>
  <c r="CO41" i="25"/>
  <c r="CO40" i="25"/>
  <c r="CO39" i="25"/>
  <c r="CO38" i="25"/>
  <c r="CO37" i="25"/>
  <c r="CO36" i="25"/>
  <c r="CO35" i="25"/>
  <c r="CO34" i="25"/>
  <c r="CO33" i="25"/>
  <c r="CO32" i="25"/>
  <c r="CO31" i="25"/>
  <c r="CO30" i="25"/>
  <c r="CO29" i="25"/>
  <c r="CO28" i="25"/>
  <c r="CO27" i="25"/>
  <c r="CO26" i="25"/>
  <c r="CO25" i="25"/>
  <c r="CO24" i="25"/>
  <c r="CO23" i="25"/>
  <c r="CO22" i="25"/>
  <c r="CM3" i="25"/>
  <c r="CO21" i="25"/>
  <c r="CO20" i="25"/>
  <c r="CO19" i="25"/>
  <c r="CO18" i="25"/>
  <c r="CO17" i="25"/>
  <c r="CO16" i="25"/>
  <c r="CO15" i="25"/>
  <c r="CO14" i="25"/>
  <c r="CO13" i="25"/>
  <c r="CO12" i="25"/>
  <c r="CO11" i="25"/>
  <c r="CO10" i="25"/>
  <c r="CO9" i="25"/>
  <c r="CO8" i="25"/>
  <c r="CO7" i="25"/>
  <c r="CO6" i="25"/>
  <c r="CN3" i="25"/>
  <c r="K173" i="3"/>
  <c r="K166" i="3"/>
  <c r="I173" i="3"/>
  <c r="I181" i="3"/>
  <c r="H173" i="3"/>
  <c r="H166" i="3"/>
  <c r="G173" i="3"/>
  <c r="G166" i="3"/>
  <c r="F173" i="3"/>
  <c r="F166" i="3"/>
  <c r="E173" i="3"/>
  <c r="D173" i="3"/>
  <c r="E166" i="3"/>
  <c r="AG165" i="3"/>
  <c r="H12" i="19"/>
  <c r="AG167" i="3"/>
  <c r="H14" i="19"/>
  <c r="AG172" i="3"/>
  <c r="H19" i="19"/>
  <c r="AG175" i="3"/>
  <c r="H22" i="19"/>
  <c r="H25" i="19"/>
  <c r="AG176" i="3"/>
  <c r="H23" i="19"/>
  <c r="AG170" i="3"/>
  <c r="H17" i="19"/>
  <c r="AG162" i="3"/>
  <c r="H9" i="19"/>
  <c r="AG163" i="3"/>
  <c r="AG164" i="3"/>
  <c r="H11" i="19"/>
  <c r="AG168" i="3"/>
  <c r="H15" i="19"/>
  <c r="AG169" i="3"/>
  <c r="H16" i="19"/>
  <c r="AG171" i="3"/>
  <c r="H18" i="19"/>
  <c r="AG174" i="3"/>
  <c r="H21" i="19"/>
  <c r="AG177" i="3"/>
  <c r="H24" i="19"/>
  <c r="AG178" i="3"/>
  <c r="AG179" i="3"/>
  <c r="H26" i="19"/>
  <c r="D166" i="3"/>
  <c r="C173" i="3"/>
  <c r="B181" i="3"/>
  <c r="A162" i="3"/>
  <c r="A163" i="3"/>
  <c r="A164" i="3"/>
  <c r="A165" i="3"/>
  <c r="A166" i="3"/>
  <c r="A167" i="3"/>
  <c r="A168" i="3"/>
  <c r="A169" i="3"/>
  <c r="A170" i="3"/>
  <c r="A171" i="3"/>
  <c r="A172" i="3"/>
  <c r="A173" i="3"/>
  <c r="A174" i="3"/>
  <c r="A175" i="3"/>
  <c r="A176" i="3"/>
  <c r="A177" i="3"/>
  <c r="A178" i="3"/>
  <c r="A179" i="3"/>
  <c r="A180" i="3"/>
  <c r="AE147" i="3"/>
  <c r="AE140" i="3"/>
  <c r="AD147" i="3"/>
  <c r="AD155" i="3"/>
  <c r="AC140" i="3"/>
  <c r="AC147" i="3"/>
  <c r="AB147" i="3"/>
  <c r="AB140" i="3"/>
  <c r="AB155" i="3"/>
  <c r="AA147" i="3"/>
  <c r="AA155" i="3"/>
  <c r="X147" i="3"/>
  <c r="X155" i="3"/>
  <c r="W140" i="3"/>
  <c r="W147" i="3"/>
  <c r="V140" i="3"/>
  <c r="V155" i="3"/>
  <c r="U147" i="3"/>
  <c r="U140" i="3"/>
  <c r="O5" i="1"/>
  <c r="P5" i="1"/>
  <c r="R140" i="3"/>
  <c r="R147" i="3"/>
  <c r="R148" i="3"/>
  <c r="AG148" i="3"/>
  <c r="G21" i="19"/>
  <c r="Q140" i="3"/>
  <c r="Q155" i="3"/>
  <c r="H12" i="1"/>
  <c r="O147" i="3"/>
  <c r="O155" i="3"/>
  <c r="N140" i="3"/>
  <c r="N155" i="3"/>
  <c r="J147" i="3"/>
  <c r="J140" i="3"/>
  <c r="CC54" i="25"/>
  <c r="CC53" i="25"/>
  <c r="CC52" i="25"/>
  <c r="CC51" i="25"/>
  <c r="CC50" i="25"/>
  <c r="CC49" i="25"/>
  <c r="CC48" i="25"/>
  <c r="CC7" i="25"/>
  <c r="CC19" i="25"/>
  <c r="CC27" i="25"/>
  <c r="CC35" i="25"/>
  <c r="CC6" i="25"/>
  <c r="CC8" i="25"/>
  <c r="CC9" i="25"/>
  <c r="CC10" i="25"/>
  <c r="CC11" i="25"/>
  <c r="CC12" i="25"/>
  <c r="CC13" i="25"/>
  <c r="CC14" i="25"/>
  <c r="CC15" i="25"/>
  <c r="CC16" i="25"/>
  <c r="CC17" i="25"/>
  <c r="CC18" i="25"/>
  <c r="CC20" i="25"/>
  <c r="CC21" i="25"/>
  <c r="CC22" i="25"/>
  <c r="CC23" i="25"/>
  <c r="CC24" i="25"/>
  <c r="CC25" i="25"/>
  <c r="CC26" i="25"/>
  <c r="CC28" i="25"/>
  <c r="CC29" i="25"/>
  <c r="CC30" i="25"/>
  <c r="CC31" i="25"/>
  <c r="CC32" i="25"/>
  <c r="CC33" i="25"/>
  <c r="CC34" i="25"/>
  <c r="CC36" i="25"/>
  <c r="CC37" i="25"/>
  <c r="CC38" i="25"/>
  <c r="CC39" i="25"/>
  <c r="CC40" i="25"/>
  <c r="CC41" i="25"/>
  <c r="CC42" i="25"/>
  <c r="CC43" i="25"/>
  <c r="CC44" i="25"/>
  <c r="CC45" i="25"/>
  <c r="CC46" i="25"/>
  <c r="CC47" i="25"/>
  <c r="CB3" i="25"/>
  <c r="I140" i="3"/>
  <c r="I155" i="3"/>
  <c r="G140" i="3"/>
  <c r="G155" i="3"/>
  <c r="F140" i="3"/>
  <c r="F155" i="3"/>
  <c r="D140" i="3"/>
  <c r="D155" i="3"/>
  <c r="BQ54" i="25"/>
  <c r="BQ53" i="25"/>
  <c r="BQ52" i="25"/>
  <c r="BQ51" i="25"/>
  <c r="BQ50" i="25"/>
  <c r="BQ49" i="25"/>
  <c r="BQ48" i="25"/>
  <c r="BQ47" i="25"/>
  <c r="BQ46" i="25"/>
  <c r="BQ45" i="25"/>
  <c r="BQ44" i="25"/>
  <c r="BQ43" i="25"/>
  <c r="BQ42" i="25"/>
  <c r="BQ41" i="25"/>
  <c r="BQ40" i="25"/>
  <c r="BQ22" i="25"/>
  <c r="BQ39" i="25"/>
  <c r="BQ38" i="25"/>
  <c r="BQ37" i="25"/>
  <c r="BQ36" i="25"/>
  <c r="BQ35" i="25"/>
  <c r="BQ34" i="25"/>
  <c r="BQ33" i="25"/>
  <c r="BQ32" i="25"/>
  <c r="BQ31" i="25"/>
  <c r="BQ30" i="25"/>
  <c r="BQ29" i="25"/>
  <c r="BQ28" i="25"/>
  <c r="BQ27" i="25"/>
  <c r="BQ26" i="25"/>
  <c r="BQ25" i="25"/>
  <c r="BQ24" i="25"/>
  <c r="BQ23" i="25"/>
  <c r="BQ21" i="25"/>
  <c r="BQ8" i="25"/>
  <c r="BQ16" i="25"/>
  <c r="BQ20" i="25"/>
  <c r="BQ19" i="25"/>
  <c r="BQ18" i="25"/>
  <c r="BQ17" i="25"/>
  <c r="BQ15" i="25"/>
  <c r="BQ14" i="25"/>
  <c r="BQ13" i="25"/>
  <c r="BQ12" i="25"/>
  <c r="BQ11" i="25"/>
  <c r="BQ10" i="25"/>
  <c r="BQ9" i="25"/>
  <c r="BQ6" i="25"/>
  <c r="BQ7" i="25"/>
  <c r="BP3" i="25"/>
  <c r="C147" i="3"/>
  <c r="C140" i="3"/>
  <c r="B146" i="3"/>
  <c r="AG146" i="3"/>
  <c r="G19" i="19"/>
  <c r="B140" i="3"/>
  <c r="AD116" i="3"/>
  <c r="AG116" i="3"/>
  <c r="F15" i="19"/>
  <c r="AD121" i="3"/>
  <c r="P155" i="3"/>
  <c r="AB114" i="3"/>
  <c r="AB129" i="3"/>
  <c r="X121" i="3"/>
  <c r="Y114" i="3"/>
  <c r="W120" i="3"/>
  <c r="X114" i="3"/>
  <c r="X129" i="3"/>
  <c r="W121" i="3"/>
  <c r="U114" i="3"/>
  <c r="T121" i="3"/>
  <c r="T129" i="3"/>
  <c r="S120" i="3"/>
  <c r="S129" i="3"/>
  <c r="R114" i="3"/>
  <c r="R120" i="3"/>
  <c r="Q121" i="3"/>
  <c r="O114" i="3"/>
  <c r="O129" i="3"/>
  <c r="AJ86" i="3"/>
  <c r="AI86" i="3"/>
  <c r="N121" i="3"/>
  <c r="N129" i="3"/>
  <c r="J114" i="3"/>
  <c r="J129" i="3"/>
  <c r="AG84" i="3"/>
  <c r="E9" i="19"/>
  <c r="AG85" i="3"/>
  <c r="E10" i="19"/>
  <c r="AG86" i="3"/>
  <c r="AG87" i="3"/>
  <c r="E12" i="19"/>
  <c r="AG89" i="3"/>
  <c r="E14" i="19"/>
  <c r="AG90" i="3"/>
  <c r="E15" i="19"/>
  <c r="AG91" i="3"/>
  <c r="E16" i="19"/>
  <c r="AG92" i="3"/>
  <c r="E17" i="19"/>
  <c r="AG93" i="3"/>
  <c r="E18" i="19"/>
  <c r="AG96" i="3"/>
  <c r="E21" i="19"/>
  <c r="AG97" i="3"/>
  <c r="E22" i="19"/>
  <c r="AG98" i="3"/>
  <c r="E23" i="19"/>
  <c r="AG99" i="3"/>
  <c r="E24" i="19"/>
  <c r="AG100" i="3"/>
  <c r="E25" i="19"/>
  <c r="AG101" i="3"/>
  <c r="E26" i="19"/>
  <c r="G24" i="19"/>
  <c r="G25" i="19"/>
  <c r="G120" i="3"/>
  <c r="G128" i="3"/>
  <c r="AG128" i="3"/>
  <c r="F27" i="19"/>
  <c r="G114" i="3"/>
  <c r="G121" i="3"/>
  <c r="F121" i="3"/>
  <c r="F114" i="3"/>
  <c r="BF47" i="25"/>
  <c r="BF54" i="25"/>
  <c r="BF53" i="25"/>
  <c r="BF52" i="25"/>
  <c r="BF51" i="25"/>
  <c r="BF50" i="25"/>
  <c r="BF49" i="25"/>
  <c r="BF48" i="25"/>
  <c r="BF39" i="25"/>
  <c r="BF46" i="25"/>
  <c r="BF45" i="25"/>
  <c r="BF44" i="25"/>
  <c r="BF43" i="25"/>
  <c r="BF42" i="25"/>
  <c r="BF41" i="25"/>
  <c r="BF40" i="25"/>
  <c r="BF24" i="25"/>
  <c r="BF38" i="25"/>
  <c r="BF37" i="25"/>
  <c r="BF36" i="25"/>
  <c r="BF35" i="25"/>
  <c r="BF34" i="25"/>
  <c r="BF33" i="25"/>
  <c r="BF32" i="25"/>
  <c r="BF31" i="25"/>
  <c r="BF30" i="25"/>
  <c r="BF29" i="25"/>
  <c r="BF28" i="25"/>
  <c r="BF27" i="25"/>
  <c r="BF26" i="25"/>
  <c r="BF25" i="25"/>
  <c r="BF16" i="25"/>
  <c r="BF23" i="25"/>
  <c r="BF22" i="25"/>
  <c r="BF21" i="25"/>
  <c r="BF20" i="25"/>
  <c r="BF8" i="25"/>
  <c r="BA3" i="25"/>
  <c r="BF19" i="25"/>
  <c r="BF18" i="25"/>
  <c r="BF17" i="25"/>
  <c r="BF15" i="25"/>
  <c r="BF14" i="25"/>
  <c r="BF13" i="25"/>
  <c r="BF12" i="25"/>
  <c r="BF11" i="25"/>
  <c r="BF10" i="25"/>
  <c r="BF9" i="25"/>
  <c r="BF7" i="25"/>
  <c r="BF6" i="25"/>
  <c r="BE3" i="25"/>
  <c r="D114" i="3"/>
  <c r="AG110" i="3"/>
  <c r="F9" i="19"/>
  <c r="AG111" i="3"/>
  <c r="F10" i="19"/>
  <c r="AG112" i="3"/>
  <c r="F11" i="19"/>
  <c r="AG113" i="3"/>
  <c r="F12" i="19"/>
  <c r="AG115" i="3"/>
  <c r="F14" i="19"/>
  <c r="AG117" i="3"/>
  <c r="F16" i="19"/>
  <c r="AG118" i="3"/>
  <c r="F17" i="19"/>
  <c r="AG119" i="3"/>
  <c r="F18" i="19"/>
  <c r="AG122" i="3"/>
  <c r="F21" i="19"/>
  <c r="AG123" i="3"/>
  <c r="F22" i="19"/>
  <c r="AG124" i="3"/>
  <c r="F23" i="19"/>
  <c r="AG125" i="3"/>
  <c r="F24" i="19"/>
  <c r="AG126" i="3"/>
  <c r="F25" i="19"/>
  <c r="AG127" i="3"/>
  <c r="F26" i="19"/>
  <c r="AC102" i="3"/>
  <c r="AG102" i="3"/>
  <c r="E27" i="19"/>
  <c r="AC88" i="3"/>
  <c r="AC95" i="3"/>
  <c r="Y94" i="3"/>
  <c r="Z88" i="3"/>
  <c r="Z103" i="3"/>
  <c r="Y88" i="3"/>
  <c r="Y103" i="3"/>
  <c r="W94" i="3"/>
  <c r="AG94" i="3"/>
  <c r="E19" i="19"/>
  <c r="W88" i="3"/>
  <c r="W95" i="3"/>
  <c r="AT53" i="25"/>
  <c r="AT52" i="25"/>
  <c r="AT51" i="25"/>
  <c r="AT50" i="25"/>
  <c r="AT49" i="25"/>
  <c r="AT48" i="25"/>
  <c r="AT47" i="25"/>
  <c r="AT46" i="25"/>
  <c r="AT45" i="25"/>
  <c r="AT44" i="25"/>
  <c r="AT43" i="25"/>
  <c r="AT42" i="25"/>
  <c r="AT41" i="25"/>
  <c r="AT40" i="25"/>
  <c r="AT39" i="25"/>
  <c r="AT38" i="25"/>
  <c r="AT37" i="25"/>
  <c r="AT36" i="25"/>
  <c r="AT35" i="25"/>
  <c r="AT34" i="25"/>
  <c r="AT33" i="25"/>
  <c r="AT32" i="25"/>
  <c r="AT31" i="25"/>
  <c r="AT30" i="25"/>
  <c r="AT29" i="25"/>
  <c r="AT28" i="25"/>
  <c r="AT27" i="25"/>
  <c r="AT26" i="25"/>
  <c r="AT25" i="25"/>
  <c r="AT24" i="25"/>
  <c r="AT23" i="25"/>
  <c r="AT22" i="25"/>
  <c r="AT21" i="25"/>
  <c r="AT20" i="25"/>
  <c r="AT19" i="25"/>
  <c r="AT18" i="25"/>
  <c r="AT17" i="25"/>
  <c r="AT16" i="25"/>
  <c r="AT15" i="25"/>
  <c r="AT14" i="25"/>
  <c r="AT13" i="25"/>
  <c r="AT12" i="25"/>
  <c r="AT11" i="25"/>
  <c r="AT10" i="25"/>
  <c r="AT9" i="25"/>
  <c r="AT8" i="25"/>
  <c r="AT7" i="25"/>
  <c r="AT6" i="25"/>
  <c r="AS3" i="25"/>
  <c r="V88" i="3"/>
  <c r="V103" i="3"/>
  <c r="U88" i="3"/>
  <c r="U103" i="3"/>
  <c r="F10" i="1"/>
  <c r="T88" i="3"/>
  <c r="T103" i="3"/>
  <c r="A136" i="3"/>
  <c r="A137" i="3"/>
  <c r="A138" i="3"/>
  <c r="A139" i="3"/>
  <c r="A140" i="3"/>
  <c r="A141" i="3"/>
  <c r="A142" i="3"/>
  <c r="A143" i="3"/>
  <c r="A144" i="3"/>
  <c r="A145" i="3"/>
  <c r="A146" i="3"/>
  <c r="A147" i="3"/>
  <c r="A148" i="3"/>
  <c r="A149" i="3"/>
  <c r="A150" i="3"/>
  <c r="A151" i="3"/>
  <c r="A152" i="3"/>
  <c r="A153" i="3"/>
  <c r="A154" i="3"/>
  <c r="Q88" i="3"/>
  <c r="Q103" i="3"/>
  <c r="O95" i="3"/>
  <c r="O88" i="3"/>
  <c r="M88" i="3"/>
  <c r="M103" i="3"/>
  <c r="K88" i="3"/>
  <c r="K103" i="3"/>
  <c r="H95" i="3"/>
  <c r="H88" i="3"/>
  <c r="E88" i="3"/>
  <c r="E95" i="3"/>
  <c r="D88" i="3"/>
  <c r="D103" i="3"/>
  <c r="B88" i="3"/>
  <c r="B103" i="3"/>
  <c r="H129" i="3"/>
  <c r="AE103" i="3"/>
  <c r="A110" i="3"/>
  <c r="A111" i="3"/>
  <c r="A112" i="3"/>
  <c r="A113" i="3"/>
  <c r="A114" i="3"/>
  <c r="A115" i="3"/>
  <c r="A116" i="3"/>
  <c r="A117" i="3"/>
  <c r="A118" i="3"/>
  <c r="A119" i="3"/>
  <c r="A120" i="3"/>
  <c r="A121" i="3"/>
  <c r="A122" i="3"/>
  <c r="A123" i="3"/>
  <c r="A124" i="3"/>
  <c r="A125" i="3"/>
  <c r="A126" i="3"/>
  <c r="A127" i="3"/>
  <c r="A128" i="3"/>
  <c r="AF62" i="3"/>
  <c r="AF69" i="3"/>
  <c r="AE69" i="3"/>
  <c r="AE62" i="3"/>
  <c r="AD69" i="3"/>
  <c r="AD62" i="3"/>
  <c r="AC69" i="3"/>
  <c r="AC77" i="3"/>
  <c r="AB69" i="3"/>
  <c r="AB77" i="3"/>
  <c r="Z69" i="3"/>
  <c r="Z62" i="3"/>
  <c r="Y69" i="3"/>
  <c r="Y77" i="3"/>
  <c r="X69" i="3"/>
  <c r="X77" i="3"/>
  <c r="U69" i="3"/>
  <c r="U77" i="3"/>
  <c r="W69" i="3"/>
  <c r="W77" i="3"/>
  <c r="V69" i="3"/>
  <c r="V77" i="3"/>
  <c r="V62" i="3"/>
  <c r="R62" i="3"/>
  <c r="S62" i="3"/>
  <c r="S77" i="3"/>
  <c r="E62" i="3"/>
  <c r="E77" i="3"/>
  <c r="D62" i="3"/>
  <c r="O16" i="1"/>
  <c r="P16" i="1"/>
  <c r="P21" i="1"/>
  <c r="P26" i="1"/>
  <c r="O11" i="1"/>
  <c r="B11" i="20"/>
  <c r="P11" i="1"/>
  <c r="O12" i="1"/>
  <c r="P12" i="1"/>
  <c r="O13" i="1"/>
  <c r="P13" i="1"/>
  <c r="O14" i="1"/>
  <c r="B14" i="20"/>
  <c r="O15" i="1"/>
  <c r="P15" i="1"/>
  <c r="B15" i="20"/>
  <c r="O17" i="1"/>
  <c r="P17" i="1"/>
  <c r="O18" i="1"/>
  <c r="B18" i="20"/>
  <c r="E18" i="20"/>
  <c r="O19" i="1"/>
  <c r="B19" i="20"/>
  <c r="O20" i="1"/>
  <c r="P20" i="1"/>
  <c r="B20" i="20"/>
  <c r="O21" i="1"/>
  <c r="O22" i="1"/>
  <c r="B22" i="20"/>
  <c r="O23" i="1"/>
  <c r="P23" i="1"/>
  <c r="O24" i="1"/>
  <c r="P24" i="1"/>
  <c r="O25" i="1"/>
  <c r="P25" i="1"/>
  <c r="B25" i="20"/>
  <c r="O26" i="1"/>
  <c r="O27" i="1"/>
  <c r="P27" i="1"/>
  <c r="O28" i="1"/>
  <c r="P28" i="1"/>
  <c r="O9" i="1"/>
  <c r="AF53" i="25"/>
  <c r="AF52" i="25"/>
  <c r="AF51" i="25"/>
  <c r="AF50" i="25"/>
  <c r="AF49" i="25"/>
  <c r="AF48" i="25"/>
  <c r="AF47" i="25"/>
  <c r="AF46" i="25"/>
  <c r="AF45" i="25"/>
  <c r="AF44" i="25"/>
  <c r="AF43" i="25"/>
  <c r="AF42" i="25"/>
  <c r="AF41" i="25"/>
  <c r="AF40" i="25"/>
  <c r="AF39" i="25"/>
  <c r="AF38" i="25"/>
  <c r="AF37" i="25"/>
  <c r="AF36" i="25"/>
  <c r="AF35" i="25"/>
  <c r="AF34" i="25"/>
  <c r="AF33" i="25"/>
  <c r="AF32" i="25"/>
  <c r="AF31" i="25"/>
  <c r="AF30" i="25"/>
  <c r="AF29" i="25"/>
  <c r="AF28" i="25"/>
  <c r="AF27" i="25"/>
  <c r="AF26" i="25"/>
  <c r="AF25" i="25"/>
  <c r="AF24" i="25"/>
  <c r="AF23" i="25"/>
  <c r="AF22" i="25"/>
  <c r="AF21" i="25"/>
  <c r="AF20" i="25"/>
  <c r="AF19" i="25"/>
  <c r="AF18" i="25"/>
  <c r="AF17" i="25"/>
  <c r="AF16" i="25"/>
  <c r="AF15" i="25"/>
  <c r="AF14" i="25"/>
  <c r="AF13" i="25"/>
  <c r="AF12" i="25"/>
  <c r="AF11" i="25"/>
  <c r="AF10" i="25"/>
  <c r="AF9" i="25"/>
  <c r="AF6" i="25"/>
  <c r="AF8" i="25"/>
  <c r="AF7" i="25"/>
  <c r="AC3" i="25"/>
  <c r="AE3" i="25"/>
  <c r="T62" i="3"/>
  <c r="T77" i="3"/>
  <c r="A58" i="3"/>
  <c r="A59" i="3"/>
  <c r="A60" i="3"/>
  <c r="A61" i="3"/>
  <c r="A62" i="3"/>
  <c r="A63" i="3"/>
  <c r="A64" i="3"/>
  <c r="A65" i="3"/>
  <c r="A66" i="3"/>
  <c r="A67" i="3"/>
  <c r="A68" i="3"/>
  <c r="A69" i="3"/>
  <c r="A70" i="3"/>
  <c r="A71" i="3"/>
  <c r="A72" i="3"/>
  <c r="A73" i="3"/>
  <c r="A74" i="3"/>
  <c r="A75" i="3"/>
  <c r="A76" i="3"/>
  <c r="AG58" i="3"/>
  <c r="D9" i="19"/>
  <c r="AG59" i="3"/>
  <c r="D10" i="19"/>
  <c r="AG60" i="3"/>
  <c r="D11" i="19"/>
  <c r="AG61" i="3"/>
  <c r="D12" i="19"/>
  <c r="AG63" i="3"/>
  <c r="D14" i="19"/>
  <c r="AG64" i="3"/>
  <c r="D15" i="19"/>
  <c r="AG65" i="3"/>
  <c r="D16" i="19"/>
  <c r="AG66" i="3"/>
  <c r="D17" i="19"/>
  <c r="AG67" i="3"/>
  <c r="D18" i="19"/>
  <c r="AG68" i="3"/>
  <c r="D19" i="19"/>
  <c r="AG70" i="3"/>
  <c r="D21" i="19"/>
  <c r="AG71" i="3"/>
  <c r="D22" i="19"/>
  <c r="AG72" i="3"/>
  <c r="D23" i="19"/>
  <c r="AG73" i="3"/>
  <c r="D24" i="19"/>
  <c r="AG74" i="3"/>
  <c r="D25" i="19"/>
  <c r="AG75" i="3"/>
  <c r="D26" i="19"/>
  <c r="AG76" i="3"/>
  <c r="D27" i="19"/>
  <c r="R69" i="3"/>
  <c r="Q62" i="3"/>
  <c r="Q77" i="3"/>
  <c r="O62" i="3"/>
  <c r="O69" i="3"/>
  <c r="B77" i="3"/>
  <c r="D69" i="3"/>
  <c r="D29" i="1"/>
  <c r="G12" i="1"/>
  <c r="J12" i="1"/>
  <c r="D9" i="10"/>
  <c r="C11" i="10"/>
  <c r="C12" i="10"/>
  <c r="C13" i="10"/>
  <c r="C10" i="10"/>
  <c r="D10" i="10"/>
  <c r="E10" i="10"/>
  <c r="F10" i="10"/>
  <c r="G10" i="10"/>
  <c r="H10" i="10"/>
  <c r="K10" i="10"/>
  <c r="D11" i="10"/>
  <c r="I11" i="10"/>
  <c r="J11" i="10"/>
  <c r="K11" i="10"/>
  <c r="L11" i="10"/>
  <c r="B10" i="10"/>
  <c r="C9" i="10"/>
  <c r="E9" i="10"/>
  <c r="E12" i="10"/>
  <c r="F9" i="10"/>
  <c r="G9" i="10"/>
  <c r="H9" i="10"/>
  <c r="I9" i="10"/>
  <c r="I12" i="10"/>
  <c r="I13" i="10"/>
  <c r="B9" i="10"/>
  <c r="C17" i="10"/>
  <c r="E11" i="10"/>
  <c r="C16" i="10"/>
  <c r="I10" i="10"/>
  <c r="C15" i="10"/>
  <c r="J9" i="10"/>
  <c r="K9" i="10"/>
  <c r="K12" i="10"/>
  <c r="K13" i="10"/>
  <c r="N77" i="3"/>
  <c r="C103" i="3"/>
  <c r="F103" i="3"/>
  <c r="G103" i="3"/>
  <c r="I103" i="3"/>
  <c r="J103" i="3"/>
  <c r="L103" i="3"/>
  <c r="N103" i="3"/>
  <c r="P103" i="3"/>
  <c r="R103" i="3"/>
  <c r="S103" i="3"/>
  <c r="X103" i="3"/>
  <c r="AA103" i="3"/>
  <c r="AB103" i="3"/>
  <c r="AD103" i="3"/>
  <c r="AF103" i="3"/>
  <c r="A84" i="3"/>
  <c r="A85" i="3"/>
  <c r="A86" i="3"/>
  <c r="A87" i="3"/>
  <c r="A88" i="3"/>
  <c r="A89" i="3"/>
  <c r="A90" i="3"/>
  <c r="A91" i="3"/>
  <c r="A92" i="3"/>
  <c r="A93" i="3"/>
  <c r="A94" i="3"/>
  <c r="A95" i="3"/>
  <c r="A96" i="3"/>
  <c r="A97" i="3"/>
  <c r="A98" i="3"/>
  <c r="A99" i="3"/>
  <c r="A100" i="3"/>
  <c r="A101" i="3"/>
  <c r="A102" i="3"/>
  <c r="AC34" i="3"/>
  <c r="AC51" i="3"/>
  <c r="E10" i="22"/>
  <c r="Y34" i="3"/>
  <c r="Y51" i="3"/>
  <c r="X51" i="3"/>
  <c r="W34" i="3"/>
  <c r="W51" i="3"/>
  <c r="C77" i="3"/>
  <c r="F77" i="3"/>
  <c r="P41" i="3"/>
  <c r="P51" i="3"/>
  <c r="O41" i="3"/>
  <c r="O51" i="3"/>
  <c r="R51" i="3"/>
  <c r="K41" i="3"/>
  <c r="K51" i="3"/>
  <c r="A41" i="3"/>
  <c r="J42" i="3"/>
  <c r="AG42" i="3"/>
  <c r="C21" i="19"/>
  <c r="J34" i="3"/>
  <c r="H34" i="3"/>
  <c r="H51" i="3"/>
  <c r="B17" i="20"/>
  <c r="B26" i="20"/>
  <c r="E26" i="20"/>
  <c r="B28" i="20"/>
  <c r="AG30" i="3"/>
  <c r="C9" i="19"/>
  <c r="AG31" i="3"/>
  <c r="C10" i="19"/>
  <c r="AG32" i="3"/>
  <c r="C11" i="19"/>
  <c r="O11" i="19" s="1"/>
  <c r="C12" i="20" s="1"/>
  <c r="AG33" i="3"/>
  <c r="C12" i="19"/>
  <c r="AG35" i="3"/>
  <c r="C14" i="19"/>
  <c r="AG36" i="3"/>
  <c r="C15" i="19"/>
  <c r="AG37" i="3"/>
  <c r="C16" i="19"/>
  <c r="AG38" i="3"/>
  <c r="C17" i="19"/>
  <c r="AG39" i="3"/>
  <c r="C18" i="19"/>
  <c r="AG40" i="3"/>
  <c r="C19" i="19"/>
  <c r="AG43" i="3"/>
  <c r="C22" i="19"/>
  <c r="AG44" i="3"/>
  <c r="C23" i="19"/>
  <c r="AG45" i="3"/>
  <c r="C24" i="19"/>
  <c r="AG46" i="3"/>
  <c r="C25" i="19"/>
  <c r="AG47" i="3"/>
  <c r="C26" i="19"/>
  <c r="AG48" i="3"/>
  <c r="C27" i="19"/>
  <c r="AG49" i="3"/>
  <c r="AG50" i="3"/>
  <c r="A9" i="20"/>
  <c r="A10" i="20"/>
  <c r="A11" i="20"/>
  <c r="A12" i="20"/>
  <c r="A13" i="20"/>
  <c r="A14" i="20"/>
  <c r="A15" i="20"/>
  <c r="A16" i="20"/>
  <c r="A17" i="20"/>
  <c r="A18" i="20"/>
  <c r="A19" i="20"/>
  <c r="A20" i="20"/>
  <c r="A21" i="20"/>
  <c r="A22" i="20"/>
  <c r="A23" i="20"/>
  <c r="A24" i="20"/>
  <c r="A25" i="20"/>
  <c r="A26" i="20"/>
  <c r="A27" i="20"/>
  <c r="A28" i="20"/>
  <c r="E34" i="3"/>
  <c r="E51" i="3"/>
  <c r="D12" i="10"/>
  <c r="G11" i="10"/>
  <c r="F11" i="10"/>
  <c r="F12" i="10"/>
  <c r="F13" i="10"/>
  <c r="H11" i="10"/>
  <c r="H12" i="10"/>
  <c r="H13" i="10"/>
  <c r="B11" i="10"/>
  <c r="B12" i="10"/>
  <c r="B13" i="10"/>
  <c r="J10" i="10"/>
  <c r="J12" i="10"/>
  <c r="J13" i="10"/>
  <c r="B41" i="3"/>
  <c r="T53" i="25"/>
  <c r="T52" i="25"/>
  <c r="T51" i="25"/>
  <c r="T50" i="25"/>
  <c r="T49" i="25"/>
  <c r="T48" i="25"/>
  <c r="T47" i="25"/>
  <c r="T46" i="25"/>
  <c r="T45" i="25"/>
  <c r="T44" i="25"/>
  <c r="T43" i="25"/>
  <c r="T42" i="25"/>
  <c r="T41" i="25"/>
  <c r="T40" i="25"/>
  <c r="T39" i="25"/>
  <c r="T38" i="25"/>
  <c r="T37" i="25"/>
  <c r="T36" i="25"/>
  <c r="T35" i="25"/>
  <c r="T34" i="25"/>
  <c r="T33" i="25"/>
  <c r="T32" i="25"/>
  <c r="T31" i="25"/>
  <c r="T30" i="25"/>
  <c r="T29" i="25"/>
  <c r="T28" i="25"/>
  <c r="T27" i="25"/>
  <c r="T26" i="25"/>
  <c r="T25" i="25"/>
  <c r="T24" i="25"/>
  <c r="T23" i="25"/>
  <c r="T22" i="25"/>
  <c r="T21" i="25"/>
  <c r="T20" i="25"/>
  <c r="T19" i="25"/>
  <c r="T18" i="25"/>
  <c r="T17" i="25"/>
  <c r="T16" i="25"/>
  <c r="T15" i="25"/>
  <c r="T14" i="25"/>
  <c r="T13" i="25"/>
  <c r="T12" i="25"/>
  <c r="T11" i="25"/>
  <c r="T10" i="25"/>
  <c r="T9" i="25"/>
  <c r="T8" i="25"/>
  <c r="T7" i="25"/>
  <c r="T6" i="25"/>
  <c r="S3" i="25"/>
  <c r="B23" i="1"/>
  <c r="B10" i="1"/>
  <c r="AD15" i="3"/>
  <c r="AD23" i="3"/>
  <c r="AC14" i="3"/>
  <c r="AG14" i="3"/>
  <c r="B19" i="19"/>
  <c r="I51" i="25"/>
  <c r="I28" i="25"/>
  <c r="I16" i="25"/>
  <c r="I15" i="25"/>
  <c r="I14" i="25"/>
  <c r="I12" i="25"/>
  <c r="I48" i="25"/>
  <c r="I33" i="25"/>
  <c r="I41" i="25"/>
  <c r="I21" i="25"/>
  <c r="I39" i="25"/>
  <c r="I17" i="25"/>
  <c r="I8" i="25"/>
  <c r="I24" i="25"/>
  <c r="I23" i="25"/>
  <c r="I19" i="25"/>
  <c r="I7" i="25"/>
  <c r="A15" i="3"/>
  <c r="AB8" i="3"/>
  <c r="AB23" i="3"/>
  <c r="I11" i="25"/>
  <c r="A3" i="3"/>
  <c r="Z8" i="3"/>
  <c r="AG8" i="3"/>
  <c r="Z15" i="3"/>
  <c r="AG15" i="3"/>
  <c r="B20" i="19"/>
  <c r="D13" i="10"/>
  <c r="AG4" i="3"/>
  <c r="B9" i="19"/>
  <c r="AG5" i="3"/>
  <c r="B10" i="19"/>
  <c r="O10" i="19" s="1"/>
  <c r="C11" i="20" s="1"/>
  <c r="AG6" i="3"/>
  <c r="B11" i="19"/>
  <c r="AG7" i="3"/>
  <c r="B12" i="19"/>
  <c r="AG9" i="3"/>
  <c r="B14" i="19"/>
  <c r="AG10" i="3"/>
  <c r="B15" i="19"/>
  <c r="AG11" i="3"/>
  <c r="B16" i="19"/>
  <c r="AG12" i="3"/>
  <c r="B17" i="19"/>
  <c r="AG13" i="3"/>
  <c r="B18" i="19"/>
  <c r="AG16" i="3"/>
  <c r="B21" i="19"/>
  <c r="AG17" i="3"/>
  <c r="B22" i="19"/>
  <c r="AG18" i="3"/>
  <c r="B23" i="19"/>
  <c r="AG19" i="3"/>
  <c r="B24" i="19"/>
  <c r="AG20" i="3"/>
  <c r="B25" i="19"/>
  <c r="AG21" i="3"/>
  <c r="B26" i="19"/>
  <c r="AG22" i="3"/>
  <c r="B27" i="19"/>
  <c r="C23" i="1"/>
  <c r="A48" i="3"/>
  <c r="A30" i="3"/>
  <c r="A31" i="3"/>
  <c r="A32" i="3"/>
  <c r="A33" i="3"/>
  <c r="A34" i="3"/>
  <c r="A35" i="3"/>
  <c r="A36" i="3"/>
  <c r="A37" i="3"/>
  <c r="A38" i="3"/>
  <c r="A39" i="3"/>
  <c r="A40" i="3"/>
  <c r="A42" i="3"/>
  <c r="A43" i="3"/>
  <c r="A44" i="3"/>
  <c r="A45" i="3"/>
  <c r="A46" i="3"/>
  <c r="A47" i="3"/>
  <c r="A9" i="19"/>
  <c r="A10" i="19"/>
  <c r="A11" i="19"/>
  <c r="A12" i="19"/>
  <c r="A13" i="19"/>
  <c r="A14" i="19"/>
  <c r="A15" i="19"/>
  <c r="A16" i="19"/>
  <c r="A17" i="19"/>
  <c r="A18" i="19"/>
  <c r="A19" i="19"/>
  <c r="A20" i="19"/>
  <c r="A21" i="19"/>
  <c r="A22" i="19"/>
  <c r="A23" i="19"/>
  <c r="A24" i="19"/>
  <c r="A25" i="19"/>
  <c r="A26" i="19"/>
  <c r="A27" i="19"/>
  <c r="A4" i="3"/>
  <c r="A5" i="3"/>
  <c r="A6" i="3"/>
  <c r="A7" i="3"/>
  <c r="A8" i="3"/>
  <c r="A9" i="3"/>
  <c r="A10" i="3"/>
  <c r="A11" i="3"/>
  <c r="A12" i="3"/>
  <c r="A13" i="3"/>
  <c r="A14" i="3"/>
  <c r="A16" i="3"/>
  <c r="A17" i="3"/>
  <c r="A18" i="3"/>
  <c r="A19" i="3"/>
  <c r="A20" i="3"/>
  <c r="A21" i="3"/>
  <c r="C6" i="1"/>
  <c r="I9" i="25"/>
  <c r="I10" i="25"/>
  <c r="I13" i="25"/>
  <c r="I18" i="25"/>
  <c r="I20" i="25"/>
  <c r="I22" i="25"/>
  <c r="I25" i="25"/>
  <c r="I26" i="25"/>
  <c r="I27" i="25"/>
  <c r="I29" i="25"/>
  <c r="I30" i="25"/>
  <c r="I31" i="25"/>
  <c r="I32" i="25"/>
  <c r="I34" i="25"/>
  <c r="I35" i="25"/>
  <c r="I36" i="25"/>
  <c r="I37" i="25"/>
  <c r="I38" i="25"/>
  <c r="I40" i="25"/>
  <c r="I42" i="25"/>
  <c r="I43" i="25"/>
  <c r="I44" i="25"/>
  <c r="I45" i="25"/>
  <c r="I46" i="25"/>
  <c r="I47" i="25"/>
  <c r="I49" i="25"/>
  <c r="I50" i="25"/>
  <c r="I52" i="25"/>
  <c r="I53" i="25"/>
  <c r="I6" i="25"/>
  <c r="H3" i="25"/>
  <c r="B10" i="22"/>
  <c r="A22" i="3"/>
  <c r="N29" i="1"/>
  <c r="D10" i="1"/>
  <c r="E10" i="1"/>
  <c r="E29" i="1"/>
  <c r="G10" i="1"/>
  <c r="G29" i="1"/>
  <c r="H10" i="1"/>
  <c r="H29" i="1"/>
  <c r="I10" i="1"/>
  <c r="O10" i="1"/>
  <c r="P10" i="1"/>
  <c r="I29" i="1"/>
  <c r="I31" i="1"/>
  <c r="J29" i="1"/>
  <c r="J31" i="1"/>
  <c r="K29" i="1"/>
  <c r="L29" i="1"/>
  <c r="M29" i="1"/>
  <c r="C10" i="1"/>
  <c r="C29" i="1"/>
  <c r="C31" i="1"/>
  <c r="M6" i="10"/>
  <c r="L6" i="10"/>
  <c r="J6" i="10"/>
  <c r="I6" i="10"/>
  <c r="H6" i="10"/>
  <c r="G6" i="10"/>
  <c r="F6" i="10"/>
  <c r="E6" i="10"/>
  <c r="D6" i="10"/>
  <c r="C6" i="10"/>
  <c r="B6" i="10"/>
  <c r="A5" i="10"/>
  <c r="A4" i="10"/>
  <c r="O3" i="10"/>
  <c r="M1" i="10"/>
  <c r="L1" i="10"/>
  <c r="K1" i="10"/>
  <c r="J1" i="10"/>
  <c r="I1" i="10"/>
  <c r="H1" i="10"/>
  <c r="G1" i="10"/>
  <c r="F1" i="10"/>
  <c r="E1" i="10"/>
  <c r="D1" i="10"/>
  <c r="C1" i="10"/>
  <c r="B1" i="10"/>
  <c r="AF312" i="3"/>
  <c r="AE312" i="3"/>
  <c r="AD312" i="3"/>
  <c r="AC312" i="3"/>
  <c r="AB312" i="3"/>
  <c r="AA312" i="3"/>
  <c r="Z312" i="3"/>
  <c r="Y312" i="3"/>
  <c r="X312" i="3"/>
  <c r="V312" i="3"/>
  <c r="T312" i="3"/>
  <c r="S312" i="3"/>
  <c r="R312" i="3"/>
  <c r="Q312" i="3"/>
  <c r="P312" i="3"/>
  <c r="O312" i="3"/>
  <c r="N312" i="3"/>
  <c r="M312" i="3"/>
  <c r="L312" i="3"/>
  <c r="K312" i="3"/>
  <c r="J312" i="3"/>
  <c r="H312" i="3"/>
  <c r="F312" i="3"/>
  <c r="E312" i="3"/>
  <c r="C312" i="3"/>
  <c r="M27" i="19"/>
  <c r="M26" i="19"/>
  <c r="O26" i="19"/>
  <c r="C27" i="20" s="1"/>
  <c r="M24" i="19"/>
  <c r="M23" i="19"/>
  <c r="M11" i="19"/>
  <c r="M10" i="19"/>
  <c r="AG292" i="3"/>
  <c r="M8" i="19" s="1"/>
  <c r="A292" i="3"/>
  <c r="AB286" i="3"/>
  <c r="AA286" i="3"/>
  <c r="Z286" i="3"/>
  <c r="X286" i="3"/>
  <c r="W286" i="3"/>
  <c r="V286" i="3"/>
  <c r="U286" i="3"/>
  <c r="T286" i="3"/>
  <c r="S286" i="3"/>
  <c r="Q286" i="3"/>
  <c r="P286" i="3"/>
  <c r="O286" i="3"/>
  <c r="N286" i="3"/>
  <c r="M286" i="3"/>
  <c r="L286" i="3"/>
  <c r="J286" i="3"/>
  <c r="I286" i="3"/>
  <c r="E286" i="3"/>
  <c r="D286" i="3"/>
  <c r="C286" i="3"/>
  <c r="B286" i="3"/>
  <c r="L27" i="19"/>
  <c r="O27" i="19" s="1"/>
  <c r="C28" i="20" s="1"/>
  <c r="L26" i="19"/>
  <c r="L25" i="19"/>
  <c r="L24" i="19"/>
  <c r="L23" i="19"/>
  <c r="L22" i="19"/>
  <c r="L19" i="19"/>
  <c r="L12" i="19"/>
  <c r="O12" i="19"/>
  <c r="C13" i="20" s="1"/>
  <c r="L11" i="19"/>
  <c r="L10" i="19"/>
  <c r="AG266" i="3"/>
  <c r="L8" i="19"/>
  <c r="L30" i="19" s="1"/>
  <c r="L32" i="19" s="1"/>
  <c r="A266" i="3"/>
  <c r="AF260" i="3"/>
  <c r="AE260" i="3"/>
  <c r="AD260" i="3"/>
  <c r="AC260" i="3"/>
  <c r="AA260" i="3"/>
  <c r="Z260" i="3"/>
  <c r="X260" i="3"/>
  <c r="W260" i="3"/>
  <c r="V260" i="3"/>
  <c r="U260" i="3"/>
  <c r="T260" i="3"/>
  <c r="S260" i="3"/>
  <c r="Q260" i="3"/>
  <c r="P260" i="3"/>
  <c r="O260" i="3"/>
  <c r="N260" i="3"/>
  <c r="M260" i="3"/>
  <c r="L260" i="3"/>
  <c r="K260" i="3"/>
  <c r="J260" i="3"/>
  <c r="I260" i="3"/>
  <c r="H260" i="3"/>
  <c r="F260" i="3"/>
  <c r="B260" i="3"/>
  <c r="AG240" i="3"/>
  <c r="K8" i="19"/>
  <c r="K30" i="19" s="1"/>
  <c r="A240" i="3"/>
  <c r="AE234" i="3"/>
  <c r="AD234" i="3"/>
  <c r="AC234" i="3"/>
  <c r="AA234" i="3"/>
  <c r="Z234" i="3"/>
  <c r="Y234" i="3"/>
  <c r="X234" i="3"/>
  <c r="W234" i="3"/>
  <c r="V234" i="3"/>
  <c r="U234" i="3"/>
  <c r="S234" i="3"/>
  <c r="R234" i="3"/>
  <c r="Q234" i="3"/>
  <c r="P234" i="3"/>
  <c r="O234" i="3"/>
  <c r="N234" i="3"/>
  <c r="M234" i="3"/>
  <c r="L234" i="3"/>
  <c r="K234" i="3"/>
  <c r="I234" i="3"/>
  <c r="G234" i="3"/>
  <c r="F234" i="3"/>
  <c r="D234" i="3"/>
  <c r="C234" i="3"/>
  <c r="AG214" i="3"/>
  <c r="J8" i="19"/>
  <c r="A214" i="3"/>
  <c r="AG187" i="3"/>
  <c r="I8" i="19"/>
  <c r="I30" i="19" s="1"/>
  <c r="I32" i="19" s="1"/>
  <c r="I10" i="19"/>
  <c r="AE207" i="3"/>
  <c r="AD207" i="3"/>
  <c r="AC207" i="3"/>
  <c r="AB207" i="3"/>
  <c r="AA207" i="3"/>
  <c r="Y207" i="3"/>
  <c r="X207" i="3"/>
  <c r="W207" i="3"/>
  <c r="V207" i="3"/>
  <c r="U207" i="3"/>
  <c r="T207" i="3"/>
  <c r="S207" i="3"/>
  <c r="R207" i="3"/>
  <c r="Q207" i="3"/>
  <c r="N207" i="3"/>
  <c r="M207" i="3"/>
  <c r="L207" i="3"/>
  <c r="K207" i="3"/>
  <c r="I207" i="3"/>
  <c r="H207" i="3"/>
  <c r="E207" i="3"/>
  <c r="D207" i="3"/>
  <c r="A187" i="3"/>
  <c r="AF181" i="3"/>
  <c r="AE181" i="3"/>
  <c r="AB181" i="3"/>
  <c r="Y181" i="3"/>
  <c r="W181" i="3"/>
  <c r="T181" i="3"/>
  <c r="R181" i="3"/>
  <c r="Q181" i="3"/>
  <c r="P181" i="3"/>
  <c r="N181" i="3"/>
  <c r="M181" i="3"/>
  <c r="L181" i="3"/>
  <c r="J181" i="3"/>
  <c r="G181" i="3"/>
  <c r="C181" i="3"/>
  <c r="AG161" i="3"/>
  <c r="H8" i="19"/>
  <c r="A161" i="3"/>
  <c r="AF155" i="3"/>
  <c r="AE155" i="3"/>
  <c r="Z155" i="3"/>
  <c r="Y155" i="3"/>
  <c r="T155" i="3"/>
  <c r="S155" i="3"/>
  <c r="M155" i="3"/>
  <c r="L155" i="3"/>
  <c r="K155" i="3"/>
  <c r="H155" i="3"/>
  <c r="E155" i="3"/>
  <c r="AG154" i="3"/>
  <c r="G27" i="19"/>
  <c r="G17" i="19"/>
  <c r="G16" i="19"/>
  <c r="G14" i="19"/>
  <c r="G10" i="19"/>
  <c r="G9" i="19"/>
  <c r="AG135" i="3"/>
  <c r="G8" i="19"/>
  <c r="G30" i="19" s="1"/>
  <c r="G32" i="19" s="1"/>
  <c r="A135" i="3"/>
  <c r="AF129" i="3"/>
  <c r="AE129" i="3"/>
  <c r="AC129" i="3"/>
  <c r="AA129" i="3"/>
  <c r="Z129" i="3"/>
  <c r="Y129" i="3"/>
  <c r="V129" i="3"/>
  <c r="U129" i="3"/>
  <c r="Q129" i="3"/>
  <c r="P129" i="3"/>
  <c r="M129" i="3"/>
  <c r="L129" i="3"/>
  <c r="K129" i="3"/>
  <c r="I129" i="3"/>
  <c r="E129" i="3"/>
  <c r="C129" i="3"/>
  <c r="B129" i="3"/>
  <c r="AG109" i="3"/>
  <c r="A109" i="3"/>
  <c r="E11" i="19"/>
  <c r="AG83" i="3"/>
  <c r="A83" i="3"/>
  <c r="AA77" i="3"/>
  <c r="P77" i="3"/>
  <c r="M77" i="3"/>
  <c r="L77" i="3"/>
  <c r="K77" i="3"/>
  <c r="J77" i="3"/>
  <c r="I77" i="3"/>
  <c r="H77" i="3"/>
  <c r="G77" i="3"/>
  <c r="AG57" i="3"/>
  <c r="D8" i="19"/>
  <c r="D30" i="19" s="1"/>
  <c r="D32" i="19" s="1"/>
  <c r="A57" i="3"/>
  <c r="AF51" i="3"/>
  <c r="AE51" i="3"/>
  <c r="AD51" i="3"/>
  <c r="AB51" i="3"/>
  <c r="AA51" i="3"/>
  <c r="Z51" i="3"/>
  <c r="V51" i="3"/>
  <c r="U51" i="3"/>
  <c r="T51" i="3"/>
  <c r="S51" i="3"/>
  <c r="Q51" i="3"/>
  <c r="N51" i="3"/>
  <c r="M51" i="3"/>
  <c r="L51" i="3"/>
  <c r="I51" i="3"/>
  <c r="G51" i="3"/>
  <c r="F51" i="3"/>
  <c r="D51" i="3"/>
  <c r="C51" i="3"/>
  <c r="AG29" i="3"/>
  <c r="C8" i="19"/>
  <c r="A29" i="3"/>
  <c r="AF23" i="3"/>
  <c r="AE23" i="3"/>
  <c r="AA23" i="3"/>
  <c r="Y23" i="3"/>
  <c r="X23" i="3"/>
  <c r="W23" i="3"/>
  <c r="V23" i="3"/>
  <c r="U23" i="3"/>
  <c r="T23" i="3"/>
  <c r="S23" i="3"/>
  <c r="R23" i="3"/>
  <c r="Q23" i="3"/>
  <c r="P23" i="3"/>
  <c r="O23" i="3"/>
  <c r="N23" i="3"/>
  <c r="M23" i="3"/>
  <c r="L23" i="3"/>
  <c r="K23" i="3"/>
  <c r="J23" i="3"/>
  <c r="I23" i="3"/>
  <c r="H23" i="3"/>
  <c r="G23" i="3"/>
  <c r="F23" i="3"/>
  <c r="E23" i="3"/>
  <c r="D23" i="3"/>
  <c r="C23" i="3"/>
  <c r="B23" i="3"/>
  <c r="AG3" i="3"/>
  <c r="B8" i="19"/>
  <c r="B30" i="19" s="1"/>
  <c r="B32" i="19" s="1"/>
  <c r="B21" i="20"/>
  <c r="N32" i="19"/>
  <c r="A8" i="19"/>
  <c r="M5" i="19"/>
  <c r="L5" i="19"/>
  <c r="K5" i="19"/>
  <c r="J5" i="19"/>
  <c r="G5" i="19"/>
  <c r="E5" i="19"/>
  <c r="D5" i="19"/>
  <c r="C5" i="19"/>
  <c r="B5" i="19"/>
  <c r="I5" i="19"/>
  <c r="H5" i="19"/>
  <c r="F5" i="19"/>
  <c r="O4" i="19"/>
  <c r="O5" i="19" s="1"/>
  <c r="C4" i="20" s="1"/>
  <c r="O3" i="19"/>
  <c r="M1" i="19"/>
  <c r="L1" i="19"/>
  <c r="K1" i="19"/>
  <c r="J1" i="19"/>
  <c r="I1" i="19"/>
  <c r="H1" i="19"/>
  <c r="G1" i="19"/>
  <c r="F1" i="19"/>
  <c r="E1" i="19"/>
  <c r="D1" i="19"/>
  <c r="C1" i="19"/>
  <c r="B1" i="19"/>
  <c r="F6" i="1"/>
  <c r="B29" i="1"/>
  <c r="B24" i="20"/>
  <c r="M6" i="1"/>
  <c r="M31" i="1"/>
  <c r="L6" i="1"/>
  <c r="L31" i="1"/>
  <c r="K6" i="1"/>
  <c r="J6" i="1"/>
  <c r="I6" i="1"/>
  <c r="H6" i="1"/>
  <c r="G6" i="1"/>
  <c r="E6" i="1"/>
  <c r="D6" i="1"/>
  <c r="B6" i="1"/>
  <c r="O4" i="1"/>
  <c r="P4" i="1"/>
  <c r="F29" i="1"/>
  <c r="F31" i="1"/>
  <c r="C2" i="20"/>
  <c r="E31" i="1"/>
  <c r="G31" i="1"/>
  <c r="B31" i="1"/>
  <c r="D31" i="1"/>
  <c r="O28" i="19"/>
  <c r="E13" i="10"/>
  <c r="H31" i="1"/>
  <c r="AI88" i="3"/>
  <c r="B16" i="20"/>
  <c r="C207" i="3"/>
  <c r="H10" i="19"/>
  <c r="K31" i="1"/>
  <c r="P22" i="1"/>
  <c r="B23" i="20"/>
  <c r="B13" i="20"/>
  <c r="P18" i="1"/>
  <c r="B27" i="20"/>
  <c r="B10" i="20"/>
  <c r="P9" i="1"/>
  <c r="B9" i="20"/>
  <c r="B51" i="3"/>
  <c r="F207" i="3"/>
  <c r="D181" i="3"/>
  <c r="AB234" i="3"/>
  <c r="G12" i="10"/>
  <c r="G13" i="10"/>
  <c r="R260" i="3"/>
  <c r="P19" i="1"/>
  <c r="B12" i="20"/>
  <c r="AG114" i="3"/>
  <c r="F13" i="19"/>
  <c r="G129" i="3"/>
  <c r="E181" i="3"/>
  <c r="U155" i="3"/>
  <c r="AG225" i="3"/>
  <c r="J19" i="19"/>
  <c r="J30" i="19" s="1"/>
  <c r="J32" i="19" s="1"/>
  <c r="AC155" i="3"/>
  <c r="R77" i="3"/>
  <c r="X181" i="3"/>
  <c r="AG95" i="3"/>
  <c r="E20" i="19"/>
  <c r="J155" i="3"/>
  <c r="AG219" i="3"/>
  <c r="AG69" i="3"/>
  <c r="D20" i="19"/>
  <c r="W103" i="3"/>
  <c r="J51" i="3"/>
  <c r="AE77" i="3"/>
  <c r="R129" i="3"/>
  <c r="C155" i="3"/>
  <c r="Z181" i="3"/>
  <c r="Z77" i="3"/>
  <c r="AF77" i="3"/>
  <c r="AG226" i="3"/>
  <c r="J20" i="19"/>
  <c r="W155" i="3"/>
  <c r="O77" i="3"/>
  <c r="H103" i="3"/>
  <c r="AD129" i="3"/>
  <c r="R155" i="3"/>
  <c r="Z23" i="3"/>
  <c r="AG34" i="3"/>
  <c r="C13" i="19"/>
  <c r="AG140" i="3"/>
  <c r="AG147" i="3"/>
  <c r="G20" i="19"/>
  <c r="AG173" i="3"/>
  <c r="H20" i="19"/>
  <c r="AG252" i="3"/>
  <c r="K20" i="19"/>
  <c r="AC181" i="3"/>
  <c r="AG199" i="3"/>
  <c r="I20" i="19"/>
  <c r="H181" i="3"/>
  <c r="AG88" i="3"/>
  <c r="E13" i="19"/>
  <c r="O103" i="3"/>
  <c r="AG121" i="3"/>
  <c r="F20" i="19"/>
  <c r="AG192" i="3"/>
  <c r="AD77" i="3"/>
  <c r="E103" i="3"/>
  <c r="AG120" i="3"/>
  <c r="F19" i="19"/>
  <c r="W129" i="3"/>
  <c r="AD181" i="3"/>
  <c r="Z207" i="3"/>
  <c r="T234" i="3"/>
  <c r="AG62" i="3"/>
  <c r="AG77" i="3"/>
  <c r="F181" i="3"/>
  <c r="K181" i="3"/>
  <c r="G13" i="19"/>
  <c r="AG155" i="3"/>
  <c r="J13" i="19"/>
  <c r="AG23" i="3"/>
  <c r="B13" i="19"/>
  <c r="F129" i="3"/>
  <c r="F8" i="19"/>
  <c r="F30" i="19" s="1"/>
  <c r="F32" i="19" s="1"/>
  <c r="AC23" i="3"/>
  <c r="B155" i="3"/>
  <c r="J207" i="3"/>
  <c r="AG227" i="3"/>
  <c r="J21" i="19"/>
  <c r="AG41" i="3"/>
  <c r="C20" i="19"/>
  <c r="AC103" i="3"/>
  <c r="D77" i="3"/>
  <c r="E8" i="19"/>
  <c r="AG180" i="3"/>
  <c r="H27" i="19"/>
  <c r="D129" i="3"/>
  <c r="AG245" i="3"/>
  <c r="AG166" i="3"/>
  <c r="Y260" i="3"/>
  <c r="AG234" i="3"/>
  <c r="AG207" i="3"/>
  <c r="AG51" i="3"/>
  <c r="AG129" i="3"/>
  <c r="D13" i="19"/>
  <c r="I13" i="19"/>
  <c r="C30" i="19"/>
  <c r="C32" i="19"/>
  <c r="AG103" i="3"/>
  <c r="H13" i="19"/>
  <c r="K13" i="19"/>
  <c r="GE3" i="25"/>
  <c r="R286" i="3"/>
  <c r="O29" i="1"/>
  <c r="P14" i="1"/>
  <c r="B29" i="20"/>
  <c r="FU3" i="25"/>
  <c r="GB3" i="25"/>
  <c r="G27" i="22"/>
  <c r="K286" i="3"/>
  <c r="B5" i="20"/>
  <c r="P29" i="1"/>
  <c r="H30" i="19"/>
  <c r="H32" i="19" s="1"/>
  <c r="E30" i="19"/>
  <c r="E32" i="19"/>
  <c r="FQ3" i="25"/>
  <c r="GC3" i="25"/>
  <c r="GD3" i="25"/>
  <c r="AA3" i="25"/>
  <c r="AD3" i="25"/>
  <c r="BC3" i="25"/>
  <c r="BY3" i="25"/>
  <c r="DA3" i="25"/>
  <c r="CX3" i="25"/>
  <c r="DY3" i="25"/>
  <c r="EH3" i="25"/>
  <c r="FR3" i="25"/>
  <c r="FU4" i="25"/>
  <c r="D3" i="25"/>
  <c r="BF3" i="25"/>
  <c r="BX3" i="25"/>
  <c r="BZ3" i="25"/>
  <c r="DT3" i="25"/>
  <c r="FF3" i="25"/>
  <c r="Q3" i="25"/>
  <c r="G3" i="25"/>
  <c r="R3" i="25"/>
  <c r="GG3" i="25"/>
  <c r="CV3" i="25"/>
  <c r="E3" i="25"/>
  <c r="T3" i="25"/>
  <c r="AR3" i="25"/>
  <c r="AQ3" i="25"/>
  <c r="BL3" i="25"/>
  <c r="DM3" i="25"/>
  <c r="DI3" i="25"/>
  <c r="DH3" i="25"/>
  <c r="DW3" i="25"/>
  <c r="EF3" i="25"/>
  <c r="EI3" i="25"/>
  <c r="EG3" i="25"/>
  <c r="EW3" i="25"/>
  <c r="ES3" i="25"/>
  <c r="ER3" i="25"/>
  <c r="FD3" i="25"/>
  <c r="GG4" i="25"/>
  <c r="BQ3" i="25"/>
  <c r="CA3" i="25"/>
  <c r="CL3" i="25"/>
  <c r="CY3" i="25"/>
  <c r="CO3" i="25"/>
  <c r="FI3" i="25"/>
  <c r="DU3" i="25"/>
  <c r="DY4" i="25"/>
  <c r="BD3" i="25"/>
  <c r="I3" i="25"/>
  <c r="AB3" i="25"/>
  <c r="F3" i="25"/>
  <c r="AF3" i="25"/>
  <c r="AT3" i="25"/>
  <c r="AO3" i="25"/>
  <c r="BB3" i="25"/>
  <c r="BM3" i="25"/>
  <c r="BN3" i="25"/>
  <c r="BO3" i="25"/>
  <c r="CK3" i="25"/>
  <c r="CW3" i="25"/>
  <c r="DV3" i="25"/>
  <c r="O3" i="25"/>
  <c r="CC3" i="25"/>
  <c r="P3" i="25"/>
  <c r="ET3" i="25"/>
  <c r="EK3" i="25"/>
  <c r="FE3" i="25"/>
  <c r="AP3" i="25"/>
  <c r="DJ3" i="25"/>
  <c r="DM4" i="25"/>
  <c r="CJ3" i="25"/>
  <c r="K11" i="19"/>
  <c r="AG181" i="3"/>
  <c r="BO286" i="3"/>
  <c r="L9" i="19"/>
  <c r="L9" i="10"/>
  <c r="BF4" i="25"/>
  <c r="AF4" i="25"/>
  <c r="CC4" i="25"/>
  <c r="I4" i="25"/>
  <c r="AT4" i="25"/>
  <c r="FI4" i="25"/>
  <c r="T4" i="25"/>
  <c r="EK4" i="25"/>
  <c r="EW4" i="25"/>
  <c r="DA4" i="25"/>
  <c r="BQ4" i="25"/>
  <c r="CO4" i="25"/>
  <c r="L12" i="10"/>
  <c r="L13" i="10"/>
  <c r="L20" i="19"/>
  <c r="L21" i="19"/>
  <c r="AG286" i="3"/>
  <c r="O18" i="19"/>
  <c r="C19" i="20"/>
  <c r="E19" i="20"/>
  <c r="O17" i="19"/>
  <c r="C18" i="20" s="1"/>
  <c r="D18" i="20" s="1"/>
  <c r="O23" i="19"/>
  <c r="C24" i="20"/>
  <c r="D24" i="20" s="1"/>
  <c r="O6" i="1"/>
  <c r="O31" i="1"/>
  <c r="P31" i="1"/>
  <c r="P6" i="1"/>
  <c r="B4" i="20"/>
  <c r="B6" i="20"/>
  <c r="O9" i="10"/>
  <c r="M11" i="10"/>
  <c r="O11" i="10"/>
  <c r="M10" i="10"/>
  <c r="O10" i="10"/>
  <c r="O4" i="10"/>
  <c r="O24" i="19"/>
  <c r="C25" i="20" s="1"/>
  <c r="D19" i="20"/>
  <c r="G312" i="3"/>
  <c r="M12" i="10"/>
  <c r="M13" i="10"/>
  <c r="O13" i="10"/>
  <c r="O12" i="10"/>
  <c r="K6" i="10" l="1"/>
  <c r="K32" i="19"/>
  <c r="D15" i="20"/>
  <c r="E15" i="20"/>
  <c r="O22" i="19"/>
  <c r="C23" i="20" s="1"/>
  <c r="D4" i="20"/>
  <c r="E4" i="20"/>
  <c r="O19" i="19"/>
  <c r="C20" i="20" s="1"/>
  <c r="E22" i="20"/>
  <c r="D22" i="20"/>
  <c r="E25" i="20"/>
  <c r="D25" i="20"/>
  <c r="O8" i="19"/>
  <c r="C9" i="20" s="1"/>
  <c r="D10" i="20"/>
  <c r="E10" i="20"/>
  <c r="E27" i="20"/>
  <c r="D27" i="20"/>
  <c r="E11" i="20"/>
  <c r="D11" i="20"/>
  <c r="E17" i="20"/>
  <c r="D17" i="20"/>
  <c r="D28" i="20"/>
  <c r="E28" i="20"/>
  <c r="D16" i="20"/>
  <c r="E16" i="20"/>
  <c r="D12" i="20"/>
  <c r="E12" i="20"/>
  <c r="D13" i="20"/>
  <c r="E13" i="20"/>
  <c r="E23" i="20"/>
  <c r="D23" i="20"/>
  <c r="E24" i="20"/>
  <c r="E20" i="20"/>
  <c r="D20" i="20"/>
  <c r="AG297" i="3"/>
  <c r="M13" i="19" s="1"/>
  <c r="O13" i="19" s="1"/>
  <c r="C14" i="20" s="1"/>
  <c r="D14" i="20" s="1"/>
  <c r="E20" i="23"/>
  <c r="H18" i="23" s="1"/>
  <c r="F14" i="23"/>
  <c r="M20" i="19"/>
  <c r="U312" i="3"/>
  <c r="AG312" i="3" l="1"/>
  <c r="E14" i="20"/>
  <c r="E9" i="20"/>
  <c r="D9" i="20"/>
  <c r="M30" i="19"/>
  <c r="M32" i="19" s="1"/>
  <c r="O20" i="19"/>
  <c r="O30" i="19" l="1"/>
  <c r="C21" i="20"/>
  <c r="D21" i="20" l="1"/>
  <c r="D29" i="20" s="1"/>
  <c r="E21" i="20"/>
  <c r="C29" i="20"/>
  <c r="C5" i="20"/>
  <c r="O32" i="19"/>
  <c r="D5" i="20" l="1"/>
  <c r="C6" i="20"/>
  <c r="D6" i="20" s="1"/>
  <c r="E5"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tc={D3349D0F-0368-6A45-B0B6-69C0AA567E51}</author>
  </authors>
  <commentList>
    <comment ref="K4" authorId="0" shapeId="0" xr:uid="{D3349D0F-0368-6A45-B0B6-69C0AA567E51}">
      <text>
        <t xml:space="preserve">[Threaded comment]
Your version of Excel allows you to read this threaded comment; however, any edits to it will get removed if the file is opened in a newer version of Excel. Learn more: https://go.microsoft.com/fwlink/?linkid=870924
Comment:
    Rent loan (actually received on 27/09/23
Reply:
    Plus gratis sales, strawberry. And coffee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tc={7E7F0600-6317-8747-A7CD-0FC11E6FEC6B}</author>
    <author>Microsoft Office User</author>
    <author>tc={00713BC5-3D49-6940-8682-087D865AEF2B}</author>
    <author>tc={5364ECA6-7BF5-AD4F-A6C9-A1DC171D74F7}</author>
    <author>tc={E77F79F9-4167-B24A-AF03-2D92A7010652}</author>
    <author>tc={A59BB960-D62D-4F44-A1BD-6BA41113F0B2}</author>
    <author>tc={7FDF28DC-9505-214F-A2DC-CAAA1CED7C8B}</author>
    <author>tc={D49FC66B-045E-9C42-BFF2-57D1540C3C23}</author>
    <author>tc={5E6CAB57-8683-B741-A17C-53A8BF92F18D}</author>
    <author>tc={B0A11BF9-753B-4341-A784-457205E0E0D1}</author>
    <author>tc={5A33FEBF-7F13-864A-B695-A1E29D5A6C6D}</author>
    <author>tc={EB0AA160-7567-1542-A3D3-507C12CD875F}</author>
    <author>tc={015FAB10-AFAF-6046-A79E-5263F9063930}</author>
    <author>tc={0FEE39CB-ABD9-3E4C-8CF5-B1EBF62A3FCF}</author>
    <author>tc={C35CC5F7-53E6-1042-94C1-AA9494DFE842}</author>
    <author>tc={D6B9BC24-ABF1-B842-B5E2-732708DFE72D}</author>
    <author>tc={CC768C5B-D8CB-2841-81D4-60BAE3AEA40B}</author>
    <author>tc={B43E2964-87A2-D342-948E-E6ECA8964F92}</author>
    <author>tc={6FA554FF-529D-3E4C-99D1-4BE8DD996507}</author>
    <author>tc={6094491F-AD67-5242-A0CA-DCAAFC9AA0D9}</author>
    <author>tc={2B086A58-419A-DD48-B8DF-8A93E4AC02CC}</author>
    <author>tc={4BE0F747-671B-A941-93F3-421244B7214A}</author>
    <author>tc={9B531ECF-1885-5B4B-BCF3-3171A57A76A8}</author>
    <author>tc={043DDF6A-BFF2-5C48-BB70-F3D9BBDD29C4}</author>
    <author>tc={4EA8C925-C2EA-524E-9469-50DC6CDE2455}</author>
    <author>tc={957539C1-0103-F948-A8EF-4A851DFDE8FA}</author>
    <author>tc={8C233738-3C0A-2142-96AC-19A33670CA43}</author>
    <author>tc={1B6E9BCE-0678-244D-82CA-8F07120CA5DC}</author>
    <author>tc={74B740C7-5AC0-554F-AA29-DEEE4BA3ED26}</author>
    <author>tc={7663DB03-0BF5-A14D-A563-20BACC53A85A}</author>
    <author>tc={0E454D1D-E14B-034D-B5F5-2F7EA171B869}</author>
    <author>tc={47ADFA99-83E6-7148-BB8E-B6FAD8084E8C}</author>
    <author>tc={63F6FB0B-08BC-BC4A-B60A-A5D05A28AC71}</author>
    <author>tc={F46A4B0A-D4A4-7443-85D1-28332C77BEC0}</author>
    <author>tc={84620177-9F8C-FB4A-85BD-196C1F93EB9B}</author>
    <author>tc={EE8A82C8-59A3-854F-A574-EAB8D1038E8F}</author>
    <author>tc={AFEE81F8-E472-A24F-B5C4-AFBD0CC78A6B}</author>
    <author>tc={8E3D47D2-ACDE-784A-8039-AF1CEF8523B8}</author>
    <author>tc={E3AAAB5B-BE98-7448-A10C-DCC471663C20}</author>
    <author>tc={E2941D6A-2C1D-AD46-97D0-4DA7870F8737}</author>
    <author>tc={0F6DF0C0-C31E-0244-B6F9-92ED7D6C4E4F}</author>
    <author>tc={89AE3E54-CB50-784F-82E1-A51FC7292AA4}</author>
    <author>tc={515EF8F9-D29F-8A4A-8712-25D27F293CF4}</author>
    <author>tc={0A595B69-6B46-C84B-9EAE-9890075971DA}</author>
    <author>tc={122FD808-A1C3-F745-A99E-B524B7852E18}</author>
  </authors>
  <commentList>
    <comment ref="AD193" authorId="0" shapeId="0" xr:uid="{7E7F0600-6317-8747-A7CD-0FC11E6FEC6B}">
      <text>
        <t>[Threaded comment]
Your version of Excel allows you to read this threaded comment; however, any edits to it will get removed if the file is opened in a newer version of Excel. Learn more: https://go.microsoft.com/fwlink/?linkid=870924
Comment:
    Larissa’s Eyedrops</t>
      </text>
    </comment>
    <comment ref="Y200" authorId="1" shapeId="0" xr:uid="{EFABC4BB-43C6-D14D-A2AB-9E93826665FB}">
      <text>
        <r>
          <rPr>
            <b/>
            <sz val="10"/>
            <color rgb="FF000000"/>
            <rFont val="Tahoma"/>
            <family val="2"/>
          </rPr>
          <t xml:space="preserve">delivery fee for skin care products
</t>
        </r>
      </text>
    </comment>
    <comment ref="AC200" authorId="1" shapeId="0" xr:uid="{2B8AF5F1-BC79-0741-B0C4-16090A2179E3}">
      <text/>
    </comment>
    <comment ref="AC219" authorId="2" shapeId="0" xr:uid="{00713BC5-3D49-6940-8682-087D865AEF2B}">
      <text>
        <t>[Threaded comment]
Your version of Excel allows you to read this threaded comment; however, any edits to it will get removed if the file is opened in a newer version of Excel. Learn more: https://go.microsoft.com/fwlink/?linkid=870924
Comment:
    Waakye for Larissa</t>
      </text>
    </comment>
    <comment ref="E220" authorId="3" shapeId="0" xr:uid="{5364ECA6-7BF5-AD4F-A6C9-A1DC171D74F7}">
      <text>
        <t xml:space="preserve">[Threaded comment]
Your version of Excel allows you to read this threaded comment; however, any edits to it will get removed if the file is opened in a newer version of Excel. Learn more: https://go.microsoft.com/fwlink/?linkid=870924
Comment:
    Triple action cream and Floss
</t>
      </text>
    </comment>
    <comment ref="AA225" authorId="4" shapeId="0" xr:uid="{E77F79F9-4167-B24A-AF03-2D92A7010652}">
      <text>
        <t>[Threaded comment]
Your version of Excel allows you to read this threaded comment; however, any edits to it will get removed if the file is opened in a newer version of Excel. Learn more: https://go.microsoft.com/fwlink/?linkid=870924
Comment:
    Shaving stick</t>
      </text>
    </comment>
    <comment ref="B226" authorId="5" shapeId="0" xr:uid="{A59BB960-D62D-4F44-A1BD-6BA41113F0B2}">
      <text>
        <t>[Threaded comment]
Your version of Excel allows you to read this threaded comment; however, any edits to it will get removed if the file is opened in a newer version of Excel. Learn more: https://go.microsoft.com/fwlink/?linkid=870924
Comment:
    Uber Double charged: expecting a refund of 44ghc</t>
      </text>
    </comment>
    <comment ref="F226" authorId="6" shapeId="0" xr:uid="{7FDF28DC-9505-214F-A2DC-CAAA1CED7C8B}">
      <text>
        <t xml:space="preserve">[Threaded comment]
Your version of Excel allows you to read this threaded comment; however, any edits to it will get removed if the file is opened in a newer version of Excel. Learn more: https://go.microsoft.com/fwlink/?linkid=870924
Comment:
    Keyboard delivery
</t>
      </text>
    </comment>
    <comment ref="I226" authorId="7" shapeId="0" xr:uid="{D49FC66B-045E-9C42-BFF2-57D1540C3C23}">
      <text>
        <t>[Threaded comment]
Your version of Excel allows you to read this threaded comment; however, any edits to it will get removed if the file is opened in a newer version of Excel. Learn more: https://go.microsoft.com/fwlink/?linkid=870924
Comment:
    I was charged twice by Uber .expecting 48ghc refund</t>
      </text>
    </comment>
    <comment ref="W226" authorId="8" shapeId="0" xr:uid="{5E6CAB57-8683-B741-A17C-53A8BF92F18D}">
      <text>
        <t xml:space="preserve">[Threaded comment]
Your version of Excel allows you to read this threaded comment; however, any edits to it will get removed if the file is opened in a newer version of Excel. Learn more: https://go.microsoft.com/fwlink/?linkid=870924
Comment:
    Was double charged for uber
</t>
      </text>
    </comment>
    <comment ref="B227" authorId="9" shapeId="0" xr:uid="{B0A11BF9-753B-4341-A784-457205E0E0D1}">
      <text>
        <t xml:space="preserve">[Threaded comment]
Your version of Excel allows you to read this threaded comment; however, any edits to it will get removed if the file is opened in a newer version of Excel. Learn more: https://go.microsoft.com/fwlink/?linkid=870924
Comment:
    Sent to Larissa as transfer charges
</t>
      </text>
    </comment>
    <comment ref="E227" authorId="10" shapeId="0" xr:uid="{5A33FEBF-7F13-864A-B695-A1E29D5A6C6D}">
      <text>
        <t xml:space="preserve">[Threaded comment]
Your version of Excel allows you to read this threaded comment; however, any edits to it will get removed if the file is opened in a newer version of Excel. Learn more: https://go.microsoft.com/fwlink/?linkid=870924
Comment:
    Water heater </t>
      </text>
    </comment>
    <comment ref="F227" authorId="11" shapeId="0" xr:uid="{EB0AA160-7567-1542-A3D3-507C12CD875F}">
      <text>
        <t>[Threaded comment]
Your version of Excel allows you to read this threaded comment; however, any edits to it will get removed if the file is opened in a newer version of Excel. Learn more: https://go.microsoft.com/fwlink/?linkid=870924
Comment:
    Cash to Larissa</t>
      </text>
    </comment>
    <comment ref="J227" authorId="12" shapeId="0" xr:uid="{015FAB10-AFAF-6046-A79E-5263F9063930}">
      <text>
        <t xml:space="preserve">[Threaded comment]
Your version of Excel allows you to read this threaded comment; however, any edits to it will get removed if the file is opened in a newer version of Excel. Learn more: https://go.microsoft.com/fwlink/?linkid=870924
Comment:
    Trash
</t>
      </text>
    </comment>
    <comment ref="N227" authorId="13" shapeId="0" xr:uid="{0FEE39CB-ABD9-3E4C-8CF5-B1EBF62A3FCF}">
      <text>
        <t>[Threaded comment]
Your version of Excel allows you to read this threaded comment; however, any edits to it will get removed if the file is opened in a newer version of Excel. Learn more: https://go.microsoft.com/fwlink/?linkid=870924
Comment:
    Delivery fee for Larissa’s gel</t>
      </text>
    </comment>
    <comment ref="T227" authorId="14" shapeId="0" xr:uid="{C35CC5F7-53E6-1042-94C1-AA9494DFE842}">
      <text>
        <t>[Threaded comment]
Your version of Excel allows you to read this threaded comment; however, any edits to it will get removed if the file is opened in a newer version of Excel. Learn more: https://go.microsoft.com/fwlink/?linkid=870924
Comment:
    Hand mixer + delivery</t>
      </text>
    </comment>
    <comment ref="W227" authorId="15" shapeId="0" xr:uid="{D6B9BC24-ABF1-B842-B5E2-732708DFE72D}">
      <text>
        <t>[Threaded comment]
Your version of Excel allows you to read this threaded comment; however, any edits to it will get removed if the file is opened in a newer version of Excel. Learn more: https://go.microsoft.com/fwlink/?linkid=870924
Comment:
    Anniversary fund</t>
      </text>
    </comment>
    <comment ref="W233" authorId="16" shapeId="0" xr:uid="{CC768C5B-D8CB-2841-81D4-60BAE3AEA40B}">
      <text>
        <t>[Threaded comment]
Your version of Excel allows you to read this threaded comment; however, any edits to it will get removed if the file is opened in a newer version of Excel. Learn more: https://go.microsoft.com/fwlink/?linkid=870924
Comment:
    Savings transfer charge</t>
      </text>
    </comment>
    <comment ref="AB245" authorId="17" shapeId="0" xr:uid="{B43E2964-87A2-D342-948E-E6ECA8964F92}">
      <text>
        <t xml:space="preserve">[Threaded comment]
Your version of Excel allows you to read this threaded comment; however, any edits to it will get removed if the file is opened in a newer version of Excel. Learn more: https://go.microsoft.com/fwlink/?linkid=870924
Comment:
    Anniversary celebration </t>
      </text>
    </comment>
    <comment ref="D251" authorId="18" shapeId="0" xr:uid="{6FA554FF-529D-3E4C-99D1-4BE8DD996507}">
      <text>
        <t xml:space="preserve">[Threaded comment]
Your version of Excel allows you to read this threaded comment; however, any edits to it will get removed if the file is opened in a newer version of Excel. Learn more: https://go.microsoft.com/fwlink/?linkid=870924
Comment:
    Shaving sticks
</t>
      </text>
    </comment>
    <comment ref="K252" authorId="19" shapeId="0" xr:uid="{6094491F-AD67-5242-A0CA-DCAAFC9AA0D9}">
      <text>
        <t>[Threaded comment]
Your version of Excel allows you to read this threaded comment; however, any edits to it will get removed if the file is opened in a newer version of Excel. Learn more: https://go.microsoft.com/fwlink/?linkid=870924
Comment:
    Uber for Larissa</t>
      </text>
    </comment>
    <comment ref="F253" authorId="20" shapeId="0" xr:uid="{2B086A58-419A-DD48-B8DF-8A93E4AC02CC}">
      <text>
        <t xml:space="preserve">[Threaded comment]
Your version of Excel allows you to read this threaded comment; however, any edits to it will get removed if the file is opened in a newer version of Excel. Learn more: https://go.microsoft.com/fwlink/?linkid=870924
Comment:
    Donation to old woman
</t>
      </text>
    </comment>
    <comment ref="H253" authorId="21" shapeId="0" xr:uid="{4BE0F747-671B-A941-93F3-421244B7214A}">
      <text>
        <t>[Threaded comment]
Your version of Excel allows you to read this threaded comment; however, any edits to it will get removed if the file is opened in a newer version of Excel. Learn more: https://go.microsoft.com/fwlink/?linkid=870924
Comment:
    Shoe repairs</t>
      </text>
    </comment>
    <comment ref="P253" authorId="22" shapeId="0" xr:uid="{9B531ECF-1885-5B4B-BCF3-3171A57A76A8}">
      <text>
        <t>[Threaded comment]
Your version of Excel allows you to read this threaded comment; however, any edits to it will get removed if the file is opened in a newer version of Excel. Learn more: https://go.microsoft.com/fwlink/?linkid=870924
Comment:
    Eben’ s birthday</t>
      </text>
    </comment>
    <comment ref="Q253" authorId="23" shapeId="0" xr:uid="{043DDF6A-BFF2-5C48-BB70-F3D9BBDD29C4}">
      <text>
        <t>[Threaded comment]
Your version of Excel allows you to read this threaded comment; however, any edits to it will get removed if the file is opened in a newer version of Excel. Learn more: https://go.microsoft.com/fwlink/?linkid=870924
Comment:
    Electricity for Larissa</t>
      </text>
    </comment>
    <comment ref="U253" authorId="24" shapeId="0" xr:uid="{4EA8C925-C2EA-524E-9469-50DC6CDE2455}">
      <text>
        <t>[Threaded comment]
Your version of Excel allows you to read this threaded comment; however, any edits to it will get removed if the file is opened in a newer version of Excel. Learn more: https://go.microsoft.com/fwlink/?linkid=870924
Comment:
    Gave to Larissa</t>
      </text>
    </comment>
    <comment ref="X253" authorId="25" shapeId="0" xr:uid="{957539C1-0103-F948-A8EF-4A851DFDE8FA}">
      <text>
        <t xml:space="preserve">[Threaded comment]
Your version of Excel allows you to read this threaded comment; however, any edits to it will get removed if the file is opened in a newer version of Excel. Learn more: https://go.microsoft.com/fwlink/?linkid=870924
Comment:
    Larissa </t>
      </text>
    </comment>
    <comment ref="AF253" authorId="26" shapeId="0" xr:uid="{8C233738-3C0A-2142-96AC-19A33670CA43}">
      <text>
        <t xml:space="preserve">[Threaded comment]
Your version of Excel allows you to read this threaded comment; however, any edits to it will get removed if the file is opened in a newer version of Excel. Learn more: https://go.microsoft.com/fwlink/?linkid=870924
Comment:
    Gave to Larissa
</t>
      </text>
    </comment>
    <comment ref="Z271" authorId="27" shapeId="0" xr:uid="{1B6E9BCE-0678-244D-82CA-8F07120CA5DC}">
      <text>
        <t xml:space="preserve">[Threaded comment]
Your version of Excel allows you to read this threaded comment; however, any edits to it will get removed if the file is opened in a newer version of Excel. Learn more: https://go.microsoft.com/fwlink/?linkid=870924
Comment:
    Foodstuff
</t>
      </text>
    </comment>
    <comment ref="E272" authorId="28" shapeId="0" xr:uid="{74B740C7-5AC0-554F-AA29-DEEE4BA3ED26}">
      <text>
        <t xml:space="preserve">[Threaded comment]
Your version of Excel allows you to read this threaded comment; however, any edits to it will get removed if the file is opened in a newer version of Excel. Learn more: https://go.microsoft.com/fwlink/?linkid=870924
Comment:
    Vitamin C
</t>
      </text>
    </comment>
    <comment ref="I272" authorId="29" shapeId="0" xr:uid="{7663DB03-0BF5-A14D-A563-20BACC53A85A}">
      <text>
        <t>[Threaded comment]
Your version of Excel allows you to read this threaded comment; however, any edits to it will get removed if the file is opened in a newer version of Excel. Learn more: https://go.microsoft.com/fwlink/?linkid=870924
Comment:
    Eye drops for Larissa</t>
      </text>
    </comment>
    <comment ref="AM272" authorId="30" shapeId="0" xr:uid="{0E454D1D-E14B-034D-B5F5-2F7EA171B869}">
      <text>
        <t xml:space="preserve">[Threaded comment]
Your version of Excel allows you to read this threaded comment; however, any edits to it will get removed if the file is opened in a newer version of Excel. Learn more: https://go.microsoft.com/fwlink/?linkid=870924
Comment:
    Vitamin C
</t>
      </text>
    </comment>
    <comment ref="AC277" authorId="31" shapeId="0" xr:uid="{47ADFA99-83E6-7148-BB8E-B6FAD8084E8C}">
      <text>
        <t>[Threaded comment]
Your version of Excel allows you to read this threaded comment; however, any edits to it will get removed if the file is opened in a newer version of Excel. Learn more: https://go.microsoft.com/fwlink/?linkid=870924
Comment:
    Tissues for the office</t>
      </text>
    </comment>
    <comment ref="D279" authorId="32" shapeId="0" xr:uid="{63F6FB0B-08BC-BC4A-B60A-A5D05A28AC71}">
      <text>
        <t xml:space="preserve">[Threaded comment]
Your version of Excel allows you to read this threaded comment; however, any edits to it will get removed if the file is opened in a newer version of Excel. Learn more: https://go.microsoft.com/fwlink/?linkid=870924
Comment:
    Clash royale
</t>
      </text>
    </comment>
    <comment ref="E279" authorId="33" shapeId="0" xr:uid="{F46A4B0A-D4A4-7443-85D1-28332C77BEC0}">
      <text>
        <t>[Threaded comment]
Your version of Excel allows you to read this threaded comment; however, any edits to it will get removed if the file is opened in a newer version of Excel. Learn more: https://go.microsoft.com/fwlink/?linkid=870924
Comment:
    Slippers for Larissa</t>
      </text>
    </comment>
    <comment ref="I279" authorId="34" shapeId="0" xr:uid="{84620177-9F8C-FB4A-85BD-196C1F93EB9B}">
      <text>
        <t xml:space="preserve">[Threaded comment]
Your version of Excel allows you to read this threaded comment; however, any edits to it will get removed if the file is opened in a newer version of Excel. Learn more: https://go.microsoft.com/fwlink/?linkid=870924
Comment:
    Cash for Larissa </t>
      </text>
    </comment>
    <comment ref="N279" authorId="35" shapeId="0" xr:uid="{EE8A82C8-59A3-854F-A574-EAB8D1038E8F}">
      <text>
        <t>[Threaded comment]
Your version of Excel allows you to read this threaded comment; however, any edits to it will get removed if the file is opened in a newer version of Excel. Learn more: https://go.microsoft.com/fwlink/?linkid=870924
Comment:
    Cash for Larissa</t>
      </text>
    </comment>
    <comment ref="P279" authorId="36" shapeId="0" xr:uid="{AFEE81F8-E472-A24F-B5C4-AFBD0CC78A6B}">
      <text>
        <t xml:space="preserve">[Threaded comment]
Your version of Excel allows you to read this threaded comment; however, any edits to it will get removed if the file is opened in a newer version of Excel. Learn more: https://go.microsoft.com/fwlink/?linkid=870924
Comment:
    Cash for Larissa </t>
      </text>
    </comment>
    <comment ref="S279" authorId="37" shapeId="0" xr:uid="{8E3D47D2-ACDE-784A-8039-AF1CEF8523B8}">
      <text>
        <t>[Threaded comment]
Your version of Excel allows you to read this threaded comment; however, any edits to it will get removed if the file is opened in a newer version of Excel. Learn more: https://go.microsoft.com/fwlink/?linkid=870924
Comment:
    Tail comb</t>
      </text>
    </comment>
    <comment ref="U279" authorId="38" shapeId="0" xr:uid="{E3AAAB5B-BE98-7448-A10C-DCC471663C20}">
      <text>
        <t xml:space="preserve">[Threaded comment]
Your version of Excel allows you to read this threaded comment; however, any edits to it will get removed if the file is opened in a newer version of Excel. Learn more: https://go.microsoft.com/fwlink/?linkid=870924
Comment:
    Body splash and cash for Larissa
</t>
      </text>
    </comment>
    <comment ref="AD279" authorId="39" shapeId="0" xr:uid="{E2941D6A-2C1D-AD46-97D0-4DA7870F8737}">
      <text>
        <t>[Threaded comment]
Your version of Excel allows you to read this threaded comment; however, any edits to it will get removed if the file is opened in a newer version of Excel. Learn more: https://go.microsoft.com/fwlink/?linkid=870924
Comment:
    +Larissa’s lip balm</t>
      </text>
    </comment>
    <comment ref="AE279" authorId="40" shapeId="0" xr:uid="{0F6DF0C0-C31E-0244-B6F9-92ED7D6C4E4F}">
      <text>
        <t xml:space="preserve">[Threaded comment]
Your version of Excel allows you to read this threaded comment; however, any edits to it will get removed if the file is opened in a newer version of Excel. Learn more: https://go.microsoft.com/fwlink/?linkid=870924
Comment:
    Sent to Larissa for assignment
</t>
      </text>
    </comment>
    <comment ref="AL279" authorId="41" shapeId="0" xr:uid="{89AE3E54-CB50-784F-82E1-A51FC7292AA4}">
      <text>
        <t xml:space="preserve">[Threaded comment]
Your version of Excel allows you to read this threaded comment; however, any edits to it will get removed if the file is opened in a newer version of Excel. Learn more: https://go.microsoft.com/fwlink/?linkid=870924
Comment:
    Clash royale
</t>
      </text>
    </comment>
    <comment ref="H298" authorId="42" shapeId="0" xr:uid="{515EF8F9-D29F-8A4A-8712-25D27F293CF4}">
      <text>
        <t>[Threaded comment]
Your version of Excel allows you to read this threaded comment; however, any edits to it will get removed if the file is opened in a newer version of Excel. Learn more: https://go.microsoft.com/fwlink/?linkid=870924
Comment:
    Dental floss</t>
      </text>
    </comment>
    <comment ref="E305" authorId="43" shapeId="0" xr:uid="{0A595B69-6B46-C84B-9EAE-9890075971DA}">
      <text>
        <t xml:space="preserve">[Threaded comment]
Your version of Excel allows you to read this threaded comment; however, any edits to it will get removed if the file is opened in a newer version of Excel. Learn more: https://go.microsoft.com/fwlink/?linkid=870924
Comment:
    Airtime 
Reply:
    Cash for Larissa </t>
      </text>
    </comment>
    <comment ref="X305" authorId="44" shapeId="0" xr:uid="{122FD808-A1C3-F745-A99E-B524B7852E18}">
      <text>
        <t>[Threaded comment]
Your version of Excel allows you to read this threaded comment; however, any edits to it will get removed if the file is opened in a newer version of Excel. Learn more: https://go.microsoft.com/fwlink/?linkid=870924
Comment:
    Picture @palace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1B1D1C-EB5C-544D-A23B-BF65573DD3D4}" keepAlive="1" name="Query - ACTUAL EXPENSES" description="Connection to the 'ACTUAL EXPENSES' query in the workbook." type="5" refreshedVersion="8" background="1" saveData="1">
    <dbPr connection="Provider=Microsoft.Mashup.OleDb.1;Data Source=$Workbook$;Location=&quot;ACTUAL EXPENSES&quot;;Extended Properties=&quot;&quot;" command="SELECT * FROM [ACTUAL EXPENSES]"/>
  </connection>
</connections>
</file>

<file path=xl/sharedStrings.xml><?xml version="1.0" encoding="utf-8"?>
<sst xmlns="http://schemas.openxmlformats.org/spreadsheetml/2006/main" count="5802" uniqueCount="344">
  <si>
    <t>TOTAL</t>
  </si>
  <si>
    <t>GH¢</t>
  </si>
  <si>
    <t>BUDGET REPORT</t>
  </si>
  <si>
    <t>Budget</t>
  </si>
  <si>
    <t>Actual</t>
  </si>
  <si>
    <t>Variance</t>
  </si>
  <si>
    <t>Total Income</t>
  </si>
  <si>
    <t>Total Expenses</t>
  </si>
  <si>
    <t>Projected End Balance</t>
  </si>
  <si>
    <t>Salary</t>
  </si>
  <si>
    <t>Other</t>
  </si>
  <si>
    <t>Total</t>
  </si>
  <si>
    <t>Starting Balance</t>
  </si>
  <si>
    <t>Expenses</t>
  </si>
  <si>
    <t>Income</t>
  </si>
  <si>
    <t>Surplus / (Deficit)</t>
  </si>
  <si>
    <t>January</t>
  </si>
  <si>
    <t>February</t>
  </si>
  <si>
    <t>March</t>
  </si>
  <si>
    <t>April</t>
  </si>
  <si>
    <t>May</t>
  </si>
  <si>
    <t>June</t>
  </si>
  <si>
    <t>July</t>
  </si>
  <si>
    <t>August</t>
  </si>
  <si>
    <t>September</t>
  </si>
  <si>
    <t>October</t>
  </si>
  <si>
    <t>November</t>
  </si>
  <si>
    <t>December</t>
  </si>
  <si>
    <t>Average</t>
  </si>
  <si>
    <t>Month</t>
  </si>
  <si>
    <t>Sub-Total</t>
  </si>
  <si>
    <t>Surplus/ (Deficit)</t>
  </si>
  <si>
    <t>1. Gives you control over your money</t>
  </si>
  <si>
    <t>2. Keeps you focused on your money goals</t>
  </si>
  <si>
    <t>3. Helps you organize your spending, savings and investment</t>
  </si>
  <si>
    <t>4. Makes you decide in advance how your money will work for you</t>
  </si>
  <si>
    <t>5. Enables you to save for expected and unexpected costs</t>
  </si>
  <si>
    <t>6. Provides you with an early warning for potential financial problems</t>
  </si>
  <si>
    <t>BENEFITS OF BUDGETING YOUR MONEY</t>
  </si>
  <si>
    <t xml:space="preserve">Transportation </t>
  </si>
  <si>
    <t>Hair</t>
  </si>
  <si>
    <t>Food</t>
  </si>
  <si>
    <t xml:space="preserve">Travel/ Vacations </t>
  </si>
  <si>
    <t>Outings</t>
  </si>
  <si>
    <t xml:space="preserve">Savings/ Investment </t>
  </si>
  <si>
    <t xml:space="preserve">Clothes/ Shoes/ Jewelry </t>
  </si>
  <si>
    <t>Rent</t>
  </si>
  <si>
    <t>Tithe</t>
  </si>
  <si>
    <t>Apple Subscriptions</t>
  </si>
  <si>
    <t>Google 1</t>
  </si>
  <si>
    <t>Amuse</t>
  </si>
  <si>
    <t>Account Charges</t>
  </si>
  <si>
    <t>Data</t>
  </si>
  <si>
    <t>Toiletries/Groceries</t>
  </si>
  <si>
    <t xml:space="preserve">Expense </t>
  </si>
  <si>
    <t>Root Canal</t>
  </si>
  <si>
    <t>Cost(GHS)</t>
  </si>
  <si>
    <t>Driving school &amp; License</t>
  </si>
  <si>
    <t>Ipad and Pencil</t>
  </si>
  <si>
    <t>braces</t>
  </si>
  <si>
    <t>Driving school &amp; License(Larissa)</t>
  </si>
  <si>
    <t>Healthcare</t>
  </si>
  <si>
    <t>PERSONAL BUDGET FOR THE YEAR 2023</t>
  </si>
  <si>
    <t>CAH</t>
  </si>
  <si>
    <t>Moblie money</t>
  </si>
  <si>
    <t>Expected</t>
  </si>
  <si>
    <t>bank</t>
  </si>
  <si>
    <t>total</t>
  </si>
  <si>
    <t>P0219728</t>
  </si>
  <si>
    <t>tithe</t>
  </si>
  <si>
    <t>save</t>
  </si>
  <si>
    <t>data</t>
  </si>
  <si>
    <t>clothing</t>
  </si>
  <si>
    <t>electricity</t>
  </si>
  <si>
    <t xml:space="preserve"> Exp total</t>
  </si>
  <si>
    <t xml:space="preserve"> </t>
  </si>
  <si>
    <t>remainder</t>
  </si>
  <si>
    <t>days left</t>
  </si>
  <si>
    <t>OTHER</t>
  </si>
  <si>
    <t>GRAND TOTAL</t>
  </si>
  <si>
    <t>Customize it! Replace the entries above with your own to track your most frequently used categories.</t>
  </si>
  <si>
    <t>DONE?</t>
  </si>
  <si>
    <t>ITEM</t>
  </si>
  <si>
    <t>STORE</t>
  </si>
  <si>
    <t>CATEGORY</t>
  </si>
  <si>
    <t>QTY</t>
  </si>
  <si>
    <t>UNIT</t>
  </si>
  <si>
    <t>UNIT PRICE</t>
  </si>
  <si>
    <t>NOTE</t>
  </si>
  <si>
    <t>Foodstuff</t>
  </si>
  <si>
    <t>Frozen Food</t>
  </si>
  <si>
    <t>Household/Toiletries</t>
  </si>
  <si>
    <t>Store Bought</t>
  </si>
  <si>
    <t>Toothpaste</t>
  </si>
  <si>
    <t>Toothbrush</t>
  </si>
  <si>
    <t>Detergent</t>
  </si>
  <si>
    <t>Bath Soap</t>
  </si>
  <si>
    <t>Dish soap</t>
  </si>
  <si>
    <t>Butter</t>
  </si>
  <si>
    <t>Corn flakes/ rice crispies</t>
  </si>
  <si>
    <t>Oats</t>
  </si>
  <si>
    <t>Custard</t>
  </si>
  <si>
    <t>Yam</t>
  </si>
  <si>
    <t>Plantain</t>
  </si>
  <si>
    <t>Margarine</t>
  </si>
  <si>
    <t>peanut butter</t>
  </si>
  <si>
    <t>cheese</t>
  </si>
  <si>
    <t>Paper Towel</t>
  </si>
  <si>
    <t>fish 1kg</t>
  </si>
  <si>
    <t>oil</t>
  </si>
  <si>
    <t>olive oil</t>
  </si>
  <si>
    <t>Honey</t>
  </si>
  <si>
    <t>wet wipes</t>
  </si>
  <si>
    <t>spray starch</t>
  </si>
  <si>
    <t>perfume</t>
  </si>
  <si>
    <t>deodorant</t>
  </si>
  <si>
    <t>Mayonnaise</t>
  </si>
  <si>
    <t>Ketchup</t>
  </si>
  <si>
    <t>french fries</t>
  </si>
  <si>
    <t>eggs</t>
  </si>
  <si>
    <t>coconut oil</t>
  </si>
  <si>
    <t>granola</t>
  </si>
  <si>
    <t>Sausages</t>
  </si>
  <si>
    <t>GROCERY
LIST (FEB)</t>
  </si>
  <si>
    <t>apples</t>
  </si>
  <si>
    <t>Chicken</t>
  </si>
  <si>
    <t>Netflix</t>
  </si>
  <si>
    <t>Miscellaneous</t>
  </si>
  <si>
    <t>shoes</t>
  </si>
  <si>
    <t>root canal</t>
  </si>
  <si>
    <t>Yes</t>
  </si>
  <si>
    <t>outings</t>
  </si>
  <si>
    <t>groceries</t>
  </si>
  <si>
    <t>ice-cream</t>
  </si>
  <si>
    <t>melcom</t>
  </si>
  <si>
    <t>Milk</t>
  </si>
  <si>
    <t>tea</t>
  </si>
  <si>
    <t>Food container</t>
  </si>
  <si>
    <t>Yoghurt</t>
  </si>
  <si>
    <t>scouring pads(sponges)</t>
  </si>
  <si>
    <t>Tom-brown</t>
  </si>
  <si>
    <t>pocket tissue</t>
  </si>
  <si>
    <t>Tissue paper</t>
  </si>
  <si>
    <t>dettol soap</t>
  </si>
  <si>
    <t>shampoo</t>
  </si>
  <si>
    <t>conditioner</t>
  </si>
  <si>
    <t>lotion</t>
  </si>
  <si>
    <t>bread</t>
  </si>
  <si>
    <t>shaving stick</t>
  </si>
  <si>
    <t>buscuits</t>
  </si>
  <si>
    <t>Nana Ama</t>
  </si>
  <si>
    <t xml:space="preserve">  </t>
  </si>
  <si>
    <t>emergency funds</t>
  </si>
  <si>
    <t>GROCERY
LIST (JAN)</t>
  </si>
  <si>
    <t>Per day</t>
  </si>
  <si>
    <t>Savings</t>
  </si>
  <si>
    <t>Investments</t>
  </si>
  <si>
    <t>Tithe%</t>
  </si>
  <si>
    <t>Savings%</t>
  </si>
  <si>
    <t>Invesments%</t>
  </si>
  <si>
    <t>Available</t>
  </si>
  <si>
    <t>Hair / Gym</t>
  </si>
  <si>
    <t>GROCERY
LIST (March)</t>
  </si>
  <si>
    <t>GROCERY
LIST (April)</t>
  </si>
  <si>
    <t>GROCERY
LIST (May)</t>
  </si>
  <si>
    <t>Hair cream</t>
  </si>
  <si>
    <t>GROCERY
LIST (June)</t>
  </si>
  <si>
    <t>Notes</t>
  </si>
  <si>
    <t>Essential</t>
  </si>
  <si>
    <t>NO</t>
  </si>
  <si>
    <t>GROCERY
LIST (July)</t>
  </si>
  <si>
    <t>GROCERY
LIST (Aug)</t>
  </si>
  <si>
    <t>noodles</t>
  </si>
  <si>
    <t>spices</t>
  </si>
  <si>
    <t>whipcream</t>
  </si>
  <si>
    <t>dettol soap(larissa)</t>
  </si>
  <si>
    <t>soy sauce</t>
  </si>
  <si>
    <t>GROCERY
LIST (sept)</t>
  </si>
  <si>
    <t>GROCERY
LIST (sept) Alt</t>
  </si>
  <si>
    <t>jam</t>
  </si>
  <si>
    <t>soda bicarbonate</t>
  </si>
  <si>
    <t>popcorn</t>
  </si>
  <si>
    <t>candy</t>
  </si>
  <si>
    <t>dettol soap(Justin)</t>
  </si>
  <si>
    <t>sprite</t>
  </si>
  <si>
    <t>GROCERY
LIST  Essentials</t>
  </si>
  <si>
    <t>savings</t>
  </si>
  <si>
    <t>DATE (JAN, 2023)</t>
  </si>
  <si>
    <t>DATE (FEB, 2023)</t>
  </si>
  <si>
    <t>DATE (MARCH, 2023)</t>
  </si>
  <si>
    <t>DATE (APRIL, 2023)</t>
  </si>
  <si>
    <t>DATE (MAY, 2023)</t>
  </si>
  <si>
    <t>DATE (JUNE, 2023)</t>
  </si>
  <si>
    <t>DATE (JULY, 2023)</t>
  </si>
  <si>
    <t>DATE (AUG, 2023)</t>
  </si>
  <si>
    <t>DATE (SEPT , 2023)</t>
  </si>
  <si>
    <t>DATE (OCTOBER, 2023)</t>
  </si>
  <si>
    <t>DATE (NOV , 2023)</t>
  </si>
  <si>
    <t>DATE (DEC, 2023)</t>
  </si>
  <si>
    <t>exams</t>
  </si>
  <si>
    <t>matress</t>
  </si>
  <si>
    <t>ipad</t>
  </si>
  <si>
    <t>loan</t>
  </si>
  <si>
    <t>savings (actual)</t>
  </si>
  <si>
    <t>larissa</t>
  </si>
  <si>
    <t>expected</t>
  </si>
  <si>
    <t>GROCERY
LIST  (OCT)</t>
  </si>
  <si>
    <t xml:space="preserve">13th </t>
  </si>
  <si>
    <t>diff</t>
  </si>
  <si>
    <t xml:space="preserve">Larissa </t>
  </si>
  <si>
    <t>Land</t>
  </si>
  <si>
    <t xml:space="preserve">school </t>
  </si>
  <si>
    <t xml:space="preserve">total </t>
  </si>
  <si>
    <t>chrges</t>
  </si>
  <si>
    <t>spagetti</t>
  </si>
  <si>
    <t>cake mix</t>
  </si>
  <si>
    <t>flavour essence</t>
  </si>
  <si>
    <t>11 almond flavour</t>
  </si>
  <si>
    <t>baking powder</t>
  </si>
  <si>
    <t>gumies</t>
  </si>
  <si>
    <t>tin mackarel</t>
  </si>
  <si>
    <t>pad</t>
  </si>
  <si>
    <t>blue band margarine</t>
  </si>
  <si>
    <t>GROCERY
LIST  (OCT2)</t>
  </si>
  <si>
    <t>GROCERY
LIST  (NOV)</t>
  </si>
  <si>
    <t>antiseptic</t>
  </si>
  <si>
    <t>11.49, 11.69</t>
  </si>
  <si>
    <t>insecticide</t>
  </si>
  <si>
    <t>brandy</t>
  </si>
  <si>
    <t>wine</t>
  </si>
  <si>
    <t>80, 112</t>
  </si>
  <si>
    <t>Christmas Season</t>
  </si>
  <si>
    <t>Play</t>
  </si>
  <si>
    <t>Cinema</t>
  </si>
  <si>
    <t>beach</t>
  </si>
  <si>
    <t>picnic</t>
  </si>
  <si>
    <t>Bowling</t>
  </si>
  <si>
    <t>Larissa's Hair</t>
  </si>
  <si>
    <t>My Hair</t>
  </si>
  <si>
    <t>T -Shirts</t>
  </si>
  <si>
    <t xml:space="preserve">Food </t>
  </si>
  <si>
    <t>Carrot Cake</t>
  </si>
  <si>
    <t>Vanilla</t>
  </si>
  <si>
    <t>Mashed Potatoes</t>
  </si>
  <si>
    <t>Rosemary Rice and shrimp Scampi</t>
  </si>
  <si>
    <t>Pizza</t>
  </si>
  <si>
    <t>Ice cream</t>
  </si>
  <si>
    <t>Transport</t>
  </si>
  <si>
    <t>Paintball(war games Ghana)</t>
  </si>
  <si>
    <t>sharwarma</t>
  </si>
  <si>
    <t>cheese pound cake</t>
  </si>
  <si>
    <t xml:space="preserve">kwame Knrunah mausoleum /gallery 1957/melom </t>
  </si>
  <si>
    <t>Wknd 1</t>
  </si>
  <si>
    <t>Wknd 2</t>
  </si>
  <si>
    <t>Wknd 3</t>
  </si>
  <si>
    <t>Wknd 4</t>
  </si>
  <si>
    <t>Wknd 5</t>
  </si>
  <si>
    <t>Wknd 6</t>
  </si>
  <si>
    <t>2nd Dec</t>
  </si>
  <si>
    <t>3rd Dec</t>
  </si>
  <si>
    <t>9th Dec</t>
  </si>
  <si>
    <t>10th Dec</t>
  </si>
  <si>
    <t>16th Dec</t>
  </si>
  <si>
    <t>17th Dec</t>
  </si>
  <si>
    <t>23rd Dec</t>
  </si>
  <si>
    <t>24th Dec</t>
  </si>
  <si>
    <t>25th Dec</t>
  </si>
  <si>
    <t>26th Dec</t>
  </si>
  <si>
    <t>27th Dec</t>
  </si>
  <si>
    <t>28th Dec</t>
  </si>
  <si>
    <t>29th Dec</t>
  </si>
  <si>
    <t>Holiday Wk1</t>
  </si>
  <si>
    <t>30th Dec</t>
  </si>
  <si>
    <t>31st Dec</t>
  </si>
  <si>
    <t>1st Jan</t>
  </si>
  <si>
    <t>2nd Jan</t>
  </si>
  <si>
    <t>3rd Jan</t>
  </si>
  <si>
    <t>4th Jan</t>
  </si>
  <si>
    <t>5th Jan</t>
  </si>
  <si>
    <t>Holiday Wk2</t>
  </si>
  <si>
    <t>6th Jan</t>
  </si>
  <si>
    <t>7th Jan</t>
  </si>
  <si>
    <t>Activity</t>
  </si>
  <si>
    <t>Retreat</t>
  </si>
  <si>
    <t>Snack: Plantain chips</t>
  </si>
  <si>
    <t>Brunch: Noodles
Dinner: Fries + Chicken + Coleslaw + White wine</t>
  </si>
  <si>
    <t>Lunch from church
Supper: Sandwiches</t>
  </si>
  <si>
    <t>Rest Day</t>
  </si>
  <si>
    <t>Cross- Over</t>
  </si>
  <si>
    <t>Church Activities</t>
  </si>
  <si>
    <t>Beach Day</t>
  </si>
  <si>
    <t>Swimming</t>
  </si>
  <si>
    <t>Kwame Nkrumah Mausoleum &amp; Gallery 1957</t>
  </si>
  <si>
    <t>Visit Larissa's parents, 
Church gathering at Mish's</t>
  </si>
  <si>
    <t>Dinner</t>
  </si>
  <si>
    <t>Rest Day/ Larissa goes to parents</t>
  </si>
  <si>
    <t>Transport and Miscellaneous</t>
  </si>
  <si>
    <t>Botanical Gardens High Rope Course</t>
  </si>
  <si>
    <t>Dinner at Li Beirut</t>
  </si>
  <si>
    <t xml:space="preserve">palace chimney cone /melom </t>
  </si>
  <si>
    <t>Botanical gardens high rope course</t>
  </si>
  <si>
    <t>Rest Day/ Go for a walk and grab some pinkberry</t>
  </si>
  <si>
    <t>Rest Day/ Grab some boba</t>
  </si>
  <si>
    <t>Ice cream at palace mall /Shopping at Melcom Mall</t>
  </si>
  <si>
    <t>Boba/ FroYo/ Ice cream</t>
  </si>
  <si>
    <t>sweet &amp; sour sauce</t>
  </si>
  <si>
    <t>chinese sauce</t>
  </si>
  <si>
    <t xml:space="preserve">Brunch: Oats
Late Lunch: Rice with fish and stir fry sauce
Snacks in the night
</t>
  </si>
  <si>
    <t>Lunch from church
Supper: Fries/ Fried yam</t>
  </si>
  <si>
    <t>Brunch: Oats
Supper: Vegetable Rice and Chicken</t>
  </si>
  <si>
    <t>Lunch from church
Supper: Fries/ Plantain</t>
  </si>
  <si>
    <t xml:space="preserve">Breakfast: Tea, toast, baked beans, bacon, sausages, eggs, potato salad, fried tomatoes
</t>
  </si>
  <si>
    <t>Kwame Nkrumah mausoleum /gallery 1957</t>
  </si>
  <si>
    <t>Breakfast: Oats with Tuna sandwiches
Supper: Mash with Beef, red wine, carrot cake</t>
  </si>
  <si>
    <t>Breakfast: Noodles
Supper: Left Over Mash</t>
  </si>
  <si>
    <t>Rest Day/ Bake cream cheese cake</t>
  </si>
  <si>
    <t xml:space="preserve">Brunch:
Rosemary Rice with shrimp scampi, white wine, cream cheese pound cake
Supper: Boba tea
</t>
  </si>
  <si>
    <t>Brunch: Noodles
Supper: buy food at beach</t>
  </si>
  <si>
    <t>Brunch: Oats/ Noodles
Supper: Shawarma</t>
  </si>
  <si>
    <t>Brunch: Tea with sandwiches
Dinner: Seafood platter</t>
  </si>
  <si>
    <t>Fish and chips</t>
  </si>
  <si>
    <t>Yam and egg stew with fish</t>
  </si>
  <si>
    <t>Brunch: Noodles
Supper: Fried rice with sweet and sour pork with Rosé, chocolate cake</t>
  </si>
  <si>
    <t xml:space="preserve">Brunch: Tea with sandwiches
</t>
  </si>
  <si>
    <t>Breakfast: Tea with bread and eggs
Early supper: Jollof with Turkey</t>
  </si>
  <si>
    <t>Brunch: Left Over Jollof
Supper: Papaye</t>
  </si>
  <si>
    <t>Breakfast: Oats
Supper: Yam and egg stew with fish</t>
  </si>
  <si>
    <t xml:space="preserve">Brunch: Rice and eggstew
Supper: Pizza
</t>
  </si>
  <si>
    <t>GROCERY
LIST  (DEC)</t>
  </si>
  <si>
    <t>cake pan</t>
  </si>
  <si>
    <t xml:space="preserve">misc </t>
  </si>
  <si>
    <t>minus groceries</t>
  </si>
  <si>
    <t>minus TT</t>
  </si>
  <si>
    <t xml:space="preserve">minus data </t>
  </si>
  <si>
    <t>toilet brush</t>
  </si>
  <si>
    <t>airfryeer liner</t>
  </si>
  <si>
    <t xml:space="preserve">hook </t>
  </si>
  <si>
    <t>Butter(Elle&amp;Vire Marquis)</t>
  </si>
  <si>
    <t>cake margarine</t>
  </si>
  <si>
    <t xml:space="preserve">larissa's body wash+ hand lotion </t>
  </si>
  <si>
    <t>Category</t>
  </si>
  <si>
    <t>Date</t>
  </si>
  <si>
    <t>Value</t>
  </si>
  <si>
    <t>MonthName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</si>
</sst>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GH₵&quot;#,##0.00_);[Red]\(&quot;GH₵&quot;#,##0.00\)"/>
    <numFmt numFmtId="42" formatCode="_(&quot;GH₵&quot;* #,##0_);_(&quot;GH₵&quot;* \(#,##0\);_(&quot;GH₵&quot;* &quot;-&quot;_);_(@_)"/>
    <numFmt numFmtId="43" formatCode="_(* #,##0.00_);_(* \(#,##0.00\);_(* &quot;-&quot;??_);_(@_)"/>
    <numFmt numFmtId="164" formatCode="&quot;$&quot;#,##0.00"/>
    <numFmt numFmtId="165" formatCode="&quot;GH₵&quot;#,##0.00"/>
  </numFmts>
  <fonts count="47" x14ac:knownFonts="1">
    <font>
      <sz val="11"/>
      <color rgb="FF000000"/>
      <name val="Calibri"/>
      <charset val="1"/>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b/>
      <sz val="12"/>
      <color rgb="FF000000"/>
      <name val="Calibri"/>
      <family val="2"/>
    </font>
    <font>
      <sz val="11"/>
      <color rgb="FF000000"/>
      <name val="Calibri"/>
      <family val="2"/>
    </font>
    <font>
      <sz val="11"/>
      <color rgb="FF000000"/>
      <name val="Calibri"/>
      <family val="2"/>
    </font>
    <font>
      <b/>
      <sz val="12"/>
      <color rgb="FF000000"/>
      <name val="Calibri"/>
      <family val="2"/>
    </font>
    <font>
      <b/>
      <sz val="12"/>
      <color rgb="FF000000"/>
      <name val="Calibri"/>
      <family val="2"/>
    </font>
    <font>
      <sz val="11"/>
      <color rgb="FF000000"/>
      <name val="Calibri"/>
      <family val="2"/>
    </font>
    <font>
      <b/>
      <sz val="12"/>
      <color rgb="FF000000"/>
      <name val="Calibri"/>
      <family val="2"/>
    </font>
    <font>
      <sz val="11"/>
      <color rgb="FF000000"/>
      <name val="Calibri"/>
      <family val="2"/>
    </font>
    <font>
      <sz val="12"/>
      <color rgb="FF000000"/>
      <name val="Calibri"/>
      <family val="2"/>
    </font>
    <font>
      <sz val="11"/>
      <color rgb="FF000000"/>
      <name val="Calibri"/>
      <family val="2"/>
    </font>
    <font>
      <sz val="12"/>
      <color rgb="FF000000"/>
      <name val="Calibri"/>
      <family val="2"/>
    </font>
    <font>
      <b/>
      <sz val="12"/>
      <color rgb="FF000000"/>
      <name val="Calibri"/>
      <family val="2"/>
    </font>
    <font>
      <sz val="11"/>
      <color rgb="FF000000"/>
      <name val="Calibri"/>
      <family val="2"/>
    </font>
    <font>
      <sz val="11"/>
      <color rgb="FF000000"/>
      <name val="Calibri"/>
      <family val="2"/>
    </font>
    <font>
      <sz val="12"/>
      <color rgb="FF000000"/>
      <name val="Calibri"/>
      <family val="2"/>
    </font>
    <font>
      <sz val="12"/>
      <color rgb="FF000000"/>
      <name val="Calibri"/>
      <family val="2"/>
    </font>
    <font>
      <b/>
      <sz val="11"/>
      <color rgb="FF000000"/>
      <name val="Calibri"/>
      <family val="2"/>
    </font>
    <font>
      <b/>
      <sz val="12"/>
      <color rgb="FFFF0000"/>
      <name val="Calibri"/>
      <family val="2"/>
    </font>
    <font>
      <b/>
      <sz val="12"/>
      <color rgb="FFFF0000"/>
      <name val="Calibri"/>
      <family val="2"/>
    </font>
    <font>
      <b/>
      <sz val="12"/>
      <color rgb="FF000000"/>
      <name val="Calibri"/>
      <family val="2"/>
    </font>
    <font>
      <sz val="11"/>
      <color rgb="FF000000"/>
      <name val="Calibri"/>
      <family val="2"/>
    </font>
    <font>
      <b/>
      <sz val="11"/>
      <color rgb="FF000000"/>
      <name val="Calibri"/>
      <family val="2"/>
    </font>
    <font>
      <b/>
      <sz val="12"/>
      <color rgb="FFFF0000"/>
      <name val="Calibri"/>
      <family val="2"/>
    </font>
    <font>
      <b/>
      <sz val="11"/>
      <color theme="1"/>
      <name val="Calibri"/>
      <family val="2"/>
      <scheme val="minor"/>
    </font>
    <font>
      <b/>
      <sz val="14"/>
      <color theme="0"/>
      <name val="Calibri"/>
      <family val="2"/>
    </font>
    <font>
      <b/>
      <sz val="12"/>
      <color theme="0"/>
      <name val="Calibri"/>
      <family val="2"/>
    </font>
    <font>
      <sz val="11"/>
      <color theme="0"/>
      <name val="Calibri"/>
      <family val="2"/>
    </font>
    <font>
      <b/>
      <sz val="16"/>
      <color theme="0"/>
      <name val="Calibri"/>
      <family val="2"/>
    </font>
    <font>
      <sz val="12"/>
      <color rgb="FF000000"/>
      <name val="Calibri"/>
      <family val="2"/>
    </font>
    <font>
      <b/>
      <sz val="12"/>
      <name val="Calibri"/>
      <family val="2"/>
    </font>
    <font>
      <sz val="12"/>
      <name val="Calibri"/>
      <family val="2"/>
    </font>
    <font>
      <sz val="11"/>
      <color theme="0"/>
      <name val="Calibri"/>
      <family val="2"/>
      <scheme val="minor"/>
    </font>
    <font>
      <sz val="11"/>
      <color theme="3"/>
      <name val="Calibri"/>
      <family val="2"/>
      <scheme val="minor"/>
    </font>
    <font>
      <sz val="28"/>
      <color theme="0"/>
      <name val="Cambria"/>
      <family val="2"/>
      <scheme val="major"/>
    </font>
    <font>
      <sz val="11"/>
      <color theme="0"/>
      <name val="Cambria"/>
      <family val="2"/>
      <scheme val="major"/>
    </font>
    <font>
      <sz val="16"/>
      <color theme="0"/>
      <name val="Calibri"/>
      <family val="2"/>
      <scheme val="minor"/>
    </font>
    <font>
      <sz val="11"/>
      <color rgb="FF000000"/>
      <name val="Calibri"/>
      <family val="2"/>
      <charset val="1"/>
    </font>
    <font>
      <sz val="24"/>
      <color theme="0"/>
      <name val="Cambria (Headings)"/>
    </font>
    <font>
      <b/>
      <sz val="10"/>
      <color rgb="FF000000"/>
      <name val="Tahoma"/>
      <family val="2"/>
    </font>
    <font>
      <sz val="8"/>
      <name val="Calibri"/>
      <family val="2"/>
    </font>
    <font>
      <sz val="11"/>
      <color rgb="FFFF0000"/>
      <name val="Calibri"/>
      <family val="2"/>
    </font>
  </fonts>
  <fills count="16">
    <fill>
      <patternFill patternType="none"/>
    </fill>
    <fill>
      <patternFill patternType="gray125"/>
    </fill>
    <fill>
      <patternFill patternType="solid">
        <fgColor rgb="FF0070C0"/>
        <bgColor rgb="FF000000"/>
      </patternFill>
    </fill>
    <fill>
      <patternFill patternType="solid">
        <fgColor rgb="FF0070C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4"/>
      </patternFill>
    </fill>
    <fill>
      <patternFill patternType="solid">
        <fgColor theme="4"/>
        <bgColor indexed="64"/>
      </patternFill>
    </fill>
    <fill>
      <patternFill patternType="solid">
        <fgColor theme="5" tint="-0.499984740745262"/>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3"/>
        <bgColor indexed="64"/>
      </patternFill>
    </fill>
    <fill>
      <patternFill patternType="solid">
        <fgColor rgb="FFFFFF00"/>
        <bgColor indexed="64"/>
      </patternFill>
    </fill>
    <fill>
      <patternFill patternType="solid">
        <fgColor rgb="FF00B0F0"/>
        <bgColor indexed="64"/>
      </patternFill>
    </fill>
  </fills>
  <borders count="11">
    <border>
      <left/>
      <right/>
      <top/>
      <bottom/>
      <diagonal/>
    </border>
    <border>
      <left/>
      <right/>
      <top/>
      <bottom style="thin">
        <color rgb="FF000000"/>
      </bottom>
      <diagonal/>
    </border>
    <border>
      <left/>
      <right/>
      <top style="medium">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top style="thin">
        <color theme="4"/>
      </top>
      <bottom style="double">
        <color theme="4"/>
      </bottom>
      <diagonal/>
    </border>
    <border>
      <left/>
      <right/>
      <top style="double">
        <color theme="4"/>
      </top>
      <bottom/>
      <diagonal/>
    </border>
    <border>
      <left/>
      <right style="thick">
        <color theme="0"/>
      </right>
      <top/>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29" fillId="0" borderId="6" applyNumberFormat="0" applyFill="0" applyAlignment="0" applyProtection="0"/>
    <xf numFmtId="0" fontId="37" fillId="6" borderId="0" applyNumberFormat="0" applyProtection="0">
      <alignment horizontal="center" vertical="center"/>
    </xf>
    <xf numFmtId="0" fontId="38" fillId="0" borderId="0" applyNumberFormat="0" applyBorder="0" applyProtection="0">
      <alignment horizontal="left" vertical="center" wrapText="1"/>
    </xf>
    <xf numFmtId="0" fontId="39" fillId="7" borderId="0" applyNumberFormat="0" applyBorder="0" applyProtection="0">
      <alignment horizontal="left" vertical="center" wrapText="1"/>
    </xf>
    <xf numFmtId="0" fontId="40" fillId="8" borderId="9" applyNumberFormat="0" applyProtection="0">
      <alignment horizontal="center" wrapText="1"/>
    </xf>
    <xf numFmtId="0" fontId="37" fillId="9" borderId="9" applyNumberFormat="0" applyProtection="0">
      <alignment horizontal="center" wrapText="1"/>
    </xf>
    <xf numFmtId="0" fontId="37" fillId="10" borderId="9" applyNumberFormat="0" applyProtection="0">
      <alignment horizontal="center" wrapText="1"/>
    </xf>
    <xf numFmtId="0" fontId="37" fillId="11" borderId="9" applyNumberFormat="0" applyProtection="0">
      <alignment horizontal="center" wrapText="1"/>
    </xf>
    <xf numFmtId="0" fontId="37" fillId="12" borderId="9">
      <alignment horizontal="center" wrapText="1"/>
    </xf>
    <xf numFmtId="0" fontId="37" fillId="13" borderId="9" applyNumberFormat="0" applyProtection="0">
      <alignment horizontal="center" wrapText="1"/>
    </xf>
    <xf numFmtId="164" fontId="41" fillId="0" borderId="10" applyFill="0" applyProtection="0">
      <alignment horizontal="center" vertical="top"/>
    </xf>
    <xf numFmtId="0" fontId="37" fillId="7" borderId="0" applyNumberFormat="0" applyProtection="0">
      <alignment horizontal="right" vertical="center" indent="16"/>
    </xf>
    <xf numFmtId="0" fontId="38" fillId="0" borderId="0" applyNumberFormat="0" applyFont="0" applyFill="0" applyBorder="0">
      <alignment horizontal="center" vertical="center"/>
    </xf>
    <xf numFmtId="164" fontId="38" fillId="0" borderId="0" applyFont="0" applyFill="0" applyBorder="0" applyProtection="0">
      <alignment horizontal="right" vertical="center" indent="3"/>
    </xf>
    <xf numFmtId="0" fontId="1" fillId="0" borderId="0"/>
    <xf numFmtId="42" fontId="1" fillId="0" borderId="0" applyFont="0" applyFill="0" applyBorder="0" applyAlignment="0" applyProtection="0"/>
  </cellStyleXfs>
  <cellXfs count="141">
    <xf numFmtId="0" fontId="0" fillId="0" borderId="0" xfId="0"/>
    <xf numFmtId="0" fontId="2" fillId="0" borderId="0" xfId="0" applyFont="1"/>
    <xf numFmtId="0" fontId="3" fillId="0" borderId="0" xfId="0" applyFont="1"/>
    <xf numFmtId="0" fontId="4" fillId="0" borderId="0" xfId="0" applyFont="1" applyAlignment="1">
      <alignment horizontal="center"/>
    </xf>
    <xf numFmtId="0" fontId="5" fillId="0" borderId="0" xfId="0" applyFont="1"/>
    <xf numFmtId="0" fontId="6" fillId="0" borderId="0" xfId="0" applyFont="1"/>
    <xf numFmtId="43" fontId="7" fillId="0" borderId="0" xfId="0" applyNumberFormat="1" applyFont="1"/>
    <xf numFmtId="0" fontId="11" fillId="0" borderId="0" xfId="0" applyFont="1"/>
    <xf numFmtId="0" fontId="13" fillId="0" borderId="0" xfId="0" applyFont="1"/>
    <xf numFmtId="43" fontId="14" fillId="0" borderId="0" xfId="0" applyNumberFormat="1" applyFont="1"/>
    <xf numFmtId="43" fontId="16" fillId="0" borderId="0" xfId="0" applyNumberFormat="1" applyFont="1"/>
    <xf numFmtId="43" fontId="18" fillId="0" borderId="0" xfId="0" applyNumberFormat="1" applyFont="1"/>
    <xf numFmtId="43" fontId="24" fillId="0" borderId="0" xfId="0" applyNumberFormat="1" applyFont="1"/>
    <xf numFmtId="43" fontId="3" fillId="0" borderId="0" xfId="1" applyFont="1" applyFill="1" applyBorder="1" applyAlignment="1"/>
    <xf numFmtId="0" fontId="27" fillId="0" borderId="0" xfId="0" applyFont="1"/>
    <xf numFmtId="43" fontId="28" fillId="0" borderId="0" xfId="0" applyNumberFormat="1" applyFont="1"/>
    <xf numFmtId="0" fontId="26" fillId="0" borderId="0" xfId="0" applyFont="1"/>
    <xf numFmtId="43" fontId="9" fillId="0" borderId="0" xfId="0" applyNumberFormat="1" applyFont="1"/>
    <xf numFmtId="0" fontId="6" fillId="0" borderId="4" xfId="0" applyFont="1" applyBorder="1"/>
    <xf numFmtId="43" fontId="9" fillId="0" borderId="5" xfId="0" applyNumberFormat="1" applyFont="1" applyBorder="1"/>
    <xf numFmtId="0" fontId="6" fillId="0" borderId="2" xfId="0" applyFont="1" applyBorder="1"/>
    <xf numFmtId="43" fontId="9" fillId="0" borderId="2" xfId="0" applyNumberFormat="1" applyFont="1" applyBorder="1"/>
    <xf numFmtId="0" fontId="12" fillId="0" borderId="2" xfId="0" applyFont="1" applyBorder="1"/>
    <xf numFmtId="43" fontId="16" fillId="0" borderId="0" xfId="1" applyFont="1" applyFill="1" applyBorder="1" applyAlignment="1"/>
    <xf numFmtId="43" fontId="0" fillId="0" borderId="0" xfId="1" applyFont="1"/>
    <xf numFmtId="0" fontId="31" fillId="3" borderId="0" xfId="0" applyFont="1" applyFill="1"/>
    <xf numFmtId="43" fontId="31" fillId="3" borderId="0" xfId="0" applyNumberFormat="1" applyFont="1" applyFill="1" applyAlignment="1">
      <alignment horizontal="center"/>
    </xf>
    <xf numFmtId="43" fontId="29" fillId="0" borderId="6" xfId="3" applyNumberFormat="1" applyFill="1" applyAlignment="1"/>
    <xf numFmtId="43" fontId="20" fillId="4" borderId="0" xfId="0" applyNumberFormat="1" applyFont="1" applyFill="1" applyAlignment="1">
      <alignment horizontal="right"/>
    </xf>
    <xf numFmtId="43" fontId="29" fillId="4" borderId="6" xfId="3" applyNumberFormat="1" applyFill="1" applyAlignment="1">
      <alignment horizontal="right"/>
    </xf>
    <xf numFmtId="43" fontId="23" fillId="4" borderId="0" xfId="0" applyNumberFormat="1" applyFont="1" applyFill="1" applyAlignment="1">
      <alignment horizontal="right"/>
    </xf>
    <xf numFmtId="43" fontId="34" fillId="0" borderId="0" xfId="0" applyNumberFormat="1" applyFont="1"/>
    <xf numFmtId="43" fontId="32" fillId="2" borderId="0" xfId="0" applyNumberFormat="1" applyFont="1" applyFill="1"/>
    <xf numFmtId="43" fontId="32" fillId="2" borderId="1" xfId="0" applyNumberFormat="1" applyFont="1" applyFill="1" applyBorder="1"/>
    <xf numFmtId="43" fontId="0" fillId="0" borderId="0" xfId="0" applyNumberFormat="1"/>
    <xf numFmtId="0" fontId="29" fillId="0" borderId="6" xfId="3"/>
    <xf numFmtId="43" fontId="29" fillId="0" borderId="6" xfId="3" applyNumberFormat="1"/>
    <xf numFmtId="43" fontId="15" fillId="0" borderId="0" xfId="0" applyNumberFormat="1" applyFont="1"/>
    <xf numFmtId="43" fontId="29" fillId="0" borderId="6" xfId="1" applyFont="1" applyBorder="1"/>
    <xf numFmtId="10" fontId="0" fillId="0" borderId="0" xfId="2" applyNumberFormat="1" applyFont="1"/>
    <xf numFmtId="43" fontId="19" fillId="0" borderId="0" xfId="0" applyNumberFormat="1" applyFont="1"/>
    <xf numFmtId="0" fontId="25" fillId="5" borderId="0" xfId="0" applyFont="1" applyFill="1"/>
    <xf numFmtId="43" fontId="25" fillId="5" borderId="0" xfId="0" applyNumberFormat="1" applyFont="1" applyFill="1"/>
    <xf numFmtId="43" fontId="21" fillId="4" borderId="0" xfId="1" applyFont="1" applyFill="1" applyBorder="1" applyAlignment="1"/>
    <xf numFmtId="43" fontId="29" fillId="4" borderId="6" xfId="1" applyFont="1" applyFill="1" applyBorder="1" applyAlignment="1"/>
    <xf numFmtId="43" fontId="6" fillId="4" borderId="0" xfId="0" applyNumberFormat="1" applyFont="1" applyFill="1" applyAlignment="1">
      <alignment horizontal="center"/>
    </xf>
    <xf numFmtId="43" fontId="17" fillId="4" borderId="0" xfId="0" applyNumberFormat="1" applyFont="1" applyFill="1" applyAlignment="1">
      <alignment horizontal="center"/>
    </xf>
    <xf numFmtId="43" fontId="25" fillId="4" borderId="0" xfId="1" applyFont="1" applyFill="1"/>
    <xf numFmtId="43" fontId="29" fillId="4" borderId="6" xfId="3" applyNumberFormat="1" applyFill="1"/>
    <xf numFmtId="0" fontId="0" fillId="4" borderId="0" xfId="0" applyFill="1"/>
    <xf numFmtId="43" fontId="0" fillId="4" borderId="0" xfId="1" applyFont="1" applyFill="1"/>
    <xf numFmtId="43" fontId="29" fillId="4" borderId="6" xfId="1" applyFont="1" applyFill="1" applyBorder="1"/>
    <xf numFmtId="0" fontId="3" fillId="4" borderId="0" xfId="0" applyFont="1" applyFill="1"/>
    <xf numFmtId="0" fontId="4" fillId="4" borderId="0" xfId="0" applyFont="1" applyFill="1" applyAlignment="1">
      <alignment horizontal="center"/>
    </xf>
    <xf numFmtId="43" fontId="8" fillId="4" borderId="0" xfId="0" applyNumberFormat="1" applyFont="1" applyFill="1"/>
    <xf numFmtId="43" fontId="10" fillId="4" borderId="5" xfId="0" applyNumberFormat="1" applyFont="1" applyFill="1" applyBorder="1"/>
    <xf numFmtId="43" fontId="10" fillId="4" borderId="2" xfId="0" applyNumberFormat="1" applyFont="1" applyFill="1" applyBorder="1"/>
    <xf numFmtId="43" fontId="10" fillId="4" borderId="0" xfId="0" applyNumberFormat="1" applyFont="1" applyFill="1"/>
    <xf numFmtId="0" fontId="35" fillId="0" borderId="0" xfId="0" applyFont="1"/>
    <xf numFmtId="43" fontId="35" fillId="0" borderId="0" xfId="0" applyNumberFormat="1" applyFont="1" applyAlignment="1">
      <alignment horizontal="center"/>
    </xf>
    <xf numFmtId="43" fontId="29" fillId="4" borderId="0" xfId="1" applyFont="1" applyFill="1" applyBorder="1" applyAlignment="1"/>
    <xf numFmtId="43" fontId="29" fillId="0" borderId="7" xfId="3" applyNumberFormat="1" applyFill="1" applyBorder="1" applyAlignment="1"/>
    <xf numFmtId="0" fontId="22" fillId="0" borderId="0" xfId="0" applyFont="1"/>
    <xf numFmtId="0" fontId="22" fillId="4" borderId="0" xfId="0" applyFont="1" applyFill="1"/>
    <xf numFmtId="43" fontId="29" fillId="0" borderId="7" xfId="3" applyNumberFormat="1" applyBorder="1"/>
    <xf numFmtId="0" fontId="29" fillId="0" borderId="7" xfId="3" applyBorder="1"/>
    <xf numFmtId="43" fontId="29" fillId="4" borderId="7" xfId="3" applyNumberFormat="1" applyFill="1" applyBorder="1"/>
    <xf numFmtId="43" fontId="25" fillId="4" borderId="0" xfId="0" applyNumberFormat="1" applyFont="1" applyFill="1" applyAlignment="1">
      <alignment horizontal="center"/>
    </xf>
    <xf numFmtId="43" fontId="35" fillId="4" borderId="0" xfId="0" applyNumberFormat="1" applyFont="1" applyFill="1" applyAlignment="1">
      <alignment horizontal="center"/>
    </xf>
    <xf numFmtId="0" fontId="36" fillId="0" borderId="0" xfId="0" applyFont="1"/>
    <xf numFmtId="43" fontId="36" fillId="0" borderId="0" xfId="0" applyNumberFormat="1" applyFont="1" applyAlignment="1">
      <alignment horizontal="center"/>
    </xf>
    <xf numFmtId="0" fontId="26" fillId="0" borderId="0" xfId="0" applyFont="1" applyAlignment="1">
      <alignment horizontal="left" vertical="center" indent="1"/>
    </xf>
    <xf numFmtId="0" fontId="1" fillId="0" borderId="0" xfId="0" applyFont="1"/>
    <xf numFmtId="0" fontId="38" fillId="0" borderId="0" xfId="5" applyProtection="1">
      <alignment horizontal="left" vertical="center" wrapText="1"/>
    </xf>
    <xf numFmtId="0" fontId="40" fillId="8" borderId="9" xfId="7" applyProtection="1">
      <alignment horizontal="center" wrapText="1"/>
    </xf>
    <xf numFmtId="0" fontId="37" fillId="9" borderId="9" xfId="8" applyProtection="1">
      <alignment horizontal="center" wrapText="1"/>
    </xf>
    <xf numFmtId="0" fontId="37" fillId="10" borderId="9" xfId="9" applyProtection="1">
      <alignment horizontal="center" wrapText="1"/>
    </xf>
    <xf numFmtId="0" fontId="37" fillId="11" borderId="9" xfId="10" applyProtection="1">
      <alignment horizontal="center" wrapText="1"/>
    </xf>
    <xf numFmtId="0" fontId="37" fillId="12" borderId="9" xfId="11">
      <alignment horizontal="center" wrapText="1"/>
    </xf>
    <xf numFmtId="0" fontId="37" fillId="13" borderId="9" xfId="12" applyProtection="1">
      <alignment horizontal="center" wrapText="1"/>
    </xf>
    <xf numFmtId="0" fontId="37" fillId="6" borderId="0" xfId="4" applyProtection="1">
      <alignment horizontal="center" vertical="center"/>
    </xf>
    <xf numFmtId="0" fontId="37" fillId="7" borderId="0" xfId="14" applyAlignment="1" applyProtection="1">
      <alignment vertical="center"/>
    </xf>
    <xf numFmtId="0" fontId="38" fillId="0" borderId="0" xfId="5" applyBorder="1" applyAlignment="1" applyProtection="1">
      <alignment horizontal="center" vertical="center"/>
    </xf>
    <xf numFmtId="0" fontId="38" fillId="0" borderId="0" xfId="5" applyBorder="1" applyAlignment="1" applyProtection="1">
      <alignment vertical="center"/>
    </xf>
    <xf numFmtId="0" fontId="0" fillId="0" borderId="0" xfId="15" applyFont="1" applyBorder="1">
      <alignment horizontal="center" vertical="center"/>
    </xf>
    <xf numFmtId="0" fontId="38" fillId="0" borderId="0" xfId="5" applyBorder="1" applyProtection="1">
      <alignment horizontal="left" vertical="center" wrapText="1"/>
    </xf>
    <xf numFmtId="164" fontId="38" fillId="0" borderId="0" xfId="5" applyNumberFormat="1" applyProtection="1">
      <alignment horizontal="left" vertical="center" wrapText="1"/>
    </xf>
    <xf numFmtId="0" fontId="38" fillId="0" borderId="0" xfId="15">
      <alignment horizontal="center" vertical="center"/>
    </xf>
    <xf numFmtId="0" fontId="42" fillId="0" borderId="0" xfId="15" applyFont="1" applyBorder="1">
      <alignment horizontal="center" vertical="center"/>
    </xf>
    <xf numFmtId="0" fontId="1" fillId="0" borderId="0" xfId="17"/>
    <xf numFmtId="165" fontId="0" fillId="0" borderId="0" xfId="16" applyNumberFormat="1" applyFont="1" applyFill="1" applyBorder="1" applyProtection="1">
      <alignment horizontal="right" vertical="center" indent="3"/>
    </xf>
    <xf numFmtId="165" fontId="41" fillId="13" borderId="10" xfId="13" applyNumberFormat="1" applyFill="1" applyProtection="1">
      <alignment horizontal="center" vertical="top"/>
    </xf>
    <xf numFmtId="165" fontId="41" fillId="12" borderId="10" xfId="13" applyNumberFormat="1" applyFill="1" applyProtection="1">
      <alignment horizontal="center" vertical="top"/>
    </xf>
    <xf numFmtId="165" fontId="41" fillId="11" borderId="10" xfId="13" applyNumberFormat="1" applyFill="1" applyProtection="1">
      <alignment horizontal="center" vertical="top"/>
    </xf>
    <xf numFmtId="165" fontId="41" fillId="10" borderId="10" xfId="13" applyNumberFormat="1" applyFill="1" applyProtection="1">
      <alignment horizontal="center" vertical="top"/>
    </xf>
    <xf numFmtId="165" fontId="41" fillId="9" borderId="10" xfId="13" applyNumberFormat="1" applyFill="1" applyProtection="1">
      <alignment horizontal="center" vertical="top"/>
    </xf>
    <xf numFmtId="165" fontId="41" fillId="8" borderId="10" xfId="13" applyNumberFormat="1" applyFill="1" applyProtection="1">
      <alignment horizontal="center" vertical="top"/>
    </xf>
    <xf numFmtId="164" fontId="38" fillId="0" borderId="0" xfId="5" applyNumberFormat="1" applyBorder="1" applyAlignment="1" applyProtection="1">
      <alignment horizontal="center" vertical="center"/>
    </xf>
    <xf numFmtId="0" fontId="37" fillId="7" borderId="0" xfId="14" applyAlignment="1" applyProtection="1">
      <alignment horizontal="center" vertical="center"/>
    </xf>
    <xf numFmtId="0" fontId="1" fillId="0" borderId="0" xfId="17" applyAlignment="1">
      <alignment horizontal="center"/>
    </xf>
    <xf numFmtId="0" fontId="38" fillId="0" borderId="0" xfId="5" applyAlignment="1" applyProtection="1">
      <alignment horizontal="center" vertical="center" wrapText="1"/>
    </xf>
    <xf numFmtId="2" fontId="0" fillId="0" borderId="0" xfId="0" applyNumberFormat="1"/>
    <xf numFmtId="0" fontId="0" fillId="0" borderId="0" xfId="0" applyAlignment="1">
      <alignment horizontal="center"/>
    </xf>
    <xf numFmtId="165" fontId="0" fillId="0" borderId="0" xfId="15" applyNumberFormat="1" applyFont="1" applyBorder="1">
      <alignment horizontal="center" vertical="center"/>
    </xf>
    <xf numFmtId="43" fontId="1" fillId="0" borderId="0" xfId="0" applyNumberFormat="1" applyFont="1"/>
    <xf numFmtId="0" fontId="1" fillId="0" borderId="0" xfId="17" applyAlignment="1">
      <alignment horizontal="center" vertical="center"/>
    </xf>
    <xf numFmtId="9" fontId="0" fillId="0" borderId="0" xfId="0" applyNumberFormat="1"/>
    <xf numFmtId="0" fontId="0" fillId="0" borderId="0" xfId="0" applyAlignment="1">
      <alignment horizontal="center" vertical="center"/>
    </xf>
    <xf numFmtId="0" fontId="0" fillId="0" borderId="0" xfId="0" applyAlignment="1">
      <alignment vertical="center"/>
    </xf>
    <xf numFmtId="165" fontId="0" fillId="0" borderId="0" xfId="16" applyNumberFormat="1" applyFont="1" applyFill="1" applyBorder="1" applyAlignment="1" applyProtection="1">
      <alignment horizontal="right" vertical="center"/>
    </xf>
    <xf numFmtId="0" fontId="1" fillId="0" borderId="0" xfId="17" applyAlignment="1">
      <alignment vertical="center"/>
    </xf>
    <xf numFmtId="0" fontId="42" fillId="0" borderId="0" xfId="0" applyFont="1" applyAlignment="1">
      <alignment horizontal="center" vertical="center"/>
    </xf>
    <xf numFmtId="0" fontId="38" fillId="0" borderId="0" xfId="5" applyBorder="1" applyAlignment="1" applyProtection="1">
      <alignment horizontal="center" vertical="center" wrapText="1"/>
    </xf>
    <xf numFmtId="0" fontId="42" fillId="0" borderId="0" xfId="0" applyFont="1" applyAlignment="1">
      <alignment vertical="center"/>
    </xf>
    <xf numFmtId="1" fontId="1" fillId="0" borderId="0" xfId="0" applyNumberFormat="1" applyFont="1"/>
    <xf numFmtId="1" fontId="0" fillId="0" borderId="0" xfId="0" applyNumberFormat="1"/>
    <xf numFmtId="8" fontId="0" fillId="0" borderId="0" xfId="0" applyNumberFormat="1"/>
    <xf numFmtId="0" fontId="46" fillId="0" borderId="0" xfId="0" applyFont="1"/>
    <xf numFmtId="43" fontId="3" fillId="0" borderId="0" xfId="1" applyFont="1" applyFill="1" applyBorder="1" applyAlignment="1">
      <alignment horizontal="center" vertical="center"/>
    </xf>
    <xf numFmtId="0" fontId="0" fillId="0" borderId="3" xfId="0" applyBorder="1" applyAlignment="1">
      <alignment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11" borderId="3" xfId="0" applyFont="1" applyFill="1" applyBorder="1" applyAlignment="1">
      <alignment horizontal="center" vertical="center"/>
    </xf>
    <xf numFmtId="0" fontId="0" fillId="0" borderId="3" xfId="0" applyBorder="1" applyAlignment="1">
      <alignment horizontal="center"/>
    </xf>
    <xf numFmtId="0" fontId="1" fillId="14" borderId="3" xfId="0" applyFont="1" applyFill="1" applyBorder="1" applyAlignment="1">
      <alignment horizontal="center" vertical="center"/>
    </xf>
    <xf numFmtId="0" fontId="1" fillId="0" borderId="3" xfId="0" applyFont="1" applyBorder="1" applyAlignment="1">
      <alignment horizontal="center" wrapText="1"/>
    </xf>
    <xf numFmtId="43" fontId="7" fillId="15" borderId="0" xfId="0" applyNumberFormat="1" applyFont="1" applyFill="1"/>
    <xf numFmtId="43" fontId="1" fillId="0" borderId="0" xfId="1" applyFont="1" applyFill="1" applyBorder="1" applyAlignment="1"/>
    <xf numFmtId="43" fontId="30" fillId="2" borderId="3" xfId="0" applyNumberFormat="1" applyFont="1" applyFill="1" applyBorder="1" applyAlignment="1">
      <alignment horizontal="center"/>
    </xf>
    <xf numFmtId="43" fontId="31" fillId="3" borderId="0" xfId="0" applyNumberFormat="1" applyFont="1" applyFill="1" applyAlignment="1">
      <alignment horizontal="left"/>
    </xf>
    <xf numFmtId="0" fontId="37" fillId="6" borderId="0" xfId="4" applyAlignment="1" applyProtection="1">
      <alignment vertical="center"/>
    </xf>
    <xf numFmtId="0" fontId="43" fillId="7" borderId="0" xfId="6" applyFont="1" applyProtection="1">
      <alignment horizontal="left" vertical="center" wrapText="1"/>
    </xf>
    <xf numFmtId="0" fontId="39" fillId="7" borderId="8" xfId="6" applyBorder="1" applyProtection="1">
      <alignment horizontal="left" vertical="center" wrapText="1"/>
    </xf>
    <xf numFmtId="0" fontId="39" fillId="7" borderId="0" xfId="6" applyProtection="1">
      <alignment horizontal="left" vertical="center" wrapText="1"/>
    </xf>
    <xf numFmtId="43" fontId="32" fillId="2" borderId="0" xfId="0" applyNumberFormat="1" applyFont="1" applyFill="1" applyAlignment="1">
      <alignment horizontal="center"/>
    </xf>
    <xf numFmtId="43" fontId="33" fillId="2" borderId="0" xfId="0" applyNumberFormat="1" applyFont="1" applyFill="1" applyAlignment="1">
      <alignment horizontal="center"/>
    </xf>
    <xf numFmtId="0" fontId="1" fillId="0" borderId="3" xfId="0" applyFont="1" applyBorder="1" applyAlignment="1">
      <alignment horizontal="center" vertical="center"/>
    </xf>
    <xf numFmtId="0" fontId="0" fillId="0" borderId="3" xfId="0" applyBorder="1" applyAlignment="1">
      <alignment horizontal="center" vertical="center"/>
    </xf>
    <xf numFmtId="0" fontId="0" fillId="0" borderId="0" xfId="0" applyNumberFormat="1"/>
    <xf numFmtId="14" fontId="0" fillId="0" borderId="0" xfId="0" applyNumberFormat="1"/>
  </cellXfs>
  <cellStyles count="19">
    <cellStyle name="Accent1 2" xfId="4" xr:uid="{918EBBBE-9E30-5E49-9A3F-F21C9C3715BD}"/>
    <cellStyle name="Category" xfId="11" xr:uid="{4C389E26-069F-854F-8F5E-AD702AD6D75D}"/>
    <cellStyle name="Center Alignment" xfId="15" xr:uid="{1B9E2F40-D1C0-3D4C-BDBD-F08B521FEF92}"/>
    <cellStyle name="Comma" xfId="1" builtinId="3"/>
    <cellStyle name="Currency [0] 2" xfId="16" xr:uid="{50242928-E9D3-FC43-96BA-D4292D9D6864}"/>
    <cellStyle name="Currency [0] 3" xfId="18" xr:uid="{603B5B11-54EA-4649-BC5C-368D8012AB39}"/>
    <cellStyle name="Currency 2" xfId="13" xr:uid="{1D2D178A-F6A8-3844-9D85-78ABEF7F3BFC}"/>
    <cellStyle name="Heading 1 2" xfId="7" xr:uid="{002953D6-5BDC-4448-A204-7BBF3E58A2B4}"/>
    <cellStyle name="Heading 2 2" xfId="8" xr:uid="{4A440157-405B-EA47-8DD9-5307CB903145}"/>
    <cellStyle name="Heading 3 2" xfId="9" xr:uid="{A97A97A2-61F3-9E4C-838F-82109B797A0F}"/>
    <cellStyle name="Heading 4 2" xfId="10" xr:uid="{A748CBF4-24A3-DB44-BC6F-66473A31E0FB}"/>
    <cellStyle name="Normal" xfId="0" builtinId="0"/>
    <cellStyle name="Normal 2" xfId="5" xr:uid="{B5034CF3-A4A1-404C-A395-294B402F3CA0}"/>
    <cellStyle name="Normal 3" xfId="17" xr:uid="{0BF90A05-3CF2-E84A-8B59-6F901F26DBA2}"/>
    <cellStyle name="Note 2" xfId="14" xr:uid="{74E7E793-98E4-2248-BE37-2ECB4C04AF32}"/>
    <cellStyle name="Per cent" xfId="2" builtinId="5"/>
    <cellStyle name="Title 2" xfId="6" xr:uid="{3DD13713-5A01-994B-BD99-1CB07A04F3F9}"/>
    <cellStyle name="Total" xfId="3" builtinId="25"/>
    <cellStyle name="Total 2" xfId="12" xr:uid="{D5AB817A-24E4-5549-AB43-61CCBB72A110}"/>
  </cellStyles>
  <dxfs count="308">
    <dxf>
      <numFmt numFmtId="0" formatCode="General"/>
    </dxf>
    <dxf>
      <numFmt numFmtId="19" formatCode="dd/mm/yyyy"/>
    </dxf>
    <dxf>
      <numFmt numFmtId="0" formatCode="General"/>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border>
        <right/>
        <bottom style="thin">
          <color theme="0"/>
        </bottom>
        <vertical/>
        <horizontal/>
      </border>
    </dxf>
    <dxf>
      <font>
        <color rgb="FFFF0000"/>
      </font>
      <fill>
        <patternFill>
          <bgColor theme="2"/>
        </patternFill>
      </fill>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border>
        <right/>
        <bottom style="thin">
          <color theme="0"/>
        </bottom>
        <vertical/>
        <horizontal/>
      </border>
    </dxf>
    <dxf>
      <font>
        <color rgb="FFFF0000"/>
      </font>
      <fill>
        <patternFill>
          <bgColor theme="2"/>
        </patternFill>
      </fill>
    </dxf>
    <dxf>
      <border>
        <right/>
        <bottom style="thin">
          <color theme="0"/>
        </bottom>
        <vertical/>
        <horizontal/>
      </border>
    </dxf>
    <dxf>
      <font>
        <color rgb="FFFF0000"/>
      </font>
      <fill>
        <patternFill>
          <bgColor theme="2"/>
        </patternFill>
      </fill>
    </dxf>
    <dxf>
      <font>
        <b/>
        <i val="0"/>
        <strike/>
        <color theme="4" tint="0.39994506668294322"/>
      </font>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font>
        <b val="0"/>
        <i val="0"/>
        <strike val="0"/>
        <condense val="0"/>
        <extend val="0"/>
        <outline val="0"/>
        <shadow val="0"/>
        <u val="none"/>
        <vertAlign val="baseline"/>
        <sz val="11"/>
        <color rgb="FF000000"/>
        <name val="Calibri"/>
        <charset val="1"/>
        <scheme val="none"/>
      </font>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font>
        <b/>
        <i val="0"/>
        <color theme="4" tint="-0.24994659260841701"/>
      </font>
      <fill>
        <patternFill>
          <bgColor theme="2"/>
        </patternFill>
      </fill>
      <border>
        <top style="medium">
          <color theme="4"/>
        </top>
        <bottom style="medium">
          <color theme="4"/>
        </bottom>
      </border>
    </dxf>
    <dxf>
      <font>
        <b val="0"/>
        <i val="0"/>
        <color theme="4" tint="-0.24994659260841701"/>
      </font>
      <fill>
        <patternFill>
          <bgColor theme="2"/>
        </patternFill>
      </fill>
    </dxf>
    <dxf>
      <font>
        <b/>
        <i val="0"/>
        <color theme="4" tint="-0.24994659260841701"/>
      </font>
      <fill>
        <patternFill>
          <bgColor theme="2"/>
        </patternFill>
      </fill>
      <border>
        <top style="medium">
          <color theme="4"/>
        </top>
        <bottom style="medium">
          <color theme="4"/>
        </bottom>
      </border>
    </dxf>
    <dxf>
      <font>
        <b val="0"/>
        <i val="0"/>
        <color theme="4" tint="-0.24994659260841701"/>
      </font>
      <fill>
        <patternFill>
          <bgColor theme="2"/>
        </patternFill>
      </fill>
    </dxf>
  </dxfs>
  <tableStyles count="2" defaultTableStyle="TableStyleMedium9" defaultPivotStyle="PivotStyleLight16">
    <tableStyle name="Grocery List" pivot="0" count="2" xr9:uid="{CFB68923-5FF6-5848-9992-17221031E03D}">
      <tableStyleElement type="wholeTable" dxfId="307"/>
      <tableStyleElement type="headerRow" dxfId="306"/>
    </tableStyle>
    <tableStyle name="Grocery List 2" pivot="0" count="2" xr9:uid="{DE7445CC-9815-C74A-B85D-898149D51384}">
      <tableStyleElement type="wholeTable" dxfId="305"/>
      <tableStyleElement type="headerRow" dxfId="3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manualLayout>
          <c:layoutTarget val="inner"/>
          <c:xMode val="edge"/>
          <c:yMode val="edge"/>
          <c:x val="0.1602655344208852"/>
          <c:y val="0.11927618202654246"/>
          <c:w val="0.81524921237933734"/>
          <c:h val="0.51639273963993937"/>
        </c:manualLayout>
      </c:layout>
      <c:barChart>
        <c:barDir val="col"/>
        <c:grouping val="clustered"/>
        <c:varyColors val="0"/>
        <c:ser>
          <c:idx val="0"/>
          <c:order val="0"/>
          <c:tx>
            <c:strRef>
              <c:f>'REPORT '!$B$8</c:f>
              <c:strCache>
                <c:ptCount val="1"/>
                <c:pt idx="0">
                  <c:v> Budget </c:v>
                </c:pt>
              </c:strCache>
            </c:strRef>
          </c:tx>
          <c:spPr>
            <a:solidFill>
              <a:schemeClr val="accent1"/>
            </a:solidFill>
            <a:ln>
              <a:noFill/>
            </a:ln>
            <a:effectLst/>
          </c:spPr>
          <c:invertIfNegative val="0"/>
          <c:cat>
            <c:strRef>
              <c:f>'REPORT '!$A$9:$A$28</c:f>
              <c:strCache>
                <c:ptCount val="20"/>
                <c:pt idx="0">
                  <c:v>Rent</c:v>
                </c:pt>
                <c:pt idx="1">
                  <c:v>Tithe</c:v>
                </c:pt>
                <c:pt idx="2">
                  <c:v>Data</c:v>
                </c:pt>
                <c:pt idx="3">
                  <c:v>Savings/ Investment </c:v>
                </c:pt>
                <c:pt idx="4">
                  <c:v>Hair / Gym</c:v>
                </c:pt>
                <c:pt idx="5">
                  <c:v>Food</c:v>
                </c:pt>
                <c:pt idx="6">
                  <c:v>Healthcare</c:v>
                </c:pt>
                <c:pt idx="7">
                  <c:v>Clothes/ Shoes/ Jewelry </c:v>
                </c:pt>
                <c:pt idx="8">
                  <c:v>shoes</c:v>
                </c:pt>
                <c:pt idx="9">
                  <c:v>Travel/ Vacations </c:v>
                </c:pt>
                <c:pt idx="10">
                  <c:v>Outings</c:v>
                </c:pt>
                <c:pt idx="11">
                  <c:v>Toiletries/Groceries</c:v>
                </c:pt>
                <c:pt idx="12">
                  <c:v>Transportation </c:v>
                </c:pt>
                <c:pt idx="13">
                  <c:v>Miscellaneous</c:v>
                </c:pt>
                <c:pt idx="14">
                  <c:v>Apple Subscriptions</c:v>
                </c:pt>
                <c:pt idx="15">
                  <c:v>Google 1</c:v>
                </c:pt>
                <c:pt idx="16">
                  <c:v>Netflix</c:v>
                </c:pt>
                <c:pt idx="17">
                  <c:v>Amuse</c:v>
                </c:pt>
                <c:pt idx="18">
                  <c:v>electricity</c:v>
                </c:pt>
                <c:pt idx="19">
                  <c:v>Account Charges</c:v>
                </c:pt>
              </c:strCache>
            </c:strRef>
          </c:cat>
          <c:val>
            <c:numRef>
              <c:f>'REPORT '!$B$9:$B$28</c:f>
              <c:numCache>
                <c:formatCode>_(* #,##0.00_);_(* \(#,##0.00\);_(* "-"??_);_(@_)</c:formatCode>
                <c:ptCount val="20"/>
                <c:pt idx="0">
                  <c:v>7120</c:v>
                </c:pt>
                <c:pt idx="1">
                  <c:v>3483.2</c:v>
                </c:pt>
                <c:pt idx="2">
                  <c:v>3660</c:v>
                </c:pt>
                <c:pt idx="3">
                  <c:v>4300</c:v>
                </c:pt>
                <c:pt idx="4">
                  <c:v>1600</c:v>
                </c:pt>
                <c:pt idx="5">
                  <c:v>4450</c:v>
                </c:pt>
                <c:pt idx="6">
                  <c:v>700</c:v>
                </c:pt>
                <c:pt idx="7">
                  <c:v>2200</c:v>
                </c:pt>
                <c:pt idx="8">
                  <c:v>900</c:v>
                </c:pt>
                <c:pt idx="9">
                  <c:v>0</c:v>
                </c:pt>
                <c:pt idx="10">
                  <c:v>3500</c:v>
                </c:pt>
                <c:pt idx="11">
                  <c:v>6420</c:v>
                </c:pt>
                <c:pt idx="12">
                  <c:v>4450</c:v>
                </c:pt>
                <c:pt idx="13">
                  <c:v>1705</c:v>
                </c:pt>
                <c:pt idx="14">
                  <c:v>178</c:v>
                </c:pt>
                <c:pt idx="15">
                  <c:v>114</c:v>
                </c:pt>
                <c:pt idx="16">
                  <c:v>800</c:v>
                </c:pt>
                <c:pt idx="17">
                  <c:v>0</c:v>
                </c:pt>
                <c:pt idx="18">
                  <c:v>200</c:v>
                </c:pt>
                <c:pt idx="19">
                  <c:v>120</c:v>
                </c:pt>
              </c:numCache>
            </c:numRef>
          </c:val>
          <c:extLst>
            <c:ext xmlns:c16="http://schemas.microsoft.com/office/drawing/2014/chart" uri="{C3380CC4-5D6E-409C-BE32-E72D297353CC}">
              <c16:uniqueId val="{00000000-0562-4AB8-8DD1-0A7B80FCE3EA}"/>
            </c:ext>
          </c:extLst>
        </c:ser>
        <c:ser>
          <c:idx val="1"/>
          <c:order val="1"/>
          <c:tx>
            <c:strRef>
              <c:f>'REPORT '!$C$8</c:f>
              <c:strCache>
                <c:ptCount val="1"/>
                <c:pt idx="0">
                  <c:v> Actual </c:v>
                </c:pt>
              </c:strCache>
            </c:strRef>
          </c:tx>
          <c:spPr>
            <a:solidFill>
              <a:schemeClr val="accent2"/>
            </a:solidFill>
            <a:ln>
              <a:noFill/>
            </a:ln>
            <a:effectLst/>
          </c:spPr>
          <c:invertIfNegative val="0"/>
          <c:cat>
            <c:strRef>
              <c:f>'REPORT '!$A$9:$A$28</c:f>
              <c:strCache>
                <c:ptCount val="20"/>
                <c:pt idx="0">
                  <c:v>Rent</c:v>
                </c:pt>
                <c:pt idx="1">
                  <c:v>Tithe</c:v>
                </c:pt>
                <c:pt idx="2">
                  <c:v>Data</c:v>
                </c:pt>
                <c:pt idx="3">
                  <c:v>Savings/ Investment </c:v>
                </c:pt>
                <c:pt idx="4">
                  <c:v>Hair / Gym</c:v>
                </c:pt>
                <c:pt idx="5">
                  <c:v>Food</c:v>
                </c:pt>
                <c:pt idx="6">
                  <c:v>Healthcare</c:v>
                </c:pt>
                <c:pt idx="7">
                  <c:v>Clothes/ Shoes/ Jewelry </c:v>
                </c:pt>
                <c:pt idx="8">
                  <c:v>shoes</c:v>
                </c:pt>
                <c:pt idx="9">
                  <c:v>Travel/ Vacations </c:v>
                </c:pt>
                <c:pt idx="10">
                  <c:v>Outings</c:v>
                </c:pt>
                <c:pt idx="11">
                  <c:v>Toiletries/Groceries</c:v>
                </c:pt>
                <c:pt idx="12">
                  <c:v>Transportation </c:v>
                </c:pt>
                <c:pt idx="13">
                  <c:v>Miscellaneous</c:v>
                </c:pt>
                <c:pt idx="14">
                  <c:v>Apple Subscriptions</c:v>
                </c:pt>
                <c:pt idx="15">
                  <c:v>Google 1</c:v>
                </c:pt>
                <c:pt idx="16">
                  <c:v>Netflix</c:v>
                </c:pt>
                <c:pt idx="17">
                  <c:v>Amuse</c:v>
                </c:pt>
                <c:pt idx="18">
                  <c:v>electricity</c:v>
                </c:pt>
                <c:pt idx="19">
                  <c:v>Account Charges</c:v>
                </c:pt>
              </c:strCache>
            </c:strRef>
          </c:cat>
          <c:val>
            <c:numRef>
              <c:f>'REPORT '!$C$9:$C$28</c:f>
              <c:numCache>
                <c:formatCode>_(* #,##0.00_);_(* \(#,##0.00\);_(* "-"??_);_(@_)</c:formatCode>
                <c:ptCount val="20"/>
                <c:pt idx="0">
                  <c:v>10105</c:v>
                </c:pt>
                <c:pt idx="1">
                  <c:v>385</c:v>
                </c:pt>
                <c:pt idx="2">
                  <c:v>3521</c:v>
                </c:pt>
                <c:pt idx="3">
                  <c:v>3650</c:v>
                </c:pt>
                <c:pt idx="4">
                  <c:v>560</c:v>
                </c:pt>
                <c:pt idx="5">
                  <c:v>10420.679999999998</c:v>
                </c:pt>
                <c:pt idx="6">
                  <c:v>870.2</c:v>
                </c:pt>
                <c:pt idx="7">
                  <c:v>1854</c:v>
                </c:pt>
                <c:pt idx="8">
                  <c:v>0</c:v>
                </c:pt>
                <c:pt idx="9">
                  <c:v>0</c:v>
                </c:pt>
                <c:pt idx="10">
                  <c:v>557</c:v>
                </c:pt>
                <c:pt idx="11">
                  <c:v>9406.5799999999981</c:v>
                </c:pt>
                <c:pt idx="12">
                  <c:v>10669.25</c:v>
                </c:pt>
                <c:pt idx="13">
                  <c:v>8677.85</c:v>
                </c:pt>
                <c:pt idx="14">
                  <c:v>198.23</c:v>
                </c:pt>
                <c:pt idx="15">
                  <c:v>99</c:v>
                </c:pt>
                <c:pt idx="16">
                  <c:v>1279.8699999999999</c:v>
                </c:pt>
                <c:pt idx="17">
                  <c:v>0</c:v>
                </c:pt>
                <c:pt idx="18">
                  <c:v>171</c:v>
                </c:pt>
                <c:pt idx="19">
                  <c:v>210.11999999999998</c:v>
                </c:pt>
              </c:numCache>
            </c:numRef>
          </c:val>
          <c:extLst>
            <c:ext xmlns:c16="http://schemas.microsoft.com/office/drawing/2014/chart" uri="{C3380CC4-5D6E-409C-BE32-E72D297353CC}">
              <c16:uniqueId val="{00000001-0562-4AB8-8DD1-0A7B80FCE3EA}"/>
            </c:ext>
          </c:extLst>
        </c:ser>
        <c:dLbls>
          <c:showLegendKey val="0"/>
          <c:showVal val="0"/>
          <c:showCatName val="0"/>
          <c:showSerName val="0"/>
          <c:showPercent val="0"/>
          <c:showBubbleSize val="0"/>
        </c:dLbls>
        <c:gapWidth val="219"/>
        <c:overlap val="-27"/>
        <c:axId val="457126280"/>
        <c:axId val="457140712"/>
      </c:barChart>
      <c:catAx>
        <c:axId val="457126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Expenses</a:t>
                </a:r>
              </a:p>
            </c:rich>
          </c:tx>
          <c:layout>
            <c:manualLayout>
              <c:xMode val="edge"/>
              <c:yMode val="edge"/>
              <c:x val="0.48658233585478222"/>
              <c:y val="0.852087665002229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57140712"/>
        <c:crosses val="autoZero"/>
        <c:auto val="1"/>
        <c:lblAlgn val="ctr"/>
        <c:lblOffset val="100"/>
        <c:noMultiLvlLbl val="0"/>
      </c:catAx>
      <c:valAx>
        <c:axId val="457140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57126280"/>
        <c:crosses val="autoZero"/>
        <c:crossBetween val="between"/>
      </c:valAx>
      <c:spPr>
        <a:noFill/>
        <a:ln>
          <a:noFill/>
        </a:ln>
        <a:effectLst/>
      </c:spPr>
    </c:plotArea>
    <c:legend>
      <c:legendPos val="b"/>
      <c:layout>
        <c:manualLayout>
          <c:xMode val="edge"/>
          <c:yMode val="edge"/>
          <c:x val="0.4385054818712707"/>
          <c:y val="0.92402588896579496"/>
          <c:w val="0.18616786751015904"/>
          <c:h val="5.16625267694061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barChart>
        <c:barDir val="col"/>
        <c:grouping val="clustered"/>
        <c:varyColors val="0"/>
        <c:ser>
          <c:idx val="0"/>
          <c:order val="0"/>
          <c:tx>
            <c:strRef>
              <c:f>'REPORT '!$A$4</c:f>
              <c:strCache>
                <c:ptCount val="1"/>
                <c:pt idx="0">
                  <c:v> Total Income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'!$B$3:$C$3</c:f>
              <c:strCache>
                <c:ptCount val="2"/>
                <c:pt idx="0">
                  <c:v> Budget </c:v>
                </c:pt>
                <c:pt idx="1">
                  <c:v> Actual </c:v>
                </c:pt>
              </c:strCache>
            </c:strRef>
          </c:cat>
          <c:val>
            <c:numRef>
              <c:f>'REPORT '!$B$4:$C$4</c:f>
              <c:numCache>
                <c:formatCode>_(* #,##0.00_);_(* \(#,##0.00\);_(* "-"??_);_(@_)</c:formatCode>
                <c:ptCount val="2"/>
                <c:pt idx="0">
                  <c:v>47846</c:v>
                </c:pt>
                <c:pt idx="1">
                  <c:v>62456</c:v>
                </c:pt>
              </c:numCache>
            </c:numRef>
          </c:val>
          <c:extLst>
            <c:ext xmlns:c16="http://schemas.microsoft.com/office/drawing/2014/chart" uri="{C3380CC4-5D6E-409C-BE32-E72D297353CC}">
              <c16:uniqueId val="{00000000-4BD3-48E9-A25B-78B6C81195D5}"/>
            </c:ext>
          </c:extLst>
        </c:ser>
        <c:dLbls>
          <c:dLblPos val="outEnd"/>
          <c:showLegendKey val="0"/>
          <c:showVal val="1"/>
          <c:showCatName val="0"/>
          <c:showSerName val="0"/>
          <c:showPercent val="0"/>
          <c:showBubbleSize val="0"/>
        </c:dLbls>
        <c:gapWidth val="219"/>
        <c:overlap val="-27"/>
        <c:axId val="638299744"/>
        <c:axId val="638297120"/>
      </c:barChart>
      <c:catAx>
        <c:axId val="6382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38297120"/>
        <c:crosses val="autoZero"/>
        <c:auto val="1"/>
        <c:lblAlgn val="ctr"/>
        <c:lblOffset val="100"/>
        <c:noMultiLvlLbl val="0"/>
      </c:catAx>
      <c:valAx>
        <c:axId val="63829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3829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1649728291005881E-2"/>
          <c:y val="1.6722408026755852E-2"/>
          <c:w val="0.94804657868470665"/>
          <c:h val="0.9428122613435862"/>
        </c:manualLayout>
      </c:layout>
      <c:barChart>
        <c:barDir val="col"/>
        <c:grouping val="clustered"/>
        <c:varyColors val="0"/>
        <c:ser>
          <c:idx val="0"/>
          <c:order val="0"/>
          <c:spPr>
            <a:solidFill>
              <a:schemeClr val="accent1"/>
            </a:solidFill>
            <a:ln>
              <a:noFill/>
            </a:ln>
            <a:effectLst/>
          </c:spPr>
          <c:invertIfNegative val="0"/>
          <c:cat>
            <c:numRef>
              <c:f>'ACTUAL EXPENSES (2)'!$B$2:$B$1685</c:f>
              <c:numCache>
                <c:formatCode>m/d/yy</c:formatCode>
                <c:ptCount val="1684"/>
                <c:pt idx="0">
                  <c:v>44949</c:v>
                </c:pt>
                <c:pt idx="1">
                  <c:v>44942</c:v>
                </c:pt>
                <c:pt idx="2">
                  <c:v>44944</c:v>
                </c:pt>
                <c:pt idx="3">
                  <c:v>44945</c:v>
                </c:pt>
                <c:pt idx="4">
                  <c:v>44946</c:v>
                </c:pt>
                <c:pt idx="5">
                  <c:v>44947</c:v>
                </c:pt>
                <c:pt idx="6">
                  <c:v>44948</c:v>
                </c:pt>
                <c:pt idx="7">
                  <c:v>44949</c:v>
                </c:pt>
                <c:pt idx="8">
                  <c:v>44950</c:v>
                </c:pt>
                <c:pt idx="9">
                  <c:v>44951</c:v>
                </c:pt>
                <c:pt idx="10">
                  <c:v>44952</c:v>
                </c:pt>
                <c:pt idx="11">
                  <c:v>44953</c:v>
                </c:pt>
                <c:pt idx="12">
                  <c:v>44955</c:v>
                </c:pt>
                <c:pt idx="13">
                  <c:v>44942</c:v>
                </c:pt>
                <c:pt idx="14">
                  <c:v>44954</c:v>
                </c:pt>
                <c:pt idx="15">
                  <c:v>44943</c:v>
                </c:pt>
                <c:pt idx="16">
                  <c:v>44944</c:v>
                </c:pt>
                <c:pt idx="17">
                  <c:v>44946</c:v>
                </c:pt>
                <c:pt idx="18">
                  <c:v>44952</c:v>
                </c:pt>
                <c:pt idx="19">
                  <c:v>44954</c:v>
                </c:pt>
                <c:pt idx="20">
                  <c:v>44933</c:v>
                </c:pt>
                <c:pt idx="21">
                  <c:v>44936</c:v>
                </c:pt>
                <c:pt idx="22">
                  <c:v>44945</c:v>
                </c:pt>
                <c:pt idx="23">
                  <c:v>44946</c:v>
                </c:pt>
                <c:pt idx="24">
                  <c:v>44949</c:v>
                </c:pt>
                <c:pt idx="25">
                  <c:v>44950</c:v>
                </c:pt>
                <c:pt idx="26">
                  <c:v>44951</c:v>
                </c:pt>
                <c:pt idx="27">
                  <c:v>44952</c:v>
                </c:pt>
                <c:pt idx="28">
                  <c:v>44953</c:v>
                </c:pt>
                <c:pt idx="29">
                  <c:v>44954</c:v>
                </c:pt>
                <c:pt idx="30">
                  <c:v>44955</c:v>
                </c:pt>
                <c:pt idx="31">
                  <c:v>44957</c:v>
                </c:pt>
                <c:pt idx="32">
                  <c:v>44927</c:v>
                </c:pt>
                <c:pt idx="33">
                  <c:v>44929</c:v>
                </c:pt>
                <c:pt idx="34">
                  <c:v>44934</c:v>
                </c:pt>
                <c:pt idx="35">
                  <c:v>44939</c:v>
                </c:pt>
                <c:pt idx="36">
                  <c:v>44940</c:v>
                </c:pt>
                <c:pt idx="37">
                  <c:v>44954</c:v>
                </c:pt>
                <c:pt idx="38">
                  <c:v>44945</c:v>
                </c:pt>
                <c:pt idx="39">
                  <c:v>44953</c:v>
                </c:pt>
                <c:pt idx="40">
                  <c:v>44936</c:v>
                </c:pt>
                <c:pt idx="41">
                  <c:v>44945</c:v>
                </c:pt>
                <c:pt idx="42">
                  <c:v>44946</c:v>
                </c:pt>
                <c:pt idx="43">
                  <c:v>44947</c:v>
                </c:pt>
                <c:pt idx="44">
                  <c:v>44958</c:v>
                </c:pt>
                <c:pt idx="45">
                  <c:v>44980</c:v>
                </c:pt>
                <c:pt idx="46">
                  <c:v>44985</c:v>
                </c:pt>
                <c:pt idx="47">
                  <c:v>44958</c:v>
                </c:pt>
                <c:pt idx="48">
                  <c:v>44959</c:v>
                </c:pt>
                <c:pt idx="49">
                  <c:v>44961</c:v>
                </c:pt>
                <c:pt idx="50">
                  <c:v>44963</c:v>
                </c:pt>
                <c:pt idx="51">
                  <c:v>44964</c:v>
                </c:pt>
                <c:pt idx="52">
                  <c:v>44965</c:v>
                </c:pt>
                <c:pt idx="53">
                  <c:v>44966</c:v>
                </c:pt>
                <c:pt idx="54">
                  <c:v>44969</c:v>
                </c:pt>
                <c:pt idx="55">
                  <c:v>44971</c:v>
                </c:pt>
                <c:pt idx="56">
                  <c:v>44972</c:v>
                </c:pt>
                <c:pt idx="57">
                  <c:v>44975</c:v>
                </c:pt>
                <c:pt idx="58">
                  <c:v>44978</c:v>
                </c:pt>
                <c:pt idx="59">
                  <c:v>44979</c:v>
                </c:pt>
                <c:pt idx="60">
                  <c:v>44980</c:v>
                </c:pt>
                <c:pt idx="61">
                  <c:v>44981</c:v>
                </c:pt>
                <c:pt idx="62">
                  <c:v>44985</c:v>
                </c:pt>
                <c:pt idx="63">
                  <c:v>44961</c:v>
                </c:pt>
                <c:pt idx="64">
                  <c:v>44966</c:v>
                </c:pt>
                <c:pt idx="65">
                  <c:v>44973</c:v>
                </c:pt>
                <c:pt idx="66">
                  <c:v>44980</c:v>
                </c:pt>
                <c:pt idx="67">
                  <c:v>44984</c:v>
                </c:pt>
                <c:pt idx="68">
                  <c:v>44979</c:v>
                </c:pt>
                <c:pt idx="69">
                  <c:v>44966</c:v>
                </c:pt>
                <c:pt idx="70">
                  <c:v>44985</c:v>
                </c:pt>
                <c:pt idx="71">
                  <c:v>44958</c:v>
                </c:pt>
                <c:pt idx="72">
                  <c:v>44960</c:v>
                </c:pt>
                <c:pt idx="73">
                  <c:v>44961</c:v>
                </c:pt>
                <c:pt idx="74">
                  <c:v>44967</c:v>
                </c:pt>
                <c:pt idx="75">
                  <c:v>44969</c:v>
                </c:pt>
                <c:pt idx="76">
                  <c:v>44971</c:v>
                </c:pt>
                <c:pt idx="77">
                  <c:v>44972</c:v>
                </c:pt>
                <c:pt idx="78">
                  <c:v>44978</c:v>
                </c:pt>
                <c:pt idx="79">
                  <c:v>44979</c:v>
                </c:pt>
                <c:pt idx="80">
                  <c:v>44980</c:v>
                </c:pt>
                <c:pt idx="81">
                  <c:v>44981</c:v>
                </c:pt>
                <c:pt idx="82">
                  <c:v>44982</c:v>
                </c:pt>
                <c:pt idx="83">
                  <c:v>44983</c:v>
                </c:pt>
                <c:pt idx="84">
                  <c:v>44985</c:v>
                </c:pt>
                <c:pt idx="85">
                  <c:v>44966</c:v>
                </c:pt>
                <c:pt idx="86">
                  <c:v>44969</c:v>
                </c:pt>
                <c:pt idx="87">
                  <c:v>44983</c:v>
                </c:pt>
                <c:pt idx="88">
                  <c:v>44967</c:v>
                </c:pt>
                <c:pt idx="89">
                  <c:v>44979</c:v>
                </c:pt>
                <c:pt idx="90">
                  <c:v>44980</c:v>
                </c:pt>
                <c:pt idx="91">
                  <c:v>44986</c:v>
                </c:pt>
                <c:pt idx="92">
                  <c:v>44987</c:v>
                </c:pt>
                <c:pt idx="93">
                  <c:v>44988</c:v>
                </c:pt>
                <c:pt idx="94">
                  <c:v>44989</c:v>
                </c:pt>
                <c:pt idx="95">
                  <c:v>44990</c:v>
                </c:pt>
                <c:pt idx="96">
                  <c:v>44991</c:v>
                </c:pt>
                <c:pt idx="97">
                  <c:v>44992</c:v>
                </c:pt>
                <c:pt idx="98">
                  <c:v>44993</c:v>
                </c:pt>
                <c:pt idx="99">
                  <c:v>44994</c:v>
                </c:pt>
                <c:pt idx="100">
                  <c:v>44995</c:v>
                </c:pt>
                <c:pt idx="101">
                  <c:v>44996</c:v>
                </c:pt>
                <c:pt idx="102">
                  <c:v>44997</c:v>
                </c:pt>
                <c:pt idx="103">
                  <c:v>44998</c:v>
                </c:pt>
                <c:pt idx="104">
                  <c:v>44999</c:v>
                </c:pt>
                <c:pt idx="105">
                  <c:v>45000</c:v>
                </c:pt>
                <c:pt idx="106">
                  <c:v>45001</c:v>
                </c:pt>
                <c:pt idx="107">
                  <c:v>45002</c:v>
                </c:pt>
                <c:pt idx="108">
                  <c:v>45003</c:v>
                </c:pt>
                <c:pt idx="109">
                  <c:v>45004</c:v>
                </c:pt>
                <c:pt idx="110">
                  <c:v>45005</c:v>
                </c:pt>
                <c:pt idx="111">
                  <c:v>45006</c:v>
                </c:pt>
                <c:pt idx="112">
                  <c:v>45007</c:v>
                </c:pt>
                <c:pt idx="113">
                  <c:v>45008</c:v>
                </c:pt>
                <c:pt idx="114">
                  <c:v>45009</c:v>
                </c:pt>
                <c:pt idx="115">
                  <c:v>45010</c:v>
                </c:pt>
                <c:pt idx="116">
                  <c:v>45011</c:v>
                </c:pt>
                <c:pt idx="117">
                  <c:v>45012</c:v>
                </c:pt>
                <c:pt idx="118">
                  <c:v>45013</c:v>
                </c:pt>
                <c:pt idx="119">
                  <c:v>45014</c:v>
                </c:pt>
                <c:pt idx="120">
                  <c:v>45015</c:v>
                </c:pt>
                <c:pt idx="121">
                  <c:v>45016</c:v>
                </c:pt>
                <c:pt idx="122">
                  <c:v>44986</c:v>
                </c:pt>
                <c:pt idx="123">
                  <c:v>44987</c:v>
                </c:pt>
                <c:pt idx="124">
                  <c:v>45007</c:v>
                </c:pt>
                <c:pt idx="125">
                  <c:v>44986</c:v>
                </c:pt>
                <c:pt idx="126">
                  <c:v>44986</c:v>
                </c:pt>
                <c:pt idx="127">
                  <c:v>44987</c:v>
                </c:pt>
                <c:pt idx="128">
                  <c:v>44989</c:v>
                </c:pt>
                <c:pt idx="129">
                  <c:v>44993</c:v>
                </c:pt>
                <c:pt idx="130">
                  <c:v>44986</c:v>
                </c:pt>
                <c:pt idx="131">
                  <c:v>45008</c:v>
                </c:pt>
                <c:pt idx="132">
                  <c:v>44986</c:v>
                </c:pt>
                <c:pt idx="133">
                  <c:v>44987</c:v>
                </c:pt>
                <c:pt idx="134">
                  <c:v>45012</c:v>
                </c:pt>
                <c:pt idx="135">
                  <c:v>44986</c:v>
                </c:pt>
                <c:pt idx="136">
                  <c:v>44987</c:v>
                </c:pt>
                <c:pt idx="137">
                  <c:v>44988</c:v>
                </c:pt>
                <c:pt idx="138">
                  <c:v>44989</c:v>
                </c:pt>
                <c:pt idx="139">
                  <c:v>44990</c:v>
                </c:pt>
                <c:pt idx="140">
                  <c:v>44991</c:v>
                </c:pt>
                <c:pt idx="141">
                  <c:v>44992</c:v>
                </c:pt>
                <c:pt idx="142">
                  <c:v>44994</c:v>
                </c:pt>
                <c:pt idx="143">
                  <c:v>44995</c:v>
                </c:pt>
                <c:pt idx="144">
                  <c:v>44996</c:v>
                </c:pt>
                <c:pt idx="145">
                  <c:v>44997</c:v>
                </c:pt>
                <c:pt idx="146">
                  <c:v>44998</c:v>
                </c:pt>
                <c:pt idx="147">
                  <c:v>44999</c:v>
                </c:pt>
                <c:pt idx="148">
                  <c:v>45000</c:v>
                </c:pt>
                <c:pt idx="149">
                  <c:v>45001</c:v>
                </c:pt>
                <c:pt idx="150">
                  <c:v>45002</c:v>
                </c:pt>
                <c:pt idx="151">
                  <c:v>45003</c:v>
                </c:pt>
                <c:pt idx="152">
                  <c:v>45004</c:v>
                </c:pt>
                <c:pt idx="153">
                  <c:v>45005</c:v>
                </c:pt>
                <c:pt idx="154">
                  <c:v>45006</c:v>
                </c:pt>
                <c:pt idx="155">
                  <c:v>45007</c:v>
                </c:pt>
                <c:pt idx="156">
                  <c:v>45008</c:v>
                </c:pt>
                <c:pt idx="157">
                  <c:v>45009</c:v>
                </c:pt>
                <c:pt idx="158">
                  <c:v>45010</c:v>
                </c:pt>
                <c:pt idx="159">
                  <c:v>45011</c:v>
                </c:pt>
                <c:pt idx="160">
                  <c:v>45012</c:v>
                </c:pt>
                <c:pt idx="161">
                  <c:v>45013</c:v>
                </c:pt>
                <c:pt idx="162">
                  <c:v>45014</c:v>
                </c:pt>
                <c:pt idx="163">
                  <c:v>45015</c:v>
                </c:pt>
                <c:pt idx="164">
                  <c:v>45016</c:v>
                </c:pt>
                <c:pt idx="165">
                  <c:v>45000</c:v>
                </c:pt>
                <c:pt idx="166">
                  <c:v>44986</c:v>
                </c:pt>
                <c:pt idx="167">
                  <c:v>44994</c:v>
                </c:pt>
                <c:pt idx="168">
                  <c:v>45007</c:v>
                </c:pt>
                <c:pt idx="169">
                  <c:v>45008</c:v>
                </c:pt>
                <c:pt idx="170">
                  <c:v>45012</c:v>
                </c:pt>
                <c:pt idx="171">
                  <c:v>44986</c:v>
                </c:pt>
                <c:pt idx="172">
                  <c:v>44987</c:v>
                </c:pt>
                <c:pt idx="173">
                  <c:v>44986</c:v>
                </c:pt>
                <c:pt idx="174">
                  <c:v>44986</c:v>
                </c:pt>
                <c:pt idx="175">
                  <c:v>45001</c:v>
                </c:pt>
                <c:pt idx="176">
                  <c:v>44986</c:v>
                </c:pt>
                <c:pt idx="177">
                  <c:v>44988</c:v>
                </c:pt>
                <c:pt idx="178">
                  <c:v>44991</c:v>
                </c:pt>
                <c:pt idx="179">
                  <c:v>45009</c:v>
                </c:pt>
                <c:pt idx="180">
                  <c:v>44986</c:v>
                </c:pt>
                <c:pt idx="181">
                  <c:v>44987</c:v>
                </c:pt>
                <c:pt idx="182">
                  <c:v>44988</c:v>
                </c:pt>
                <c:pt idx="183">
                  <c:v>44989</c:v>
                </c:pt>
                <c:pt idx="184">
                  <c:v>44992</c:v>
                </c:pt>
                <c:pt idx="185">
                  <c:v>44994</c:v>
                </c:pt>
                <c:pt idx="186">
                  <c:v>44995</c:v>
                </c:pt>
                <c:pt idx="187">
                  <c:v>44999</c:v>
                </c:pt>
                <c:pt idx="188">
                  <c:v>45000</c:v>
                </c:pt>
                <c:pt idx="189">
                  <c:v>45002</c:v>
                </c:pt>
                <c:pt idx="190">
                  <c:v>45005</c:v>
                </c:pt>
                <c:pt idx="191">
                  <c:v>45006</c:v>
                </c:pt>
                <c:pt idx="192">
                  <c:v>45007</c:v>
                </c:pt>
                <c:pt idx="193">
                  <c:v>45008</c:v>
                </c:pt>
                <c:pt idx="194">
                  <c:v>45009</c:v>
                </c:pt>
                <c:pt idx="195">
                  <c:v>45010</c:v>
                </c:pt>
                <c:pt idx="196">
                  <c:v>45012</c:v>
                </c:pt>
                <c:pt idx="197">
                  <c:v>45013</c:v>
                </c:pt>
                <c:pt idx="198">
                  <c:v>45014</c:v>
                </c:pt>
                <c:pt idx="199">
                  <c:v>45015</c:v>
                </c:pt>
                <c:pt idx="200">
                  <c:v>45016</c:v>
                </c:pt>
                <c:pt idx="201">
                  <c:v>44986</c:v>
                </c:pt>
                <c:pt idx="202">
                  <c:v>44992</c:v>
                </c:pt>
                <c:pt idx="203">
                  <c:v>44995</c:v>
                </c:pt>
                <c:pt idx="204">
                  <c:v>44996</c:v>
                </c:pt>
                <c:pt idx="205">
                  <c:v>44999</c:v>
                </c:pt>
                <c:pt idx="206">
                  <c:v>44986</c:v>
                </c:pt>
                <c:pt idx="207">
                  <c:v>45011</c:v>
                </c:pt>
                <c:pt idx="208">
                  <c:v>44986</c:v>
                </c:pt>
                <c:pt idx="209">
                  <c:v>44995</c:v>
                </c:pt>
                <c:pt idx="210">
                  <c:v>44986</c:v>
                </c:pt>
                <c:pt idx="211">
                  <c:v>45004</c:v>
                </c:pt>
                <c:pt idx="212">
                  <c:v>44986</c:v>
                </c:pt>
                <c:pt idx="213">
                  <c:v>44986</c:v>
                </c:pt>
                <c:pt idx="214">
                  <c:v>44986</c:v>
                </c:pt>
                <c:pt idx="215">
                  <c:v>45006</c:v>
                </c:pt>
                <c:pt idx="216">
                  <c:v>45007</c:v>
                </c:pt>
                <c:pt idx="217">
                  <c:v>45008</c:v>
                </c:pt>
                <c:pt idx="218">
                  <c:v>45017</c:v>
                </c:pt>
                <c:pt idx="219">
                  <c:v>45018</c:v>
                </c:pt>
                <c:pt idx="220">
                  <c:v>45019</c:v>
                </c:pt>
                <c:pt idx="221">
                  <c:v>45020</c:v>
                </c:pt>
                <c:pt idx="222">
                  <c:v>45021</c:v>
                </c:pt>
                <c:pt idx="223">
                  <c:v>45022</c:v>
                </c:pt>
                <c:pt idx="224">
                  <c:v>45023</c:v>
                </c:pt>
                <c:pt idx="225">
                  <c:v>45024</c:v>
                </c:pt>
                <c:pt idx="226">
                  <c:v>45025</c:v>
                </c:pt>
                <c:pt idx="227">
                  <c:v>45026</c:v>
                </c:pt>
                <c:pt idx="228">
                  <c:v>45027</c:v>
                </c:pt>
                <c:pt idx="229">
                  <c:v>45028</c:v>
                </c:pt>
                <c:pt idx="230">
                  <c:v>45029</c:v>
                </c:pt>
                <c:pt idx="231">
                  <c:v>45030</c:v>
                </c:pt>
                <c:pt idx="232">
                  <c:v>45031</c:v>
                </c:pt>
                <c:pt idx="233">
                  <c:v>45032</c:v>
                </c:pt>
                <c:pt idx="234">
                  <c:v>45033</c:v>
                </c:pt>
                <c:pt idx="235">
                  <c:v>45034</c:v>
                </c:pt>
                <c:pt idx="236">
                  <c:v>45035</c:v>
                </c:pt>
                <c:pt idx="237">
                  <c:v>45036</c:v>
                </c:pt>
                <c:pt idx="238">
                  <c:v>45037</c:v>
                </c:pt>
                <c:pt idx="239">
                  <c:v>45038</c:v>
                </c:pt>
                <c:pt idx="240">
                  <c:v>45039</c:v>
                </c:pt>
                <c:pt idx="241">
                  <c:v>45040</c:v>
                </c:pt>
                <c:pt idx="242">
                  <c:v>45041</c:v>
                </c:pt>
                <c:pt idx="243">
                  <c:v>45042</c:v>
                </c:pt>
                <c:pt idx="244">
                  <c:v>45043</c:v>
                </c:pt>
                <c:pt idx="245">
                  <c:v>45044</c:v>
                </c:pt>
                <c:pt idx="246">
                  <c:v>45045</c:v>
                </c:pt>
                <c:pt idx="247">
                  <c:v>45046</c:v>
                </c:pt>
                <c:pt idx="249">
                  <c:v>45017</c:v>
                </c:pt>
                <c:pt idx="250">
                  <c:v>45018</c:v>
                </c:pt>
                <c:pt idx="251">
                  <c:v>45019</c:v>
                </c:pt>
                <c:pt idx="252">
                  <c:v>45020</c:v>
                </c:pt>
                <c:pt idx="253">
                  <c:v>45021</c:v>
                </c:pt>
                <c:pt idx="254">
                  <c:v>45022</c:v>
                </c:pt>
                <c:pt idx="255">
                  <c:v>45023</c:v>
                </c:pt>
                <c:pt idx="256">
                  <c:v>45024</c:v>
                </c:pt>
                <c:pt idx="257">
                  <c:v>45025</c:v>
                </c:pt>
                <c:pt idx="258">
                  <c:v>45026</c:v>
                </c:pt>
                <c:pt idx="259">
                  <c:v>45027</c:v>
                </c:pt>
                <c:pt idx="260">
                  <c:v>45028</c:v>
                </c:pt>
                <c:pt idx="261">
                  <c:v>45029</c:v>
                </c:pt>
                <c:pt idx="262">
                  <c:v>45030</c:v>
                </c:pt>
                <c:pt idx="263">
                  <c:v>45031</c:v>
                </c:pt>
                <c:pt idx="264">
                  <c:v>45032</c:v>
                </c:pt>
                <c:pt idx="265">
                  <c:v>45033</c:v>
                </c:pt>
                <c:pt idx="266">
                  <c:v>45034</c:v>
                </c:pt>
                <c:pt idx="267">
                  <c:v>45035</c:v>
                </c:pt>
                <c:pt idx="268">
                  <c:v>45036</c:v>
                </c:pt>
                <c:pt idx="269">
                  <c:v>45037</c:v>
                </c:pt>
                <c:pt idx="270">
                  <c:v>45038</c:v>
                </c:pt>
                <c:pt idx="271">
                  <c:v>45039</c:v>
                </c:pt>
                <c:pt idx="272">
                  <c:v>45040</c:v>
                </c:pt>
                <c:pt idx="273">
                  <c:v>45041</c:v>
                </c:pt>
                <c:pt idx="274">
                  <c:v>45042</c:v>
                </c:pt>
                <c:pt idx="275">
                  <c:v>45043</c:v>
                </c:pt>
                <c:pt idx="276">
                  <c:v>45044</c:v>
                </c:pt>
                <c:pt idx="277">
                  <c:v>45045</c:v>
                </c:pt>
                <c:pt idx="278">
                  <c:v>45046</c:v>
                </c:pt>
                <c:pt idx="280">
                  <c:v>45018</c:v>
                </c:pt>
                <c:pt idx="281">
                  <c:v>45019</c:v>
                </c:pt>
                <c:pt idx="282">
                  <c:v>45020</c:v>
                </c:pt>
                <c:pt idx="283">
                  <c:v>45021</c:v>
                </c:pt>
                <c:pt idx="284">
                  <c:v>45022</c:v>
                </c:pt>
                <c:pt idx="285">
                  <c:v>45023</c:v>
                </c:pt>
                <c:pt idx="286">
                  <c:v>45024</c:v>
                </c:pt>
                <c:pt idx="287">
                  <c:v>45025</c:v>
                </c:pt>
                <c:pt idx="288">
                  <c:v>45026</c:v>
                </c:pt>
                <c:pt idx="289">
                  <c:v>45027</c:v>
                </c:pt>
                <c:pt idx="290">
                  <c:v>45028</c:v>
                </c:pt>
                <c:pt idx="291">
                  <c:v>45029</c:v>
                </c:pt>
                <c:pt idx="292">
                  <c:v>45030</c:v>
                </c:pt>
                <c:pt idx="293">
                  <c:v>45031</c:v>
                </c:pt>
                <c:pt idx="294">
                  <c:v>45032</c:v>
                </c:pt>
                <c:pt idx="295">
                  <c:v>45033</c:v>
                </c:pt>
                <c:pt idx="296">
                  <c:v>45034</c:v>
                </c:pt>
                <c:pt idx="297">
                  <c:v>45035</c:v>
                </c:pt>
                <c:pt idx="298">
                  <c:v>45036</c:v>
                </c:pt>
                <c:pt idx="299">
                  <c:v>45037</c:v>
                </c:pt>
                <c:pt idx="300">
                  <c:v>45038</c:v>
                </c:pt>
                <c:pt idx="301">
                  <c:v>45039</c:v>
                </c:pt>
                <c:pt idx="302">
                  <c:v>45040</c:v>
                </c:pt>
                <c:pt idx="303">
                  <c:v>45041</c:v>
                </c:pt>
                <c:pt idx="304">
                  <c:v>45042</c:v>
                </c:pt>
                <c:pt idx="305">
                  <c:v>45043</c:v>
                </c:pt>
                <c:pt idx="306">
                  <c:v>45044</c:v>
                </c:pt>
                <c:pt idx="307">
                  <c:v>45045</c:v>
                </c:pt>
                <c:pt idx="308">
                  <c:v>45046</c:v>
                </c:pt>
                <c:pt idx="310">
                  <c:v>45017</c:v>
                </c:pt>
                <c:pt idx="311">
                  <c:v>45018</c:v>
                </c:pt>
                <c:pt idx="312">
                  <c:v>45019</c:v>
                </c:pt>
                <c:pt idx="313">
                  <c:v>45020</c:v>
                </c:pt>
                <c:pt idx="314">
                  <c:v>45021</c:v>
                </c:pt>
                <c:pt idx="315">
                  <c:v>45022</c:v>
                </c:pt>
                <c:pt idx="316">
                  <c:v>45023</c:v>
                </c:pt>
                <c:pt idx="317">
                  <c:v>45024</c:v>
                </c:pt>
                <c:pt idx="318">
                  <c:v>45025</c:v>
                </c:pt>
                <c:pt idx="319">
                  <c:v>45026</c:v>
                </c:pt>
                <c:pt idx="320">
                  <c:v>45027</c:v>
                </c:pt>
                <c:pt idx="321">
                  <c:v>45028</c:v>
                </c:pt>
                <c:pt idx="322">
                  <c:v>45029</c:v>
                </c:pt>
                <c:pt idx="323">
                  <c:v>45030</c:v>
                </c:pt>
                <c:pt idx="324">
                  <c:v>45031</c:v>
                </c:pt>
                <c:pt idx="325">
                  <c:v>45032</c:v>
                </c:pt>
                <c:pt idx="326">
                  <c:v>45033</c:v>
                </c:pt>
                <c:pt idx="327">
                  <c:v>45034</c:v>
                </c:pt>
                <c:pt idx="328">
                  <c:v>45035</c:v>
                </c:pt>
                <c:pt idx="329">
                  <c:v>45036</c:v>
                </c:pt>
                <c:pt idx="330">
                  <c:v>45037</c:v>
                </c:pt>
                <c:pt idx="331">
                  <c:v>45038</c:v>
                </c:pt>
                <c:pt idx="332">
                  <c:v>45039</c:v>
                </c:pt>
                <c:pt idx="333">
                  <c:v>45040</c:v>
                </c:pt>
                <c:pt idx="334">
                  <c:v>45041</c:v>
                </c:pt>
                <c:pt idx="335">
                  <c:v>45042</c:v>
                </c:pt>
                <c:pt idx="336">
                  <c:v>45043</c:v>
                </c:pt>
                <c:pt idx="337">
                  <c:v>45044</c:v>
                </c:pt>
                <c:pt idx="338">
                  <c:v>45045</c:v>
                </c:pt>
                <c:pt idx="339">
                  <c:v>45046</c:v>
                </c:pt>
                <c:pt idx="341">
                  <c:v>45018</c:v>
                </c:pt>
                <c:pt idx="342">
                  <c:v>45019</c:v>
                </c:pt>
                <c:pt idx="343">
                  <c:v>45020</c:v>
                </c:pt>
                <c:pt idx="344">
                  <c:v>45021</c:v>
                </c:pt>
                <c:pt idx="345">
                  <c:v>45022</c:v>
                </c:pt>
                <c:pt idx="346">
                  <c:v>45023</c:v>
                </c:pt>
                <c:pt idx="347">
                  <c:v>45024</c:v>
                </c:pt>
                <c:pt idx="348">
                  <c:v>45025</c:v>
                </c:pt>
                <c:pt idx="349">
                  <c:v>45026</c:v>
                </c:pt>
                <c:pt idx="350">
                  <c:v>45027</c:v>
                </c:pt>
                <c:pt idx="351">
                  <c:v>45028</c:v>
                </c:pt>
                <c:pt idx="352">
                  <c:v>45029</c:v>
                </c:pt>
                <c:pt idx="353">
                  <c:v>45030</c:v>
                </c:pt>
                <c:pt idx="354">
                  <c:v>45031</c:v>
                </c:pt>
                <c:pt idx="355">
                  <c:v>45032</c:v>
                </c:pt>
                <c:pt idx="356">
                  <c:v>45033</c:v>
                </c:pt>
                <c:pt idx="357">
                  <c:v>45034</c:v>
                </c:pt>
                <c:pt idx="358">
                  <c:v>45035</c:v>
                </c:pt>
                <c:pt idx="359">
                  <c:v>45036</c:v>
                </c:pt>
                <c:pt idx="360">
                  <c:v>45037</c:v>
                </c:pt>
                <c:pt idx="361">
                  <c:v>45038</c:v>
                </c:pt>
                <c:pt idx="362">
                  <c:v>45039</c:v>
                </c:pt>
                <c:pt idx="363">
                  <c:v>45040</c:v>
                </c:pt>
                <c:pt idx="364">
                  <c:v>45041</c:v>
                </c:pt>
                <c:pt idx="365">
                  <c:v>45042</c:v>
                </c:pt>
                <c:pt idx="366">
                  <c:v>45043</c:v>
                </c:pt>
                <c:pt idx="367">
                  <c:v>45044</c:v>
                </c:pt>
                <c:pt idx="368">
                  <c:v>45045</c:v>
                </c:pt>
                <c:pt idx="369">
                  <c:v>45046</c:v>
                </c:pt>
                <c:pt idx="371">
                  <c:v>45017</c:v>
                </c:pt>
                <c:pt idx="372">
                  <c:v>45018</c:v>
                </c:pt>
                <c:pt idx="373">
                  <c:v>45019</c:v>
                </c:pt>
                <c:pt idx="374">
                  <c:v>45020</c:v>
                </c:pt>
                <c:pt idx="375">
                  <c:v>45021</c:v>
                </c:pt>
                <c:pt idx="376">
                  <c:v>45022</c:v>
                </c:pt>
                <c:pt idx="377">
                  <c:v>45023</c:v>
                </c:pt>
                <c:pt idx="378">
                  <c:v>45024</c:v>
                </c:pt>
                <c:pt idx="379">
                  <c:v>45025</c:v>
                </c:pt>
                <c:pt idx="380">
                  <c:v>45026</c:v>
                </c:pt>
                <c:pt idx="381">
                  <c:v>45027</c:v>
                </c:pt>
                <c:pt idx="382">
                  <c:v>45028</c:v>
                </c:pt>
                <c:pt idx="383">
                  <c:v>45029</c:v>
                </c:pt>
                <c:pt idx="384">
                  <c:v>45030</c:v>
                </c:pt>
                <c:pt idx="385">
                  <c:v>45031</c:v>
                </c:pt>
                <c:pt idx="386">
                  <c:v>45032</c:v>
                </c:pt>
                <c:pt idx="387">
                  <c:v>45033</c:v>
                </c:pt>
                <c:pt idx="388">
                  <c:v>45034</c:v>
                </c:pt>
                <c:pt idx="389">
                  <c:v>45035</c:v>
                </c:pt>
                <c:pt idx="390">
                  <c:v>45036</c:v>
                </c:pt>
                <c:pt idx="391">
                  <c:v>45037</c:v>
                </c:pt>
                <c:pt idx="392">
                  <c:v>45038</c:v>
                </c:pt>
                <c:pt idx="393">
                  <c:v>45039</c:v>
                </c:pt>
                <c:pt idx="394">
                  <c:v>45040</c:v>
                </c:pt>
                <c:pt idx="395">
                  <c:v>45041</c:v>
                </c:pt>
                <c:pt idx="396">
                  <c:v>45042</c:v>
                </c:pt>
                <c:pt idx="397">
                  <c:v>45043</c:v>
                </c:pt>
                <c:pt idx="398">
                  <c:v>45044</c:v>
                </c:pt>
                <c:pt idx="399">
                  <c:v>45045</c:v>
                </c:pt>
                <c:pt idx="400">
                  <c:v>45046</c:v>
                </c:pt>
                <c:pt idx="402">
                  <c:v>45017</c:v>
                </c:pt>
                <c:pt idx="403">
                  <c:v>45018</c:v>
                </c:pt>
                <c:pt idx="404">
                  <c:v>45019</c:v>
                </c:pt>
                <c:pt idx="405">
                  <c:v>45020</c:v>
                </c:pt>
                <c:pt idx="406">
                  <c:v>45021</c:v>
                </c:pt>
                <c:pt idx="407">
                  <c:v>45022</c:v>
                </c:pt>
                <c:pt idx="408">
                  <c:v>45023</c:v>
                </c:pt>
                <c:pt idx="409">
                  <c:v>45024</c:v>
                </c:pt>
                <c:pt idx="410">
                  <c:v>45025</c:v>
                </c:pt>
                <c:pt idx="411">
                  <c:v>45026</c:v>
                </c:pt>
                <c:pt idx="412">
                  <c:v>45027</c:v>
                </c:pt>
                <c:pt idx="413">
                  <c:v>45028</c:v>
                </c:pt>
                <c:pt idx="414">
                  <c:v>45029</c:v>
                </c:pt>
                <c:pt idx="415">
                  <c:v>45030</c:v>
                </c:pt>
                <c:pt idx="416">
                  <c:v>45031</c:v>
                </c:pt>
                <c:pt idx="417">
                  <c:v>45032</c:v>
                </c:pt>
                <c:pt idx="418">
                  <c:v>45033</c:v>
                </c:pt>
                <c:pt idx="419">
                  <c:v>45034</c:v>
                </c:pt>
                <c:pt idx="420">
                  <c:v>45035</c:v>
                </c:pt>
                <c:pt idx="421">
                  <c:v>45036</c:v>
                </c:pt>
                <c:pt idx="422">
                  <c:v>45037</c:v>
                </c:pt>
                <c:pt idx="423">
                  <c:v>45038</c:v>
                </c:pt>
                <c:pt idx="424">
                  <c:v>45039</c:v>
                </c:pt>
                <c:pt idx="425">
                  <c:v>45040</c:v>
                </c:pt>
                <c:pt idx="426">
                  <c:v>45041</c:v>
                </c:pt>
                <c:pt idx="427">
                  <c:v>45042</c:v>
                </c:pt>
                <c:pt idx="428">
                  <c:v>45043</c:v>
                </c:pt>
                <c:pt idx="429">
                  <c:v>45044</c:v>
                </c:pt>
                <c:pt idx="430">
                  <c:v>45045</c:v>
                </c:pt>
                <c:pt idx="431">
                  <c:v>45046</c:v>
                </c:pt>
                <c:pt idx="433">
                  <c:v>45017</c:v>
                </c:pt>
                <c:pt idx="434">
                  <c:v>45018</c:v>
                </c:pt>
                <c:pt idx="435">
                  <c:v>45019</c:v>
                </c:pt>
                <c:pt idx="436">
                  <c:v>45020</c:v>
                </c:pt>
                <c:pt idx="437">
                  <c:v>45021</c:v>
                </c:pt>
                <c:pt idx="438">
                  <c:v>45022</c:v>
                </c:pt>
                <c:pt idx="439">
                  <c:v>45023</c:v>
                </c:pt>
                <c:pt idx="440">
                  <c:v>45024</c:v>
                </c:pt>
                <c:pt idx="441">
                  <c:v>45025</c:v>
                </c:pt>
                <c:pt idx="442">
                  <c:v>45026</c:v>
                </c:pt>
                <c:pt idx="443">
                  <c:v>45027</c:v>
                </c:pt>
                <c:pt idx="444">
                  <c:v>45028</c:v>
                </c:pt>
                <c:pt idx="445">
                  <c:v>45029</c:v>
                </c:pt>
                <c:pt idx="446">
                  <c:v>45030</c:v>
                </c:pt>
                <c:pt idx="447">
                  <c:v>45031</c:v>
                </c:pt>
                <c:pt idx="448">
                  <c:v>45032</c:v>
                </c:pt>
                <c:pt idx="449">
                  <c:v>45033</c:v>
                </c:pt>
                <c:pt idx="450">
                  <c:v>45034</c:v>
                </c:pt>
                <c:pt idx="451">
                  <c:v>45035</c:v>
                </c:pt>
                <c:pt idx="452">
                  <c:v>45036</c:v>
                </c:pt>
                <c:pt idx="453">
                  <c:v>45037</c:v>
                </c:pt>
                <c:pt idx="454">
                  <c:v>45039</c:v>
                </c:pt>
                <c:pt idx="455">
                  <c:v>45040</c:v>
                </c:pt>
                <c:pt idx="456">
                  <c:v>45041</c:v>
                </c:pt>
                <c:pt idx="457">
                  <c:v>45042</c:v>
                </c:pt>
                <c:pt idx="458">
                  <c:v>45043</c:v>
                </c:pt>
                <c:pt idx="459">
                  <c:v>45044</c:v>
                </c:pt>
                <c:pt idx="460">
                  <c:v>45045</c:v>
                </c:pt>
                <c:pt idx="461">
                  <c:v>45046</c:v>
                </c:pt>
                <c:pt idx="463">
                  <c:v>45018</c:v>
                </c:pt>
                <c:pt idx="464">
                  <c:v>45019</c:v>
                </c:pt>
                <c:pt idx="465">
                  <c:v>45020</c:v>
                </c:pt>
                <c:pt idx="466">
                  <c:v>45021</c:v>
                </c:pt>
                <c:pt idx="467">
                  <c:v>45022</c:v>
                </c:pt>
                <c:pt idx="468">
                  <c:v>45023</c:v>
                </c:pt>
                <c:pt idx="469">
                  <c:v>45024</c:v>
                </c:pt>
                <c:pt idx="470">
                  <c:v>45025</c:v>
                </c:pt>
                <c:pt idx="471">
                  <c:v>45026</c:v>
                </c:pt>
                <c:pt idx="472">
                  <c:v>45027</c:v>
                </c:pt>
                <c:pt idx="473">
                  <c:v>45028</c:v>
                </c:pt>
                <c:pt idx="474">
                  <c:v>45029</c:v>
                </c:pt>
                <c:pt idx="475">
                  <c:v>45030</c:v>
                </c:pt>
                <c:pt idx="476">
                  <c:v>45031</c:v>
                </c:pt>
                <c:pt idx="477">
                  <c:v>45032</c:v>
                </c:pt>
                <c:pt idx="478">
                  <c:v>45033</c:v>
                </c:pt>
                <c:pt idx="479">
                  <c:v>45034</c:v>
                </c:pt>
                <c:pt idx="480">
                  <c:v>45035</c:v>
                </c:pt>
                <c:pt idx="481">
                  <c:v>45036</c:v>
                </c:pt>
                <c:pt idx="482">
                  <c:v>45037</c:v>
                </c:pt>
                <c:pt idx="483">
                  <c:v>45038</c:v>
                </c:pt>
                <c:pt idx="484">
                  <c:v>45039</c:v>
                </c:pt>
                <c:pt idx="485">
                  <c:v>45040</c:v>
                </c:pt>
                <c:pt idx="486">
                  <c:v>45041</c:v>
                </c:pt>
                <c:pt idx="487">
                  <c:v>45042</c:v>
                </c:pt>
                <c:pt idx="488">
                  <c:v>45043</c:v>
                </c:pt>
                <c:pt idx="489">
                  <c:v>45044</c:v>
                </c:pt>
                <c:pt idx="490">
                  <c:v>45045</c:v>
                </c:pt>
                <c:pt idx="491">
                  <c:v>45046</c:v>
                </c:pt>
                <c:pt idx="493">
                  <c:v>45017</c:v>
                </c:pt>
                <c:pt idx="494">
                  <c:v>45018</c:v>
                </c:pt>
                <c:pt idx="495">
                  <c:v>45019</c:v>
                </c:pt>
                <c:pt idx="496">
                  <c:v>45020</c:v>
                </c:pt>
                <c:pt idx="497">
                  <c:v>45021</c:v>
                </c:pt>
                <c:pt idx="498">
                  <c:v>45022</c:v>
                </c:pt>
                <c:pt idx="499">
                  <c:v>45023</c:v>
                </c:pt>
                <c:pt idx="500">
                  <c:v>45024</c:v>
                </c:pt>
                <c:pt idx="501">
                  <c:v>45025</c:v>
                </c:pt>
                <c:pt idx="502">
                  <c:v>45026</c:v>
                </c:pt>
                <c:pt idx="503">
                  <c:v>45027</c:v>
                </c:pt>
                <c:pt idx="504">
                  <c:v>45028</c:v>
                </c:pt>
                <c:pt idx="505">
                  <c:v>45029</c:v>
                </c:pt>
                <c:pt idx="506">
                  <c:v>45030</c:v>
                </c:pt>
                <c:pt idx="507">
                  <c:v>45031</c:v>
                </c:pt>
                <c:pt idx="508">
                  <c:v>45032</c:v>
                </c:pt>
                <c:pt idx="509">
                  <c:v>45033</c:v>
                </c:pt>
                <c:pt idx="510">
                  <c:v>45034</c:v>
                </c:pt>
                <c:pt idx="511">
                  <c:v>45035</c:v>
                </c:pt>
                <c:pt idx="512">
                  <c:v>45036</c:v>
                </c:pt>
                <c:pt idx="513">
                  <c:v>45037</c:v>
                </c:pt>
                <c:pt idx="514">
                  <c:v>45038</c:v>
                </c:pt>
                <c:pt idx="515">
                  <c:v>45039</c:v>
                </c:pt>
                <c:pt idx="516">
                  <c:v>45040</c:v>
                </c:pt>
                <c:pt idx="517">
                  <c:v>45041</c:v>
                </c:pt>
                <c:pt idx="518">
                  <c:v>45042</c:v>
                </c:pt>
                <c:pt idx="519">
                  <c:v>45043</c:v>
                </c:pt>
                <c:pt idx="520">
                  <c:v>45044</c:v>
                </c:pt>
                <c:pt idx="521">
                  <c:v>45045</c:v>
                </c:pt>
                <c:pt idx="522">
                  <c:v>45046</c:v>
                </c:pt>
                <c:pt idx="524">
                  <c:v>45018</c:v>
                </c:pt>
                <c:pt idx="525">
                  <c:v>45019</c:v>
                </c:pt>
                <c:pt idx="526">
                  <c:v>45020</c:v>
                </c:pt>
                <c:pt idx="527">
                  <c:v>45021</c:v>
                </c:pt>
                <c:pt idx="528">
                  <c:v>45022</c:v>
                </c:pt>
                <c:pt idx="529">
                  <c:v>45023</c:v>
                </c:pt>
                <c:pt idx="530">
                  <c:v>45024</c:v>
                </c:pt>
                <c:pt idx="531">
                  <c:v>45025</c:v>
                </c:pt>
                <c:pt idx="532">
                  <c:v>45026</c:v>
                </c:pt>
                <c:pt idx="533">
                  <c:v>45027</c:v>
                </c:pt>
                <c:pt idx="534">
                  <c:v>45028</c:v>
                </c:pt>
                <c:pt idx="535">
                  <c:v>45029</c:v>
                </c:pt>
                <c:pt idx="536">
                  <c:v>45030</c:v>
                </c:pt>
                <c:pt idx="537">
                  <c:v>45031</c:v>
                </c:pt>
                <c:pt idx="538">
                  <c:v>45032</c:v>
                </c:pt>
                <c:pt idx="539">
                  <c:v>45033</c:v>
                </c:pt>
                <c:pt idx="540">
                  <c:v>45034</c:v>
                </c:pt>
                <c:pt idx="541">
                  <c:v>45035</c:v>
                </c:pt>
                <c:pt idx="542">
                  <c:v>45036</c:v>
                </c:pt>
                <c:pt idx="543">
                  <c:v>45037</c:v>
                </c:pt>
                <c:pt idx="544">
                  <c:v>45038</c:v>
                </c:pt>
                <c:pt idx="545">
                  <c:v>45039</c:v>
                </c:pt>
                <c:pt idx="546">
                  <c:v>45040</c:v>
                </c:pt>
                <c:pt idx="547">
                  <c:v>45041</c:v>
                </c:pt>
                <c:pt idx="548">
                  <c:v>45042</c:v>
                </c:pt>
                <c:pt idx="549">
                  <c:v>45043</c:v>
                </c:pt>
                <c:pt idx="550">
                  <c:v>45044</c:v>
                </c:pt>
                <c:pt idx="551">
                  <c:v>45045</c:v>
                </c:pt>
                <c:pt idx="552">
                  <c:v>45046</c:v>
                </c:pt>
                <c:pt idx="554">
                  <c:v>45018</c:v>
                </c:pt>
                <c:pt idx="555">
                  <c:v>45019</c:v>
                </c:pt>
                <c:pt idx="556">
                  <c:v>45020</c:v>
                </c:pt>
                <c:pt idx="557">
                  <c:v>45021</c:v>
                </c:pt>
                <c:pt idx="558">
                  <c:v>45022</c:v>
                </c:pt>
                <c:pt idx="559">
                  <c:v>45023</c:v>
                </c:pt>
                <c:pt idx="560">
                  <c:v>45024</c:v>
                </c:pt>
                <c:pt idx="561">
                  <c:v>45025</c:v>
                </c:pt>
                <c:pt idx="562">
                  <c:v>45026</c:v>
                </c:pt>
                <c:pt idx="563">
                  <c:v>45027</c:v>
                </c:pt>
                <c:pt idx="564">
                  <c:v>45028</c:v>
                </c:pt>
                <c:pt idx="565">
                  <c:v>45029</c:v>
                </c:pt>
                <c:pt idx="566">
                  <c:v>45030</c:v>
                </c:pt>
                <c:pt idx="567">
                  <c:v>45031</c:v>
                </c:pt>
                <c:pt idx="568">
                  <c:v>45032</c:v>
                </c:pt>
                <c:pt idx="569">
                  <c:v>45033</c:v>
                </c:pt>
                <c:pt idx="570">
                  <c:v>45034</c:v>
                </c:pt>
                <c:pt idx="571">
                  <c:v>45035</c:v>
                </c:pt>
                <c:pt idx="572">
                  <c:v>45036</c:v>
                </c:pt>
                <c:pt idx="573">
                  <c:v>45037</c:v>
                </c:pt>
                <c:pt idx="574">
                  <c:v>45038</c:v>
                </c:pt>
                <c:pt idx="575">
                  <c:v>45039</c:v>
                </c:pt>
                <c:pt idx="576">
                  <c:v>45040</c:v>
                </c:pt>
                <c:pt idx="577">
                  <c:v>45041</c:v>
                </c:pt>
                <c:pt idx="578">
                  <c:v>45042</c:v>
                </c:pt>
                <c:pt idx="579">
                  <c:v>45043</c:v>
                </c:pt>
                <c:pt idx="580">
                  <c:v>45044</c:v>
                </c:pt>
                <c:pt idx="581">
                  <c:v>45045</c:v>
                </c:pt>
                <c:pt idx="582">
                  <c:v>45046</c:v>
                </c:pt>
                <c:pt idx="584">
                  <c:v>45018</c:v>
                </c:pt>
                <c:pt idx="585">
                  <c:v>45019</c:v>
                </c:pt>
                <c:pt idx="586">
                  <c:v>45020</c:v>
                </c:pt>
                <c:pt idx="587">
                  <c:v>45021</c:v>
                </c:pt>
                <c:pt idx="588">
                  <c:v>45022</c:v>
                </c:pt>
                <c:pt idx="589">
                  <c:v>45023</c:v>
                </c:pt>
                <c:pt idx="590">
                  <c:v>45024</c:v>
                </c:pt>
                <c:pt idx="591">
                  <c:v>45025</c:v>
                </c:pt>
                <c:pt idx="592">
                  <c:v>45026</c:v>
                </c:pt>
                <c:pt idx="593">
                  <c:v>45027</c:v>
                </c:pt>
                <c:pt idx="594">
                  <c:v>45028</c:v>
                </c:pt>
                <c:pt idx="595">
                  <c:v>45029</c:v>
                </c:pt>
                <c:pt idx="596">
                  <c:v>45030</c:v>
                </c:pt>
                <c:pt idx="597">
                  <c:v>45031</c:v>
                </c:pt>
                <c:pt idx="598">
                  <c:v>45032</c:v>
                </c:pt>
                <c:pt idx="599">
                  <c:v>45033</c:v>
                </c:pt>
                <c:pt idx="600">
                  <c:v>45034</c:v>
                </c:pt>
                <c:pt idx="601">
                  <c:v>45035</c:v>
                </c:pt>
                <c:pt idx="602">
                  <c:v>45036</c:v>
                </c:pt>
                <c:pt idx="603">
                  <c:v>45037</c:v>
                </c:pt>
                <c:pt idx="604">
                  <c:v>45038</c:v>
                </c:pt>
                <c:pt idx="605">
                  <c:v>45039</c:v>
                </c:pt>
                <c:pt idx="606">
                  <c:v>45040</c:v>
                </c:pt>
                <c:pt idx="607">
                  <c:v>45041</c:v>
                </c:pt>
                <c:pt idx="608">
                  <c:v>45042</c:v>
                </c:pt>
                <c:pt idx="609">
                  <c:v>45043</c:v>
                </c:pt>
                <c:pt idx="610">
                  <c:v>45044</c:v>
                </c:pt>
                <c:pt idx="611">
                  <c:v>45045</c:v>
                </c:pt>
                <c:pt idx="612">
                  <c:v>45046</c:v>
                </c:pt>
                <c:pt idx="614">
                  <c:v>45018</c:v>
                </c:pt>
                <c:pt idx="615">
                  <c:v>45019</c:v>
                </c:pt>
                <c:pt idx="616">
                  <c:v>45020</c:v>
                </c:pt>
                <c:pt idx="617">
                  <c:v>45021</c:v>
                </c:pt>
                <c:pt idx="618">
                  <c:v>45022</c:v>
                </c:pt>
                <c:pt idx="619">
                  <c:v>45023</c:v>
                </c:pt>
                <c:pt idx="620">
                  <c:v>45024</c:v>
                </c:pt>
                <c:pt idx="621">
                  <c:v>45025</c:v>
                </c:pt>
                <c:pt idx="622">
                  <c:v>45026</c:v>
                </c:pt>
                <c:pt idx="623">
                  <c:v>45027</c:v>
                </c:pt>
                <c:pt idx="624">
                  <c:v>45028</c:v>
                </c:pt>
                <c:pt idx="625">
                  <c:v>45029</c:v>
                </c:pt>
                <c:pt idx="626">
                  <c:v>45030</c:v>
                </c:pt>
                <c:pt idx="627">
                  <c:v>45031</c:v>
                </c:pt>
                <c:pt idx="628">
                  <c:v>45032</c:v>
                </c:pt>
                <c:pt idx="629">
                  <c:v>45033</c:v>
                </c:pt>
                <c:pt idx="630">
                  <c:v>45034</c:v>
                </c:pt>
                <c:pt idx="631">
                  <c:v>45035</c:v>
                </c:pt>
                <c:pt idx="632">
                  <c:v>45036</c:v>
                </c:pt>
                <c:pt idx="633">
                  <c:v>45037</c:v>
                </c:pt>
                <c:pt idx="634">
                  <c:v>45038</c:v>
                </c:pt>
                <c:pt idx="635">
                  <c:v>45039</c:v>
                </c:pt>
                <c:pt idx="636">
                  <c:v>45040</c:v>
                </c:pt>
                <c:pt idx="637">
                  <c:v>45041</c:v>
                </c:pt>
                <c:pt idx="638">
                  <c:v>45042</c:v>
                </c:pt>
                <c:pt idx="639">
                  <c:v>45043</c:v>
                </c:pt>
                <c:pt idx="640">
                  <c:v>45044</c:v>
                </c:pt>
                <c:pt idx="641">
                  <c:v>45045</c:v>
                </c:pt>
                <c:pt idx="642">
                  <c:v>45046</c:v>
                </c:pt>
                <c:pt idx="644">
                  <c:v>45018</c:v>
                </c:pt>
                <c:pt idx="645">
                  <c:v>45019</c:v>
                </c:pt>
                <c:pt idx="646">
                  <c:v>45020</c:v>
                </c:pt>
                <c:pt idx="647">
                  <c:v>45021</c:v>
                </c:pt>
                <c:pt idx="648">
                  <c:v>45022</c:v>
                </c:pt>
                <c:pt idx="649">
                  <c:v>45023</c:v>
                </c:pt>
                <c:pt idx="650">
                  <c:v>45024</c:v>
                </c:pt>
                <c:pt idx="651">
                  <c:v>45025</c:v>
                </c:pt>
                <c:pt idx="652">
                  <c:v>45026</c:v>
                </c:pt>
                <c:pt idx="653">
                  <c:v>45027</c:v>
                </c:pt>
                <c:pt idx="654">
                  <c:v>45028</c:v>
                </c:pt>
                <c:pt idx="655">
                  <c:v>45029</c:v>
                </c:pt>
                <c:pt idx="656">
                  <c:v>45030</c:v>
                </c:pt>
                <c:pt idx="657">
                  <c:v>45031</c:v>
                </c:pt>
                <c:pt idx="658">
                  <c:v>45032</c:v>
                </c:pt>
                <c:pt idx="659">
                  <c:v>45033</c:v>
                </c:pt>
                <c:pt idx="660">
                  <c:v>45034</c:v>
                </c:pt>
                <c:pt idx="661">
                  <c:v>45035</c:v>
                </c:pt>
                <c:pt idx="662">
                  <c:v>45036</c:v>
                </c:pt>
                <c:pt idx="663">
                  <c:v>45037</c:v>
                </c:pt>
                <c:pt idx="664">
                  <c:v>45038</c:v>
                </c:pt>
                <c:pt idx="665">
                  <c:v>45039</c:v>
                </c:pt>
                <c:pt idx="666">
                  <c:v>45040</c:v>
                </c:pt>
                <c:pt idx="667">
                  <c:v>45041</c:v>
                </c:pt>
                <c:pt idx="668">
                  <c:v>45042</c:v>
                </c:pt>
                <c:pt idx="669">
                  <c:v>45043</c:v>
                </c:pt>
                <c:pt idx="670">
                  <c:v>45044</c:v>
                </c:pt>
                <c:pt idx="671">
                  <c:v>45045</c:v>
                </c:pt>
                <c:pt idx="672">
                  <c:v>45046</c:v>
                </c:pt>
                <c:pt idx="674">
                  <c:v>45018</c:v>
                </c:pt>
                <c:pt idx="675">
                  <c:v>45019</c:v>
                </c:pt>
                <c:pt idx="676">
                  <c:v>45020</c:v>
                </c:pt>
                <c:pt idx="677">
                  <c:v>45021</c:v>
                </c:pt>
                <c:pt idx="678">
                  <c:v>45022</c:v>
                </c:pt>
                <c:pt idx="679">
                  <c:v>45023</c:v>
                </c:pt>
                <c:pt idx="680">
                  <c:v>45024</c:v>
                </c:pt>
                <c:pt idx="681">
                  <c:v>45025</c:v>
                </c:pt>
                <c:pt idx="682">
                  <c:v>45026</c:v>
                </c:pt>
                <c:pt idx="683">
                  <c:v>45027</c:v>
                </c:pt>
                <c:pt idx="684">
                  <c:v>45028</c:v>
                </c:pt>
                <c:pt idx="685">
                  <c:v>45029</c:v>
                </c:pt>
                <c:pt idx="686">
                  <c:v>45030</c:v>
                </c:pt>
                <c:pt idx="687">
                  <c:v>45031</c:v>
                </c:pt>
                <c:pt idx="688">
                  <c:v>45032</c:v>
                </c:pt>
                <c:pt idx="689">
                  <c:v>45033</c:v>
                </c:pt>
                <c:pt idx="690">
                  <c:v>45034</c:v>
                </c:pt>
                <c:pt idx="691">
                  <c:v>45035</c:v>
                </c:pt>
                <c:pt idx="692">
                  <c:v>45036</c:v>
                </c:pt>
                <c:pt idx="693">
                  <c:v>45037</c:v>
                </c:pt>
                <c:pt idx="694">
                  <c:v>45038</c:v>
                </c:pt>
                <c:pt idx="695">
                  <c:v>45039</c:v>
                </c:pt>
                <c:pt idx="696">
                  <c:v>45040</c:v>
                </c:pt>
                <c:pt idx="697">
                  <c:v>45041</c:v>
                </c:pt>
                <c:pt idx="698">
                  <c:v>45042</c:v>
                </c:pt>
                <c:pt idx="699">
                  <c:v>45043</c:v>
                </c:pt>
                <c:pt idx="700">
                  <c:v>45044</c:v>
                </c:pt>
                <c:pt idx="701">
                  <c:v>45045</c:v>
                </c:pt>
                <c:pt idx="702">
                  <c:v>45046</c:v>
                </c:pt>
                <c:pt idx="704">
                  <c:v>45018</c:v>
                </c:pt>
                <c:pt idx="705">
                  <c:v>45019</c:v>
                </c:pt>
                <c:pt idx="706">
                  <c:v>45020</c:v>
                </c:pt>
                <c:pt idx="707">
                  <c:v>45021</c:v>
                </c:pt>
                <c:pt idx="708">
                  <c:v>45022</c:v>
                </c:pt>
                <c:pt idx="709">
                  <c:v>45023</c:v>
                </c:pt>
                <c:pt idx="710">
                  <c:v>45024</c:v>
                </c:pt>
                <c:pt idx="711">
                  <c:v>45025</c:v>
                </c:pt>
                <c:pt idx="712">
                  <c:v>45026</c:v>
                </c:pt>
                <c:pt idx="713">
                  <c:v>45027</c:v>
                </c:pt>
                <c:pt idx="714">
                  <c:v>45028</c:v>
                </c:pt>
                <c:pt idx="715">
                  <c:v>45029</c:v>
                </c:pt>
                <c:pt idx="716">
                  <c:v>45030</c:v>
                </c:pt>
                <c:pt idx="717">
                  <c:v>45031</c:v>
                </c:pt>
                <c:pt idx="718">
                  <c:v>45032</c:v>
                </c:pt>
                <c:pt idx="719">
                  <c:v>45033</c:v>
                </c:pt>
                <c:pt idx="720">
                  <c:v>45034</c:v>
                </c:pt>
                <c:pt idx="721">
                  <c:v>45035</c:v>
                </c:pt>
                <c:pt idx="722">
                  <c:v>45036</c:v>
                </c:pt>
                <c:pt idx="723">
                  <c:v>45037</c:v>
                </c:pt>
                <c:pt idx="724">
                  <c:v>45038</c:v>
                </c:pt>
                <c:pt idx="725">
                  <c:v>45039</c:v>
                </c:pt>
                <c:pt idx="726">
                  <c:v>45040</c:v>
                </c:pt>
                <c:pt idx="727">
                  <c:v>45041</c:v>
                </c:pt>
                <c:pt idx="728">
                  <c:v>45042</c:v>
                </c:pt>
                <c:pt idx="729">
                  <c:v>45043</c:v>
                </c:pt>
                <c:pt idx="730">
                  <c:v>45044</c:v>
                </c:pt>
                <c:pt idx="731">
                  <c:v>45045</c:v>
                </c:pt>
                <c:pt idx="732">
                  <c:v>45046</c:v>
                </c:pt>
                <c:pt idx="734">
                  <c:v>45018</c:v>
                </c:pt>
                <c:pt idx="735">
                  <c:v>45019</c:v>
                </c:pt>
                <c:pt idx="736">
                  <c:v>45020</c:v>
                </c:pt>
                <c:pt idx="737">
                  <c:v>45021</c:v>
                </c:pt>
                <c:pt idx="738">
                  <c:v>45022</c:v>
                </c:pt>
                <c:pt idx="739">
                  <c:v>45023</c:v>
                </c:pt>
                <c:pt idx="740">
                  <c:v>45024</c:v>
                </c:pt>
                <c:pt idx="741">
                  <c:v>45025</c:v>
                </c:pt>
                <c:pt idx="742">
                  <c:v>45026</c:v>
                </c:pt>
                <c:pt idx="743">
                  <c:v>45027</c:v>
                </c:pt>
                <c:pt idx="744">
                  <c:v>45028</c:v>
                </c:pt>
                <c:pt idx="745">
                  <c:v>45029</c:v>
                </c:pt>
                <c:pt idx="746">
                  <c:v>45030</c:v>
                </c:pt>
                <c:pt idx="747">
                  <c:v>45031</c:v>
                </c:pt>
                <c:pt idx="748">
                  <c:v>45032</c:v>
                </c:pt>
                <c:pt idx="749">
                  <c:v>45033</c:v>
                </c:pt>
                <c:pt idx="750">
                  <c:v>45034</c:v>
                </c:pt>
                <c:pt idx="751">
                  <c:v>45035</c:v>
                </c:pt>
                <c:pt idx="752">
                  <c:v>45036</c:v>
                </c:pt>
                <c:pt idx="753">
                  <c:v>45037</c:v>
                </c:pt>
                <c:pt idx="754">
                  <c:v>45038</c:v>
                </c:pt>
                <c:pt idx="755">
                  <c:v>45039</c:v>
                </c:pt>
                <c:pt idx="756">
                  <c:v>45040</c:v>
                </c:pt>
                <c:pt idx="757">
                  <c:v>45041</c:v>
                </c:pt>
                <c:pt idx="758">
                  <c:v>45042</c:v>
                </c:pt>
                <c:pt idx="759">
                  <c:v>45043</c:v>
                </c:pt>
                <c:pt idx="760">
                  <c:v>45044</c:v>
                </c:pt>
                <c:pt idx="761">
                  <c:v>45045</c:v>
                </c:pt>
                <c:pt idx="762">
                  <c:v>45046</c:v>
                </c:pt>
                <c:pt idx="764">
                  <c:v>45018</c:v>
                </c:pt>
                <c:pt idx="765">
                  <c:v>45019</c:v>
                </c:pt>
                <c:pt idx="766">
                  <c:v>45020</c:v>
                </c:pt>
                <c:pt idx="767">
                  <c:v>45021</c:v>
                </c:pt>
                <c:pt idx="768">
                  <c:v>45022</c:v>
                </c:pt>
                <c:pt idx="769">
                  <c:v>45023</c:v>
                </c:pt>
                <c:pt idx="770">
                  <c:v>45024</c:v>
                </c:pt>
                <c:pt idx="771">
                  <c:v>45025</c:v>
                </c:pt>
                <c:pt idx="772">
                  <c:v>45026</c:v>
                </c:pt>
                <c:pt idx="773">
                  <c:v>45027</c:v>
                </c:pt>
                <c:pt idx="774">
                  <c:v>45028</c:v>
                </c:pt>
                <c:pt idx="775">
                  <c:v>45029</c:v>
                </c:pt>
                <c:pt idx="776">
                  <c:v>45030</c:v>
                </c:pt>
                <c:pt idx="777">
                  <c:v>45031</c:v>
                </c:pt>
                <c:pt idx="778">
                  <c:v>45032</c:v>
                </c:pt>
                <c:pt idx="779">
                  <c:v>45033</c:v>
                </c:pt>
                <c:pt idx="780">
                  <c:v>45034</c:v>
                </c:pt>
                <c:pt idx="781">
                  <c:v>45035</c:v>
                </c:pt>
                <c:pt idx="782">
                  <c:v>45036</c:v>
                </c:pt>
                <c:pt idx="783">
                  <c:v>45037</c:v>
                </c:pt>
                <c:pt idx="784">
                  <c:v>45038</c:v>
                </c:pt>
                <c:pt idx="785">
                  <c:v>45039</c:v>
                </c:pt>
                <c:pt idx="786">
                  <c:v>45040</c:v>
                </c:pt>
                <c:pt idx="787">
                  <c:v>45041</c:v>
                </c:pt>
                <c:pt idx="788">
                  <c:v>45042</c:v>
                </c:pt>
                <c:pt idx="789">
                  <c:v>45043</c:v>
                </c:pt>
                <c:pt idx="790">
                  <c:v>45044</c:v>
                </c:pt>
                <c:pt idx="791">
                  <c:v>45045</c:v>
                </c:pt>
                <c:pt idx="792">
                  <c:v>45046</c:v>
                </c:pt>
                <c:pt idx="794">
                  <c:v>45018</c:v>
                </c:pt>
                <c:pt idx="795">
                  <c:v>45019</c:v>
                </c:pt>
                <c:pt idx="796">
                  <c:v>45020</c:v>
                </c:pt>
                <c:pt idx="797">
                  <c:v>45021</c:v>
                </c:pt>
                <c:pt idx="798">
                  <c:v>45022</c:v>
                </c:pt>
                <c:pt idx="799">
                  <c:v>45023</c:v>
                </c:pt>
                <c:pt idx="800">
                  <c:v>45024</c:v>
                </c:pt>
                <c:pt idx="801">
                  <c:v>45025</c:v>
                </c:pt>
                <c:pt idx="802">
                  <c:v>45026</c:v>
                </c:pt>
                <c:pt idx="803">
                  <c:v>45027</c:v>
                </c:pt>
                <c:pt idx="804">
                  <c:v>45028</c:v>
                </c:pt>
                <c:pt idx="805">
                  <c:v>45029</c:v>
                </c:pt>
                <c:pt idx="806">
                  <c:v>45030</c:v>
                </c:pt>
                <c:pt idx="807">
                  <c:v>45031</c:v>
                </c:pt>
                <c:pt idx="808">
                  <c:v>45032</c:v>
                </c:pt>
                <c:pt idx="809">
                  <c:v>45033</c:v>
                </c:pt>
                <c:pt idx="810">
                  <c:v>45034</c:v>
                </c:pt>
                <c:pt idx="811">
                  <c:v>45035</c:v>
                </c:pt>
                <c:pt idx="812">
                  <c:v>45036</c:v>
                </c:pt>
                <c:pt idx="813">
                  <c:v>45037</c:v>
                </c:pt>
                <c:pt idx="814">
                  <c:v>45038</c:v>
                </c:pt>
                <c:pt idx="815">
                  <c:v>45039</c:v>
                </c:pt>
                <c:pt idx="816">
                  <c:v>45040</c:v>
                </c:pt>
                <c:pt idx="817">
                  <c:v>45041</c:v>
                </c:pt>
                <c:pt idx="818">
                  <c:v>45042</c:v>
                </c:pt>
                <c:pt idx="819">
                  <c:v>45043</c:v>
                </c:pt>
                <c:pt idx="820">
                  <c:v>45044</c:v>
                </c:pt>
                <c:pt idx="821">
                  <c:v>45045</c:v>
                </c:pt>
                <c:pt idx="822">
                  <c:v>45046</c:v>
                </c:pt>
                <c:pt idx="824">
                  <c:v>45018</c:v>
                </c:pt>
                <c:pt idx="825">
                  <c:v>45019</c:v>
                </c:pt>
                <c:pt idx="826">
                  <c:v>45020</c:v>
                </c:pt>
                <c:pt idx="827">
                  <c:v>45021</c:v>
                </c:pt>
                <c:pt idx="828">
                  <c:v>45022</c:v>
                </c:pt>
                <c:pt idx="829">
                  <c:v>45023</c:v>
                </c:pt>
                <c:pt idx="830">
                  <c:v>45024</c:v>
                </c:pt>
                <c:pt idx="831">
                  <c:v>45025</c:v>
                </c:pt>
                <c:pt idx="832">
                  <c:v>45026</c:v>
                </c:pt>
                <c:pt idx="833">
                  <c:v>45027</c:v>
                </c:pt>
                <c:pt idx="834">
                  <c:v>45028</c:v>
                </c:pt>
                <c:pt idx="835">
                  <c:v>45029</c:v>
                </c:pt>
                <c:pt idx="836">
                  <c:v>45030</c:v>
                </c:pt>
                <c:pt idx="837">
                  <c:v>45031</c:v>
                </c:pt>
                <c:pt idx="838">
                  <c:v>45032</c:v>
                </c:pt>
                <c:pt idx="839">
                  <c:v>45033</c:v>
                </c:pt>
                <c:pt idx="840">
                  <c:v>45034</c:v>
                </c:pt>
                <c:pt idx="841">
                  <c:v>45035</c:v>
                </c:pt>
                <c:pt idx="842">
                  <c:v>45036</c:v>
                </c:pt>
                <c:pt idx="843">
                  <c:v>45037</c:v>
                </c:pt>
                <c:pt idx="844">
                  <c:v>45038</c:v>
                </c:pt>
                <c:pt idx="845">
                  <c:v>45039</c:v>
                </c:pt>
                <c:pt idx="846">
                  <c:v>45040</c:v>
                </c:pt>
                <c:pt idx="847">
                  <c:v>45041</c:v>
                </c:pt>
                <c:pt idx="848">
                  <c:v>45042</c:v>
                </c:pt>
                <c:pt idx="849">
                  <c:v>45043</c:v>
                </c:pt>
                <c:pt idx="850">
                  <c:v>45044</c:v>
                </c:pt>
                <c:pt idx="851">
                  <c:v>45045</c:v>
                </c:pt>
                <c:pt idx="852">
                  <c:v>45046</c:v>
                </c:pt>
                <c:pt idx="854">
                  <c:v>45047</c:v>
                </c:pt>
                <c:pt idx="855">
                  <c:v>45048</c:v>
                </c:pt>
                <c:pt idx="856">
                  <c:v>45049</c:v>
                </c:pt>
                <c:pt idx="857">
                  <c:v>45050</c:v>
                </c:pt>
                <c:pt idx="858">
                  <c:v>45051</c:v>
                </c:pt>
                <c:pt idx="859">
                  <c:v>45052</c:v>
                </c:pt>
                <c:pt idx="860">
                  <c:v>45053</c:v>
                </c:pt>
                <c:pt idx="861">
                  <c:v>45054</c:v>
                </c:pt>
                <c:pt idx="862">
                  <c:v>45055</c:v>
                </c:pt>
                <c:pt idx="863">
                  <c:v>45056</c:v>
                </c:pt>
                <c:pt idx="864">
                  <c:v>45057</c:v>
                </c:pt>
                <c:pt idx="865">
                  <c:v>45058</c:v>
                </c:pt>
                <c:pt idx="866">
                  <c:v>45059</c:v>
                </c:pt>
                <c:pt idx="867">
                  <c:v>45060</c:v>
                </c:pt>
                <c:pt idx="868">
                  <c:v>45061</c:v>
                </c:pt>
                <c:pt idx="869">
                  <c:v>45062</c:v>
                </c:pt>
                <c:pt idx="870">
                  <c:v>45063</c:v>
                </c:pt>
                <c:pt idx="871">
                  <c:v>45064</c:v>
                </c:pt>
                <c:pt idx="872">
                  <c:v>45065</c:v>
                </c:pt>
                <c:pt idx="873">
                  <c:v>45066</c:v>
                </c:pt>
                <c:pt idx="874">
                  <c:v>45067</c:v>
                </c:pt>
                <c:pt idx="875">
                  <c:v>45068</c:v>
                </c:pt>
                <c:pt idx="876">
                  <c:v>45069</c:v>
                </c:pt>
                <c:pt idx="877">
                  <c:v>45070</c:v>
                </c:pt>
                <c:pt idx="878">
                  <c:v>45071</c:v>
                </c:pt>
                <c:pt idx="879">
                  <c:v>45072</c:v>
                </c:pt>
                <c:pt idx="880">
                  <c:v>45073</c:v>
                </c:pt>
                <c:pt idx="881">
                  <c:v>45074</c:v>
                </c:pt>
                <c:pt idx="882">
                  <c:v>45075</c:v>
                </c:pt>
                <c:pt idx="883">
                  <c:v>45076</c:v>
                </c:pt>
                <c:pt idx="884">
                  <c:v>45077</c:v>
                </c:pt>
                <c:pt idx="885">
                  <c:v>45047</c:v>
                </c:pt>
                <c:pt idx="886">
                  <c:v>45048</c:v>
                </c:pt>
                <c:pt idx="887">
                  <c:v>45047</c:v>
                </c:pt>
                <c:pt idx="888">
                  <c:v>45048</c:v>
                </c:pt>
                <c:pt idx="889">
                  <c:v>45052</c:v>
                </c:pt>
                <c:pt idx="890">
                  <c:v>45047</c:v>
                </c:pt>
                <c:pt idx="891">
                  <c:v>45048</c:v>
                </c:pt>
                <c:pt idx="892">
                  <c:v>45047</c:v>
                </c:pt>
                <c:pt idx="893">
                  <c:v>45048</c:v>
                </c:pt>
                <c:pt idx="894">
                  <c:v>45049</c:v>
                </c:pt>
                <c:pt idx="895">
                  <c:v>45050</c:v>
                </c:pt>
                <c:pt idx="896">
                  <c:v>45051</c:v>
                </c:pt>
                <c:pt idx="897">
                  <c:v>45052</c:v>
                </c:pt>
                <c:pt idx="898">
                  <c:v>45053</c:v>
                </c:pt>
                <c:pt idx="899">
                  <c:v>45054</c:v>
                </c:pt>
                <c:pt idx="900">
                  <c:v>45055</c:v>
                </c:pt>
                <c:pt idx="901">
                  <c:v>45056</c:v>
                </c:pt>
                <c:pt idx="902">
                  <c:v>45057</c:v>
                </c:pt>
                <c:pt idx="903">
                  <c:v>45058</c:v>
                </c:pt>
                <c:pt idx="904">
                  <c:v>45059</c:v>
                </c:pt>
                <c:pt idx="905">
                  <c:v>45060</c:v>
                </c:pt>
                <c:pt idx="906">
                  <c:v>45061</c:v>
                </c:pt>
                <c:pt idx="907">
                  <c:v>45062</c:v>
                </c:pt>
                <c:pt idx="908">
                  <c:v>45063</c:v>
                </c:pt>
                <c:pt idx="909">
                  <c:v>45064</c:v>
                </c:pt>
                <c:pt idx="910">
                  <c:v>45065</c:v>
                </c:pt>
                <c:pt idx="911">
                  <c:v>45066</c:v>
                </c:pt>
                <c:pt idx="912">
                  <c:v>45067</c:v>
                </c:pt>
                <c:pt idx="913">
                  <c:v>45068</c:v>
                </c:pt>
                <c:pt idx="914">
                  <c:v>45069</c:v>
                </c:pt>
                <c:pt idx="915">
                  <c:v>45070</c:v>
                </c:pt>
                <c:pt idx="916">
                  <c:v>45071</c:v>
                </c:pt>
                <c:pt idx="917">
                  <c:v>45072</c:v>
                </c:pt>
                <c:pt idx="918">
                  <c:v>45073</c:v>
                </c:pt>
                <c:pt idx="919">
                  <c:v>45074</c:v>
                </c:pt>
                <c:pt idx="920">
                  <c:v>45075</c:v>
                </c:pt>
                <c:pt idx="921">
                  <c:v>45076</c:v>
                </c:pt>
                <c:pt idx="922">
                  <c:v>45077</c:v>
                </c:pt>
                <c:pt idx="923">
                  <c:v>45047</c:v>
                </c:pt>
                <c:pt idx="924">
                  <c:v>45048</c:v>
                </c:pt>
                <c:pt idx="925">
                  <c:v>45052</c:v>
                </c:pt>
                <c:pt idx="926">
                  <c:v>45064</c:v>
                </c:pt>
                <c:pt idx="927">
                  <c:v>45075</c:v>
                </c:pt>
                <c:pt idx="928">
                  <c:v>45047</c:v>
                </c:pt>
                <c:pt idx="929">
                  <c:v>45048</c:v>
                </c:pt>
                <c:pt idx="930">
                  <c:v>45073</c:v>
                </c:pt>
                <c:pt idx="931">
                  <c:v>45048</c:v>
                </c:pt>
                <c:pt idx="932">
                  <c:v>45050</c:v>
                </c:pt>
                <c:pt idx="933">
                  <c:v>45052</c:v>
                </c:pt>
                <c:pt idx="934">
                  <c:v>45053</c:v>
                </c:pt>
                <c:pt idx="935">
                  <c:v>45061</c:v>
                </c:pt>
                <c:pt idx="936">
                  <c:v>45062</c:v>
                </c:pt>
                <c:pt idx="937">
                  <c:v>45063</c:v>
                </c:pt>
                <c:pt idx="938">
                  <c:v>45064</c:v>
                </c:pt>
                <c:pt idx="939">
                  <c:v>45065</c:v>
                </c:pt>
                <c:pt idx="940">
                  <c:v>45068</c:v>
                </c:pt>
                <c:pt idx="941">
                  <c:v>45048</c:v>
                </c:pt>
                <c:pt idx="942">
                  <c:v>45050</c:v>
                </c:pt>
                <c:pt idx="943">
                  <c:v>45051</c:v>
                </c:pt>
                <c:pt idx="944">
                  <c:v>45052</c:v>
                </c:pt>
                <c:pt idx="945">
                  <c:v>45053</c:v>
                </c:pt>
                <c:pt idx="946">
                  <c:v>45055</c:v>
                </c:pt>
                <c:pt idx="947">
                  <c:v>45058</c:v>
                </c:pt>
                <c:pt idx="948">
                  <c:v>45059</c:v>
                </c:pt>
                <c:pt idx="949">
                  <c:v>45061</c:v>
                </c:pt>
                <c:pt idx="950">
                  <c:v>45062</c:v>
                </c:pt>
                <c:pt idx="951">
                  <c:v>45063</c:v>
                </c:pt>
                <c:pt idx="952">
                  <c:v>45064</c:v>
                </c:pt>
                <c:pt idx="953">
                  <c:v>45065</c:v>
                </c:pt>
                <c:pt idx="954">
                  <c:v>45067</c:v>
                </c:pt>
                <c:pt idx="955">
                  <c:v>45068</c:v>
                </c:pt>
                <c:pt idx="956">
                  <c:v>45069</c:v>
                </c:pt>
                <c:pt idx="957">
                  <c:v>45071</c:v>
                </c:pt>
                <c:pt idx="958">
                  <c:v>45072</c:v>
                </c:pt>
                <c:pt idx="959">
                  <c:v>45073</c:v>
                </c:pt>
                <c:pt idx="960">
                  <c:v>45075</c:v>
                </c:pt>
                <c:pt idx="961">
                  <c:v>45077</c:v>
                </c:pt>
                <c:pt idx="962">
                  <c:v>45048</c:v>
                </c:pt>
                <c:pt idx="963">
                  <c:v>45052</c:v>
                </c:pt>
                <c:pt idx="964">
                  <c:v>45070</c:v>
                </c:pt>
                <c:pt idx="965">
                  <c:v>45073</c:v>
                </c:pt>
                <c:pt idx="966">
                  <c:v>45077</c:v>
                </c:pt>
                <c:pt idx="967">
                  <c:v>45072</c:v>
                </c:pt>
                <c:pt idx="968">
                  <c:v>45056</c:v>
                </c:pt>
                <c:pt idx="969">
                  <c:v>45069</c:v>
                </c:pt>
                <c:pt idx="970">
                  <c:v>45048</c:v>
                </c:pt>
                <c:pt idx="971">
                  <c:v>45049</c:v>
                </c:pt>
                <c:pt idx="972">
                  <c:v>45052</c:v>
                </c:pt>
                <c:pt idx="973">
                  <c:v>45055</c:v>
                </c:pt>
                <c:pt idx="974">
                  <c:v>45075</c:v>
                </c:pt>
                <c:pt idx="975">
                  <c:v>45077</c:v>
                </c:pt>
                <c:pt idx="976">
                  <c:v>45078</c:v>
                </c:pt>
                <c:pt idx="977">
                  <c:v>45079</c:v>
                </c:pt>
                <c:pt idx="978">
                  <c:v>45080</c:v>
                </c:pt>
                <c:pt idx="979">
                  <c:v>45081</c:v>
                </c:pt>
                <c:pt idx="980">
                  <c:v>45082</c:v>
                </c:pt>
                <c:pt idx="981">
                  <c:v>45083</c:v>
                </c:pt>
                <c:pt idx="982">
                  <c:v>45084</c:v>
                </c:pt>
                <c:pt idx="983">
                  <c:v>45085</c:v>
                </c:pt>
                <c:pt idx="984">
                  <c:v>45086</c:v>
                </c:pt>
                <c:pt idx="985">
                  <c:v>45087</c:v>
                </c:pt>
                <c:pt idx="986">
                  <c:v>45088</c:v>
                </c:pt>
                <c:pt idx="987">
                  <c:v>45089</c:v>
                </c:pt>
                <c:pt idx="988">
                  <c:v>45090</c:v>
                </c:pt>
                <c:pt idx="989">
                  <c:v>45091</c:v>
                </c:pt>
                <c:pt idx="990">
                  <c:v>45092</c:v>
                </c:pt>
                <c:pt idx="991">
                  <c:v>45093</c:v>
                </c:pt>
                <c:pt idx="992">
                  <c:v>45094</c:v>
                </c:pt>
                <c:pt idx="993">
                  <c:v>45095</c:v>
                </c:pt>
                <c:pt idx="994">
                  <c:v>45096</c:v>
                </c:pt>
                <c:pt idx="995">
                  <c:v>45097</c:v>
                </c:pt>
                <c:pt idx="996">
                  <c:v>45098</c:v>
                </c:pt>
                <c:pt idx="997">
                  <c:v>45099</c:v>
                </c:pt>
                <c:pt idx="998">
                  <c:v>45100</c:v>
                </c:pt>
                <c:pt idx="999">
                  <c:v>45101</c:v>
                </c:pt>
                <c:pt idx="1000">
                  <c:v>45102</c:v>
                </c:pt>
                <c:pt idx="1001">
                  <c:v>45103</c:v>
                </c:pt>
                <c:pt idx="1002">
                  <c:v>45104</c:v>
                </c:pt>
                <c:pt idx="1003">
                  <c:v>45105</c:v>
                </c:pt>
                <c:pt idx="1004">
                  <c:v>45106</c:v>
                </c:pt>
                <c:pt idx="1005">
                  <c:v>45107</c:v>
                </c:pt>
                <c:pt idx="1007">
                  <c:v>45078</c:v>
                </c:pt>
                <c:pt idx="1008">
                  <c:v>45079</c:v>
                </c:pt>
                <c:pt idx="1009">
                  <c:v>45104</c:v>
                </c:pt>
                <c:pt idx="1010">
                  <c:v>45078</c:v>
                </c:pt>
                <c:pt idx="1011">
                  <c:v>45079</c:v>
                </c:pt>
                <c:pt idx="1012">
                  <c:v>45082</c:v>
                </c:pt>
                <c:pt idx="1013">
                  <c:v>45104</c:v>
                </c:pt>
                <c:pt idx="1014">
                  <c:v>45078</c:v>
                </c:pt>
                <c:pt idx="1015">
                  <c:v>45079</c:v>
                </c:pt>
                <c:pt idx="1016">
                  <c:v>45078</c:v>
                </c:pt>
                <c:pt idx="1017">
                  <c:v>45079</c:v>
                </c:pt>
                <c:pt idx="1018">
                  <c:v>45080</c:v>
                </c:pt>
                <c:pt idx="1019">
                  <c:v>45081</c:v>
                </c:pt>
                <c:pt idx="1020">
                  <c:v>45082</c:v>
                </c:pt>
                <c:pt idx="1021">
                  <c:v>45083</c:v>
                </c:pt>
                <c:pt idx="1022">
                  <c:v>45084</c:v>
                </c:pt>
                <c:pt idx="1023">
                  <c:v>45085</c:v>
                </c:pt>
                <c:pt idx="1024">
                  <c:v>45086</c:v>
                </c:pt>
                <c:pt idx="1025">
                  <c:v>45087</c:v>
                </c:pt>
                <c:pt idx="1026">
                  <c:v>45089</c:v>
                </c:pt>
                <c:pt idx="1027">
                  <c:v>45090</c:v>
                </c:pt>
                <c:pt idx="1028">
                  <c:v>45091</c:v>
                </c:pt>
                <c:pt idx="1029">
                  <c:v>45092</c:v>
                </c:pt>
                <c:pt idx="1030">
                  <c:v>45093</c:v>
                </c:pt>
                <c:pt idx="1031">
                  <c:v>45094</c:v>
                </c:pt>
                <c:pt idx="1032">
                  <c:v>45097</c:v>
                </c:pt>
                <c:pt idx="1033">
                  <c:v>45098</c:v>
                </c:pt>
                <c:pt idx="1034">
                  <c:v>45099</c:v>
                </c:pt>
                <c:pt idx="1035">
                  <c:v>45102</c:v>
                </c:pt>
                <c:pt idx="1036">
                  <c:v>45104</c:v>
                </c:pt>
                <c:pt idx="1037">
                  <c:v>45105</c:v>
                </c:pt>
                <c:pt idx="1038">
                  <c:v>45106</c:v>
                </c:pt>
                <c:pt idx="1039">
                  <c:v>45107</c:v>
                </c:pt>
                <c:pt idx="1040">
                  <c:v>45078</c:v>
                </c:pt>
                <c:pt idx="1041">
                  <c:v>45079</c:v>
                </c:pt>
                <c:pt idx="1042">
                  <c:v>45082</c:v>
                </c:pt>
                <c:pt idx="1043">
                  <c:v>45099</c:v>
                </c:pt>
                <c:pt idx="1044">
                  <c:v>45101</c:v>
                </c:pt>
                <c:pt idx="1045">
                  <c:v>45078</c:v>
                </c:pt>
                <c:pt idx="1046">
                  <c:v>45079</c:v>
                </c:pt>
                <c:pt idx="1047">
                  <c:v>45100</c:v>
                </c:pt>
                <c:pt idx="1048">
                  <c:v>45078</c:v>
                </c:pt>
                <c:pt idx="1049">
                  <c:v>45092</c:v>
                </c:pt>
                <c:pt idx="1050">
                  <c:v>45099</c:v>
                </c:pt>
                <c:pt idx="1051">
                  <c:v>45101</c:v>
                </c:pt>
                <c:pt idx="1052">
                  <c:v>45078</c:v>
                </c:pt>
                <c:pt idx="1053">
                  <c:v>45079</c:v>
                </c:pt>
                <c:pt idx="1054">
                  <c:v>45086</c:v>
                </c:pt>
                <c:pt idx="1055">
                  <c:v>45091</c:v>
                </c:pt>
                <c:pt idx="1056">
                  <c:v>45093</c:v>
                </c:pt>
                <c:pt idx="1057">
                  <c:v>45094</c:v>
                </c:pt>
                <c:pt idx="1058">
                  <c:v>45095</c:v>
                </c:pt>
                <c:pt idx="1059">
                  <c:v>45096</c:v>
                </c:pt>
                <c:pt idx="1060">
                  <c:v>45097</c:v>
                </c:pt>
                <c:pt idx="1061">
                  <c:v>45098</c:v>
                </c:pt>
                <c:pt idx="1062">
                  <c:v>45099</c:v>
                </c:pt>
                <c:pt idx="1063">
                  <c:v>45100</c:v>
                </c:pt>
                <c:pt idx="1064">
                  <c:v>45101</c:v>
                </c:pt>
                <c:pt idx="1065">
                  <c:v>45103</c:v>
                </c:pt>
                <c:pt idx="1066">
                  <c:v>45104</c:v>
                </c:pt>
                <c:pt idx="1067">
                  <c:v>45105</c:v>
                </c:pt>
                <c:pt idx="1068">
                  <c:v>45106</c:v>
                </c:pt>
                <c:pt idx="1069">
                  <c:v>45107</c:v>
                </c:pt>
                <c:pt idx="1070">
                  <c:v>45082</c:v>
                </c:pt>
                <c:pt idx="1071">
                  <c:v>45091</c:v>
                </c:pt>
                <c:pt idx="1072">
                  <c:v>45093</c:v>
                </c:pt>
                <c:pt idx="1073">
                  <c:v>45094</c:v>
                </c:pt>
                <c:pt idx="1074">
                  <c:v>45099</c:v>
                </c:pt>
                <c:pt idx="1075">
                  <c:v>45102</c:v>
                </c:pt>
                <c:pt idx="1076">
                  <c:v>45106</c:v>
                </c:pt>
                <c:pt idx="1077">
                  <c:v>45104</c:v>
                </c:pt>
                <c:pt idx="1078">
                  <c:v>45087</c:v>
                </c:pt>
                <c:pt idx="1079">
                  <c:v>45096</c:v>
                </c:pt>
                <c:pt idx="1080">
                  <c:v>45102</c:v>
                </c:pt>
                <c:pt idx="1081">
                  <c:v>45104</c:v>
                </c:pt>
                <c:pt idx="1082">
                  <c:v>45107</c:v>
                </c:pt>
                <c:pt idx="1083">
                  <c:v>45108</c:v>
                </c:pt>
                <c:pt idx="1084">
                  <c:v>45109</c:v>
                </c:pt>
                <c:pt idx="1085">
                  <c:v>45110</c:v>
                </c:pt>
                <c:pt idx="1086">
                  <c:v>45111</c:v>
                </c:pt>
                <c:pt idx="1087">
                  <c:v>45112</c:v>
                </c:pt>
                <c:pt idx="1088">
                  <c:v>45113</c:v>
                </c:pt>
                <c:pt idx="1089">
                  <c:v>45114</c:v>
                </c:pt>
                <c:pt idx="1090">
                  <c:v>45115</c:v>
                </c:pt>
                <c:pt idx="1091">
                  <c:v>45116</c:v>
                </c:pt>
                <c:pt idx="1092">
                  <c:v>45117</c:v>
                </c:pt>
                <c:pt idx="1093">
                  <c:v>45118</c:v>
                </c:pt>
                <c:pt idx="1094">
                  <c:v>45119</c:v>
                </c:pt>
                <c:pt idx="1095">
                  <c:v>45120</c:v>
                </c:pt>
                <c:pt idx="1096">
                  <c:v>45121</c:v>
                </c:pt>
                <c:pt idx="1097">
                  <c:v>45122</c:v>
                </c:pt>
                <c:pt idx="1098">
                  <c:v>45123</c:v>
                </c:pt>
                <c:pt idx="1099">
                  <c:v>45124</c:v>
                </c:pt>
                <c:pt idx="1100">
                  <c:v>45125</c:v>
                </c:pt>
                <c:pt idx="1101">
                  <c:v>45126</c:v>
                </c:pt>
                <c:pt idx="1102">
                  <c:v>45127</c:v>
                </c:pt>
                <c:pt idx="1103">
                  <c:v>45128</c:v>
                </c:pt>
                <c:pt idx="1104">
                  <c:v>45129</c:v>
                </c:pt>
                <c:pt idx="1105">
                  <c:v>45130</c:v>
                </c:pt>
                <c:pt idx="1106">
                  <c:v>45131</c:v>
                </c:pt>
                <c:pt idx="1107">
                  <c:v>45132</c:v>
                </c:pt>
                <c:pt idx="1108">
                  <c:v>45133</c:v>
                </c:pt>
                <c:pt idx="1109">
                  <c:v>45134</c:v>
                </c:pt>
                <c:pt idx="1110">
                  <c:v>45135</c:v>
                </c:pt>
                <c:pt idx="1111">
                  <c:v>45136</c:v>
                </c:pt>
                <c:pt idx="1112">
                  <c:v>45137</c:v>
                </c:pt>
                <c:pt idx="1113">
                  <c:v>45138</c:v>
                </c:pt>
                <c:pt idx="1114">
                  <c:v>45111</c:v>
                </c:pt>
                <c:pt idx="1115">
                  <c:v>45136</c:v>
                </c:pt>
                <c:pt idx="1116">
                  <c:v>45127</c:v>
                </c:pt>
                <c:pt idx="1117">
                  <c:v>45108</c:v>
                </c:pt>
                <c:pt idx="1118">
                  <c:v>45109</c:v>
                </c:pt>
                <c:pt idx="1119">
                  <c:v>45110</c:v>
                </c:pt>
                <c:pt idx="1120">
                  <c:v>45111</c:v>
                </c:pt>
                <c:pt idx="1121">
                  <c:v>45112</c:v>
                </c:pt>
                <c:pt idx="1122">
                  <c:v>45113</c:v>
                </c:pt>
                <c:pt idx="1123">
                  <c:v>45114</c:v>
                </c:pt>
                <c:pt idx="1124">
                  <c:v>45115</c:v>
                </c:pt>
                <c:pt idx="1125">
                  <c:v>45117</c:v>
                </c:pt>
                <c:pt idx="1126">
                  <c:v>45118</c:v>
                </c:pt>
                <c:pt idx="1127">
                  <c:v>45119</c:v>
                </c:pt>
                <c:pt idx="1128">
                  <c:v>45120</c:v>
                </c:pt>
                <c:pt idx="1129">
                  <c:v>45121</c:v>
                </c:pt>
                <c:pt idx="1130">
                  <c:v>45124</c:v>
                </c:pt>
                <c:pt idx="1131">
                  <c:v>45125</c:v>
                </c:pt>
                <c:pt idx="1132">
                  <c:v>45126</c:v>
                </c:pt>
                <c:pt idx="1133">
                  <c:v>45127</c:v>
                </c:pt>
                <c:pt idx="1134">
                  <c:v>45129</c:v>
                </c:pt>
                <c:pt idx="1135">
                  <c:v>45132</c:v>
                </c:pt>
                <c:pt idx="1136">
                  <c:v>45133</c:v>
                </c:pt>
                <c:pt idx="1137">
                  <c:v>45134</c:v>
                </c:pt>
                <c:pt idx="1138">
                  <c:v>45135</c:v>
                </c:pt>
                <c:pt idx="1139">
                  <c:v>45136</c:v>
                </c:pt>
                <c:pt idx="1140">
                  <c:v>45138</c:v>
                </c:pt>
                <c:pt idx="1141">
                  <c:v>45115</c:v>
                </c:pt>
                <c:pt idx="1142">
                  <c:v>45117</c:v>
                </c:pt>
                <c:pt idx="1143">
                  <c:v>45127</c:v>
                </c:pt>
                <c:pt idx="1144">
                  <c:v>45129</c:v>
                </c:pt>
                <c:pt idx="1145">
                  <c:v>45130</c:v>
                </c:pt>
                <c:pt idx="1146">
                  <c:v>45135</c:v>
                </c:pt>
                <c:pt idx="1147">
                  <c:v>45136</c:v>
                </c:pt>
                <c:pt idx="1148">
                  <c:v>45109</c:v>
                </c:pt>
                <c:pt idx="1149">
                  <c:v>45110</c:v>
                </c:pt>
                <c:pt idx="1150">
                  <c:v>45111</c:v>
                </c:pt>
                <c:pt idx="1151">
                  <c:v>45112</c:v>
                </c:pt>
                <c:pt idx="1152">
                  <c:v>45113</c:v>
                </c:pt>
                <c:pt idx="1153">
                  <c:v>45114</c:v>
                </c:pt>
                <c:pt idx="1154">
                  <c:v>45115</c:v>
                </c:pt>
                <c:pt idx="1155">
                  <c:v>45117</c:v>
                </c:pt>
                <c:pt idx="1156">
                  <c:v>45121</c:v>
                </c:pt>
                <c:pt idx="1157">
                  <c:v>45124</c:v>
                </c:pt>
                <c:pt idx="1158">
                  <c:v>45128</c:v>
                </c:pt>
                <c:pt idx="1159">
                  <c:v>45129</c:v>
                </c:pt>
                <c:pt idx="1160">
                  <c:v>45130</c:v>
                </c:pt>
                <c:pt idx="1161">
                  <c:v>45131</c:v>
                </c:pt>
                <c:pt idx="1162">
                  <c:v>45132</c:v>
                </c:pt>
                <c:pt idx="1163">
                  <c:v>45133</c:v>
                </c:pt>
                <c:pt idx="1164">
                  <c:v>45135</c:v>
                </c:pt>
                <c:pt idx="1165">
                  <c:v>45136</c:v>
                </c:pt>
                <c:pt idx="1166">
                  <c:v>45137</c:v>
                </c:pt>
                <c:pt idx="1167">
                  <c:v>45114</c:v>
                </c:pt>
                <c:pt idx="1168">
                  <c:v>45119</c:v>
                </c:pt>
                <c:pt idx="1169">
                  <c:v>45120</c:v>
                </c:pt>
                <c:pt idx="1170">
                  <c:v>45129</c:v>
                </c:pt>
                <c:pt idx="1171">
                  <c:v>45130</c:v>
                </c:pt>
                <c:pt idx="1172">
                  <c:v>45136</c:v>
                </c:pt>
                <c:pt idx="1173">
                  <c:v>45133</c:v>
                </c:pt>
                <c:pt idx="1174">
                  <c:v>45117</c:v>
                </c:pt>
                <c:pt idx="1175">
                  <c:v>45128</c:v>
                </c:pt>
                <c:pt idx="1176">
                  <c:v>45109</c:v>
                </c:pt>
                <c:pt idx="1177">
                  <c:v>45128</c:v>
                </c:pt>
                <c:pt idx="1178">
                  <c:v>45130</c:v>
                </c:pt>
                <c:pt idx="1179">
                  <c:v>45136</c:v>
                </c:pt>
                <c:pt idx="1180">
                  <c:v>45139</c:v>
                </c:pt>
                <c:pt idx="1181">
                  <c:v>45140</c:v>
                </c:pt>
                <c:pt idx="1182">
                  <c:v>45141</c:v>
                </c:pt>
                <c:pt idx="1183">
                  <c:v>45142</c:v>
                </c:pt>
                <c:pt idx="1184">
                  <c:v>45143</c:v>
                </c:pt>
                <c:pt idx="1185">
                  <c:v>45144</c:v>
                </c:pt>
                <c:pt idx="1186">
                  <c:v>45145</c:v>
                </c:pt>
                <c:pt idx="1187">
                  <c:v>45146</c:v>
                </c:pt>
                <c:pt idx="1188">
                  <c:v>45147</c:v>
                </c:pt>
                <c:pt idx="1189">
                  <c:v>45148</c:v>
                </c:pt>
                <c:pt idx="1190">
                  <c:v>45149</c:v>
                </c:pt>
                <c:pt idx="1191">
                  <c:v>45150</c:v>
                </c:pt>
                <c:pt idx="1192">
                  <c:v>45151</c:v>
                </c:pt>
                <c:pt idx="1193">
                  <c:v>45152</c:v>
                </c:pt>
                <c:pt idx="1194">
                  <c:v>45153</c:v>
                </c:pt>
                <c:pt idx="1195">
                  <c:v>45154</c:v>
                </c:pt>
                <c:pt idx="1196">
                  <c:v>45155</c:v>
                </c:pt>
                <c:pt idx="1197">
                  <c:v>45156</c:v>
                </c:pt>
                <c:pt idx="1198">
                  <c:v>45157</c:v>
                </c:pt>
                <c:pt idx="1199">
                  <c:v>45158</c:v>
                </c:pt>
                <c:pt idx="1200">
                  <c:v>45159</c:v>
                </c:pt>
                <c:pt idx="1201">
                  <c:v>45160</c:v>
                </c:pt>
                <c:pt idx="1202">
                  <c:v>45161</c:v>
                </c:pt>
                <c:pt idx="1203">
                  <c:v>45162</c:v>
                </c:pt>
                <c:pt idx="1204">
                  <c:v>45163</c:v>
                </c:pt>
                <c:pt idx="1205">
                  <c:v>45164</c:v>
                </c:pt>
                <c:pt idx="1206">
                  <c:v>45165</c:v>
                </c:pt>
                <c:pt idx="1207">
                  <c:v>45166</c:v>
                </c:pt>
                <c:pt idx="1208">
                  <c:v>45167</c:v>
                </c:pt>
                <c:pt idx="1209">
                  <c:v>45168</c:v>
                </c:pt>
                <c:pt idx="1210">
                  <c:v>45169</c:v>
                </c:pt>
                <c:pt idx="1211">
                  <c:v>45139</c:v>
                </c:pt>
                <c:pt idx="1212">
                  <c:v>45140</c:v>
                </c:pt>
                <c:pt idx="1213">
                  <c:v>45139</c:v>
                </c:pt>
                <c:pt idx="1214">
                  <c:v>45140</c:v>
                </c:pt>
                <c:pt idx="1215">
                  <c:v>45143</c:v>
                </c:pt>
                <c:pt idx="1216">
                  <c:v>45161</c:v>
                </c:pt>
                <c:pt idx="1217">
                  <c:v>45139</c:v>
                </c:pt>
                <c:pt idx="1218">
                  <c:v>45140</c:v>
                </c:pt>
                <c:pt idx="1219">
                  <c:v>45139</c:v>
                </c:pt>
                <c:pt idx="1220">
                  <c:v>45140</c:v>
                </c:pt>
                <c:pt idx="1221">
                  <c:v>45141</c:v>
                </c:pt>
                <c:pt idx="1222">
                  <c:v>45142</c:v>
                </c:pt>
                <c:pt idx="1223">
                  <c:v>45143</c:v>
                </c:pt>
                <c:pt idx="1224">
                  <c:v>45145</c:v>
                </c:pt>
                <c:pt idx="1225">
                  <c:v>45146</c:v>
                </c:pt>
                <c:pt idx="1226">
                  <c:v>45147</c:v>
                </c:pt>
                <c:pt idx="1227">
                  <c:v>45148</c:v>
                </c:pt>
                <c:pt idx="1228">
                  <c:v>45149</c:v>
                </c:pt>
                <c:pt idx="1229">
                  <c:v>45152</c:v>
                </c:pt>
                <c:pt idx="1230">
                  <c:v>45154</c:v>
                </c:pt>
                <c:pt idx="1231">
                  <c:v>45155</c:v>
                </c:pt>
                <c:pt idx="1232">
                  <c:v>45156</c:v>
                </c:pt>
                <c:pt idx="1233">
                  <c:v>45157</c:v>
                </c:pt>
                <c:pt idx="1234">
                  <c:v>45161</c:v>
                </c:pt>
                <c:pt idx="1235">
                  <c:v>45162</c:v>
                </c:pt>
                <c:pt idx="1236">
                  <c:v>45163</c:v>
                </c:pt>
                <c:pt idx="1237">
                  <c:v>45164</c:v>
                </c:pt>
                <c:pt idx="1238">
                  <c:v>45166</c:v>
                </c:pt>
                <c:pt idx="1239">
                  <c:v>45167</c:v>
                </c:pt>
                <c:pt idx="1240">
                  <c:v>45168</c:v>
                </c:pt>
                <c:pt idx="1241">
                  <c:v>45169</c:v>
                </c:pt>
                <c:pt idx="1242">
                  <c:v>45139</c:v>
                </c:pt>
                <c:pt idx="1243">
                  <c:v>45140</c:v>
                </c:pt>
                <c:pt idx="1244">
                  <c:v>45143</c:v>
                </c:pt>
                <c:pt idx="1245">
                  <c:v>45167</c:v>
                </c:pt>
                <c:pt idx="1246">
                  <c:v>45157</c:v>
                </c:pt>
                <c:pt idx="1247">
                  <c:v>45163</c:v>
                </c:pt>
                <c:pt idx="1248">
                  <c:v>45142</c:v>
                </c:pt>
                <c:pt idx="1249">
                  <c:v>45143</c:v>
                </c:pt>
                <c:pt idx="1250">
                  <c:v>45144</c:v>
                </c:pt>
                <c:pt idx="1251">
                  <c:v>45145</c:v>
                </c:pt>
                <c:pt idx="1252">
                  <c:v>45148</c:v>
                </c:pt>
                <c:pt idx="1253">
                  <c:v>45149</c:v>
                </c:pt>
                <c:pt idx="1254">
                  <c:v>45152</c:v>
                </c:pt>
                <c:pt idx="1255">
                  <c:v>45153</c:v>
                </c:pt>
                <c:pt idx="1256">
                  <c:v>45154</c:v>
                </c:pt>
                <c:pt idx="1257">
                  <c:v>45156</c:v>
                </c:pt>
                <c:pt idx="1258">
                  <c:v>45157</c:v>
                </c:pt>
                <c:pt idx="1259">
                  <c:v>45159</c:v>
                </c:pt>
                <c:pt idx="1260">
                  <c:v>45162</c:v>
                </c:pt>
                <c:pt idx="1261">
                  <c:v>45163</c:v>
                </c:pt>
                <c:pt idx="1262">
                  <c:v>45165</c:v>
                </c:pt>
                <c:pt idx="1263">
                  <c:v>45166</c:v>
                </c:pt>
                <c:pt idx="1264">
                  <c:v>45139</c:v>
                </c:pt>
                <c:pt idx="1265">
                  <c:v>45140</c:v>
                </c:pt>
                <c:pt idx="1266">
                  <c:v>45141</c:v>
                </c:pt>
                <c:pt idx="1267">
                  <c:v>45143</c:v>
                </c:pt>
                <c:pt idx="1268">
                  <c:v>45147</c:v>
                </c:pt>
                <c:pt idx="1269">
                  <c:v>45148</c:v>
                </c:pt>
                <c:pt idx="1270">
                  <c:v>45152</c:v>
                </c:pt>
                <c:pt idx="1271">
                  <c:v>45162</c:v>
                </c:pt>
                <c:pt idx="1272">
                  <c:v>45166</c:v>
                </c:pt>
                <c:pt idx="1273">
                  <c:v>45164</c:v>
                </c:pt>
                <c:pt idx="1274">
                  <c:v>45148</c:v>
                </c:pt>
                <c:pt idx="1275">
                  <c:v>45161</c:v>
                </c:pt>
                <c:pt idx="1276">
                  <c:v>45161</c:v>
                </c:pt>
                <c:pt idx="1277">
                  <c:v>45162</c:v>
                </c:pt>
                <c:pt idx="1278">
                  <c:v>45163</c:v>
                </c:pt>
                <c:pt idx="1279">
                  <c:v>45167</c:v>
                </c:pt>
                <c:pt idx="1371">
                  <c:v>45200</c:v>
                </c:pt>
                <c:pt idx="1372">
                  <c:v>45201</c:v>
                </c:pt>
                <c:pt idx="1373">
                  <c:v>45202</c:v>
                </c:pt>
                <c:pt idx="1374">
                  <c:v>45203</c:v>
                </c:pt>
                <c:pt idx="1375">
                  <c:v>45204</c:v>
                </c:pt>
                <c:pt idx="1376">
                  <c:v>45205</c:v>
                </c:pt>
                <c:pt idx="1377">
                  <c:v>45206</c:v>
                </c:pt>
                <c:pt idx="1378">
                  <c:v>45207</c:v>
                </c:pt>
                <c:pt idx="1379">
                  <c:v>45208</c:v>
                </c:pt>
                <c:pt idx="1380">
                  <c:v>45209</c:v>
                </c:pt>
                <c:pt idx="1381">
                  <c:v>45210</c:v>
                </c:pt>
                <c:pt idx="1382">
                  <c:v>45211</c:v>
                </c:pt>
                <c:pt idx="1383">
                  <c:v>45212</c:v>
                </c:pt>
                <c:pt idx="1384">
                  <c:v>45213</c:v>
                </c:pt>
                <c:pt idx="1385">
                  <c:v>45214</c:v>
                </c:pt>
                <c:pt idx="1386">
                  <c:v>45215</c:v>
                </c:pt>
                <c:pt idx="1387">
                  <c:v>45216</c:v>
                </c:pt>
                <c:pt idx="1388">
                  <c:v>45217</c:v>
                </c:pt>
                <c:pt idx="1389">
                  <c:v>45218</c:v>
                </c:pt>
                <c:pt idx="1390">
                  <c:v>45219</c:v>
                </c:pt>
                <c:pt idx="1391">
                  <c:v>45220</c:v>
                </c:pt>
                <c:pt idx="1392">
                  <c:v>45221</c:v>
                </c:pt>
                <c:pt idx="1393">
                  <c:v>45222</c:v>
                </c:pt>
                <c:pt idx="1394">
                  <c:v>45223</c:v>
                </c:pt>
                <c:pt idx="1395">
                  <c:v>45224</c:v>
                </c:pt>
                <c:pt idx="1396">
                  <c:v>45225</c:v>
                </c:pt>
                <c:pt idx="1397">
                  <c:v>45226</c:v>
                </c:pt>
                <c:pt idx="1398">
                  <c:v>45227</c:v>
                </c:pt>
                <c:pt idx="1399">
                  <c:v>45228</c:v>
                </c:pt>
                <c:pt idx="1400">
                  <c:v>45229</c:v>
                </c:pt>
                <c:pt idx="1401">
                  <c:v>45230</c:v>
                </c:pt>
                <c:pt idx="1402">
                  <c:v>45204</c:v>
                </c:pt>
                <c:pt idx="1403">
                  <c:v>45214</c:v>
                </c:pt>
                <c:pt idx="1404">
                  <c:v>45224</c:v>
                </c:pt>
                <c:pt idx="1405">
                  <c:v>45201</c:v>
                </c:pt>
                <c:pt idx="1406">
                  <c:v>45202</c:v>
                </c:pt>
                <c:pt idx="1407">
                  <c:v>45203</c:v>
                </c:pt>
                <c:pt idx="1408">
                  <c:v>45204</c:v>
                </c:pt>
                <c:pt idx="1409">
                  <c:v>45205</c:v>
                </c:pt>
                <c:pt idx="1410">
                  <c:v>45206</c:v>
                </c:pt>
                <c:pt idx="1411">
                  <c:v>45207</c:v>
                </c:pt>
                <c:pt idx="1412">
                  <c:v>45209</c:v>
                </c:pt>
                <c:pt idx="1413">
                  <c:v>45210</c:v>
                </c:pt>
                <c:pt idx="1414">
                  <c:v>45211</c:v>
                </c:pt>
                <c:pt idx="1415">
                  <c:v>45213</c:v>
                </c:pt>
                <c:pt idx="1416">
                  <c:v>45214</c:v>
                </c:pt>
                <c:pt idx="1417">
                  <c:v>45216</c:v>
                </c:pt>
                <c:pt idx="1418">
                  <c:v>45217</c:v>
                </c:pt>
                <c:pt idx="1419">
                  <c:v>45220</c:v>
                </c:pt>
                <c:pt idx="1420">
                  <c:v>45222</c:v>
                </c:pt>
                <c:pt idx="1421">
                  <c:v>45223</c:v>
                </c:pt>
                <c:pt idx="1422">
                  <c:v>45224</c:v>
                </c:pt>
                <c:pt idx="1423">
                  <c:v>45226</c:v>
                </c:pt>
                <c:pt idx="1424">
                  <c:v>45227</c:v>
                </c:pt>
                <c:pt idx="1425">
                  <c:v>45229</c:v>
                </c:pt>
                <c:pt idx="1426">
                  <c:v>45230</c:v>
                </c:pt>
                <c:pt idx="1427">
                  <c:v>45224</c:v>
                </c:pt>
                <c:pt idx="1428">
                  <c:v>45202</c:v>
                </c:pt>
                <c:pt idx="1429">
                  <c:v>45213</c:v>
                </c:pt>
                <c:pt idx="1430">
                  <c:v>45214</c:v>
                </c:pt>
                <c:pt idx="1431">
                  <c:v>45216</c:v>
                </c:pt>
                <c:pt idx="1432">
                  <c:v>45221</c:v>
                </c:pt>
                <c:pt idx="1433">
                  <c:v>45201</c:v>
                </c:pt>
                <c:pt idx="1434">
                  <c:v>45203</c:v>
                </c:pt>
                <c:pt idx="1435">
                  <c:v>45204</c:v>
                </c:pt>
                <c:pt idx="1436">
                  <c:v>45205</c:v>
                </c:pt>
                <c:pt idx="1437">
                  <c:v>45207</c:v>
                </c:pt>
                <c:pt idx="1438">
                  <c:v>45208</c:v>
                </c:pt>
                <c:pt idx="1439">
                  <c:v>45209</c:v>
                </c:pt>
                <c:pt idx="1440">
                  <c:v>45211</c:v>
                </c:pt>
                <c:pt idx="1441">
                  <c:v>45212</c:v>
                </c:pt>
                <c:pt idx="1442">
                  <c:v>45213</c:v>
                </c:pt>
                <c:pt idx="1443">
                  <c:v>45215</c:v>
                </c:pt>
                <c:pt idx="1444">
                  <c:v>45217</c:v>
                </c:pt>
                <c:pt idx="1445">
                  <c:v>45219</c:v>
                </c:pt>
                <c:pt idx="1446">
                  <c:v>45220</c:v>
                </c:pt>
                <c:pt idx="1447">
                  <c:v>45221</c:v>
                </c:pt>
                <c:pt idx="1448">
                  <c:v>45223</c:v>
                </c:pt>
                <c:pt idx="1449">
                  <c:v>45226</c:v>
                </c:pt>
                <c:pt idx="1450">
                  <c:v>45228</c:v>
                </c:pt>
                <c:pt idx="1451">
                  <c:v>45229</c:v>
                </c:pt>
                <c:pt idx="1452">
                  <c:v>45204</c:v>
                </c:pt>
                <c:pt idx="1453">
                  <c:v>45206</c:v>
                </c:pt>
                <c:pt idx="1454">
                  <c:v>45208</c:v>
                </c:pt>
                <c:pt idx="1455">
                  <c:v>45214</c:v>
                </c:pt>
                <c:pt idx="1456">
                  <c:v>45215</c:v>
                </c:pt>
                <c:pt idx="1457">
                  <c:v>45217</c:v>
                </c:pt>
                <c:pt idx="1458">
                  <c:v>45219</c:v>
                </c:pt>
                <c:pt idx="1459">
                  <c:v>45220</c:v>
                </c:pt>
                <c:pt idx="1460">
                  <c:v>45222</c:v>
                </c:pt>
                <c:pt idx="1461">
                  <c:v>45230</c:v>
                </c:pt>
                <c:pt idx="1462">
                  <c:v>45226</c:v>
                </c:pt>
                <c:pt idx="1463">
                  <c:v>45209</c:v>
                </c:pt>
                <c:pt idx="1464">
                  <c:v>45217</c:v>
                </c:pt>
                <c:pt idx="1465">
                  <c:v>45219</c:v>
                </c:pt>
                <c:pt idx="1466">
                  <c:v>45224</c:v>
                </c:pt>
                <c:pt idx="1467">
                  <c:v>45231</c:v>
                </c:pt>
                <c:pt idx="1468">
                  <c:v>45232</c:v>
                </c:pt>
                <c:pt idx="1469">
                  <c:v>45233</c:v>
                </c:pt>
                <c:pt idx="1470">
                  <c:v>45234</c:v>
                </c:pt>
                <c:pt idx="1471">
                  <c:v>45235</c:v>
                </c:pt>
                <c:pt idx="1472">
                  <c:v>45236</c:v>
                </c:pt>
                <c:pt idx="1473">
                  <c:v>45237</c:v>
                </c:pt>
                <c:pt idx="1474">
                  <c:v>45238</c:v>
                </c:pt>
                <c:pt idx="1475">
                  <c:v>45239</c:v>
                </c:pt>
                <c:pt idx="1476">
                  <c:v>45240</c:v>
                </c:pt>
                <c:pt idx="1477">
                  <c:v>45241</c:v>
                </c:pt>
                <c:pt idx="1478">
                  <c:v>45242</c:v>
                </c:pt>
                <c:pt idx="1479">
                  <c:v>45243</c:v>
                </c:pt>
                <c:pt idx="1480">
                  <c:v>45244</c:v>
                </c:pt>
                <c:pt idx="1481">
                  <c:v>45245</c:v>
                </c:pt>
                <c:pt idx="1482">
                  <c:v>45246</c:v>
                </c:pt>
                <c:pt idx="1483">
                  <c:v>45247</c:v>
                </c:pt>
                <c:pt idx="1484">
                  <c:v>45248</c:v>
                </c:pt>
                <c:pt idx="1485">
                  <c:v>45249</c:v>
                </c:pt>
                <c:pt idx="1486">
                  <c:v>45250</c:v>
                </c:pt>
                <c:pt idx="1487">
                  <c:v>45251</c:v>
                </c:pt>
                <c:pt idx="1488">
                  <c:v>45252</c:v>
                </c:pt>
                <c:pt idx="1489">
                  <c:v>45253</c:v>
                </c:pt>
                <c:pt idx="1490">
                  <c:v>45254</c:v>
                </c:pt>
                <c:pt idx="1491">
                  <c:v>45255</c:v>
                </c:pt>
                <c:pt idx="1492">
                  <c:v>45256</c:v>
                </c:pt>
                <c:pt idx="1493">
                  <c:v>45257</c:v>
                </c:pt>
                <c:pt idx="1494">
                  <c:v>45258</c:v>
                </c:pt>
                <c:pt idx="1495">
                  <c:v>45259</c:v>
                </c:pt>
                <c:pt idx="1496">
                  <c:v>45260</c:v>
                </c:pt>
                <c:pt idx="1497">
                  <c:v>45246</c:v>
                </c:pt>
                <c:pt idx="1498">
                  <c:v>45231</c:v>
                </c:pt>
                <c:pt idx="1499">
                  <c:v>45234</c:v>
                </c:pt>
                <c:pt idx="1500">
                  <c:v>45236</c:v>
                </c:pt>
                <c:pt idx="1501">
                  <c:v>45237</c:v>
                </c:pt>
                <c:pt idx="1502">
                  <c:v>45239</c:v>
                </c:pt>
                <c:pt idx="1503">
                  <c:v>45240</c:v>
                </c:pt>
                <c:pt idx="1504">
                  <c:v>45241</c:v>
                </c:pt>
                <c:pt idx="1505">
                  <c:v>45243</c:v>
                </c:pt>
                <c:pt idx="1506">
                  <c:v>45244</c:v>
                </c:pt>
                <c:pt idx="1507">
                  <c:v>45246</c:v>
                </c:pt>
                <c:pt idx="1508">
                  <c:v>45247</c:v>
                </c:pt>
                <c:pt idx="1509">
                  <c:v>45248</c:v>
                </c:pt>
                <c:pt idx="1510">
                  <c:v>45250</c:v>
                </c:pt>
                <c:pt idx="1511">
                  <c:v>45252</c:v>
                </c:pt>
                <c:pt idx="1512">
                  <c:v>45253</c:v>
                </c:pt>
                <c:pt idx="1513">
                  <c:v>45254</c:v>
                </c:pt>
                <c:pt idx="1514">
                  <c:v>45255</c:v>
                </c:pt>
                <c:pt idx="1515">
                  <c:v>45257</c:v>
                </c:pt>
                <c:pt idx="1516">
                  <c:v>45260</c:v>
                </c:pt>
                <c:pt idx="1517">
                  <c:v>45234</c:v>
                </c:pt>
                <c:pt idx="1518">
                  <c:v>45236</c:v>
                </c:pt>
                <c:pt idx="1519">
                  <c:v>45238</c:v>
                </c:pt>
                <c:pt idx="1520">
                  <c:v>45247</c:v>
                </c:pt>
                <c:pt idx="1521">
                  <c:v>45257</c:v>
                </c:pt>
                <c:pt idx="1522">
                  <c:v>45260</c:v>
                </c:pt>
                <c:pt idx="1523">
                  <c:v>45231</c:v>
                </c:pt>
                <c:pt idx="1524">
                  <c:v>45247</c:v>
                </c:pt>
                <c:pt idx="1525">
                  <c:v>45248</c:v>
                </c:pt>
                <c:pt idx="1526">
                  <c:v>45249</c:v>
                </c:pt>
                <c:pt idx="1527">
                  <c:v>45255</c:v>
                </c:pt>
                <c:pt idx="1528">
                  <c:v>45258</c:v>
                </c:pt>
                <c:pt idx="1529">
                  <c:v>45231</c:v>
                </c:pt>
                <c:pt idx="1530">
                  <c:v>45232</c:v>
                </c:pt>
                <c:pt idx="1531">
                  <c:v>45233</c:v>
                </c:pt>
                <c:pt idx="1532">
                  <c:v>45238</c:v>
                </c:pt>
                <c:pt idx="1533">
                  <c:v>45239</c:v>
                </c:pt>
                <c:pt idx="1534">
                  <c:v>45240</c:v>
                </c:pt>
                <c:pt idx="1535">
                  <c:v>45243</c:v>
                </c:pt>
                <c:pt idx="1536">
                  <c:v>45244</c:v>
                </c:pt>
                <c:pt idx="1537">
                  <c:v>45245</c:v>
                </c:pt>
                <c:pt idx="1538">
                  <c:v>45246</c:v>
                </c:pt>
                <c:pt idx="1539">
                  <c:v>45247</c:v>
                </c:pt>
                <c:pt idx="1540">
                  <c:v>45248</c:v>
                </c:pt>
                <c:pt idx="1541">
                  <c:v>45249</c:v>
                </c:pt>
                <c:pt idx="1542">
                  <c:v>45250</c:v>
                </c:pt>
                <c:pt idx="1543">
                  <c:v>45251</c:v>
                </c:pt>
                <c:pt idx="1544">
                  <c:v>45252</c:v>
                </c:pt>
                <c:pt idx="1545">
                  <c:v>45254</c:v>
                </c:pt>
                <c:pt idx="1546">
                  <c:v>45255</c:v>
                </c:pt>
                <c:pt idx="1547">
                  <c:v>45256</c:v>
                </c:pt>
                <c:pt idx="1548">
                  <c:v>45257</c:v>
                </c:pt>
                <c:pt idx="1549">
                  <c:v>45258</c:v>
                </c:pt>
                <c:pt idx="1550">
                  <c:v>45259</c:v>
                </c:pt>
                <c:pt idx="1551">
                  <c:v>45260</c:v>
                </c:pt>
                <c:pt idx="1552">
                  <c:v>45233</c:v>
                </c:pt>
                <c:pt idx="1553">
                  <c:v>45234</c:v>
                </c:pt>
                <c:pt idx="1554">
                  <c:v>45238</c:v>
                </c:pt>
                <c:pt idx="1555">
                  <c:v>45243</c:v>
                </c:pt>
                <c:pt idx="1556">
                  <c:v>45245</c:v>
                </c:pt>
                <c:pt idx="1557">
                  <c:v>45248</c:v>
                </c:pt>
                <c:pt idx="1558">
                  <c:v>45250</c:v>
                </c:pt>
                <c:pt idx="1559">
                  <c:v>45253</c:v>
                </c:pt>
                <c:pt idx="1560">
                  <c:v>45255</c:v>
                </c:pt>
                <c:pt idx="1561">
                  <c:v>45257</c:v>
                </c:pt>
                <c:pt idx="1562">
                  <c:v>45259</c:v>
                </c:pt>
                <c:pt idx="1563">
                  <c:v>45260</c:v>
                </c:pt>
                <c:pt idx="1564">
                  <c:v>45256</c:v>
                </c:pt>
                <c:pt idx="1565">
                  <c:v>45240</c:v>
                </c:pt>
                <c:pt idx="1566">
                  <c:v>45249</c:v>
                </c:pt>
                <c:pt idx="1567">
                  <c:v>45257</c:v>
                </c:pt>
                <c:pt idx="1568">
                  <c:v>45231</c:v>
                </c:pt>
                <c:pt idx="1569">
                  <c:v>45252</c:v>
                </c:pt>
                <c:pt idx="1570">
                  <c:v>45255</c:v>
                </c:pt>
                <c:pt idx="1571">
                  <c:v>45261</c:v>
                </c:pt>
                <c:pt idx="1572">
                  <c:v>45262</c:v>
                </c:pt>
                <c:pt idx="1573">
                  <c:v>45263</c:v>
                </c:pt>
                <c:pt idx="1574">
                  <c:v>45264</c:v>
                </c:pt>
                <c:pt idx="1575">
                  <c:v>45265</c:v>
                </c:pt>
                <c:pt idx="1576">
                  <c:v>45266</c:v>
                </c:pt>
                <c:pt idx="1577">
                  <c:v>45267</c:v>
                </c:pt>
                <c:pt idx="1578">
                  <c:v>45268</c:v>
                </c:pt>
                <c:pt idx="1579">
                  <c:v>45269</c:v>
                </c:pt>
                <c:pt idx="1580">
                  <c:v>45270</c:v>
                </c:pt>
                <c:pt idx="1581">
                  <c:v>45271</c:v>
                </c:pt>
                <c:pt idx="1582">
                  <c:v>45272</c:v>
                </c:pt>
                <c:pt idx="1583">
                  <c:v>45273</c:v>
                </c:pt>
                <c:pt idx="1584">
                  <c:v>45274</c:v>
                </c:pt>
                <c:pt idx="1585">
                  <c:v>45275</c:v>
                </c:pt>
                <c:pt idx="1586">
                  <c:v>45276</c:v>
                </c:pt>
                <c:pt idx="1587">
                  <c:v>45277</c:v>
                </c:pt>
                <c:pt idx="1588">
                  <c:v>45278</c:v>
                </c:pt>
                <c:pt idx="1589">
                  <c:v>45279</c:v>
                </c:pt>
                <c:pt idx="1590">
                  <c:v>45280</c:v>
                </c:pt>
                <c:pt idx="1591">
                  <c:v>45281</c:v>
                </c:pt>
                <c:pt idx="1592">
                  <c:v>45282</c:v>
                </c:pt>
                <c:pt idx="1593">
                  <c:v>45283</c:v>
                </c:pt>
                <c:pt idx="1594">
                  <c:v>45284</c:v>
                </c:pt>
                <c:pt idx="1595">
                  <c:v>45285</c:v>
                </c:pt>
                <c:pt idx="1596">
                  <c:v>45286</c:v>
                </c:pt>
                <c:pt idx="1597">
                  <c:v>45287</c:v>
                </c:pt>
                <c:pt idx="1598">
                  <c:v>45288</c:v>
                </c:pt>
                <c:pt idx="1599">
                  <c:v>45289</c:v>
                </c:pt>
                <c:pt idx="1600">
                  <c:v>45290</c:v>
                </c:pt>
                <c:pt idx="1601">
                  <c:v>45291</c:v>
                </c:pt>
                <c:pt idx="1602">
                  <c:v>45261</c:v>
                </c:pt>
                <c:pt idx="1603">
                  <c:v>45262</c:v>
                </c:pt>
                <c:pt idx="1604">
                  <c:v>45291</c:v>
                </c:pt>
                <c:pt idx="1605">
                  <c:v>45261</c:v>
                </c:pt>
                <c:pt idx="1606">
                  <c:v>45262</c:v>
                </c:pt>
                <c:pt idx="1607">
                  <c:v>45267</c:v>
                </c:pt>
                <c:pt idx="1608">
                  <c:v>45276</c:v>
                </c:pt>
                <c:pt idx="1609">
                  <c:v>45261</c:v>
                </c:pt>
                <c:pt idx="1610">
                  <c:v>45262</c:v>
                </c:pt>
                <c:pt idx="1611">
                  <c:v>45261</c:v>
                </c:pt>
                <c:pt idx="1612">
                  <c:v>45262</c:v>
                </c:pt>
                <c:pt idx="1613">
                  <c:v>45264</c:v>
                </c:pt>
                <c:pt idx="1614">
                  <c:v>45265</c:v>
                </c:pt>
                <c:pt idx="1615">
                  <c:v>45266</c:v>
                </c:pt>
                <c:pt idx="1616">
                  <c:v>45267</c:v>
                </c:pt>
                <c:pt idx="1617">
                  <c:v>45268</c:v>
                </c:pt>
                <c:pt idx="1618">
                  <c:v>45269</c:v>
                </c:pt>
                <c:pt idx="1619">
                  <c:v>45271</c:v>
                </c:pt>
                <c:pt idx="1620">
                  <c:v>45272</c:v>
                </c:pt>
                <c:pt idx="1621">
                  <c:v>45273</c:v>
                </c:pt>
                <c:pt idx="1622">
                  <c:v>45274</c:v>
                </c:pt>
                <c:pt idx="1623">
                  <c:v>45275</c:v>
                </c:pt>
                <c:pt idx="1624">
                  <c:v>45276</c:v>
                </c:pt>
                <c:pt idx="1625">
                  <c:v>45278</c:v>
                </c:pt>
                <c:pt idx="1626">
                  <c:v>45279</c:v>
                </c:pt>
                <c:pt idx="1627">
                  <c:v>45281</c:v>
                </c:pt>
                <c:pt idx="1628">
                  <c:v>45282</c:v>
                </c:pt>
                <c:pt idx="1629">
                  <c:v>45283</c:v>
                </c:pt>
                <c:pt idx="1630">
                  <c:v>45286</c:v>
                </c:pt>
                <c:pt idx="1631">
                  <c:v>45289</c:v>
                </c:pt>
                <c:pt idx="1632">
                  <c:v>45291</c:v>
                </c:pt>
                <c:pt idx="1633">
                  <c:v>45267</c:v>
                </c:pt>
                <c:pt idx="1634">
                  <c:v>45276</c:v>
                </c:pt>
                <c:pt idx="1635">
                  <c:v>45286</c:v>
                </c:pt>
                <c:pt idx="1636">
                  <c:v>45262</c:v>
                </c:pt>
                <c:pt idx="1637">
                  <c:v>45261</c:v>
                </c:pt>
                <c:pt idx="1638">
                  <c:v>45262</c:v>
                </c:pt>
                <c:pt idx="1639">
                  <c:v>45283</c:v>
                </c:pt>
                <c:pt idx="1640">
                  <c:v>45284</c:v>
                </c:pt>
                <c:pt idx="1641">
                  <c:v>45286</c:v>
                </c:pt>
                <c:pt idx="1642">
                  <c:v>45261</c:v>
                </c:pt>
                <c:pt idx="1643">
                  <c:v>45263</c:v>
                </c:pt>
                <c:pt idx="1644">
                  <c:v>45264</c:v>
                </c:pt>
                <c:pt idx="1645">
                  <c:v>45265</c:v>
                </c:pt>
                <c:pt idx="1646">
                  <c:v>45266</c:v>
                </c:pt>
                <c:pt idx="1647">
                  <c:v>45267</c:v>
                </c:pt>
                <c:pt idx="1648">
                  <c:v>45268</c:v>
                </c:pt>
                <c:pt idx="1649">
                  <c:v>45269</c:v>
                </c:pt>
                <c:pt idx="1650">
                  <c:v>45273</c:v>
                </c:pt>
                <c:pt idx="1651">
                  <c:v>45274</c:v>
                </c:pt>
                <c:pt idx="1652">
                  <c:v>45275</c:v>
                </c:pt>
                <c:pt idx="1653">
                  <c:v>45277</c:v>
                </c:pt>
                <c:pt idx="1654">
                  <c:v>45279</c:v>
                </c:pt>
                <c:pt idx="1655">
                  <c:v>45280</c:v>
                </c:pt>
                <c:pt idx="1656">
                  <c:v>45281</c:v>
                </c:pt>
                <c:pt idx="1657">
                  <c:v>45282</c:v>
                </c:pt>
                <c:pt idx="1658">
                  <c:v>45283</c:v>
                </c:pt>
                <c:pt idx="1659">
                  <c:v>45284</c:v>
                </c:pt>
                <c:pt idx="1660">
                  <c:v>45285</c:v>
                </c:pt>
                <c:pt idx="1661">
                  <c:v>45286</c:v>
                </c:pt>
                <c:pt idx="1662">
                  <c:v>45287</c:v>
                </c:pt>
                <c:pt idx="1663">
                  <c:v>45289</c:v>
                </c:pt>
                <c:pt idx="1664">
                  <c:v>45291</c:v>
                </c:pt>
                <c:pt idx="1665">
                  <c:v>45264</c:v>
                </c:pt>
                <c:pt idx="1666">
                  <c:v>45267</c:v>
                </c:pt>
                <c:pt idx="1667">
                  <c:v>45270</c:v>
                </c:pt>
                <c:pt idx="1668">
                  <c:v>45272</c:v>
                </c:pt>
                <c:pt idx="1669">
                  <c:v>45274</c:v>
                </c:pt>
                <c:pt idx="1670">
                  <c:v>45275</c:v>
                </c:pt>
                <c:pt idx="1671">
                  <c:v>45278</c:v>
                </c:pt>
                <c:pt idx="1672">
                  <c:v>45283</c:v>
                </c:pt>
                <c:pt idx="1673">
                  <c:v>45288</c:v>
                </c:pt>
                <c:pt idx="1674">
                  <c:v>45287</c:v>
                </c:pt>
                <c:pt idx="1675">
                  <c:v>45271</c:v>
                </c:pt>
                <c:pt idx="1676">
                  <c:v>45283</c:v>
                </c:pt>
                <c:pt idx="1677">
                  <c:v>45261</c:v>
                </c:pt>
                <c:pt idx="1678">
                  <c:v>45262</c:v>
                </c:pt>
                <c:pt idx="1679">
                  <c:v>45262</c:v>
                </c:pt>
                <c:pt idx="1680">
                  <c:v>45270</c:v>
                </c:pt>
                <c:pt idx="1681">
                  <c:v>45272</c:v>
                </c:pt>
                <c:pt idx="1682">
                  <c:v>45273</c:v>
                </c:pt>
                <c:pt idx="1683">
                  <c:v>45291</c:v>
                </c:pt>
              </c:numCache>
            </c:numRef>
          </c:cat>
          <c:val>
            <c:numRef>
              <c:f>'ACTUAL EXPENSES (2)'!$C$2:$C$1685</c:f>
              <c:numCache>
                <c:formatCode>General</c:formatCode>
                <c:ptCount val="1684"/>
                <c:pt idx="0">
                  <c:v>1205</c:v>
                </c:pt>
                <c:pt idx="1">
                  <c:v>5</c:v>
                </c:pt>
                <c:pt idx="2">
                  <c:v>48</c:v>
                </c:pt>
                <c:pt idx="3">
                  <c:v>15</c:v>
                </c:pt>
                <c:pt idx="4">
                  <c:v>104.31</c:v>
                </c:pt>
                <c:pt idx="5">
                  <c:v>76</c:v>
                </c:pt>
                <c:pt idx="6">
                  <c:v>46</c:v>
                </c:pt>
                <c:pt idx="7">
                  <c:v>16</c:v>
                </c:pt>
                <c:pt idx="8">
                  <c:v>15</c:v>
                </c:pt>
                <c:pt idx="9">
                  <c:v>66.210000000000008</c:v>
                </c:pt>
                <c:pt idx="10">
                  <c:v>8</c:v>
                </c:pt>
                <c:pt idx="11">
                  <c:v>35.5</c:v>
                </c:pt>
                <c:pt idx="12">
                  <c:v>35</c:v>
                </c:pt>
                <c:pt idx="13">
                  <c:v>25</c:v>
                </c:pt>
                <c:pt idx="14">
                  <c:v>230</c:v>
                </c:pt>
                <c:pt idx="15">
                  <c:v>50</c:v>
                </c:pt>
                <c:pt idx="16">
                  <c:v>7</c:v>
                </c:pt>
                <c:pt idx="17">
                  <c:v>5</c:v>
                </c:pt>
                <c:pt idx="18">
                  <c:v>24</c:v>
                </c:pt>
                <c:pt idx="19">
                  <c:v>733</c:v>
                </c:pt>
                <c:pt idx="20">
                  <c:v>23</c:v>
                </c:pt>
                <c:pt idx="21">
                  <c:v>63</c:v>
                </c:pt>
                <c:pt idx="22">
                  <c:v>63</c:v>
                </c:pt>
                <c:pt idx="23">
                  <c:v>73</c:v>
                </c:pt>
                <c:pt idx="24">
                  <c:v>48</c:v>
                </c:pt>
                <c:pt idx="25">
                  <c:v>7</c:v>
                </c:pt>
                <c:pt idx="26">
                  <c:v>12.5</c:v>
                </c:pt>
                <c:pt idx="27">
                  <c:v>15</c:v>
                </c:pt>
                <c:pt idx="28">
                  <c:v>40</c:v>
                </c:pt>
                <c:pt idx="29">
                  <c:v>22</c:v>
                </c:pt>
                <c:pt idx="30">
                  <c:v>86</c:v>
                </c:pt>
                <c:pt idx="31">
                  <c:v>39</c:v>
                </c:pt>
                <c:pt idx="32">
                  <c:v>55</c:v>
                </c:pt>
                <c:pt idx="33">
                  <c:v>600</c:v>
                </c:pt>
                <c:pt idx="34">
                  <c:v>61</c:v>
                </c:pt>
                <c:pt idx="35">
                  <c:v>100</c:v>
                </c:pt>
                <c:pt idx="36">
                  <c:v>51</c:v>
                </c:pt>
                <c:pt idx="37">
                  <c:v>128.25</c:v>
                </c:pt>
                <c:pt idx="38">
                  <c:v>45.06</c:v>
                </c:pt>
                <c:pt idx="39">
                  <c:v>13.56</c:v>
                </c:pt>
                <c:pt idx="40">
                  <c:v>9</c:v>
                </c:pt>
                <c:pt idx="41">
                  <c:v>133.62</c:v>
                </c:pt>
                <c:pt idx="42">
                  <c:v>101</c:v>
                </c:pt>
                <c:pt idx="43">
                  <c:v>10</c:v>
                </c:pt>
                <c:pt idx="44">
                  <c:v>300</c:v>
                </c:pt>
                <c:pt idx="45">
                  <c:v>200</c:v>
                </c:pt>
                <c:pt idx="46">
                  <c:v>20</c:v>
                </c:pt>
                <c:pt idx="47">
                  <c:v>10</c:v>
                </c:pt>
                <c:pt idx="48">
                  <c:v>15</c:v>
                </c:pt>
                <c:pt idx="49">
                  <c:v>112</c:v>
                </c:pt>
                <c:pt idx="50">
                  <c:v>10</c:v>
                </c:pt>
                <c:pt idx="51">
                  <c:v>60</c:v>
                </c:pt>
                <c:pt idx="52">
                  <c:v>10</c:v>
                </c:pt>
                <c:pt idx="53">
                  <c:v>36.5</c:v>
                </c:pt>
                <c:pt idx="54">
                  <c:v>10</c:v>
                </c:pt>
                <c:pt idx="55">
                  <c:v>128</c:v>
                </c:pt>
                <c:pt idx="56">
                  <c:v>15</c:v>
                </c:pt>
                <c:pt idx="57">
                  <c:v>10</c:v>
                </c:pt>
                <c:pt idx="58">
                  <c:v>40</c:v>
                </c:pt>
                <c:pt idx="59">
                  <c:v>38</c:v>
                </c:pt>
                <c:pt idx="60">
                  <c:v>10</c:v>
                </c:pt>
                <c:pt idx="61">
                  <c:v>75</c:v>
                </c:pt>
                <c:pt idx="62">
                  <c:v>30</c:v>
                </c:pt>
                <c:pt idx="63">
                  <c:v>52</c:v>
                </c:pt>
                <c:pt idx="64">
                  <c:v>0</c:v>
                </c:pt>
                <c:pt idx="65">
                  <c:v>13.5</c:v>
                </c:pt>
                <c:pt idx="66">
                  <c:v>13.5</c:v>
                </c:pt>
                <c:pt idx="67">
                  <c:v>17</c:v>
                </c:pt>
                <c:pt idx="68">
                  <c:v>100</c:v>
                </c:pt>
                <c:pt idx="69">
                  <c:v>150</c:v>
                </c:pt>
                <c:pt idx="70">
                  <c:v>122</c:v>
                </c:pt>
                <c:pt idx="71">
                  <c:v>19</c:v>
                </c:pt>
                <c:pt idx="72">
                  <c:v>2.5</c:v>
                </c:pt>
                <c:pt idx="73">
                  <c:v>38</c:v>
                </c:pt>
                <c:pt idx="74">
                  <c:v>9.5</c:v>
                </c:pt>
                <c:pt idx="75">
                  <c:v>58</c:v>
                </c:pt>
                <c:pt idx="76">
                  <c:v>113</c:v>
                </c:pt>
                <c:pt idx="77">
                  <c:v>12</c:v>
                </c:pt>
                <c:pt idx="78">
                  <c:v>98</c:v>
                </c:pt>
                <c:pt idx="79">
                  <c:v>50</c:v>
                </c:pt>
                <c:pt idx="80">
                  <c:v>14</c:v>
                </c:pt>
                <c:pt idx="81">
                  <c:v>1</c:v>
                </c:pt>
                <c:pt idx="82">
                  <c:v>55</c:v>
                </c:pt>
                <c:pt idx="83">
                  <c:v>50</c:v>
                </c:pt>
                <c:pt idx="84">
                  <c:v>20</c:v>
                </c:pt>
                <c:pt idx="85">
                  <c:v>63</c:v>
                </c:pt>
                <c:pt idx="86">
                  <c:v>50</c:v>
                </c:pt>
                <c:pt idx="87">
                  <c:v>14</c:v>
                </c:pt>
                <c:pt idx="88">
                  <c:v>9</c:v>
                </c:pt>
                <c:pt idx="89">
                  <c:v>140</c:v>
                </c:pt>
                <c:pt idx="90">
                  <c:v>10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0</c:v>
                </c:pt>
                <c:pt idx="123">
                  <c:v>0</c:v>
                </c:pt>
                <c:pt idx="124">
                  <c:v>1400</c:v>
                </c:pt>
                <c:pt idx="125">
                  <c:v>0</c:v>
                </c:pt>
                <c:pt idx="126">
                  <c:v>0</c:v>
                </c:pt>
                <c:pt idx="127">
                  <c:v>0</c:v>
                </c:pt>
                <c:pt idx="128">
                  <c:v>300</c:v>
                </c:pt>
                <c:pt idx="129">
                  <c:v>6</c:v>
                </c:pt>
                <c:pt idx="130">
                  <c:v>0</c:v>
                </c:pt>
                <c:pt idx="131">
                  <c:v>350</c:v>
                </c:pt>
                <c:pt idx="132">
                  <c:v>0</c:v>
                </c:pt>
                <c:pt idx="133">
                  <c:v>0</c:v>
                </c:pt>
                <c:pt idx="134">
                  <c:v>500</c:v>
                </c:pt>
                <c:pt idx="135">
                  <c:v>10</c:v>
                </c:pt>
                <c:pt idx="136">
                  <c:v>11</c:v>
                </c:pt>
                <c:pt idx="137">
                  <c:v>106</c:v>
                </c:pt>
                <c:pt idx="138">
                  <c:v>124</c:v>
                </c:pt>
                <c:pt idx="139">
                  <c:v>146.9</c:v>
                </c:pt>
                <c:pt idx="140">
                  <c:v>40</c:v>
                </c:pt>
                <c:pt idx="141">
                  <c:v>41</c:v>
                </c:pt>
                <c:pt idx="142">
                  <c:v>9</c:v>
                </c:pt>
                <c:pt idx="143">
                  <c:v>163</c:v>
                </c:pt>
                <c:pt idx="144">
                  <c:v>10</c:v>
                </c:pt>
                <c:pt idx="145">
                  <c:v>10</c:v>
                </c:pt>
                <c:pt idx="146">
                  <c:v>2</c:v>
                </c:pt>
                <c:pt idx="147">
                  <c:v>19</c:v>
                </c:pt>
                <c:pt idx="148">
                  <c:v>5.5</c:v>
                </c:pt>
                <c:pt idx="149">
                  <c:v>10</c:v>
                </c:pt>
                <c:pt idx="150">
                  <c:v>120.5</c:v>
                </c:pt>
                <c:pt idx="151">
                  <c:v>72.400000000000006</c:v>
                </c:pt>
                <c:pt idx="152">
                  <c:v>115</c:v>
                </c:pt>
                <c:pt idx="153">
                  <c:v>4</c:v>
                </c:pt>
                <c:pt idx="154">
                  <c:v>85</c:v>
                </c:pt>
                <c:pt idx="155">
                  <c:v>7</c:v>
                </c:pt>
                <c:pt idx="156">
                  <c:v>6</c:v>
                </c:pt>
                <c:pt idx="157">
                  <c:v>4</c:v>
                </c:pt>
                <c:pt idx="158">
                  <c:v>56</c:v>
                </c:pt>
                <c:pt idx="159">
                  <c:v>10</c:v>
                </c:pt>
                <c:pt idx="160">
                  <c:v>8</c:v>
                </c:pt>
                <c:pt idx="161">
                  <c:v>4.5</c:v>
                </c:pt>
                <c:pt idx="162">
                  <c:v>21</c:v>
                </c:pt>
                <c:pt idx="163">
                  <c:v>11.5</c:v>
                </c:pt>
                <c:pt idx="164">
                  <c:v>20.5</c:v>
                </c:pt>
                <c:pt idx="165">
                  <c:v>245</c:v>
                </c:pt>
                <c:pt idx="166">
                  <c:v>0</c:v>
                </c:pt>
                <c:pt idx="167">
                  <c:v>14</c:v>
                </c:pt>
                <c:pt idx="168">
                  <c:v>40</c:v>
                </c:pt>
                <c:pt idx="169">
                  <c:v>200</c:v>
                </c:pt>
                <c:pt idx="170">
                  <c:v>10</c:v>
                </c:pt>
                <c:pt idx="171">
                  <c:v>0</c:v>
                </c:pt>
                <c:pt idx="172">
                  <c:v>0</c:v>
                </c:pt>
                <c:pt idx="173">
                  <c:v>0</c:v>
                </c:pt>
                <c:pt idx="174">
                  <c:v>0</c:v>
                </c:pt>
                <c:pt idx="175">
                  <c:v>200</c:v>
                </c:pt>
                <c:pt idx="176">
                  <c:v>0</c:v>
                </c:pt>
                <c:pt idx="177">
                  <c:v>30</c:v>
                </c:pt>
                <c:pt idx="178">
                  <c:v>39</c:v>
                </c:pt>
                <c:pt idx="179">
                  <c:v>48.48</c:v>
                </c:pt>
                <c:pt idx="180">
                  <c:v>38</c:v>
                </c:pt>
                <c:pt idx="181">
                  <c:v>38</c:v>
                </c:pt>
                <c:pt idx="182">
                  <c:v>29</c:v>
                </c:pt>
                <c:pt idx="183">
                  <c:v>8</c:v>
                </c:pt>
                <c:pt idx="184">
                  <c:v>14</c:v>
                </c:pt>
                <c:pt idx="185">
                  <c:v>4.5</c:v>
                </c:pt>
                <c:pt idx="186">
                  <c:v>56</c:v>
                </c:pt>
                <c:pt idx="187">
                  <c:v>21</c:v>
                </c:pt>
                <c:pt idx="188">
                  <c:v>13</c:v>
                </c:pt>
                <c:pt idx="189">
                  <c:v>10</c:v>
                </c:pt>
                <c:pt idx="190">
                  <c:v>22.5</c:v>
                </c:pt>
                <c:pt idx="191">
                  <c:v>33</c:v>
                </c:pt>
                <c:pt idx="192">
                  <c:v>25.5</c:v>
                </c:pt>
                <c:pt idx="193">
                  <c:v>5.5</c:v>
                </c:pt>
                <c:pt idx="194">
                  <c:v>62</c:v>
                </c:pt>
                <c:pt idx="195">
                  <c:v>89</c:v>
                </c:pt>
                <c:pt idx="196">
                  <c:v>25.5</c:v>
                </c:pt>
                <c:pt idx="197">
                  <c:v>26</c:v>
                </c:pt>
                <c:pt idx="198">
                  <c:v>27</c:v>
                </c:pt>
                <c:pt idx="199">
                  <c:v>26</c:v>
                </c:pt>
                <c:pt idx="200">
                  <c:v>70.5</c:v>
                </c:pt>
                <c:pt idx="201">
                  <c:v>0</c:v>
                </c:pt>
                <c:pt idx="202">
                  <c:v>95</c:v>
                </c:pt>
                <c:pt idx="203">
                  <c:v>50</c:v>
                </c:pt>
                <c:pt idx="204">
                  <c:v>65</c:v>
                </c:pt>
                <c:pt idx="205">
                  <c:v>2</c:v>
                </c:pt>
                <c:pt idx="206">
                  <c:v>0</c:v>
                </c:pt>
                <c:pt idx="207">
                  <c:v>13.25</c:v>
                </c:pt>
                <c:pt idx="208">
                  <c:v>0</c:v>
                </c:pt>
                <c:pt idx="209">
                  <c:v>9</c:v>
                </c:pt>
                <c:pt idx="210">
                  <c:v>0</c:v>
                </c:pt>
                <c:pt idx="211">
                  <c:v>108.57</c:v>
                </c:pt>
                <c:pt idx="212">
                  <c:v>0</c:v>
                </c:pt>
                <c:pt idx="213">
                  <c:v>0</c:v>
                </c:pt>
                <c:pt idx="214">
                  <c:v>0</c:v>
                </c:pt>
                <c:pt idx="215">
                  <c:v>10</c:v>
                </c:pt>
                <c:pt idx="216">
                  <c:v>14</c:v>
                </c:pt>
                <c:pt idx="217">
                  <c:v>4</c:v>
                </c:pt>
                <c:pt idx="218">
                  <c:v>1</c:v>
                </c:pt>
                <c:pt idx="219">
                  <c:v>2</c:v>
                </c:pt>
                <c:pt idx="220">
                  <c:v>3</c:v>
                </c:pt>
                <c:pt idx="221">
                  <c:v>4</c:v>
                </c:pt>
                <c:pt idx="222">
                  <c:v>5</c:v>
                </c:pt>
                <c:pt idx="223">
                  <c:v>6</c:v>
                </c:pt>
                <c:pt idx="224">
                  <c:v>7</c:v>
                </c:pt>
                <c:pt idx="225">
                  <c:v>8</c:v>
                </c:pt>
                <c:pt idx="226">
                  <c:v>9</c:v>
                </c:pt>
                <c:pt idx="227">
                  <c:v>10</c:v>
                </c:pt>
                <c:pt idx="228">
                  <c:v>11</c:v>
                </c:pt>
                <c:pt idx="229">
                  <c:v>12</c:v>
                </c:pt>
                <c:pt idx="230">
                  <c:v>13</c:v>
                </c:pt>
                <c:pt idx="231">
                  <c:v>14</c:v>
                </c:pt>
                <c:pt idx="232">
                  <c:v>15</c:v>
                </c:pt>
                <c:pt idx="233">
                  <c:v>16</c:v>
                </c:pt>
                <c:pt idx="234">
                  <c:v>17</c:v>
                </c:pt>
                <c:pt idx="235">
                  <c:v>18</c:v>
                </c:pt>
                <c:pt idx="236">
                  <c:v>19</c:v>
                </c:pt>
                <c:pt idx="237">
                  <c:v>20</c:v>
                </c:pt>
                <c:pt idx="238">
                  <c:v>21</c:v>
                </c:pt>
                <c:pt idx="239">
                  <c:v>22</c:v>
                </c:pt>
                <c:pt idx="240">
                  <c:v>23</c:v>
                </c:pt>
                <c:pt idx="241">
                  <c:v>24</c:v>
                </c:pt>
                <c:pt idx="242">
                  <c:v>25</c:v>
                </c:pt>
                <c:pt idx="243">
                  <c:v>26</c:v>
                </c:pt>
                <c:pt idx="244">
                  <c:v>27</c:v>
                </c:pt>
                <c:pt idx="245">
                  <c:v>28</c:v>
                </c:pt>
                <c:pt idx="246">
                  <c:v>29</c:v>
                </c:pt>
                <c:pt idx="247">
                  <c:v>30</c:v>
                </c:pt>
                <c:pt idx="248">
                  <c:v>31</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385</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300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500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20</c:v>
                </c:pt>
                <c:pt idx="391">
                  <c:v>0</c:v>
                </c:pt>
                <c:pt idx="392">
                  <c:v>0</c:v>
                </c:pt>
                <c:pt idx="393">
                  <c:v>0</c:v>
                </c:pt>
                <c:pt idx="394">
                  <c:v>0</c:v>
                </c:pt>
                <c:pt idx="395">
                  <c:v>0</c:v>
                </c:pt>
                <c:pt idx="396">
                  <c:v>0</c:v>
                </c:pt>
                <c:pt idx="397">
                  <c:v>0</c:v>
                </c:pt>
                <c:pt idx="398">
                  <c:v>0</c:v>
                </c:pt>
                <c:pt idx="399">
                  <c:v>0</c:v>
                </c:pt>
                <c:pt idx="400">
                  <c:v>0</c:v>
                </c:pt>
                <c:pt idx="401">
                  <c:v>0</c:v>
                </c:pt>
                <c:pt idx="402">
                  <c:v>108.35</c:v>
                </c:pt>
                <c:pt idx="403">
                  <c:v>0</c:v>
                </c:pt>
                <c:pt idx="404">
                  <c:v>21</c:v>
                </c:pt>
                <c:pt idx="405">
                  <c:v>7.5</c:v>
                </c:pt>
                <c:pt idx="406">
                  <c:v>20</c:v>
                </c:pt>
                <c:pt idx="407">
                  <c:v>0</c:v>
                </c:pt>
                <c:pt idx="408">
                  <c:v>17</c:v>
                </c:pt>
                <c:pt idx="409">
                  <c:v>0</c:v>
                </c:pt>
                <c:pt idx="410">
                  <c:v>0</c:v>
                </c:pt>
                <c:pt idx="411">
                  <c:v>20</c:v>
                </c:pt>
                <c:pt idx="412">
                  <c:v>0</c:v>
                </c:pt>
                <c:pt idx="413">
                  <c:v>20</c:v>
                </c:pt>
                <c:pt idx="414">
                  <c:v>8</c:v>
                </c:pt>
                <c:pt idx="415">
                  <c:v>15</c:v>
                </c:pt>
                <c:pt idx="416">
                  <c:v>0</c:v>
                </c:pt>
                <c:pt idx="417">
                  <c:v>32.5</c:v>
                </c:pt>
                <c:pt idx="418">
                  <c:v>0</c:v>
                </c:pt>
                <c:pt idx="419">
                  <c:v>0</c:v>
                </c:pt>
                <c:pt idx="420">
                  <c:v>40</c:v>
                </c:pt>
                <c:pt idx="421">
                  <c:v>13</c:v>
                </c:pt>
                <c:pt idx="422">
                  <c:v>101</c:v>
                </c:pt>
                <c:pt idx="423">
                  <c:v>231</c:v>
                </c:pt>
                <c:pt idx="424">
                  <c:v>12</c:v>
                </c:pt>
                <c:pt idx="425">
                  <c:v>48</c:v>
                </c:pt>
                <c:pt idx="426">
                  <c:v>14</c:v>
                </c:pt>
                <c:pt idx="427">
                  <c:v>5</c:v>
                </c:pt>
                <c:pt idx="428">
                  <c:v>20</c:v>
                </c:pt>
                <c:pt idx="429">
                  <c:v>97</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17</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470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100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136.91999999999999</c:v>
                </c:pt>
                <c:pt idx="585">
                  <c:v>39</c:v>
                </c:pt>
                <c:pt idx="586">
                  <c:v>0</c:v>
                </c:pt>
                <c:pt idx="587">
                  <c:v>0</c:v>
                </c:pt>
                <c:pt idx="588">
                  <c:v>0</c:v>
                </c:pt>
                <c:pt idx="589">
                  <c:v>0</c:v>
                </c:pt>
                <c:pt idx="590">
                  <c:v>0</c:v>
                </c:pt>
                <c:pt idx="591">
                  <c:v>4</c:v>
                </c:pt>
                <c:pt idx="592">
                  <c:v>4.5</c:v>
                </c:pt>
                <c:pt idx="593">
                  <c:v>0</c:v>
                </c:pt>
                <c:pt idx="594">
                  <c:v>0</c:v>
                </c:pt>
                <c:pt idx="595">
                  <c:v>0</c:v>
                </c:pt>
                <c:pt idx="596">
                  <c:v>0</c:v>
                </c:pt>
                <c:pt idx="597">
                  <c:v>0</c:v>
                </c:pt>
                <c:pt idx="598">
                  <c:v>0</c:v>
                </c:pt>
                <c:pt idx="599">
                  <c:v>0</c:v>
                </c:pt>
                <c:pt idx="600">
                  <c:v>0</c:v>
                </c:pt>
                <c:pt idx="601">
                  <c:v>0</c:v>
                </c:pt>
                <c:pt idx="602">
                  <c:v>0</c:v>
                </c:pt>
                <c:pt idx="603">
                  <c:v>0</c:v>
                </c:pt>
                <c:pt idx="604">
                  <c:v>95.97</c:v>
                </c:pt>
                <c:pt idx="605">
                  <c:v>0</c:v>
                </c:pt>
                <c:pt idx="606">
                  <c:v>72.5</c:v>
                </c:pt>
                <c:pt idx="607">
                  <c:v>0</c:v>
                </c:pt>
                <c:pt idx="608">
                  <c:v>0</c:v>
                </c:pt>
                <c:pt idx="609">
                  <c:v>0</c:v>
                </c:pt>
                <c:pt idx="610">
                  <c:v>0</c:v>
                </c:pt>
                <c:pt idx="611">
                  <c:v>0</c:v>
                </c:pt>
                <c:pt idx="612">
                  <c:v>0</c:v>
                </c:pt>
                <c:pt idx="613">
                  <c:v>0</c:v>
                </c:pt>
                <c:pt idx="614">
                  <c:v>62</c:v>
                </c:pt>
                <c:pt idx="615">
                  <c:v>0</c:v>
                </c:pt>
                <c:pt idx="616">
                  <c:v>17</c:v>
                </c:pt>
                <c:pt idx="617">
                  <c:v>20</c:v>
                </c:pt>
                <c:pt idx="618">
                  <c:v>13</c:v>
                </c:pt>
                <c:pt idx="619">
                  <c:v>13</c:v>
                </c:pt>
                <c:pt idx="620">
                  <c:v>0</c:v>
                </c:pt>
                <c:pt idx="621">
                  <c:v>45</c:v>
                </c:pt>
                <c:pt idx="622">
                  <c:v>32</c:v>
                </c:pt>
                <c:pt idx="623">
                  <c:v>0</c:v>
                </c:pt>
                <c:pt idx="624">
                  <c:v>0</c:v>
                </c:pt>
                <c:pt idx="625">
                  <c:v>0</c:v>
                </c:pt>
                <c:pt idx="626">
                  <c:v>14</c:v>
                </c:pt>
                <c:pt idx="627">
                  <c:v>50</c:v>
                </c:pt>
                <c:pt idx="628">
                  <c:v>49</c:v>
                </c:pt>
                <c:pt idx="629">
                  <c:v>0</c:v>
                </c:pt>
                <c:pt idx="630">
                  <c:v>0</c:v>
                </c:pt>
                <c:pt idx="631">
                  <c:v>30</c:v>
                </c:pt>
                <c:pt idx="632">
                  <c:v>0</c:v>
                </c:pt>
                <c:pt idx="633">
                  <c:v>53</c:v>
                </c:pt>
                <c:pt idx="634">
                  <c:v>16</c:v>
                </c:pt>
                <c:pt idx="635">
                  <c:v>40</c:v>
                </c:pt>
                <c:pt idx="636">
                  <c:v>0</c:v>
                </c:pt>
                <c:pt idx="637">
                  <c:v>0</c:v>
                </c:pt>
                <c:pt idx="638">
                  <c:v>0</c:v>
                </c:pt>
                <c:pt idx="639">
                  <c:v>0</c:v>
                </c:pt>
                <c:pt idx="640">
                  <c:v>6</c:v>
                </c:pt>
                <c:pt idx="641">
                  <c:v>0</c:v>
                </c:pt>
                <c:pt idx="642">
                  <c:v>0</c:v>
                </c:pt>
                <c:pt idx="643">
                  <c:v>0</c:v>
                </c:pt>
                <c:pt idx="644">
                  <c:v>0</c:v>
                </c:pt>
                <c:pt idx="645">
                  <c:v>0</c:v>
                </c:pt>
                <c:pt idx="646">
                  <c:v>0</c:v>
                </c:pt>
                <c:pt idx="647">
                  <c:v>5</c:v>
                </c:pt>
                <c:pt idx="648">
                  <c:v>0</c:v>
                </c:pt>
                <c:pt idx="649">
                  <c:v>208</c:v>
                </c:pt>
                <c:pt idx="650">
                  <c:v>0</c:v>
                </c:pt>
                <c:pt idx="651">
                  <c:v>100</c:v>
                </c:pt>
                <c:pt idx="652">
                  <c:v>35</c:v>
                </c:pt>
                <c:pt idx="653">
                  <c:v>0</c:v>
                </c:pt>
                <c:pt idx="654">
                  <c:v>0</c:v>
                </c:pt>
                <c:pt idx="655">
                  <c:v>0</c:v>
                </c:pt>
                <c:pt idx="656">
                  <c:v>0</c:v>
                </c:pt>
                <c:pt idx="657">
                  <c:v>0</c:v>
                </c:pt>
                <c:pt idx="658">
                  <c:v>0</c:v>
                </c:pt>
                <c:pt idx="659">
                  <c:v>50</c:v>
                </c:pt>
                <c:pt idx="660">
                  <c:v>0</c:v>
                </c:pt>
                <c:pt idx="661">
                  <c:v>0</c:v>
                </c:pt>
                <c:pt idx="662">
                  <c:v>15</c:v>
                </c:pt>
                <c:pt idx="663">
                  <c:v>0</c:v>
                </c:pt>
                <c:pt idx="664">
                  <c:v>0</c:v>
                </c:pt>
                <c:pt idx="665">
                  <c:v>0</c:v>
                </c:pt>
                <c:pt idx="666">
                  <c:v>0</c:v>
                </c:pt>
                <c:pt idx="667">
                  <c:v>0</c:v>
                </c:pt>
                <c:pt idx="668">
                  <c:v>0</c:v>
                </c:pt>
                <c:pt idx="669">
                  <c:v>0</c:v>
                </c:pt>
                <c:pt idx="670">
                  <c:v>150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12.82</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9</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101.74</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5</c:v>
                </c:pt>
                <c:pt idx="843">
                  <c:v>0</c:v>
                </c:pt>
                <c:pt idx="844">
                  <c:v>0</c:v>
                </c:pt>
                <c:pt idx="845">
                  <c:v>3</c:v>
                </c:pt>
                <c:pt idx="846">
                  <c:v>0</c:v>
                </c:pt>
                <c:pt idx="847">
                  <c:v>0</c:v>
                </c:pt>
                <c:pt idx="848">
                  <c:v>0</c:v>
                </c:pt>
                <c:pt idx="849">
                  <c:v>0</c:v>
                </c:pt>
                <c:pt idx="850">
                  <c:v>6</c:v>
                </c:pt>
                <c:pt idx="851">
                  <c:v>0</c:v>
                </c:pt>
                <c:pt idx="852">
                  <c:v>0</c:v>
                </c:pt>
                <c:pt idx="853">
                  <c:v>0</c:v>
                </c:pt>
                <c:pt idx="854">
                  <c:v>1</c:v>
                </c:pt>
                <c:pt idx="855">
                  <c:v>2</c:v>
                </c:pt>
                <c:pt idx="856">
                  <c:v>3</c:v>
                </c:pt>
                <c:pt idx="857">
                  <c:v>4</c:v>
                </c:pt>
                <c:pt idx="858">
                  <c:v>5</c:v>
                </c:pt>
                <c:pt idx="859">
                  <c:v>6</c:v>
                </c:pt>
                <c:pt idx="860">
                  <c:v>7</c:v>
                </c:pt>
                <c:pt idx="861">
                  <c:v>8</c:v>
                </c:pt>
                <c:pt idx="862">
                  <c:v>9</c:v>
                </c:pt>
                <c:pt idx="863">
                  <c:v>10</c:v>
                </c:pt>
                <c:pt idx="864">
                  <c:v>11</c:v>
                </c:pt>
                <c:pt idx="865">
                  <c:v>12</c:v>
                </c:pt>
                <c:pt idx="866">
                  <c:v>13</c:v>
                </c:pt>
                <c:pt idx="867">
                  <c:v>14</c:v>
                </c:pt>
                <c:pt idx="868">
                  <c:v>15</c:v>
                </c:pt>
                <c:pt idx="869">
                  <c:v>16</c:v>
                </c:pt>
                <c:pt idx="870">
                  <c:v>17</c:v>
                </c:pt>
                <c:pt idx="871">
                  <c:v>18</c:v>
                </c:pt>
                <c:pt idx="872">
                  <c:v>19</c:v>
                </c:pt>
                <c:pt idx="873">
                  <c:v>20</c:v>
                </c:pt>
                <c:pt idx="874">
                  <c:v>21</c:v>
                </c:pt>
                <c:pt idx="875">
                  <c:v>22</c:v>
                </c:pt>
                <c:pt idx="876">
                  <c:v>23</c:v>
                </c:pt>
                <c:pt idx="877">
                  <c:v>24</c:v>
                </c:pt>
                <c:pt idx="878">
                  <c:v>25</c:v>
                </c:pt>
                <c:pt idx="879">
                  <c:v>26</c:v>
                </c:pt>
                <c:pt idx="880">
                  <c:v>27</c:v>
                </c:pt>
                <c:pt idx="881">
                  <c:v>28</c:v>
                </c:pt>
                <c:pt idx="882">
                  <c:v>29</c:v>
                </c:pt>
                <c:pt idx="883">
                  <c:v>30</c:v>
                </c:pt>
                <c:pt idx="884">
                  <c:v>31</c:v>
                </c:pt>
                <c:pt idx="885">
                  <c:v>0</c:v>
                </c:pt>
                <c:pt idx="886">
                  <c:v>0</c:v>
                </c:pt>
                <c:pt idx="887">
                  <c:v>0</c:v>
                </c:pt>
                <c:pt idx="888">
                  <c:v>0</c:v>
                </c:pt>
                <c:pt idx="889">
                  <c:v>300</c:v>
                </c:pt>
                <c:pt idx="890">
                  <c:v>0</c:v>
                </c:pt>
                <c:pt idx="891">
                  <c:v>0</c:v>
                </c:pt>
                <c:pt idx="892">
                  <c:v>40</c:v>
                </c:pt>
                <c:pt idx="893">
                  <c:v>8</c:v>
                </c:pt>
                <c:pt idx="894">
                  <c:v>100</c:v>
                </c:pt>
                <c:pt idx="895">
                  <c:v>5</c:v>
                </c:pt>
                <c:pt idx="896">
                  <c:v>5</c:v>
                </c:pt>
                <c:pt idx="897">
                  <c:v>141</c:v>
                </c:pt>
                <c:pt idx="898">
                  <c:v>10</c:v>
                </c:pt>
                <c:pt idx="899">
                  <c:v>5</c:v>
                </c:pt>
                <c:pt idx="900">
                  <c:v>22</c:v>
                </c:pt>
                <c:pt idx="901">
                  <c:v>7</c:v>
                </c:pt>
                <c:pt idx="902">
                  <c:v>7</c:v>
                </c:pt>
                <c:pt idx="903">
                  <c:v>8.5</c:v>
                </c:pt>
                <c:pt idx="904">
                  <c:v>34</c:v>
                </c:pt>
                <c:pt idx="905">
                  <c:v>16</c:v>
                </c:pt>
                <c:pt idx="906">
                  <c:v>7</c:v>
                </c:pt>
                <c:pt idx="907">
                  <c:v>8</c:v>
                </c:pt>
                <c:pt idx="908">
                  <c:v>18</c:v>
                </c:pt>
                <c:pt idx="909">
                  <c:v>7</c:v>
                </c:pt>
                <c:pt idx="910">
                  <c:v>140</c:v>
                </c:pt>
                <c:pt idx="911">
                  <c:v>50</c:v>
                </c:pt>
                <c:pt idx="912">
                  <c:v>125</c:v>
                </c:pt>
                <c:pt idx="913">
                  <c:v>165</c:v>
                </c:pt>
                <c:pt idx="914">
                  <c:v>9</c:v>
                </c:pt>
                <c:pt idx="915">
                  <c:v>16</c:v>
                </c:pt>
                <c:pt idx="916">
                  <c:v>17</c:v>
                </c:pt>
                <c:pt idx="917">
                  <c:v>20</c:v>
                </c:pt>
                <c:pt idx="918">
                  <c:v>89</c:v>
                </c:pt>
                <c:pt idx="919">
                  <c:v>10</c:v>
                </c:pt>
                <c:pt idx="920">
                  <c:v>5</c:v>
                </c:pt>
                <c:pt idx="921">
                  <c:v>10</c:v>
                </c:pt>
                <c:pt idx="922">
                  <c:v>8</c:v>
                </c:pt>
                <c:pt idx="923">
                  <c:v>0</c:v>
                </c:pt>
                <c:pt idx="924">
                  <c:v>0</c:v>
                </c:pt>
                <c:pt idx="925">
                  <c:v>52</c:v>
                </c:pt>
                <c:pt idx="926">
                  <c:v>0</c:v>
                </c:pt>
                <c:pt idx="927">
                  <c:v>290</c:v>
                </c:pt>
                <c:pt idx="928">
                  <c:v>0</c:v>
                </c:pt>
                <c:pt idx="929">
                  <c:v>0</c:v>
                </c:pt>
                <c:pt idx="930">
                  <c:v>100</c:v>
                </c:pt>
                <c:pt idx="931">
                  <c:v>39</c:v>
                </c:pt>
                <c:pt idx="932">
                  <c:v>137.94999999999999</c:v>
                </c:pt>
                <c:pt idx="933">
                  <c:v>50.489999999999995</c:v>
                </c:pt>
                <c:pt idx="934">
                  <c:v>23</c:v>
                </c:pt>
                <c:pt idx="935">
                  <c:v>16</c:v>
                </c:pt>
                <c:pt idx="936">
                  <c:v>91</c:v>
                </c:pt>
                <c:pt idx="937">
                  <c:v>13</c:v>
                </c:pt>
                <c:pt idx="938">
                  <c:v>36</c:v>
                </c:pt>
                <c:pt idx="939">
                  <c:v>57</c:v>
                </c:pt>
                <c:pt idx="940">
                  <c:v>250</c:v>
                </c:pt>
                <c:pt idx="941">
                  <c:v>70</c:v>
                </c:pt>
                <c:pt idx="942">
                  <c:v>63</c:v>
                </c:pt>
                <c:pt idx="943">
                  <c:v>209</c:v>
                </c:pt>
                <c:pt idx="944">
                  <c:v>4.5</c:v>
                </c:pt>
                <c:pt idx="945">
                  <c:v>34</c:v>
                </c:pt>
                <c:pt idx="946">
                  <c:v>52</c:v>
                </c:pt>
                <c:pt idx="947">
                  <c:v>44</c:v>
                </c:pt>
                <c:pt idx="948">
                  <c:v>24.5</c:v>
                </c:pt>
                <c:pt idx="949">
                  <c:v>56</c:v>
                </c:pt>
                <c:pt idx="950">
                  <c:v>12.5</c:v>
                </c:pt>
                <c:pt idx="951">
                  <c:v>3</c:v>
                </c:pt>
                <c:pt idx="952">
                  <c:v>55</c:v>
                </c:pt>
                <c:pt idx="953">
                  <c:v>27</c:v>
                </c:pt>
                <c:pt idx="954">
                  <c:v>47</c:v>
                </c:pt>
                <c:pt idx="955">
                  <c:v>54</c:v>
                </c:pt>
                <c:pt idx="956">
                  <c:v>107</c:v>
                </c:pt>
                <c:pt idx="957">
                  <c:v>5</c:v>
                </c:pt>
                <c:pt idx="958">
                  <c:v>40</c:v>
                </c:pt>
                <c:pt idx="959">
                  <c:v>22</c:v>
                </c:pt>
                <c:pt idx="960">
                  <c:v>123</c:v>
                </c:pt>
                <c:pt idx="961">
                  <c:v>54</c:v>
                </c:pt>
                <c:pt idx="962">
                  <c:v>260</c:v>
                </c:pt>
                <c:pt idx="963">
                  <c:v>20</c:v>
                </c:pt>
                <c:pt idx="964">
                  <c:v>20</c:v>
                </c:pt>
                <c:pt idx="965">
                  <c:v>20</c:v>
                </c:pt>
                <c:pt idx="966">
                  <c:v>750</c:v>
                </c:pt>
                <c:pt idx="967">
                  <c:v>12.19</c:v>
                </c:pt>
                <c:pt idx="968">
                  <c:v>9</c:v>
                </c:pt>
                <c:pt idx="969">
                  <c:v>93.61</c:v>
                </c:pt>
                <c:pt idx="970">
                  <c:v>3.55</c:v>
                </c:pt>
                <c:pt idx="971">
                  <c:v>1</c:v>
                </c:pt>
                <c:pt idx="972">
                  <c:v>5</c:v>
                </c:pt>
                <c:pt idx="973">
                  <c:v>1</c:v>
                </c:pt>
                <c:pt idx="974">
                  <c:v>1</c:v>
                </c:pt>
                <c:pt idx="975">
                  <c:v>5</c:v>
                </c:pt>
                <c:pt idx="976">
                  <c:v>1</c:v>
                </c:pt>
                <c:pt idx="977">
                  <c:v>2</c:v>
                </c:pt>
                <c:pt idx="978">
                  <c:v>3</c:v>
                </c:pt>
                <c:pt idx="979">
                  <c:v>4</c:v>
                </c:pt>
                <c:pt idx="980">
                  <c:v>5</c:v>
                </c:pt>
                <c:pt idx="981">
                  <c:v>6</c:v>
                </c:pt>
                <c:pt idx="982">
                  <c:v>7</c:v>
                </c:pt>
                <c:pt idx="983">
                  <c:v>8</c:v>
                </c:pt>
                <c:pt idx="984">
                  <c:v>9</c:v>
                </c:pt>
                <c:pt idx="985">
                  <c:v>10</c:v>
                </c:pt>
                <c:pt idx="986">
                  <c:v>11</c:v>
                </c:pt>
                <c:pt idx="987">
                  <c:v>12</c:v>
                </c:pt>
                <c:pt idx="988">
                  <c:v>13</c:v>
                </c:pt>
                <c:pt idx="989">
                  <c:v>14</c:v>
                </c:pt>
                <c:pt idx="990">
                  <c:v>15</c:v>
                </c:pt>
                <c:pt idx="991">
                  <c:v>16</c:v>
                </c:pt>
                <c:pt idx="992">
                  <c:v>17</c:v>
                </c:pt>
                <c:pt idx="993">
                  <c:v>18</c:v>
                </c:pt>
                <c:pt idx="994">
                  <c:v>19</c:v>
                </c:pt>
                <c:pt idx="995">
                  <c:v>20</c:v>
                </c:pt>
                <c:pt idx="996">
                  <c:v>21</c:v>
                </c:pt>
                <c:pt idx="997">
                  <c:v>22</c:v>
                </c:pt>
                <c:pt idx="998">
                  <c:v>23</c:v>
                </c:pt>
                <c:pt idx="999">
                  <c:v>24</c:v>
                </c:pt>
                <c:pt idx="1000">
                  <c:v>25</c:v>
                </c:pt>
                <c:pt idx="1001">
                  <c:v>26</c:v>
                </c:pt>
                <c:pt idx="1002">
                  <c:v>27</c:v>
                </c:pt>
                <c:pt idx="1003">
                  <c:v>28</c:v>
                </c:pt>
                <c:pt idx="1004">
                  <c:v>29</c:v>
                </c:pt>
                <c:pt idx="1005">
                  <c:v>30</c:v>
                </c:pt>
                <c:pt idx="1006">
                  <c:v>31</c:v>
                </c:pt>
                <c:pt idx="1007">
                  <c:v>0</c:v>
                </c:pt>
                <c:pt idx="1008">
                  <c:v>0</c:v>
                </c:pt>
                <c:pt idx="1009">
                  <c:v>500</c:v>
                </c:pt>
                <c:pt idx="1010">
                  <c:v>0</c:v>
                </c:pt>
                <c:pt idx="1011">
                  <c:v>0</c:v>
                </c:pt>
                <c:pt idx="1012">
                  <c:v>300</c:v>
                </c:pt>
                <c:pt idx="1013">
                  <c:v>350</c:v>
                </c:pt>
                <c:pt idx="1014">
                  <c:v>0</c:v>
                </c:pt>
                <c:pt idx="1015">
                  <c:v>0</c:v>
                </c:pt>
                <c:pt idx="1016">
                  <c:v>13</c:v>
                </c:pt>
                <c:pt idx="1017">
                  <c:v>172</c:v>
                </c:pt>
                <c:pt idx="1018">
                  <c:v>23</c:v>
                </c:pt>
                <c:pt idx="1019">
                  <c:v>11.5</c:v>
                </c:pt>
                <c:pt idx="1020">
                  <c:v>8</c:v>
                </c:pt>
                <c:pt idx="1021">
                  <c:v>24</c:v>
                </c:pt>
                <c:pt idx="1022">
                  <c:v>7</c:v>
                </c:pt>
                <c:pt idx="1023">
                  <c:v>12</c:v>
                </c:pt>
                <c:pt idx="1024">
                  <c:v>17</c:v>
                </c:pt>
                <c:pt idx="1025">
                  <c:v>37</c:v>
                </c:pt>
                <c:pt idx="1026">
                  <c:v>7</c:v>
                </c:pt>
                <c:pt idx="1027">
                  <c:v>57</c:v>
                </c:pt>
                <c:pt idx="1028">
                  <c:v>7</c:v>
                </c:pt>
                <c:pt idx="1029">
                  <c:v>8</c:v>
                </c:pt>
                <c:pt idx="1030">
                  <c:v>9</c:v>
                </c:pt>
                <c:pt idx="1031">
                  <c:v>80</c:v>
                </c:pt>
                <c:pt idx="1032">
                  <c:v>17</c:v>
                </c:pt>
                <c:pt idx="1033">
                  <c:v>24</c:v>
                </c:pt>
                <c:pt idx="1034">
                  <c:v>24</c:v>
                </c:pt>
                <c:pt idx="1035">
                  <c:v>10</c:v>
                </c:pt>
                <c:pt idx="1036">
                  <c:v>13</c:v>
                </c:pt>
                <c:pt idx="1037">
                  <c:v>22</c:v>
                </c:pt>
                <c:pt idx="1038">
                  <c:v>7</c:v>
                </c:pt>
                <c:pt idx="1039">
                  <c:v>34</c:v>
                </c:pt>
                <c:pt idx="1040">
                  <c:v>0</c:v>
                </c:pt>
                <c:pt idx="1041">
                  <c:v>0</c:v>
                </c:pt>
                <c:pt idx="1042">
                  <c:v>20</c:v>
                </c:pt>
                <c:pt idx="1043">
                  <c:v>15.5</c:v>
                </c:pt>
                <c:pt idx="1044">
                  <c:v>40</c:v>
                </c:pt>
                <c:pt idx="1045">
                  <c:v>0</c:v>
                </c:pt>
                <c:pt idx="1046">
                  <c:v>0</c:v>
                </c:pt>
                <c:pt idx="1047">
                  <c:v>100</c:v>
                </c:pt>
                <c:pt idx="1048">
                  <c:v>107.96</c:v>
                </c:pt>
                <c:pt idx="1049">
                  <c:v>23</c:v>
                </c:pt>
                <c:pt idx="1050">
                  <c:v>40</c:v>
                </c:pt>
                <c:pt idx="1051">
                  <c:v>575.45000000000005</c:v>
                </c:pt>
                <c:pt idx="1052">
                  <c:v>3</c:v>
                </c:pt>
                <c:pt idx="1053">
                  <c:v>110</c:v>
                </c:pt>
                <c:pt idx="1054">
                  <c:v>78</c:v>
                </c:pt>
                <c:pt idx="1055">
                  <c:v>12.5</c:v>
                </c:pt>
                <c:pt idx="1056">
                  <c:v>55</c:v>
                </c:pt>
                <c:pt idx="1057">
                  <c:v>35</c:v>
                </c:pt>
                <c:pt idx="1058">
                  <c:v>20</c:v>
                </c:pt>
                <c:pt idx="1059">
                  <c:v>97</c:v>
                </c:pt>
                <c:pt idx="1060">
                  <c:v>12.5</c:v>
                </c:pt>
                <c:pt idx="1061">
                  <c:v>90</c:v>
                </c:pt>
                <c:pt idx="1062">
                  <c:v>11.5</c:v>
                </c:pt>
                <c:pt idx="1063">
                  <c:v>79</c:v>
                </c:pt>
                <c:pt idx="1064">
                  <c:v>16</c:v>
                </c:pt>
                <c:pt idx="1065">
                  <c:v>59.5</c:v>
                </c:pt>
                <c:pt idx="1066">
                  <c:v>25</c:v>
                </c:pt>
                <c:pt idx="1067">
                  <c:v>11.5</c:v>
                </c:pt>
                <c:pt idx="1068">
                  <c:v>54.5</c:v>
                </c:pt>
                <c:pt idx="1069">
                  <c:v>73</c:v>
                </c:pt>
                <c:pt idx="1070">
                  <c:v>30</c:v>
                </c:pt>
                <c:pt idx="1071">
                  <c:v>20</c:v>
                </c:pt>
                <c:pt idx="1072">
                  <c:v>14</c:v>
                </c:pt>
                <c:pt idx="1073">
                  <c:v>39</c:v>
                </c:pt>
                <c:pt idx="1074">
                  <c:v>5</c:v>
                </c:pt>
                <c:pt idx="1075">
                  <c:v>31</c:v>
                </c:pt>
                <c:pt idx="1076">
                  <c:v>600</c:v>
                </c:pt>
                <c:pt idx="1077">
                  <c:v>12.55</c:v>
                </c:pt>
                <c:pt idx="1078">
                  <c:v>9</c:v>
                </c:pt>
                <c:pt idx="1079">
                  <c:v>100.02</c:v>
                </c:pt>
                <c:pt idx="1080">
                  <c:v>3</c:v>
                </c:pt>
                <c:pt idx="1081">
                  <c:v>8.5</c:v>
                </c:pt>
                <c:pt idx="1082">
                  <c:v>5</c:v>
                </c:pt>
                <c:pt idx="1083">
                  <c:v>1</c:v>
                </c:pt>
                <c:pt idx="1084">
                  <c:v>2</c:v>
                </c:pt>
                <c:pt idx="1085">
                  <c:v>3</c:v>
                </c:pt>
                <c:pt idx="1086">
                  <c:v>4</c:v>
                </c:pt>
                <c:pt idx="1087">
                  <c:v>5</c:v>
                </c:pt>
                <c:pt idx="1088">
                  <c:v>6</c:v>
                </c:pt>
                <c:pt idx="1089">
                  <c:v>7</c:v>
                </c:pt>
                <c:pt idx="1090">
                  <c:v>8</c:v>
                </c:pt>
                <c:pt idx="1091">
                  <c:v>9</c:v>
                </c:pt>
                <c:pt idx="1092">
                  <c:v>10</c:v>
                </c:pt>
                <c:pt idx="1093">
                  <c:v>11</c:v>
                </c:pt>
                <c:pt idx="1094">
                  <c:v>12</c:v>
                </c:pt>
                <c:pt idx="1095">
                  <c:v>13</c:v>
                </c:pt>
                <c:pt idx="1096">
                  <c:v>14</c:v>
                </c:pt>
                <c:pt idx="1097">
                  <c:v>15</c:v>
                </c:pt>
                <c:pt idx="1098">
                  <c:v>16</c:v>
                </c:pt>
                <c:pt idx="1099">
                  <c:v>17</c:v>
                </c:pt>
                <c:pt idx="1100">
                  <c:v>18</c:v>
                </c:pt>
                <c:pt idx="1101">
                  <c:v>19</c:v>
                </c:pt>
                <c:pt idx="1102">
                  <c:v>20</c:v>
                </c:pt>
                <c:pt idx="1103">
                  <c:v>21</c:v>
                </c:pt>
                <c:pt idx="1104">
                  <c:v>22</c:v>
                </c:pt>
                <c:pt idx="1105">
                  <c:v>23</c:v>
                </c:pt>
                <c:pt idx="1106">
                  <c:v>24</c:v>
                </c:pt>
                <c:pt idx="1107">
                  <c:v>25</c:v>
                </c:pt>
                <c:pt idx="1108">
                  <c:v>26</c:v>
                </c:pt>
                <c:pt idx="1109">
                  <c:v>27</c:v>
                </c:pt>
                <c:pt idx="1110">
                  <c:v>28</c:v>
                </c:pt>
                <c:pt idx="1111">
                  <c:v>29</c:v>
                </c:pt>
                <c:pt idx="1112">
                  <c:v>30</c:v>
                </c:pt>
                <c:pt idx="1113">
                  <c:v>31</c:v>
                </c:pt>
                <c:pt idx="1114">
                  <c:v>300</c:v>
                </c:pt>
                <c:pt idx="1115">
                  <c:v>750</c:v>
                </c:pt>
                <c:pt idx="1116">
                  <c:v>20</c:v>
                </c:pt>
                <c:pt idx="1117">
                  <c:v>39</c:v>
                </c:pt>
                <c:pt idx="1118">
                  <c:v>70</c:v>
                </c:pt>
                <c:pt idx="1119">
                  <c:v>39</c:v>
                </c:pt>
                <c:pt idx="1120">
                  <c:v>9</c:v>
                </c:pt>
                <c:pt idx="1121">
                  <c:v>5</c:v>
                </c:pt>
                <c:pt idx="1122">
                  <c:v>8</c:v>
                </c:pt>
                <c:pt idx="1123">
                  <c:v>39.5</c:v>
                </c:pt>
                <c:pt idx="1124">
                  <c:v>150</c:v>
                </c:pt>
                <c:pt idx="1125">
                  <c:v>7</c:v>
                </c:pt>
                <c:pt idx="1126">
                  <c:v>8.5</c:v>
                </c:pt>
                <c:pt idx="1127">
                  <c:v>8</c:v>
                </c:pt>
                <c:pt idx="1128">
                  <c:v>8</c:v>
                </c:pt>
                <c:pt idx="1129">
                  <c:v>87.7</c:v>
                </c:pt>
                <c:pt idx="1130">
                  <c:v>7</c:v>
                </c:pt>
                <c:pt idx="1131">
                  <c:v>16.5</c:v>
                </c:pt>
                <c:pt idx="1132">
                  <c:v>14</c:v>
                </c:pt>
                <c:pt idx="1133">
                  <c:v>18</c:v>
                </c:pt>
                <c:pt idx="1134">
                  <c:v>11</c:v>
                </c:pt>
                <c:pt idx="1135">
                  <c:v>14</c:v>
                </c:pt>
                <c:pt idx="1136">
                  <c:v>116.47</c:v>
                </c:pt>
                <c:pt idx="1137">
                  <c:v>10</c:v>
                </c:pt>
                <c:pt idx="1138">
                  <c:v>81</c:v>
                </c:pt>
                <c:pt idx="1139">
                  <c:v>85</c:v>
                </c:pt>
                <c:pt idx="1140">
                  <c:v>27</c:v>
                </c:pt>
                <c:pt idx="1141">
                  <c:v>31</c:v>
                </c:pt>
                <c:pt idx="1142">
                  <c:v>22</c:v>
                </c:pt>
                <c:pt idx="1143">
                  <c:v>28</c:v>
                </c:pt>
                <c:pt idx="1144">
                  <c:v>597.91</c:v>
                </c:pt>
                <c:pt idx="1145">
                  <c:v>120</c:v>
                </c:pt>
                <c:pt idx="1146">
                  <c:v>38</c:v>
                </c:pt>
                <c:pt idx="1147">
                  <c:v>90</c:v>
                </c:pt>
                <c:pt idx="1148">
                  <c:v>35</c:v>
                </c:pt>
                <c:pt idx="1149">
                  <c:v>70.5</c:v>
                </c:pt>
                <c:pt idx="1150">
                  <c:v>25</c:v>
                </c:pt>
                <c:pt idx="1151">
                  <c:v>27.5</c:v>
                </c:pt>
                <c:pt idx="1152">
                  <c:v>45</c:v>
                </c:pt>
                <c:pt idx="1153">
                  <c:v>85.25</c:v>
                </c:pt>
                <c:pt idx="1154">
                  <c:v>39</c:v>
                </c:pt>
                <c:pt idx="1155">
                  <c:v>82</c:v>
                </c:pt>
                <c:pt idx="1156">
                  <c:v>47</c:v>
                </c:pt>
                <c:pt idx="1157">
                  <c:v>56</c:v>
                </c:pt>
                <c:pt idx="1158">
                  <c:v>82</c:v>
                </c:pt>
                <c:pt idx="1159">
                  <c:v>69</c:v>
                </c:pt>
                <c:pt idx="1160">
                  <c:v>55</c:v>
                </c:pt>
                <c:pt idx="1161">
                  <c:v>51</c:v>
                </c:pt>
                <c:pt idx="1162">
                  <c:v>60.5</c:v>
                </c:pt>
                <c:pt idx="1163">
                  <c:v>16</c:v>
                </c:pt>
                <c:pt idx="1164">
                  <c:v>98</c:v>
                </c:pt>
                <c:pt idx="1165">
                  <c:v>50</c:v>
                </c:pt>
                <c:pt idx="1166">
                  <c:v>18</c:v>
                </c:pt>
                <c:pt idx="1167">
                  <c:v>364.6</c:v>
                </c:pt>
                <c:pt idx="1168">
                  <c:v>28</c:v>
                </c:pt>
                <c:pt idx="1169">
                  <c:v>36</c:v>
                </c:pt>
                <c:pt idx="1170">
                  <c:v>24</c:v>
                </c:pt>
                <c:pt idx="1171">
                  <c:v>205</c:v>
                </c:pt>
                <c:pt idx="1172">
                  <c:v>50</c:v>
                </c:pt>
                <c:pt idx="1173">
                  <c:v>12.31</c:v>
                </c:pt>
                <c:pt idx="1174">
                  <c:v>9</c:v>
                </c:pt>
                <c:pt idx="1175">
                  <c:v>99.6</c:v>
                </c:pt>
                <c:pt idx="1176">
                  <c:v>1</c:v>
                </c:pt>
                <c:pt idx="1177">
                  <c:v>7</c:v>
                </c:pt>
                <c:pt idx="1178">
                  <c:v>3.55</c:v>
                </c:pt>
                <c:pt idx="1179">
                  <c:v>8.5</c:v>
                </c:pt>
                <c:pt idx="1180">
                  <c:v>1</c:v>
                </c:pt>
                <c:pt idx="1181">
                  <c:v>2</c:v>
                </c:pt>
                <c:pt idx="1182">
                  <c:v>3</c:v>
                </c:pt>
                <c:pt idx="1183">
                  <c:v>4</c:v>
                </c:pt>
                <c:pt idx="1184">
                  <c:v>5</c:v>
                </c:pt>
                <c:pt idx="1185">
                  <c:v>6</c:v>
                </c:pt>
                <c:pt idx="1186">
                  <c:v>7</c:v>
                </c:pt>
                <c:pt idx="1187">
                  <c:v>8</c:v>
                </c:pt>
                <c:pt idx="1188">
                  <c:v>9</c:v>
                </c:pt>
                <c:pt idx="1189">
                  <c:v>10</c:v>
                </c:pt>
                <c:pt idx="1190">
                  <c:v>11</c:v>
                </c:pt>
                <c:pt idx="1191">
                  <c:v>12</c:v>
                </c:pt>
                <c:pt idx="1192">
                  <c:v>13</c:v>
                </c:pt>
                <c:pt idx="1193">
                  <c:v>14</c:v>
                </c:pt>
                <c:pt idx="1194">
                  <c:v>15</c:v>
                </c:pt>
                <c:pt idx="1195">
                  <c:v>16</c:v>
                </c:pt>
                <c:pt idx="1196">
                  <c:v>17</c:v>
                </c:pt>
                <c:pt idx="1197">
                  <c:v>18</c:v>
                </c:pt>
                <c:pt idx="1198">
                  <c:v>19</c:v>
                </c:pt>
                <c:pt idx="1199">
                  <c:v>20</c:v>
                </c:pt>
                <c:pt idx="1200">
                  <c:v>21</c:v>
                </c:pt>
                <c:pt idx="1201">
                  <c:v>22</c:v>
                </c:pt>
                <c:pt idx="1202">
                  <c:v>23</c:v>
                </c:pt>
                <c:pt idx="1203">
                  <c:v>24</c:v>
                </c:pt>
                <c:pt idx="1204">
                  <c:v>25</c:v>
                </c:pt>
                <c:pt idx="1205">
                  <c:v>26</c:v>
                </c:pt>
                <c:pt idx="1206">
                  <c:v>27</c:v>
                </c:pt>
                <c:pt idx="1207">
                  <c:v>28</c:v>
                </c:pt>
                <c:pt idx="1208">
                  <c:v>29</c:v>
                </c:pt>
                <c:pt idx="1209">
                  <c:v>30</c:v>
                </c:pt>
                <c:pt idx="1210">
                  <c:v>31</c:v>
                </c:pt>
                <c:pt idx="1211">
                  <c:v>0</c:v>
                </c:pt>
                <c:pt idx="1212">
                  <c:v>0</c:v>
                </c:pt>
                <c:pt idx="1213">
                  <c:v>0</c:v>
                </c:pt>
                <c:pt idx="1214">
                  <c:v>0</c:v>
                </c:pt>
                <c:pt idx="1215">
                  <c:v>300</c:v>
                </c:pt>
                <c:pt idx="1216">
                  <c:v>1000</c:v>
                </c:pt>
                <c:pt idx="1217">
                  <c:v>0</c:v>
                </c:pt>
                <c:pt idx="1218">
                  <c:v>0</c:v>
                </c:pt>
                <c:pt idx="1219">
                  <c:v>113.99</c:v>
                </c:pt>
                <c:pt idx="1220">
                  <c:v>47</c:v>
                </c:pt>
                <c:pt idx="1221">
                  <c:v>10</c:v>
                </c:pt>
                <c:pt idx="1222">
                  <c:v>111</c:v>
                </c:pt>
                <c:pt idx="1223">
                  <c:v>18.5</c:v>
                </c:pt>
                <c:pt idx="1224">
                  <c:v>5</c:v>
                </c:pt>
                <c:pt idx="1225">
                  <c:v>6</c:v>
                </c:pt>
                <c:pt idx="1226">
                  <c:v>7.5</c:v>
                </c:pt>
                <c:pt idx="1227">
                  <c:v>4</c:v>
                </c:pt>
                <c:pt idx="1228">
                  <c:v>4</c:v>
                </c:pt>
                <c:pt idx="1229">
                  <c:v>11</c:v>
                </c:pt>
                <c:pt idx="1230">
                  <c:v>2</c:v>
                </c:pt>
                <c:pt idx="1231">
                  <c:v>2</c:v>
                </c:pt>
                <c:pt idx="1232">
                  <c:v>4</c:v>
                </c:pt>
                <c:pt idx="1233">
                  <c:v>32</c:v>
                </c:pt>
                <c:pt idx="1234">
                  <c:v>4</c:v>
                </c:pt>
                <c:pt idx="1235">
                  <c:v>5</c:v>
                </c:pt>
                <c:pt idx="1236">
                  <c:v>47</c:v>
                </c:pt>
                <c:pt idx="1237">
                  <c:v>100</c:v>
                </c:pt>
                <c:pt idx="1238">
                  <c:v>8</c:v>
                </c:pt>
                <c:pt idx="1239">
                  <c:v>22</c:v>
                </c:pt>
                <c:pt idx="1240">
                  <c:v>18</c:v>
                </c:pt>
                <c:pt idx="1241">
                  <c:v>14</c:v>
                </c:pt>
                <c:pt idx="1242">
                  <c:v>0</c:v>
                </c:pt>
                <c:pt idx="1243">
                  <c:v>0</c:v>
                </c:pt>
                <c:pt idx="1244">
                  <c:v>12</c:v>
                </c:pt>
                <c:pt idx="1245">
                  <c:v>40</c:v>
                </c:pt>
                <c:pt idx="1246">
                  <c:v>544.20000000000005</c:v>
                </c:pt>
                <c:pt idx="1247">
                  <c:v>158</c:v>
                </c:pt>
                <c:pt idx="1248">
                  <c:v>66</c:v>
                </c:pt>
                <c:pt idx="1249">
                  <c:v>37</c:v>
                </c:pt>
                <c:pt idx="1250">
                  <c:v>60</c:v>
                </c:pt>
                <c:pt idx="1251">
                  <c:v>109</c:v>
                </c:pt>
                <c:pt idx="1252">
                  <c:v>10</c:v>
                </c:pt>
                <c:pt idx="1253">
                  <c:v>20</c:v>
                </c:pt>
                <c:pt idx="1254">
                  <c:v>172</c:v>
                </c:pt>
                <c:pt idx="1255">
                  <c:v>48</c:v>
                </c:pt>
                <c:pt idx="1256">
                  <c:v>12</c:v>
                </c:pt>
                <c:pt idx="1257">
                  <c:v>61</c:v>
                </c:pt>
                <c:pt idx="1258">
                  <c:v>22</c:v>
                </c:pt>
                <c:pt idx="1259">
                  <c:v>50</c:v>
                </c:pt>
                <c:pt idx="1260">
                  <c:v>4.5</c:v>
                </c:pt>
                <c:pt idx="1261">
                  <c:v>86</c:v>
                </c:pt>
                <c:pt idx="1262">
                  <c:v>13</c:v>
                </c:pt>
                <c:pt idx="1263">
                  <c:v>92</c:v>
                </c:pt>
                <c:pt idx="1264">
                  <c:v>0</c:v>
                </c:pt>
                <c:pt idx="1265">
                  <c:v>0</c:v>
                </c:pt>
                <c:pt idx="1266">
                  <c:v>10.5</c:v>
                </c:pt>
                <c:pt idx="1267">
                  <c:v>25</c:v>
                </c:pt>
                <c:pt idx="1268">
                  <c:v>31</c:v>
                </c:pt>
                <c:pt idx="1269">
                  <c:v>50</c:v>
                </c:pt>
                <c:pt idx="1270">
                  <c:v>50</c:v>
                </c:pt>
                <c:pt idx="1271">
                  <c:v>15</c:v>
                </c:pt>
                <c:pt idx="1272">
                  <c:v>0</c:v>
                </c:pt>
                <c:pt idx="1273">
                  <c:v>12.13</c:v>
                </c:pt>
                <c:pt idx="1274">
                  <c:v>9</c:v>
                </c:pt>
                <c:pt idx="1275">
                  <c:v>97.44</c:v>
                </c:pt>
                <c:pt idx="1276">
                  <c:v>5</c:v>
                </c:pt>
                <c:pt idx="1277">
                  <c:v>1</c:v>
                </c:pt>
                <c:pt idx="1278">
                  <c:v>1.72</c:v>
                </c:pt>
                <c:pt idx="1279">
                  <c:v>3</c:v>
                </c:pt>
                <c:pt idx="1280">
                  <c:v>1</c:v>
                </c:pt>
                <c:pt idx="1281">
                  <c:v>2</c:v>
                </c:pt>
                <c:pt idx="1282">
                  <c:v>3</c:v>
                </c:pt>
                <c:pt idx="1283">
                  <c:v>4</c:v>
                </c:pt>
                <c:pt idx="1284">
                  <c:v>5</c:v>
                </c:pt>
                <c:pt idx="1285">
                  <c:v>6</c:v>
                </c:pt>
                <c:pt idx="1286">
                  <c:v>7</c:v>
                </c:pt>
                <c:pt idx="1287">
                  <c:v>8</c:v>
                </c:pt>
                <c:pt idx="1288">
                  <c:v>9</c:v>
                </c:pt>
                <c:pt idx="1289">
                  <c:v>10</c:v>
                </c:pt>
                <c:pt idx="1290">
                  <c:v>11</c:v>
                </c:pt>
                <c:pt idx="1291">
                  <c:v>12</c:v>
                </c:pt>
                <c:pt idx="1292">
                  <c:v>13</c:v>
                </c:pt>
                <c:pt idx="1293">
                  <c:v>14</c:v>
                </c:pt>
                <c:pt idx="1294">
                  <c:v>15</c:v>
                </c:pt>
                <c:pt idx="1295">
                  <c:v>16</c:v>
                </c:pt>
                <c:pt idx="1296">
                  <c:v>17</c:v>
                </c:pt>
                <c:pt idx="1297">
                  <c:v>18</c:v>
                </c:pt>
                <c:pt idx="1298">
                  <c:v>19</c:v>
                </c:pt>
                <c:pt idx="1299">
                  <c:v>20</c:v>
                </c:pt>
                <c:pt idx="1300">
                  <c:v>21</c:v>
                </c:pt>
                <c:pt idx="1301">
                  <c:v>22</c:v>
                </c:pt>
                <c:pt idx="1302">
                  <c:v>23</c:v>
                </c:pt>
                <c:pt idx="1303">
                  <c:v>24</c:v>
                </c:pt>
                <c:pt idx="1304">
                  <c:v>25</c:v>
                </c:pt>
                <c:pt idx="1305">
                  <c:v>26</c:v>
                </c:pt>
                <c:pt idx="1306">
                  <c:v>27</c:v>
                </c:pt>
                <c:pt idx="1307">
                  <c:v>28</c:v>
                </c:pt>
                <c:pt idx="1308">
                  <c:v>29</c:v>
                </c:pt>
                <c:pt idx="1309">
                  <c:v>30</c:v>
                </c:pt>
                <c:pt idx="1310">
                  <c:v>300</c:v>
                </c:pt>
                <c:pt idx="1311">
                  <c:v>250</c:v>
                </c:pt>
                <c:pt idx="1312">
                  <c:v>104.96</c:v>
                </c:pt>
                <c:pt idx="1313">
                  <c:v>3</c:v>
                </c:pt>
                <c:pt idx="1314">
                  <c:v>8</c:v>
                </c:pt>
                <c:pt idx="1315">
                  <c:v>6</c:v>
                </c:pt>
                <c:pt idx="1316">
                  <c:v>48</c:v>
                </c:pt>
                <c:pt idx="1317">
                  <c:v>59</c:v>
                </c:pt>
                <c:pt idx="1318">
                  <c:v>51</c:v>
                </c:pt>
                <c:pt idx="1319">
                  <c:v>9</c:v>
                </c:pt>
                <c:pt idx="1320">
                  <c:v>8</c:v>
                </c:pt>
                <c:pt idx="1321">
                  <c:v>13</c:v>
                </c:pt>
                <c:pt idx="1322">
                  <c:v>36</c:v>
                </c:pt>
                <c:pt idx="1323">
                  <c:v>26</c:v>
                </c:pt>
                <c:pt idx="1324">
                  <c:v>32</c:v>
                </c:pt>
                <c:pt idx="1325">
                  <c:v>8</c:v>
                </c:pt>
                <c:pt idx="1326">
                  <c:v>6</c:v>
                </c:pt>
                <c:pt idx="1327">
                  <c:v>19</c:v>
                </c:pt>
                <c:pt idx="1328">
                  <c:v>32</c:v>
                </c:pt>
                <c:pt idx="1329">
                  <c:v>8</c:v>
                </c:pt>
                <c:pt idx="1330">
                  <c:v>12</c:v>
                </c:pt>
                <c:pt idx="1331">
                  <c:v>20</c:v>
                </c:pt>
                <c:pt idx="1332">
                  <c:v>4</c:v>
                </c:pt>
                <c:pt idx="1333">
                  <c:v>26</c:v>
                </c:pt>
                <c:pt idx="1334">
                  <c:v>46.9</c:v>
                </c:pt>
                <c:pt idx="1335">
                  <c:v>110</c:v>
                </c:pt>
                <c:pt idx="1336">
                  <c:v>744.73</c:v>
                </c:pt>
                <c:pt idx="1337">
                  <c:v>220.8</c:v>
                </c:pt>
                <c:pt idx="1338">
                  <c:v>2</c:v>
                </c:pt>
                <c:pt idx="1339">
                  <c:v>38</c:v>
                </c:pt>
                <c:pt idx="1340">
                  <c:v>89</c:v>
                </c:pt>
                <c:pt idx="1341">
                  <c:v>60</c:v>
                </c:pt>
                <c:pt idx="1342">
                  <c:v>14</c:v>
                </c:pt>
                <c:pt idx="1343">
                  <c:v>44</c:v>
                </c:pt>
                <c:pt idx="1344">
                  <c:v>150</c:v>
                </c:pt>
                <c:pt idx="1345">
                  <c:v>40</c:v>
                </c:pt>
                <c:pt idx="1346">
                  <c:v>50</c:v>
                </c:pt>
                <c:pt idx="1347">
                  <c:v>20</c:v>
                </c:pt>
                <c:pt idx="1348">
                  <c:v>33</c:v>
                </c:pt>
                <c:pt idx="1349">
                  <c:v>57</c:v>
                </c:pt>
                <c:pt idx="1350">
                  <c:v>20</c:v>
                </c:pt>
                <c:pt idx="1351">
                  <c:v>43</c:v>
                </c:pt>
                <c:pt idx="1352">
                  <c:v>10</c:v>
                </c:pt>
                <c:pt idx="1353">
                  <c:v>71</c:v>
                </c:pt>
                <c:pt idx="1354">
                  <c:v>92</c:v>
                </c:pt>
                <c:pt idx="1355">
                  <c:v>15</c:v>
                </c:pt>
                <c:pt idx="1356">
                  <c:v>53</c:v>
                </c:pt>
                <c:pt idx="1357">
                  <c:v>27</c:v>
                </c:pt>
                <c:pt idx="1358">
                  <c:v>28</c:v>
                </c:pt>
                <c:pt idx="1359">
                  <c:v>100</c:v>
                </c:pt>
                <c:pt idx="1360">
                  <c:v>20</c:v>
                </c:pt>
                <c:pt idx="1361">
                  <c:v>20</c:v>
                </c:pt>
                <c:pt idx="1362">
                  <c:v>19</c:v>
                </c:pt>
                <c:pt idx="1363">
                  <c:v>109</c:v>
                </c:pt>
                <c:pt idx="1364">
                  <c:v>400</c:v>
                </c:pt>
                <c:pt idx="1365">
                  <c:v>12.28</c:v>
                </c:pt>
                <c:pt idx="1366">
                  <c:v>98.83</c:v>
                </c:pt>
                <c:pt idx="1367">
                  <c:v>7</c:v>
                </c:pt>
                <c:pt idx="1368">
                  <c:v>3</c:v>
                </c:pt>
                <c:pt idx="1369">
                  <c:v>2.5</c:v>
                </c:pt>
                <c:pt idx="1370">
                  <c:v>5</c:v>
                </c:pt>
                <c:pt idx="1371">
                  <c:v>1</c:v>
                </c:pt>
                <c:pt idx="1372">
                  <c:v>2</c:v>
                </c:pt>
                <c:pt idx="1373">
                  <c:v>3</c:v>
                </c:pt>
                <c:pt idx="1374">
                  <c:v>4</c:v>
                </c:pt>
                <c:pt idx="1375">
                  <c:v>5</c:v>
                </c:pt>
                <c:pt idx="1376">
                  <c:v>6</c:v>
                </c:pt>
                <c:pt idx="1377">
                  <c:v>7</c:v>
                </c:pt>
                <c:pt idx="1378">
                  <c:v>8</c:v>
                </c:pt>
                <c:pt idx="1379">
                  <c:v>9</c:v>
                </c:pt>
                <c:pt idx="1380">
                  <c:v>10</c:v>
                </c:pt>
                <c:pt idx="1381">
                  <c:v>11</c:v>
                </c:pt>
                <c:pt idx="1382">
                  <c:v>12</c:v>
                </c:pt>
                <c:pt idx="1383">
                  <c:v>13</c:v>
                </c:pt>
                <c:pt idx="1384">
                  <c:v>14</c:v>
                </c:pt>
                <c:pt idx="1385">
                  <c:v>15</c:v>
                </c:pt>
                <c:pt idx="1386">
                  <c:v>16</c:v>
                </c:pt>
                <c:pt idx="1387">
                  <c:v>17</c:v>
                </c:pt>
                <c:pt idx="1388">
                  <c:v>18</c:v>
                </c:pt>
                <c:pt idx="1389">
                  <c:v>19</c:v>
                </c:pt>
                <c:pt idx="1390">
                  <c:v>20</c:v>
                </c:pt>
                <c:pt idx="1391">
                  <c:v>21</c:v>
                </c:pt>
                <c:pt idx="1392">
                  <c:v>22</c:v>
                </c:pt>
                <c:pt idx="1393">
                  <c:v>23</c:v>
                </c:pt>
                <c:pt idx="1394">
                  <c:v>24</c:v>
                </c:pt>
                <c:pt idx="1395">
                  <c:v>25</c:v>
                </c:pt>
                <c:pt idx="1396">
                  <c:v>26</c:v>
                </c:pt>
                <c:pt idx="1397">
                  <c:v>27</c:v>
                </c:pt>
                <c:pt idx="1398">
                  <c:v>28</c:v>
                </c:pt>
                <c:pt idx="1399">
                  <c:v>29</c:v>
                </c:pt>
                <c:pt idx="1400">
                  <c:v>30</c:v>
                </c:pt>
                <c:pt idx="1401">
                  <c:v>31</c:v>
                </c:pt>
                <c:pt idx="1402">
                  <c:v>6000</c:v>
                </c:pt>
                <c:pt idx="1403">
                  <c:v>330</c:v>
                </c:pt>
                <c:pt idx="1404">
                  <c:v>250</c:v>
                </c:pt>
                <c:pt idx="1405">
                  <c:v>8</c:v>
                </c:pt>
                <c:pt idx="1406">
                  <c:v>7</c:v>
                </c:pt>
                <c:pt idx="1407">
                  <c:v>30</c:v>
                </c:pt>
                <c:pt idx="1408">
                  <c:v>8</c:v>
                </c:pt>
                <c:pt idx="1409">
                  <c:v>17</c:v>
                </c:pt>
                <c:pt idx="1410">
                  <c:v>50</c:v>
                </c:pt>
                <c:pt idx="1411">
                  <c:v>91</c:v>
                </c:pt>
                <c:pt idx="1412">
                  <c:v>8</c:v>
                </c:pt>
                <c:pt idx="1413">
                  <c:v>22</c:v>
                </c:pt>
                <c:pt idx="1414">
                  <c:v>25</c:v>
                </c:pt>
                <c:pt idx="1415">
                  <c:v>23</c:v>
                </c:pt>
                <c:pt idx="1416">
                  <c:v>13</c:v>
                </c:pt>
                <c:pt idx="1417">
                  <c:v>32</c:v>
                </c:pt>
                <c:pt idx="1418">
                  <c:v>8</c:v>
                </c:pt>
                <c:pt idx="1419">
                  <c:v>32</c:v>
                </c:pt>
                <c:pt idx="1420">
                  <c:v>53</c:v>
                </c:pt>
                <c:pt idx="1421">
                  <c:v>27.49</c:v>
                </c:pt>
                <c:pt idx="1422">
                  <c:v>11</c:v>
                </c:pt>
                <c:pt idx="1423">
                  <c:v>304</c:v>
                </c:pt>
                <c:pt idx="1424">
                  <c:v>73</c:v>
                </c:pt>
                <c:pt idx="1425">
                  <c:v>40</c:v>
                </c:pt>
                <c:pt idx="1426">
                  <c:v>10</c:v>
                </c:pt>
                <c:pt idx="1427">
                  <c:v>380</c:v>
                </c:pt>
                <c:pt idx="1428">
                  <c:v>4</c:v>
                </c:pt>
                <c:pt idx="1429">
                  <c:v>30</c:v>
                </c:pt>
                <c:pt idx="1430">
                  <c:v>37.799999999999997</c:v>
                </c:pt>
                <c:pt idx="1431">
                  <c:v>10.8</c:v>
                </c:pt>
                <c:pt idx="1432">
                  <c:v>569.34</c:v>
                </c:pt>
                <c:pt idx="1433">
                  <c:v>37</c:v>
                </c:pt>
                <c:pt idx="1434">
                  <c:v>51</c:v>
                </c:pt>
                <c:pt idx="1435">
                  <c:v>38</c:v>
                </c:pt>
                <c:pt idx="1436">
                  <c:v>86</c:v>
                </c:pt>
                <c:pt idx="1437">
                  <c:v>14</c:v>
                </c:pt>
                <c:pt idx="1438">
                  <c:v>86</c:v>
                </c:pt>
                <c:pt idx="1439">
                  <c:v>18</c:v>
                </c:pt>
                <c:pt idx="1440">
                  <c:v>14</c:v>
                </c:pt>
                <c:pt idx="1441">
                  <c:v>79</c:v>
                </c:pt>
                <c:pt idx="1442">
                  <c:v>26</c:v>
                </c:pt>
                <c:pt idx="1443">
                  <c:v>35</c:v>
                </c:pt>
                <c:pt idx="1444">
                  <c:v>80</c:v>
                </c:pt>
                <c:pt idx="1445">
                  <c:v>59</c:v>
                </c:pt>
                <c:pt idx="1446">
                  <c:v>41</c:v>
                </c:pt>
                <c:pt idx="1447">
                  <c:v>98</c:v>
                </c:pt>
                <c:pt idx="1448">
                  <c:v>49</c:v>
                </c:pt>
                <c:pt idx="1449">
                  <c:v>63</c:v>
                </c:pt>
                <c:pt idx="1450">
                  <c:v>40</c:v>
                </c:pt>
                <c:pt idx="1451">
                  <c:v>94</c:v>
                </c:pt>
                <c:pt idx="1452">
                  <c:v>121</c:v>
                </c:pt>
                <c:pt idx="1453">
                  <c:v>40</c:v>
                </c:pt>
                <c:pt idx="1454">
                  <c:v>80</c:v>
                </c:pt>
                <c:pt idx="1455">
                  <c:v>101</c:v>
                </c:pt>
                <c:pt idx="1456">
                  <c:v>51</c:v>
                </c:pt>
                <c:pt idx="1457">
                  <c:v>100</c:v>
                </c:pt>
                <c:pt idx="1458">
                  <c:v>100</c:v>
                </c:pt>
                <c:pt idx="1459">
                  <c:v>2.5</c:v>
                </c:pt>
                <c:pt idx="1460">
                  <c:v>20</c:v>
                </c:pt>
                <c:pt idx="1461">
                  <c:v>100</c:v>
                </c:pt>
                <c:pt idx="1462">
                  <c:v>12.57</c:v>
                </c:pt>
                <c:pt idx="1463">
                  <c:v>9</c:v>
                </c:pt>
                <c:pt idx="1464">
                  <c:v>100.84</c:v>
                </c:pt>
                <c:pt idx="1465">
                  <c:v>10</c:v>
                </c:pt>
                <c:pt idx="1466">
                  <c:v>8.1999999999999993</c:v>
                </c:pt>
                <c:pt idx="1467">
                  <c:v>1</c:v>
                </c:pt>
                <c:pt idx="1468">
                  <c:v>2</c:v>
                </c:pt>
                <c:pt idx="1469">
                  <c:v>3</c:v>
                </c:pt>
                <c:pt idx="1470">
                  <c:v>4</c:v>
                </c:pt>
                <c:pt idx="1471">
                  <c:v>5</c:v>
                </c:pt>
                <c:pt idx="1472">
                  <c:v>6</c:v>
                </c:pt>
                <c:pt idx="1473">
                  <c:v>7</c:v>
                </c:pt>
                <c:pt idx="1474">
                  <c:v>8</c:v>
                </c:pt>
                <c:pt idx="1475">
                  <c:v>9</c:v>
                </c:pt>
                <c:pt idx="1476">
                  <c:v>10</c:v>
                </c:pt>
                <c:pt idx="1477">
                  <c:v>11</c:v>
                </c:pt>
                <c:pt idx="1478">
                  <c:v>12</c:v>
                </c:pt>
                <c:pt idx="1479">
                  <c:v>13</c:v>
                </c:pt>
                <c:pt idx="1480">
                  <c:v>14</c:v>
                </c:pt>
                <c:pt idx="1481">
                  <c:v>15</c:v>
                </c:pt>
                <c:pt idx="1482">
                  <c:v>16</c:v>
                </c:pt>
                <c:pt idx="1483">
                  <c:v>17</c:v>
                </c:pt>
                <c:pt idx="1484">
                  <c:v>18</c:v>
                </c:pt>
                <c:pt idx="1485">
                  <c:v>19</c:v>
                </c:pt>
                <c:pt idx="1486">
                  <c:v>20</c:v>
                </c:pt>
                <c:pt idx="1487">
                  <c:v>21</c:v>
                </c:pt>
                <c:pt idx="1488">
                  <c:v>22</c:v>
                </c:pt>
                <c:pt idx="1489">
                  <c:v>23</c:v>
                </c:pt>
                <c:pt idx="1490">
                  <c:v>24</c:v>
                </c:pt>
                <c:pt idx="1491">
                  <c:v>25</c:v>
                </c:pt>
                <c:pt idx="1492">
                  <c:v>26</c:v>
                </c:pt>
                <c:pt idx="1493">
                  <c:v>27</c:v>
                </c:pt>
                <c:pt idx="1494">
                  <c:v>28</c:v>
                </c:pt>
                <c:pt idx="1495">
                  <c:v>29</c:v>
                </c:pt>
                <c:pt idx="1496">
                  <c:v>30</c:v>
                </c:pt>
                <c:pt idx="1497">
                  <c:v>330</c:v>
                </c:pt>
                <c:pt idx="1498">
                  <c:v>100</c:v>
                </c:pt>
                <c:pt idx="1499">
                  <c:v>28</c:v>
                </c:pt>
                <c:pt idx="1500">
                  <c:v>16</c:v>
                </c:pt>
                <c:pt idx="1501">
                  <c:v>18</c:v>
                </c:pt>
                <c:pt idx="1502">
                  <c:v>10</c:v>
                </c:pt>
                <c:pt idx="1503">
                  <c:v>43</c:v>
                </c:pt>
                <c:pt idx="1504">
                  <c:v>113</c:v>
                </c:pt>
                <c:pt idx="1505">
                  <c:v>5</c:v>
                </c:pt>
                <c:pt idx="1506">
                  <c:v>10</c:v>
                </c:pt>
                <c:pt idx="1507">
                  <c:v>10</c:v>
                </c:pt>
                <c:pt idx="1508">
                  <c:v>35</c:v>
                </c:pt>
                <c:pt idx="1509">
                  <c:v>145</c:v>
                </c:pt>
                <c:pt idx="1510">
                  <c:v>10</c:v>
                </c:pt>
                <c:pt idx="1511">
                  <c:v>16</c:v>
                </c:pt>
                <c:pt idx="1512">
                  <c:v>10</c:v>
                </c:pt>
                <c:pt idx="1513">
                  <c:v>21</c:v>
                </c:pt>
                <c:pt idx="1514">
                  <c:v>120</c:v>
                </c:pt>
                <c:pt idx="1515">
                  <c:v>93</c:v>
                </c:pt>
                <c:pt idx="1516">
                  <c:v>50</c:v>
                </c:pt>
                <c:pt idx="1517">
                  <c:v>48.5</c:v>
                </c:pt>
                <c:pt idx="1518">
                  <c:v>2</c:v>
                </c:pt>
                <c:pt idx="1519">
                  <c:v>23.3</c:v>
                </c:pt>
                <c:pt idx="1520">
                  <c:v>17</c:v>
                </c:pt>
                <c:pt idx="1521">
                  <c:v>46</c:v>
                </c:pt>
                <c:pt idx="1522">
                  <c:v>15</c:v>
                </c:pt>
                <c:pt idx="1523">
                  <c:v>120</c:v>
                </c:pt>
                <c:pt idx="1524">
                  <c:v>50</c:v>
                </c:pt>
                <c:pt idx="1525">
                  <c:v>1047.5999999999999</c:v>
                </c:pt>
                <c:pt idx="1526">
                  <c:v>133.37</c:v>
                </c:pt>
                <c:pt idx="1527">
                  <c:v>198</c:v>
                </c:pt>
                <c:pt idx="1528">
                  <c:v>10</c:v>
                </c:pt>
                <c:pt idx="1529">
                  <c:v>14</c:v>
                </c:pt>
                <c:pt idx="1530">
                  <c:v>84</c:v>
                </c:pt>
                <c:pt idx="1531">
                  <c:v>117</c:v>
                </c:pt>
                <c:pt idx="1532">
                  <c:v>36</c:v>
                </c:pt>
                <c:pt idx="1533">
                  <c:v>41.5</c:v>
                </c:pt>
                <c:pt idx="1534">
                  <c:v>92</c:v>
                </c:pt>
                <c:pt idx="1535">
                  <c:v>50</c:v>
                </c:pt>
                <c:pt idx="1536">
                  <c:v>18</c:v>
                </c:pt>
                <c:pt idx="1537">
                  <c:v>45</c:v>
                </c:pt>
                <c:pt idx="1538">
                  <c:v>67</c:v>
                </c:pt>
                <c:pt idx="1539">
                  <c:v>120</c:v>
                </c:pt>
                <c:pt idx="1540">
                  <c:v>81</c:v>
                </c:pt>
                <c:pt idx="1541">
                  <c:v>40</c:v>
                </c:pt>
                <c:pt idx="1542">
                  <c:v>63</c:v>
                </c:pt>
                <c:pt idx="1543">
                  <c:v>4</c:v>
                </c:pt>
                <c:pt idx="1544">
                  <c:v>4.5</c:v>
                </c:pt>
                <c:pt idx="1545">
                  <c:v>144</c:v>
                </c:pt>
                <c:pt idx="1546">
                  <c:v>54</c:v>
                </c:pt>
                <c:pt idx="1547">
                  <c:v>65</c:v>
                </c:pt>
                <c:pt idx="1548">
                  <c:v>9.5</c:v>
                </c:pt>
                <c:pt idx="1549">
                  <c:v>5.5</c:v>
                </c:pt>
                <c:pt idx="1550">
                  <c:v>77.5</c:v>
                </c:pt>
                <c:pt idx="1551">
                  <c:v>103</c:v>
                </c:pt>
                <c:pt idx="1552">
                  <c:v>65</c:v>
                </c:pt>
                <c:pt idx="1553">
                  <c:v>22</c:v>
                </c:pt>
                <c:pt idx="1554">
                  <c:v>50</c:v>
                </c:pt>
                <c:pt idx="1555">
                  <c:v>30</c:v>
                </c:pt>
                <c:pt idx="1556">
                  <c:v>28</c:v>
                </c:pt>
                <c:pt idx="1557">
                  <c:v>3</c:v>
                </c:pt>
                <c:pt idx="1558">
                  <c:v>150</c:v>
                </c:pt>
                <c:pt idx="1559">
                  <c:v>65</c:v>
                </c:pt>
                <c:pt idx="1560">
                  <c:v>400</c:v>
                </c:pt>
                <c:pt idx="1561">
                  <c:v>3</c:v>
                </c:pt>
                <c:pt idx="1562">
                  <c:v>600</c:v>
                </c:pt>
                <c:pt idx="1563">
                  <c:v>100</c:v>
                </c:pt>
                <c:pt idx="1564">
                  <c:v>12.74</c:v>
                </c:pt>
                <c:pt idx="1565">
                  <c:v>9</c:v>
                </c:pt>
                <c:pt idx="1566">
                  <c:v>102.58</c:v>
                </c:pt>
                <c:pt idx="1567">
                  <c:v>70</c:v>
                </c:pt>
                <c:pt idx="1568">
                  <c:v>2.9</c:v>
                </c:pt>
                <c:pt idx="1569">
                  <c:v>10</c:v>
                </c:pt>
                <c:pt idx="1570">
                  <c:v>8</c:v>
                </c:pt>
                <c:pt idx="1571">
                  <c:v>1</c:v>
                </c:pt>
                <c:pt idx="1572">
                  <c:v>2</c:v>
                </c:pt>
                <c:pt idx="1573">
                  <c:v>3</c:v>
                </c:pt>
                <c:pt idx="1574">
                  <c:v>4</c:v>
                </c:pt>
                <c:pt idx="1575">
                  <c:v>5</c:v>
                </c:pt>
                <c:pt idx="1576">
                  <c:v>6</c:v>
                </c:pt>
                <c:pt idx="1577">
                  <c:v>7</c:v>
                </c:pt>
                <c:pt idx="1578">
                  <c:v>8</c:v>
                </c:pt>
                <c:pt idx="1579">
                  <c:v>9</c:v>
                </c:pt>
                <c:pt idx="1580">
                  <c:v>10</c:v>
                </c:pt>
                <c:pt idx="1581">
                  <c:v>11</c:v>
                </c:pt>
                <c:pt idx="1582">
                  <c:v>12</c:v>
                </c:pt>
                <c:pt idx="1583">
                  <c:v>13</c:v>
                </c:pt>
                <c:pt idx="1584">
                  <c:v>14</c:v>
                </c:pt>
                <c:pt idx="1585">
                  <c:v>15</c:v>
                </c:pt>
                <c:pt idx="1586">
                  <c:v>16</c:v>
                </c:pt>
                <c:pt idx="1587">
                  <c:v>17</c:v>
                </c:pt>
                <c:pt idx="1588">
                  <c:v>18</c:v>
                </c:pt>
                <c:pt idx="1589">
                  <c:v>19</c:v>
                </c:pt>
                <c:pt idx="1590">
                  <c:v>20</c:v>
                </c:pt>
                <c:pt idx="1591">
                  <c:v>21</c:v>
                </c:pt>
                <c:pt idx="1592">
                  <c:v>22</c:v>
                </c:pt>
                <c:pt idx="1593">
                  <c:v>23</c:v>
                </c:pt>
                <c:pt idx="1594">
                  <c:v>24</c:v>
                </c:pt>
                <c:pt idx="1595">
                  <c:v>25</c:v>
                </c:pt>
                <c:pt idx="1596">
                  <c:v>26</c:v>
                </c:pt>
                <c:pt idx="1597">
                  <c:v>27</c:v>
                </c:pt>
                <c:pt idx="1598">
                  <c:v>28</c:v>
                </c:pt>
                <c:pt idx="1599">
                  <c:v>29</c:v>
                </c:pt>
                <c:pt idx="1600">
                  <c:v>30</c:v>
                </c:pt>
                <c:pt idx="1601">
                  <c:v>31</c:v>
                </c:pt>
                <c:pt idx="1602">
                  <c:v>0</c:v>
                </c:pt>
                <c:pt idx="1603">
                  <c:v>0</c:v>
                </c:pt>
                <c:pt idx="1604">
                  <c:v>1000</c:v>
                </c:pt>
                <c:pt idx="1605">
                  <c:v>0</c:v>
                </c:pt>
                <c:pt idx="1606">
                  <c:v>0</c:v>
                </c:pt>
                <c:pt idx="1607">
                  <c:v>5</c:v>
                </c:pt>
                <c:pt idx="1608">
                  <c:v>450</c:v>
                </c:pt>
                <c:pt idx="1609">
                  <c:v>0</c:v>
                </c:pt>
                <c:pt idx="1610">
                  <c:v>0</c:v>
                </c:pt>
                <c:pt idx="1611">
                  <c:v>0</c:v>
                </c:pt>
                <c:pt idx="1612">
                  <c:v>3</c:v>
                </c:pt>
                <c:pt idx="1613">
                  <c:v>10</c:v>
                </c:pt>
                <c:pt idx="1614">
                  <c:v>62</c:v>
                </c:pt>
                <c:pt idx="1615">
                  <c:v>10</c:v>
                </c:pt>
                <c:pt idx="1616">
                  <c:v>85</c:v>
                </c:pt>
                <c:pt idx="1617">
                  <c:v>17</c:v>
                </c:pt>
                <c:pt idx="1618">
                  <c:v>35</c:v>
                </c:pt>
                <c:pt idx="1619">
                  <c:v>120</c:v>
                </c:pt>
                <c:pt idx="1620">
                  <c:v>20</c:v>
                </c:pt>
                <c:pt idx="1621">
                  <c:v>20</c:v>
                </c:pt>
                <c:pt idx="1622">
                  <c:v>105</c:v>
                </c:pt>
                <c:pt idx="1623">
                  <c:v>30</c:v>
                </c:pt>
                <c:pt idx="1624">
                  <c:v>98.1</c:v>
                </c:pt>
                <c:pt idx="1625">
                  <c:v>20</c:v>
                </c:pt>
                <c:pt idx="1626">
                  <c:v>23</c:v>
                </c:pt>
                <c:pt idx="1627">
                  <c:v>6</c:v>
                </c:pt>
                <c:pt idx="1628">
                  <c:v>58</c:v>
                </c:pt>
                <c:pt idx="1629">
                  <c:v>207</c:v>
                </c:pt>
                <c:pt idx="1630">
                  <c:v>184</c:v>
                </c:pt>
                <c:pt idx="1631">
                  <c:v>134.80000000000001</c:v>
                </c:pt>
                <c:pt idx="1632">
                  <c:v>475</c:v>
                </c:pt>
                <c:pt idx="1633">
                  <c:v>22</c:v>
                </c:pt>
                <c:pt idx="1634">
                  <c:v>18</c:v>
                </c:pt>
                <c:pt idx="1635">
                  <c:v>16</c:v>
                </c:pt>
                <c:pt idx="1636">
                  <c:v>120</c:v>
                </c:pt>
                <c:pt idx="1637">
                  <c:v>0</c:v>
                </c:pt>
                <c:pt idx="1638">
                  <c:v>0</c:v>
                </c:pt>
                <c:pt idx="1639">
                  <c:v>313</c:v>
                </c:pt>
                <c:pt idx="1640">
                  <c:v>1179.81</c:v>
                </c:pt>
                <c:pt idx="1641">
                  <c:v>47</c:v>
                </c:pt>
                <c:pt idx="1642">
                  <c:v>29</c:v>
                </c:pt>
                <c:pt idx="1643">
                  <c:v>21</c:v>
                </c:pt>
                <c:pt idx="1644">
                  <c:v>123</c:v>
                </c:pt>
                <c:pt idx="1645">
                  <c:v>24</c:v>
                </c:pt>
                <c:pt idx="1646">
                  <c:v>75</c:v>
                </c:pt>
                <c:pt idx="1647">
                  <c:v>59</c:v>
                </c:pt>
                <c:pt idx="1648">
                  <c:v>116</c:v>
                </c:pt>
                <c:pt idx="1649">
                  <c:v>108</c:v>
                </c:pt>
                <c:pt idx="1650">
                  <c:v>15.5</c:v>
                </c:pt>
                <c:pt idx="1651">
                  <c:v>30</c:v>
                </c:pt>
                <c:pt idx="1652">
                  <c:v>108</c:v>
                </c:pt>
                <c:pt idx="1653">
                  <c:v>188</c:v>
                </c:pt>
                <c:pt idx="1654">
                  <c:v>12.5</c:v>
                </c:pt>
                <c:pt idx="1655">
                  <c:v>74.5</c:v>
                </c:pt>
                <c:pt idx="1656">
                  <c:v>37.5</c:v>
                </c:pt>
                <c:pt idx="1657">
                  <c:v>110.5</c:v>
                </c:pt>
                <c:pt idx="1658">
                  <c:v>129</c:v>
                </c:pt>
                <c:pt idx="1659">
                  <c:v>57</c:v>
                </c:pt>
                <c:pt idx="1660">
                  <c:v>76</c:v>
                </c:pt>
                <c:pt idx="1661">
                  <c:v>35</c:v>
                </c:pt>
                <c:pt idx="1662">
                  <c:v>19</c:v>
                </c:pt>
                <c:pt idx="1663">
                  <c:v>18</c:v>
                </c:pt>
                <c:pt idx="1664">
                  <c:v>40</c:v>
                </c:pt>
                <c:pt idx="1665">
                  <c:v>111</c:v>
                </c:pt>
                <c:pt idx="1666">
                  <c:v>50</c:v>
                </c:pt>
                <c:pt idx="1667">
                  <c:v>650</c:v>
                </c:pt>
                <c:pt idx="1668">
                  <c:v>50</c:v>
                </c:pt>
                <c:pt idx="1669">
                  <c:v>50</c:v>
                </c:pt>
                <c:pt idx="1670">
                  <c:v>60</c:v>
                </c:pt>
                <c:pt idx="1671">
                  <c:v>100</c:v>
                </c:pt>
                <c:pt idx="1672">
                  <c:v>50</c:v>
                </c:pt>
                <c:pt idx="1673">
                  <c:v>21</c:v>
                </c:pt>
                <c:pt idx="1674">
                  <c:v>12.77</c:v>
                </c:pt>
                <c:pt idx="1675">
                  <c:v>9</c:v>
                </c:pt>
                <c:pt idx="1676">
                  <c:v>103.02</c:v>
                </c:pt>
                <c:pt idx="1677">
                  <c:v>0</c:v>
                </c:pt>
                <c:pt idx="1678">
                  <c:v>0</c:v>
                </c:pt>
                <c:pt idx="1679">
                  <c:v>1.2</c:v>
                </c:pt>
                <c:pt idx="1680">
                  <c:v>6.5</c:v>
                </c:pt>
                <c:pt idx="1681">
                  <c:v>7</c:v>
                </c:pt>
                <c:pt idx="1682">
                  <c:v>3</c:v>
                </c:pt>
                <c:pt idx="1683">
                  <c:v>10</c:v>
                </c:pt>
              </c:numCache>
            </c:numRef>
          </c:val>
          <c:extLst>
            <c:ext xmlns:c16="http://schemas.microsoft.com/office/drawing/2014/chart" uri="{C3380CC4-5D6E-409C-BE32-E72D297353CC}">
              <c16:uniqueId val="{00000000-5630-B047-8676-E055EA8119FF}"/>
            </c:ext>
          </c:extLst>
        </c:ser>
        <c:ser>
          <c:idx val="1"/>
          <c:order val="1"/>
          <c:spPr>
            <a:solidFill>
              <a:schemeClr val="accent2"/>
            </a:solidFill>
            <a:ln>
              <a:noFill/>
            </a:ln>
            <a:effectLst/>
          </c:spPr>
          <c:invertIfNegative val="0"/>
          <c:cat>
            <c:numRef>
              <c:f>'ACTUAL EXPENSES (2)'!$B$2:$B$1685</c:f>
              <c:numCache>
                <c:formatCode>m/d/yy</c:formatCode>
                <c:ptCount val="1684"/>
                <c:pt idx="0">
                  <c:v>44949</c:v>
                </c:pt>
                <c:pt idx="1">
                  <c:v>44942</c:v>
                </c:pt>
                <c:pt idx="2">
                  <c:v>44944</c:v>
                </c:pt>
                <c:pt idx="3">
                  <c:v>44945</c:v>
                </c:pt>
                <c:pt idx="4">
                  <c:v>44946</c:v>
                </c:pt>
                <c:pt idx="5">
                  <c:v>44947</c:v>
                </c:pt>
                <c:pt idx="6">
                  <c:v>44948</c:v>
                </c:pt>
                <c:pt idx="7">
                  <c:v>44949</c:v>
                </c:pt>
                <c:pt idx="8">
                  <c:v>44950</c:v>
                </c:pt>
                <c:pt idx="9">
                  <c:v>44951</c:v>
                </c:pt>
                <c:pt idx="10">
                  <c:v>44952</c:v>
                </c:pt>
                <c:pt idx="11">
                  <c:v>44953</c:v>
                </c:pt>
                <c:pt idx="12">
                  <c:v>44955</c:v>
                </c:pt>
                <c:pt idx="13">
                  <c:v>44942</c:v>
                </c:pt>
                <c:pt idx="14">
                  <c:v>44954</c:v>
                </c:pt>
                <c:pt idx="15">
                  <c:v>44943</c:v>
                </c:pt>
                <c:pt idx="16">
                  <c:v>44944</c:v>
                </c:pt>
                <c:pt idx="17">
                  <c:v>44946</c:v>
                </c:pt>
                <c:pt idx="18">
                  <c:v>44952</c:v>
                </c:pt>
                <c:pt idx="19">
                  <c:v>44954</c:v>
                </c:pt>
                <c:pt idx="20">
                  <c:v>44933</c:v>
                </c:pt>
                <c:pt idx="21">
                  <c:v>44936</c:v>
                </c:pt>
                <c:pt idx="22">
                  <c:v>44945</c:v>
                </c:pt>
                <c:pt idx="23">
                  <c:v>44946</c:v>
                </c:pt>
                <c:pt idx="24">
                  <c:v>44949</c:v>
                </c:pt>
                <c:pt idx="25">
                  <c:v>44950</c:v>
                </c:pt>
                <c:pt idx="26">
                  <c:v>44951</c:v>
                </c:pt>
                <c:pt idx="27">
                  <c:v>44952</c:v>
                </c:pt>
                <c:pt idx="28">
                  <c:v>44953</c:v>
                </c:pt>
                <c:pt idx="29">
                  <c:v>44954</c:v>
                </c:pt>
                <c:pt idx="30">
                  <c:v>44955</c:v>
                </c:pt>
                <c:pt idx="31">
                  <c:v>44957</c:v>
                </c:pt>
                <c:pt idx="32">
                  <c:v>44927</c:v>
                </c:pt>
                <c:pt idx="33">
                  <c:v>44929</c:v>
                </c:pt>
                <c:pt idx="34">
                  <c:v>44934</c:v>
                </c:pt>
                <c:pt idx="35">
                  <c:v>44939</c:v>
                </c:pt>
                <c:pt idx="36">
                  <c:v>44940</c:v>
                </c:pt>
                <c:pt idx="37">
                  <c:v>44954</c:v>
                </c:pt>
                <c:pt idx="38">
                  <c:v>44945</c:v>
                </c:pt>
                <c:pt idx="39">
                  <c:v>44953</c:v>
                </c:pt>
                <c:pt idx="40">
                  <c:v>44936</c:v>
                </c:pt>
                <c:pt idx="41">
                  <c:v>44945</c:v>
                </c:pt>
                <c:pt idx="42">
                  <c:v>44946</c:v>
                </c:pt>
                <c:pt idx="43">
                  <c:v>44947</c:v>
                </c:pt>
                <c:pt idx="44">
                  <c:v>44958</c:v>
                </c:pt>
                <c:pt idx="45">
                  <c:v>44980</c:v>
                </c:pt>
                <c:pt idx="46">
                  <c:v>44985</c:v>
                </c:pt>
                <c:pt idx="47">
                  <c:v>44958</c:v>
                </c:pt>
                <c:pt idx="48">
                  <c:v>44959</c:v>
                </c:pt>
                <c:pt idx="49">
                  <c:v>44961</c:v>
                </c:pt>
                <c:pt idx="50">
                  <c:v>44963</c:v>
                </c:pt>
                <c:pt idx="51">
                  <c:v>44964</c:v>
                </c:pt>
                <c:pt idx="52">
                  <c:v>44965</c:v>
                </c:pt>
                <c:pt idx="53">
                  <c:v>44966</c:v>
                </c:pt>
                <c:pt idx="54">
                  <c:v>44969</c:v>
                </c:pt>
                <c:pt idx="55">
                  <c:v>44971</c:v>
                </c:pt>
                <c:pt idx="56">
                  <c:v>44972</c:v>
                </c:pt>
                <c:pt idx="57">
                  <c:v>44975</c:v>
                </c:pt>
                <c:pt idx="58">
                  <c:v>44978</c:v>
                </c:pt>
                <c:pt idx="59">
                  <c:v>44979</c:v>
                </c:pt>
                <c:pt idx="60">
                  <c:v>44980</c:v>
                </c:pt>
                <c:pt idx="61">
                  <c:v>44981</c:v>
                </c:pt>
                <c:pt idx="62">
                  <c:v>44985</c:v>
                </c:pt>
                <c:pt idx="63">
                  <c:v>44961</c:v>
                </c:pt>
                <c:pt idx="64">
                  <c:v>44966</c:v>
                </c:pt>
                <c:pt idx="65">
                  <c:v>44973</c:v>
                </c:pt>
                <c:pt idx="66">
                  <c:v>44980</c:v>
                </c:pt>
                <c:pt idx="67">
                  <c:v>44984</c:v>
                </c:pt>
                <c:pt idx="68">
                  <c:v>44979</c:v>
                </c:pt>
                <c:pt idx="69">
                  <c:v>44966</c:v>
                </c:pt>
                <c:pt idx="70">
                  <c:v>44985</c:v>
                </c:pt>
                <c:pt idx="71">
                  <c:v>44958</c:v>
                </c:pt>
                <c:pt idx="72">
                  <c:v>44960</c:v>
                </c:pt>
                <c:pt idx="73">
                  <c:v>44961</c:v>
                </c:pt>
                <c:pt idx="74">
                  <c:v>44967</c:v>
                </c:pt>
                <c:pt idx="75">
                  <c:v>44969</c:v>
                </c:pt>
                <c:pt idx="76">
                  <c:v>44971</c:v>
                </c:pt>
                <c:pt idx="77">
                  <c:v>44972</c:v>
                </c:pt>
                <c:pt idx="78">
                  <c:v>44978</c:v>
                </c:pt>
                <c:pt idx="79">
                  <c:v>44979</c:v>
                </c:pt>
                <c:pt idx="80">
                  <c:v>44980</c:v>
                </c:pt>
                <c:pt idx="81">
                  <c:v>44981</c:v>
                </c:pt>
                <c:pt idx="82">
                  <c:v>44982</c:v>
                </c:pt>
                <c:pt idx="83">
                  <c:v>44983</c:v>
                </c:pt>
                <c:pt idx="84">
                  <c:v>44985</c:v>
                </c:pt>
                <c:pt idx="85">
                  <c:v>44966</c:v>
                </c:pt>
                <c:pt idx="86">
                  <c:v>44969</c:v>
                </c:pt>
                <c:pt idx="87">
                  <c:v>44983</c:v>
                </c:pt>
                <c:pt idx="88">
                  <c:v>44967</c:v>
                </c:pt>
                <c:pt idx="89">
                  <c:v>44979</c:v>
                </c:pt>
                <c:pt idx="90">
                  <c:v>44980</c:v>
                </c:pt>
                <c:pt idx="91">
                  <c:v>44986</c:v>
                </c:pt>
                <c:pt idx="92">
                  <c:v>44987</c:v>
                </c:pt>
                <c:pt idx="93">
                  <c:v>44988</c:v>
                </c:pt>
                <c:pt idx="94">
                  <c:v>44989</c:v>
                </c:pt>
                <c:pt idx="95">
                  <c:v>44990</c:v>
                </c:pt>
                <c:pt idx="96">
                  <c:v>44991</c:v>
                </c:pt>
                <c:pt idx="97">
                  <c:v>44992</c:v>
                </c:pt>
                <c:pt idx="98">
                  <c:v>44993</c:v>
                </c:pt>
                <c:pt idx="99">
                  <c:v>44994</c:v>
                </c:pt>
                <c:pt idx="100">
                  <c:v>44995</c:v>
                </c:pt>
                <c:pt idx="101">
                  <c:v>44996</c:v>
                </c:pt>
                <c:pt idx="102">
                  <c:v>44997</c:v>
                </c:pt>
                <c:pt idx="103">
                  <c:v>44998</c:v>
                </c:pt>
                <c:pt idx="104">
                  <c:v>44999</c:v>
                </c:pt>
                <c:pt idx="105">
                  <c:v>45000</c:v>
                </c:pt>
                <c:pt idx="106">
                  <c:v>45001</c:v>
                </c:pt>
                <c:pt idx="107">
                  <c:v>45002</c:v>
                </c:pt>
                <c:pt idx="108">
                  <c:v>45003</c:v>
                </c:pt>
                <c:pt idx="109">
                  <c:v>45004</c:v>
                </c:pt>
                <c:pt idx="110">
                  <c:v>45005</c:v>
                </c:pt>
                <c:pt idx="111">
                  <c:v>45006</c:v>
                </c:pt>
                <c:pt idx="112">
                  <c:v>45007</c:v>
                </c:pt>
                <c:pt idx="113">
                  <c:v>45008</c:v>
                </c:pt>
                <c:pt idx="114">
                  <c:v>45009</c:v>
                </c:pt>
                <c:pt idx="115">
                  <c:v>45010</c:v>
                </c:pt>
                <c:pt idx="116">
                  <c:v>45011</c:v>
                </c:pt>
                <c:pt idx="117">
                  <c:v>45012</c:v>
                </c:pt>
                <c:pt idx="118">
                  <c:v>45013</c:v>
                </c:pt>
                <c:pt idx="119">
                  <c:v>45014</c:v>
                </c:pt>
                <c:pt idx="120">
                  <c:v>45015</c:v>
                </c:pt>
                <c:pt idx="121">
                  <c:v>45016</c:v>
                </c:pt>
                <c:pt idx="122">
                  <c:v>44986</c:v>
                </c:pt>
                <c:pt idx="123">
                  <c:v>44987</c:v>
                </c:pt>
                <c:pt idx="124">
                  <c:v>45007</c:v>
                </c:pt>
                <c:pt idx="125">
                  <c:v>44986</c:v>
                </c:pt>
                <c:pt idx="126">
                  <c:v>44986</c:v>
                </c:pt>
                <c:pt idx="127">
                  <c:v>44987</c:v>
                </c:pt>
                <c:pt idx="128">
                  <c:v>44989</c:v>
                </c:pt>
                <c:pt idx="129">
                  <c:v>44993</c:v>
                </c:pt>
                <c:pt idx="130">
                  <c:v>44986</c:v>
                </c:pt>
                <c:pt idx="131">
                  <c:v>45008</c:v>
                </c:pt>
                <c:pt idx="132">
                  <c:v>44986</c:v>
                </c:pt>
                <c:pt idx="133">
                  <c:v>44987</c:v>
                </c:pt>
                <c:pt idx="134">
                  <c:v>45012</c:v>
                </c:pt>
                <c:pt idx="135">
                  <c:v>44986</c:v>
                </c:pt>
                <c:pt idx="136">
                  <c:v>44987</c:v>
                </c:pt>
                <c:pt idx="137">
                  <c:v>44988</c:v>
                </c:pt>
                <c:pt idx="138">
                  <c:v>44989</c:v>
                </c:pt>
                <c:pt idx="139">
                  <c:v>44990</c:v>
                </c:pt>
                <c:pt idx="140">
                  <c:v>44991</c:v>
                </c:pt>
                <c:pt idx="141">
                  <c:v>44992</c:v>
                </c:pt>
                <c:pt idx="142">
                  <c:v>44994</c:v>
                </c:pt>
                <c:pt idx="143">
                  <c:v>44995</c:v>
                </c:pt>
                <c:pt idx="144">
                  <c:v>44996</c:v>
                </c:pt>
                <c:pt idx="145">
                  <c:v>44997</c:v>
                </c:pt>
                <c:pt idx="146">
                  <c:v>44998</c:v>
                </c:pt>
                <c:pt idx="147">
                  <c:v>44999</c:v>
                </c:pt>
                <c:pt idx="148">
                  <c:v>45000</c:v>
                </c:pt>
                <c:pt idx="149">
                  <c:v>45001</c:v>
                </c:pt>
                <c:pt idx="150">
                  <c:v>45002</c:v>
                </c:pt>
                <c:pt idx="151">
                  <c:v>45003</c:v>
                </c:pt>
                <c:pt idx="152">
                  <c:v>45004</c:v>
                </c:pt>
                <c:pt idx="153">
                  <c:v>45005</c:v>
                </c:pt>
                <c:pt idx="154">
                  <c:v>45006</c:v>
                </c:pt>
                <c:pt idx="155">
                  <c:v>45007</c:v>
                </c:pt>
                <c:pt idx="156">
                  <c:v>45008</c:v>
                </c:pt>
                <c:pt idx="157">
                  <c:v>45009</c:v>
                </c:pt>
                <c:pt idx="158">
                  <c:v>45010</c:v>
                </c:pt>
                <c:pt idx="159">
                  <c:v>45011</c:v>
                </c:pt>
                <c:pt idx="160">
                  <c:v>45012</c:v>
                </c:pt>
                <c:pt idx="161">
                  <c:v>45013</c:v>
                </c:pt>
                <c:pt idx="162">
                  <c:v>45014</c:v>
                </c:pt>
                <c:pt idx="163">
                  <c:v>45015</c:v>
                </c:pt>
                <c:pt idx="164">
                  <c:v>45016</c:v>
                </c:pt>
                <c:pt idx="165">
                  <c:v>45000</c:v>
                </c:pt>
                <c:pt idx="166">
                  <c:v>44986</c:v>
                </c:pt>
                <c:pt idx="167">
                  <c:v>44994</c:v>
                </c:pt>
                <c:pt idx="168">
                  <c:v>45007</c:v>
                </c:pt>
                <c:pt idx="169">
                  <c:v>45008</c:v>
                </c:pt>
                <c:pt idx="170">
                  <c:v>45012</c:v>
                </c:pt>
                <c:pt idx="171">
                  <c:v>44986</c:v>
                </c:pt>
                <c:pt idx="172">
                  <c:v>44987</c:v>
                </c:pt>
                <c:pt idx="173">
                  <c:v>44986</c:v>
                </c:pt>
                <c:pt idx="174">
                  <c:v>44986</c:v>
                </c:pt>
                <c:pt idx="175">
                  <c:v>45001</c:v>
                </c:pt>
                <c:pt idx="176">
                  <c:v>44986</c:v>
                </c:pt>
                <c:pt idx="177">
                  <c:v>44988</c:v>
                </c:pt>
                <c:pt idx="178">
                  <c:v>44991</c:v>
                </c:pt>
                <c:pt idx="179">
                  <c:v>45009</c:v>
                </c:pt>
                <c:pt idx="180">
                  <c:v>44986</c:v>
                </c:pt>
                <c:pt idx="181">
                  <c:v>44987</c:v>
                </c:pt>
                <c:pt idx="182">
                  <c:v>44988</c:v>
                </c:pt>
                <c:pt idx="183">
                  <c:v>44989</c:v>
                </c:pt>
                <c:pt idx="184">
                  <c:v>44992</c:v>
                </c:pt>
                <c:pt idx="185">
                  <c:v>44994</c:v>
                </c:pt>
                <c:pt idx="186">
                  <c:v>44995</c:v>
                </c:pt>
                <c:pt idx="187">
                  <c:v>44999</c:v>
                </c:pt>
                <c:pt idx="188">
                  <c:v>45000</c:v>
                </c:pt>
                <c:pt idx="189">
                  <c:v>45002</c:v>
                </c:pt>
                <c:pt idx="190">
                  <c:v>45005</c:v>
                </c:pt>
                <c:pt idx="191">
                  <c:v>45006</c:v>
                </c:pt>
                <c:pt idx="192">
                  <c:v>45007</c:v>
                </c:pt>
                <c:pt idx="193">
                  <c:v>45008</c:v>
                </c:pt>
                <c:pt idx="194">
                  <c:v>45009</c:v>
                </c:pt>
                <c:pt idx="195">
                  <c:v>45010</c:v>
                </c:pt>
                <c:pt idx="196">
                  <c:v>45012</c:v>
                </c:pt>
                <c:pt idx="197">
                  <c:v>45013</c:v>
                </c:pt>
                <c:pt idx="198">
                  <c:v>45014</c:v>
                </c:pt>
                <c:pt idx="199">
                  <c:v>45015</c:v>
                </c:pt>
                <c:pt idx="200">
                  <c:v>45016</c:v>
                </c:pt>
                <c:pt idx="201">
                  <c:v>44986</c:v>
                </c:pt>
                <c:pt idx="202">
                  <c:v>44992</c:v>
                </c:pt>
                <c:pt idx="203">
                  <c:v>44995</c:v>
                </c:pt>
                <c:pt idx="204">
                  <c:v>44996</c:v>
                </c:pt>
                <c:pt idx="205">
                  <c:v>44999</c:v>
                </c:pt>
                <c:pt idx="206">
                  <c:v>44986</c:v>
                </c:pt>
                <c:pt idx="207">
                  <c:v>45011</c:v>
                </c:pt>
                <c:pt idx="208">
                  <c:v>44986</c:v>
                </c:pt>
                <c:pt idx="209">
                  <c:v>44995</c:v>
                </c:pt>
                <c:pt idx="210">
                  <c:v>44986</c:v>
                </c:pt>
                <c:pt idx="211">
                  <c:v>45004</c:v>
                </c:pt>
                <c:pt idx="212">
                  <c:v>44986</c:v>
                </c:pt>
                <c:pt idx="213">
                  <c:v>44986</c:v>
                </c:pt>
                <c:pt idx="214">
                  <c:v>44986</c:v>
                </c:pt>
                <c:pt idx="215">
                  <c:v>45006</c:v>
                </c:pt>
                <c:pt idx="216">
                  <c:v>45007</c:v>
                </c:pt>
                <c:pt idx="217">
                  <c:v>45008</c:v>
                </c:pt>
                <c:pt idx="218">
                  <c:v>45017</c:v>
                </c:pt>
                <c:pt idx="219">
                  <c:v>45018</c:v>
                </c:pt>
                <c:pt idx="220">
                  <c:v>45019</c:v>
                </c:pt>
                <c:pt idx="221">
                  <c:v>45020</c:v>
                </c:pt>
                <c:pt idx="222">
                  <c:v>45021</c:v>
                </c:pt>
                <c:pt idx="223">
                  <c:v>45022</c:v>
                </c:pt>
                <c:pt idx="224">
                  <c:v>45023</c:v>
                </c:pt>
                <c:pt idx="225">
                  <c:v>45024</c:v>
                </c:pt>
                <c:pt idx="226">
                  <c:v>45025</c:v>
                </c:pt>
                <c:pt idx="227">
                  <c:v>45026</c:v>
                </c:pt>
                <c:pt idx="228">
                  <c:v>45027</c:v>
                </c:pt>
                <c:pt idx="229">
                  <c:v>45028</c:v>
                </c:pt>
                <c:pt idx="230">
                  <c:v>45029</c:v>
                </c:pt>
                <c:pt idx="231">
                  <c:v>45030</c:v>
                </c:pt>
                <c:pt idx="232">
                  <c:v>45031</c:v>
                </c:pt>
                <c:pt idx="233">
                  <c:v>45032</c:v>
                </c:pt>
                <c:pt idx="234">
                  <c:v>45033</c:v>
                </c:pt>
                <c:pt idx="235">
                  <c:v>45034</c:v>
                </c:pt>
                <c:pt idx="236">
                  <c:v>45035</c:v>
                </c:pt>
                <c:pt idx="237">
                  <c:v>45036</c:v>
                </c:pt>
                <c:pt idx="238">
                  <c:v>45037</c:v>
                </c:pt>
                <c:pt idx="239">
                  <c:v>45038</c:v>
                </c:pt>
                <c:pt idx="240">
                  <c:v>45039</c:v>
                </c:pt>
                <c:pt idx="241">
                  <c:v>45040</c:v>
                </c:pt>
                <c:pt idx="242">
                  <c:v>45041</c:v>
                </c:pt>
                <c:pt idx="243">
                  <c:v>45042</c:v>
                </c:pt>
                <c:pt idx="244">
                  <c:v>45043</c:v>
                </c:pt>
                <c:pt idx="245">
                  <c:v>45044</c:v>
                </c:pt>
                <c:pt idx="246">
                  <c:v>45045</c:v>
                </c:pt>
                <c:pt idx="247">
                  <c:v>45046</c:v>
                </c:pt>
                <c:pt idx="249">
                  <c:v>45017</c:v>
                </c:pt>
                <c:pt idx="250">
                  <c:v>45018</c:v>
                </c:pt>
                <c:pt idx="251">
                  <c:v>45019</c:v>
                </c:pt>
                <c:pt idx="252">
                  <c:v>45020</c:v>
                </c:pt>
                <c:pt idx="253">
                  <c:v>45021</c:v>
                </c:pt>
                <c:pt idx="254">
                  <c:v>45022</c:v>
                </c:pt>
                <c:pt idx="255">
                  <c:v>45023</c:v>
                </c:pt>
                <c:pt idx="256">
                  <c:v>45024</c:v>
                </c:pt>
                <c:pt idx="257">
                  <c:v>45025</c:v>
                </c:pt>
                <c:pt idx="258">
                  <c:v>45026</c:v>
                </c:pt>
                <c:pt idx="259">
                  <c:v>45027</c:v>
                </c:pt>
                <c:pt idx="260">
                  <c:v>45028</c:v>
                </c:pt>
                <c:pt idx="261">
                  <c:v>45029</c:v>
                </c:pt>
                <c:pt idx="262">
                  <c:v>45030</c:v>
                </c:pt>
                <c:pt idx="263">
                  <c:v>45031</c:v>
                </c:pt>
                <c:pt idx="264">
                  <c:v>45032</c:v>
                </c:pt>
                <c:pt idx="265">
                  <c:v>45033</c:v>
                </c:pt>
                <c:pt idx="266">
                  <c:v>45034</c:v>
                </c:pt>
                <c:pt idx="267">
                  <c:v>45035</c:v>
                </c:pt>
                <c:pt idx="268">
                  <c:v>45036</c:v>
                </c:pt>
                <c:pt idx="269">
                  <c:v>45037</c:v>
                </c:pt>
                <c:pt idx="270">
                  <c:v>45038</c:v>
                </c:pt>
                <c:pt idx="271">
                  <c:v>45039</c:v>
                </c:pt>
                <c:pt idx="272">
                  <c:v>45040</c:v>
                </c:pt>
                <c:pt idx="273">
                  <c:v>45041</c:v>
                </c:pt>
                <c:pt idx="274">
                  <c:v>45042</c:v>
                </c:pt>
                <c:pt idx="275">
                  <c:v>45043</c:v>
                </c:pt>
                <c:pt idx="276">
                  <c:v>45044</c:v>
                </c:pt>
                <c:pt idx="277">
                  <c:v>45045</c:v>
                </c:pt>
                <c:pt idx="278">
                  <c:v>45046</c:v>
                </c:pt>
                <c:pt idx="280">
                  <c:v>45018</c:v>
                </c:pt>
                <c:pt idx="281">
                  <c:v>45019</c:v>
                </c:pt>
                <c:pt idx="282">
                  <c:v>45020</c:v>
                </c:pt>
                <c:pt idx="283">
                  <c:v>45021</c:v>
                </c:pt>
                <c:pt idx="284">
                  <c:v>45022</c:v>
                </c:pt>
                <c:pt idx="285">
                  <c:v>45023</c:v>
                </c:pt>
                <c:pt idx="286">
                  <c:v>45024</c:v>
                </c:pt>
                <c:pt idx="287">
                  <c:v>45025</c:v>
                </c:pt>
                <c:pt idx="288">
                  <c:v>45026</c:v>
                </c:pt>
                <c:pt idx="289">
                  <c:v>45027</c:v>
                </c:pt>
                <c:pt idx="290">
                  <c:v>45028</c:v>
                </c:pt>
                <c:pt idx="291">
                  <c:v>45029</c:v>
                </c:pt>
                <c:pt idx="292">
                  <c:v>45030</c:v>
                </c:pt>
                <c:pt idx="293">
                  <c:v>45031</c:v>
                </c:pt>
                <c:pt idx="294">
                  <c:v>45032</c:v>
                </c:pt>
                <c:pt idx="295">
                  <c:v>45033</c:v>
                </c:pt>
                <c:pt idx="296">
                  <c:v>45034</c:v>
                </c:pt>
                <c:pt idx="297">
                  <c:v>45035</c:v>
                </c:pt>
                <c:pt idx="298">
                  <c:v>45036</c:v>
                </c:pt>
                <c:pt idx="299">
                  <c:v>45037</c:v>
                </c:pt>
                <c:pt idx="300">
                  <c:v>45038</c:v>
                </c:pt>
                <c:pt idx="301">
                  <c:v>45039</c:v>
                </c:pt>
                <c:pt idx="302">
                  <c:v>45040</c:v>
                </c:pt>
                <c:pt idx="303">
                  <c:v>45041</c:v>
                </c:pt>
                <c:pt idx="304">
                  <c:v>45042</c:v>
                </c:pt>
                <c:pt idx="305">
                  <c:v>45043</c:v>
                </c:pt>
                <c:pt idx="306">
                  <c:v>45044</c:v>
                </c:pt>
                <c:pt idx="307">
                  <c:v>45045</c:v>
                </c:pt>
                <c:pt idx="308">
                  <c:v>45046</c:v>
                </c:pt>
                <c:pt idx="310">
                  <c:v>45017</c:v>
                </c:pt>
                <c:pt idx="311">
                  <c:v>45018</c:v>
                </c:pt>
                <c:pt idx="312">
                  <c:v>45019</c:v>
                </c:pt>
                <c:pt idx="313">
                  <c:v>45020</c:v>
                </c:pt>
                <c:pt idx="314">
                  <c:v>45021</c:v>
                </c:pt>
                <c:pt idx="315">
                  <c:v>45022</c:v>
                </c:pt>
                <c:pt idx="316">
                  <c:v>45023</c:v>
                </c:pt>
                <c:pt idx="317">
                  <c:v>45024</c:v>
                </c:pt>
                <c:pt idx="318">
                  <c:v>45025</c:v>
                </c:pt>
                <c:pt idx="319">
                  <c:v>45026</c:v>
                </c:pt>
                <c:pt idx="320">
                  <c:v>45027</c:v>
                </c:pt>
                <c:pt idx="321">
                  <c:v>45028</c:v>
                </c:pt>
                <c:pt idx="322">
                  <c:v>45029</c:v>
                </c:pt>
                <c:pt idx="323">
                  <c:v>45030</c:v>
                </c:pt>
                <c:pt idx="324">
                  <c:v>45031</c:v>
                </c:pt>
                <c:pt idx="325">
                  <c:v>45032</c:v>
                </c:pt>
                <c:pt idx="326">
                  <c:v>45033</c:v>
                </c:pt>
                <c:pt idx="327">
                  <c:v>45034</c:v>
                </c:pt>
                <c:pt idx="328">
                  <c:v>45035</c:v>
                </c:pt>
                <c:pt idx="329">
                  <c:v>45036</c:v>
                </c:pt>
                <c:pt idx="330">
                  <c:v>45037</c:v>
                </c:pt>
                <c:pt idx="331">
                  <c:v>45038</c:v>
                </c:pt>
                <c:pt idx="332">
                  <c:v>45039</c:v>
                </c:pt>
                <c:pt idx="333">
                  <c:v>45040</c:v>
                </c:pt>
                <c:pt idx="334">
                  <c:v>45041</c:v>
                </c:pt>
                <c:pt idx="335">
                  <c:v>45042</c:v>
                </c:pt>
                <c:pt idx="336">
                  <c:v>45043</c:v>
                </c:pt>
                <c:pt idx="337">
                  <c:v>45044</c:v>
                </c:pt>
                <c:pt idx="338">
                  <c:v>45045</c:v>
                </c:pt>
                <c:pt idx="339">
                  <c:v>45046</c:v>
                </c:pt>
                <c:pt idx="341">
                  <c:v>45018</c:v>
                </c:pt>
                <c:pt idx="342">
                  <c:v>45019</c:v>
                </c:pt>
                <c:pt idx="343">
                  <c:v>45020</c:v>
                </c:pt>
                <c:pt idx="344">
                  <c:v>45021</c:v>
                </c:pt>
                <c:pt idx="345">
                  <c:v>45022</c:v>
                </c:pt>
                <c:pt idx="346">
                  <c:v>45023</c:v>
                </c:pt>
                <c:pt idx="347">
                  <c:v>45024</c:v>
                </c:pt>
                <c:pt idx="348">
                  <c:v>45025</c:v>
                </c:pt>
                <c:pt idx="349">
                  <c:v>45026</c:v>
                </c:pt>
                <c:pt idx="350">
                  <c:v>45027</c:v>
                </c:pt>
                <c:pt idx="351">
                  <c:v>45028</c:v>
                </c:pt>
                <c:pt idx="352">
                  <c:v>45029</c:v>
                </c:pt>
                <c:pt idx="353">
                  <c:v>45030</c:v>
                </c:pt>
                <c:pt idx="354">
                  <c:v>45031</c:v>
                </c:pt>
                <c:pt idx="355">
                  <c:v>45032</c:v>
                </c:pt>
                <c:pt idx="356">
                  <c:v>45033</c:v>
                </c:pt>
                <c:pt idx="357">
                  <c:v>45034</c:v>
                </c:pt>
                <c:pt idx="358">
                  <c:v>45035</c:v>
                </c:pt>
                <c:pt idx="359">
                  <c:v>45036</c:v>
                </c:pt>
                <c:pt idx="360">
                  <c:v>45037</c:v>
                </c:pt>
                <c:pt idx="361">
                  <c:v>45038</c:v>
                </c:pt>
                <c:pt idx="362">
                  <c:v>45039</c:v>
                </c:pt>
                <c:pt idx="363">
                  <c:v>45040</c:v>
                </c:pt>
                <c:pt idx="364">
                  <c:v>45041</c:v>
                </c:pt>
                <c:pt idx="365">
                  <c:v>45042</c:v>
                </c:pt>
                <c:pt idx="366">
                  <c:v>45043</c:v>
                </c:pt>
                <c:pt idx="367">
                  <c:v>45044</c:v>
                </c:pt>
                <c:pt idx="368">
                  <c:v>45045</c:v>
                </c:pt>
                <c:pt idx="369">
                  <c:v>45046</c:v>
                </c:pt>
                <c:pt idx="371">
                  <c:v>45017</c:v>
                </c:pt>
                <c:pt idx="372">
                  <c:v>45018</c:v>
                </c:pt>
                <c:pt idx="373">
                  <c:v>45019</c:v>
                </c:pt>
                <c:pt idx="374">
                  <c:v>45020</c:v>
                </c:pt>
                <c:pt idx="375">
                  <c:v>45021</c:v>
                </c:pt>
                <c:pt idx="376">
                  <c:v>45022</c:v>
                </c:pt>
                <c:pt idx="377">
                  <c:v>45023</c:v>
                </c:pt>
                <c:pt idx="378">
                  <c:v>45024</c:v>
                </c:pt>
                <c:pt idx="379">
                  <c:v>45025</c:v>
                </c:pt>
                <c:pt idx="380">
                  <c:v>45026</c:v>
                </c:pt>
                <c:pt idx="381">
                  <c:v>45027</c:v>
                </c:pt>
                <c:pt idx="382">
                  <c:v>45028</c:v>
                </c:pt>
                <c:pt idx="383">
                  <c:v>45029</c:v>
                </c:pt>
                <c:pt idx="384">
                  <c:v>45030</c:v>
                </c:pt>
                <c:pt idx="385">
                  <c:v>45031</c:v>
                </c:pt>
                <c:pt idx="386">
                  <c:v>45032</c:v>
                </c:pt>
                <c:pt idx="387">
                  <c:v>45033</c:v>
                </c:pt>
                <c:pt idx="388">
                  <c:v>45034</c:v>
                </c:pt>
                <c:pt idx="389">
                  <c:v>45035</c:v>
                </c:pt>
                <c:pt idx="390">
                  <c:v>45036</c:v>
                </c:pt>
                <c:pt idx="391">
                  <c:v>45037</c:v>
                </c:pt>
                <c:pt idx="392">
                  <c:v>45038</c:v>
                </c:pt>
                <c:pt idx="393">
                  <c:v>45039</c:v>
                </c:pt>
                <c:pt idx="394">
                  <c:v>45040</c:v>
                </c:pt>
                <c:pt idx="395">
                  <c:v>45041</c:v>
                </c:pt>
                <c:pt idx="396">
                  <c:v>45042</c:v>
                </c:pt>
                <c:pt idx="397">
                  <c:v>45043</c:v>
                </c:pt>
                <c:pt idx="398">
                  <c:v>45044</c:v>
                </c:pt>
                <c:pt idx="399">
                  <c:v>45045</c:v>
                </c:pt>
                <c:pt idx="400">
                  <c:v>45046</c:v>
                </c:pt>
                <c:pt idx="402">
                  <c:v>45017</c:v>
                </c:pt>
                <c:pt idx="403">
                  <c:v>45018</c:v>
                </c:pt>
                <c:pt idx="404">
                  <c:v>45019</c:v>
                </c:pt>
                <c:pt idx="405">
                  <c:v>45020</c:v>
                </c:pt>
                <c:pt idx="406">
                  <c:v>45021</c:v>
                </c:pt>
                <c:pt idx="407">
                  <c:v>45022</c:v>
                </c:pt>
                <c:pt idx="408">
                  <c:v>45023</c:v>
                </c:pt>
                <c:pt idx="409">
                  <c:v>45024</c:v>
                </c:pt>
                <c:pt idx="410">
                  <c:v>45025</c:v>
                </c:pt>
                <c:pt idx="411">
                  <c:v>45026</c:v>
                </c:pt>
                <c:pt idx="412">
                  <c:v>45027</c:v>
                </c:pt>
                <c:pt idx="413">
                  <c:v>45028</c:v>
                </c:pt>
                <c:pt idx="414">
                  <c:v>45029</c:v>
                </c:pt>
                <c:pt idx="415">
                  <c:v>45030</c:v>
                </c:pt>
                <c:pt idx="416">
                  <c:v>45031</c:v>
                </c:pt>
                <c:pt idx="417">
                  <c:v>45032</c:v>
                </c:pt>
                <c:pt idx="418">
                  <c:v>45033</c:v>
                </c:pt>
                <c:pt idx="419">
                  <c:v>45034</c:v>
                </c:pt>
                <c:pt idx="420">
                  <c:v>45035</c:v>
                </c:pt>
                <c:pt idx="421">
                  <c:v>45036</c:v>
                </c:pt>
                <c:pt idx="422">
                  <c:v>45037</c:v>
                </c:pt>
                <c:pt idx="423">
                  <c:v>45038</c:v>
                </c:pt>
                <c:pt idx="424">
                  <c:v>45039</c:v>
                </c:pt>
                <c:pt idx="425">
                  <c:v>45040</c:v>
                </c:pt>
                <c:pt idx="426">
                  <c:v>45041</c:v>
                </c:pt>
                <c:pt idx="427">
                  <c:v>45042</c:v>
                </c:pt>
                <c:pt idx="428">
                  <c:v>45043</c:v>
                </c:pt>
                <c:pt idx="429">
                  <c:v>45044</c:v>
                </c:pt>
                <c:pt idx="430">
                  <c:v>45045</c:v>
                </c:pt>
                <c:pt idx="431">
                  <c:v>45046</c:v>
                </c:pt>
                <c:pt idx="433">
                  <c:v>45017</c:v>
                </c:pt>
                <c:pt idx="434">
                  <c:v>45018</c:v>
                </c:pt>
                <c:pt idx="435">
                  <c:v>45019</c:v>
                </c:pt>
                <c:pt idx="436">
                  <c:v>45020</c:v>
                </c:pt>
                <c:pt idx="437">
                  <c:v>45021</c:v>
                </c:pt>
                <c:pt idx="438">
                  <c:v>45022</c:v>
                </c:pt>
                <c:pt idx="439">
                  <c:v>45023</c:v>
                </c:pt>
                <c:pt idx="440">
                  <c:v>45024</c:v>
                </c:pt>
                <c:pt idx="441">
                  <c:v>45025</c:v>
                </c:pt>
                <c:pt idx="442">
                  <c:v>45026</c:v>
                </c:pt>
                <c:pt idx="443">
                  <c:v>45027</c:v>
                </c:pt>
                <c:pt idx="444">
                  <c:v>45028</c:v>
                </c:pt>
                <c:pt idx="445">
                  <c:v>45029</c:v>
                </c:pt>
                <c:pt idx="446">
                  <c:v>45030</c:v>
                </c:pt>
                <c:pt idx="447">
                  <c:v>45031</c:v>
                </c:pt>
                <c:pt idx="448">
                  <c:v>45032</c:v>
                </c:pt>
                <c:pt idx="449">
                  <c:v>45033</c:v>
                </c:pt>
                <c:pt idx="450">
                  <c:v>45034</c:v>
                </c:pt>
                <c:pt idx="451">
                  <c:v>45035</c:v>
                </c:pt>
                <c:pt idx="452">
                  <c:v>45036</c:v>
                </c:pt>
                <c:pt idx="453">
                  <c:v>45037</c:v>
                </c:pt>
                <c:pt idx="454">
                  <c:v>45039</c:v>
                </c:pt>
                <c:pt idx="455">
                  <c:v>45040</c:v>
                </c:pt>
                <c:pt idx="456">
                  <c:v>45041</c:v>
                </c:pt>
                <c:pt idx="457">
                  <c:v>45042</c:v>
                </c:pt>
                <c:pt idx="458">
                  <c:v>45043</c:v>
                </c:pt>
                <c:pt idx="459">
                  <c:v>45044</c:v>
                </c:pt>
                <c:pt idx="460">
                  <c:v>45045</c:v>
                </c:pt>
                <c:pt idx="461">
                  <c:v>45046</c:v>
                </c:pt>
                <c:pt idx="463">
                  <c:v>45018</c:v>
                </c:pt>
                <c:pt idx="464">
                  <c:v>45019</c:v>
                </c:pt>
                <c:pt idx="465">
                  <c:v>45020</c:v>
                </c:pt>
                <c:pt idx="466">
                  <c:v>45021</c:v>
                </c:pt>
                <c:pt idx="467">
                  <c:v>45022</c:v>
                </c:pt>
                <c:pt idx="468">
                  <c:v>45023</c:v>
                </c:pt>
                <c:pt idx="469">
                  <c:v>45024</c:v>
                </c:pt>
                <c:pt idx="470">
                  <c:v>45025</c:v>
                </c:pt>
                <c:pt idx="471">
                  <c:v>45026</c:v>
                </c:pt>
                <c:pt idx="472">
                  <c:v>45027</c:v>
                </c:pt>
                <c:pt idx="473">
                  <c:v>45028</c:v>
                </c:pt>
                <c:pt idx="474">
                  <c:v>45029</c:v>
                </c:pt>
                <c:pt idx="475">
                  <c:v>45030</c:v>
                </c:pt>
                <c:pt idx="476">
                  <c:v>45031</c:v>
                </c:pt>
                <c:pt idx="477">
                  <c:v>45032</c:v>
                </c:pt>
                <c:pt idx="478">
                  <c:v>45033</c:v>
                </c:pt>
                <c:pt idx="479">
                  <c:v>45034</c:v>
                </c:pt>
                <c:pt idx="480">
                  <c:v>45035</c:v>
                </c:pt>
                <c:pt idx="481">
                  <c:v>45036</c:v>
                </c:pt>
                <c:pt idx="482">
                  <c:v>45037</c:v>
                </c:pt>
                <c:pt idx="483">
                  <c:v>45038</c:v>
                </c:pt>
                <c:pt idx="484">
                  <c:v>45039</c:v>
                </c:pt>
                <c:pt idx="485">
                  <c:v>45040</c:v>
                </c:pt>
                <c:pt idx="486">
                  <c:v>45041</c:v>
                </c:pt>
                <c:pt idx="487">
                  <c:v>45042</c:v>
                </c:pt>
                <c:pt idx="488">
                  <c:v>45043</c:v>
                </c:pt>
                <c:pt idx="489">
                  <c:v>45044</c:v>
                </c:pt>
                <c:pt idx="490">
                  <c:v>45045</c:v>
                </c:pt>
                <c:pt idx="491">
                  <c:v>45046</c:v>
                </c:pt>
                <c:pt idx="493">
                  <c:v>45017</c:v>
                </c:pt>
                <c:pt idx="494">
                  <c:v>45018</c:v>
                </c:pt>
                <c:pt idx="495">
                  <c:v>45019</c:v>
                </c:pt>
                <c:pt idx="496">
                  <c:v>45020</c:v>
                </c:pt>
                <c:pt idx="497">
                  <c:v>45021</c:v>
                </c:pt>
                <c:pt idx="498">
                  <c:v>45022</c:v>
                </c:pt>
                <c:pt idx="499">
                  <c:v>45023</c:v>
                </c:pt>
                <c:pt idx="500">
                  <c:v>45024</c:v>
                </c:pt>
                <c:pt idx="501">
                  <c:v>45025</c:v>
                </c:pt>
                <c:pt idx="502">
                  <c:v>45026</c:v>
                </c:pt>
                <c:pt idx="503">
                  <c:v>45027</c:v>
                </c:pt>
                <c:pt idx="504">
                  <c:v>45028</c:v>
                </c:pt>
                <c:pt idx="505">
                  <c:v>45029</c:v>
                </c:pt>
                <c:pt idx="506">
                  <c:v>45030</c:v>
                </c:pt>
                <c:pt idx="507">
                  <c:v>45031</c:v>
                </c:pt>
                <c:pt idx="508">
                  <c:v>45032</c:v>
                </c:pt>
                <c:pt idx="509">
                  <c:v>45033</c:v>
                </c:pt>
                <c:pt idx="510">
                  <c:v>45034</c:v>
                </c:pt>
                <c:pt idx="511">
                  <c:v>45035</c:v>
                </c:pt>
                <c:pt idx="512">
                  <c:v>45036</c:v>
                </c:pt>
                <c:pt idx="513">
                  <c:v>45037</c:v>
                </c:pt>
                <c:pt idx="514">
                  <c:v>45038</c:v>
                </c:pt>
                <c:pt idx="515">
                  <c:v>45039</c:v>
                </c:pt>
                <c:pt idx="516">
                  <c:v>45040</c:v>
                </c:pt>
                <c:pt idx="517">
                  <c:v>45041</c:v>
                </c:pt>
                <c:pt idx="518">
                  <c:v>45042</c:v>
                </c:pt>
                <c:pt idx="519">
                  <c:v>45043</c:v>
                </c:pt>
                <c:pt idx="520">
                  <c:v>45044</c:v>
                </c:pt>
                <c:pt idx="521">
                  <c:v>45045</c:v>
                </c:pt>
                <c:pt idx="522">
                  <c:v>45046</c:v>
                </c:pt>
                <c:pt idx="524">
                  <c:v>45018</c:v>
                </c:pt>
                <c:pt idx="525">
                  <c:v>45019</c:v>
                </c:pt>
                <c:pt idx="526">
                  <c:v>45020</c:v>
                </c:pt>
                <c:pt idx="527">
                  <c:v>45021</c:v>
                </c:pt>
                <c:pt idx="528">
                  <c:v>45022</c:v>
                </c:pt>
                <c:pt idx="529">
                  <c:v>45023</c:v>
                </c:pt>
                <c:pt idx="530">
                  <c:v>45024</c:v>
                </c:pt>
                <c:pt idx="531">
                  <c:v>45025</c:v>
                </c:pt>
                <c:pt idx="532">
                  <c:v>45026</c:v>
                </c:pt>
                <c:pt idx="533">
                  <c:v>45027</c:v>
                </c:pt>
                <c:pt idx="534">
                  <c:v>45028</c:v>
                </c:pt>
                <c:pt idx="535">
                  <c:v>45029</c:v>
                </c:pt>
                <c:pt idx="536">
                  <c:v>45030</c:v>
                </c:pt>
                <c:pt idx="537">
                  <c:v>45031</c:v>
                </c:pt>
                <c:pt idx="538">
                  <c:v>45032</c:v>
                </c:pt>
                <c:pt idx="539">
                  <c:v>45033</c:v>
                </c:pt>
                <c:pt idx="540">
                  <c:v>45034</c:v>
                </c:pt>
                <c:pt idx="541">
                  <c:v>45035</c:v>
                </c:pt>
                <c:pt idx="542">
                  <c:v>45036</c:v>
                </c:pt>
                <c:pt idx="543">
                  <c:v>45037</c:v>
                </c:pt>
                <c:pt idx="544">
                  <c:v>45038</c:v>
                </c:pt>
                <c:pt idx="545">
                  <c:v>45039</c:v>
                </c:pt>
                <c:pt idx="546">
                  <c:v>45040</c:v>
                </c:pt>
                <c:pt idx="547">
                  <c:v>45041</c:v>
                </c:pt>
                <c:pt idx="548">
                  <c:v>45042</c:v>
                </c:pt>
                <c:pt idx="549">
                  <c:v>45043</c:v>
                </c:pt>
                <c:pt idx="550">
                  <c:v>45044</c:v>
                </c:pt>
                <c:pt idx="551">
                  <c:v>45045</c:v>
                </c:pt>
                <c:pt idx="552">
                  <c:v>45046</c:v>
                </c:pt>
                <c:pt idx="554">
                  <c:v>45018</c:v>
                </c:pt>
                <c:pt idx="555">
                  <c:v>45019</c:v>
                </c:pt>
                <c:pt idx="556">
                  <c:v>45020</c:v>
                </c:pt>
                <c:pt idx="557">
                  <c:v>45021</c:v>
                </c:pt>
                <c:pt idx="558">
                  <c:v>45022</c:v>
                </c:pt>
                <c:pt idx="559">
                  <c:v>45023</c:v>
                </c:pt>
                <c:pt idx="560">
                  <c:v>45024</c:v>
                </c:pt>
                <c:pt idx="561">
                  <c:v>45025</c:v>
                </c:pt>
                <c:pt idx="562">
                  <c:v>45026</c:v>
                </c:pt>
                <c:pt idx="563">
                  <c:v>45027</c:v>
                </c:pt>
                <c:pt idx="564">
                  <c:v>45028</c:v>
                </c:pt>
                <c:pt idx="565">
                  <c:v>45029</c:v>
                </c:pt>
                <c:pt idx="566">
                  <c:v>45030</c:v>
                </c:pt>
                <c:pt idx="567">
                  <c:v>45031</c:v>
                </c:pt>
                <c:pt idx="568">
                  <c:v>45032</c:v>
                </c:pt>
                <c:pt idx="569">
                  <c:v>45033</c:v>
                </c:pt>
                <c:pt idx="570">
                  <c:v>45034</c:v>
                </c:pt>
                <c:pt idx="571">
                  <c:v>45035</c:v>
                </c:pt>
                <c:pt idx="572">
                  <c:v>45036</c:v>
                </c:pt>
                <c:pt idx="573">
                  <c:v>45037</c:v>
                </c:pt>
                <c:pt idx="574">
                  <c:v>45038</c:v>
                </c:pt>
                <c:pt idx="575">
                  <c:v>45039</c:v>
                </c:pt>
                <c:pt idx="576">
                  <c:v>45040</c:v>
                </c:pt>
                <c:pt idx="577">
                  <c:v>45041</c:v>
                </c:pt>
                <c:pt idx="578">
                  <c:v>45042</c:v>
                </c:pt>
                <c:pt idx="579">
                  <c:v>45043</c:v>
                </c:pt>
                <c:pt idx="580">
                  <c:v>45044</c:v>
                </c:pt>
                <c:pt idx="581">
                  <c:v>45045</c:v>
                </c:pt>
                <c:pt idx="582">
                  <c:v>45046</c:v>
                </c:pt>
                <c:pt idx="584">
                  <c:v>45018</c:v>
                </c:pt>
                <c:pt idx="585">
                  <c:v>45019</c:v>
                </c:pt>
                <c:pt idx="586">
                  <c:v>45020</c:v>
                </c:pt>
                <c:pt idx="587">
                  <c:v>45021</c:v>
                </c:pt>
                <c:pt idx="588">
                  <c:v>45022</c:v>
                </c:pt>
                <c:pt idx="589">
                  <c:v>45023</c:v>
                </c:pt>
                <c:pt idx="590">
                  <c:v>45024</c:v>
                </c:pt>
                <c:pt idx="591">
                  <c:v>45025</c:v>
                </c:pt>
                <c:pt idx="592">
                  <c:v>45026</c:v>
                </c:pt>
                <c:pt idx="593">
                  <c:v>45027</c:v>
                </c:pt>
                <c:pt idx="594">
                  <c:v>45028</c:v>
                </c:pt>
                <c:pt idx="595">
                  <c:v>45029</c:v>
                </c:pt>
                <c:pt idx="596">
                  <c:v>45030</c:v>
                </c:pt>
                <c:pt idx="597">
                  <c:v>45031</c:v>
                </c:pt>
                <c:pt idx="598">
                  <c:v>45032</c:v>
                </c:pt>
                <c:pt idx="599">
                  <c:v>45033</c:v>
                </c:pt>
                <c:pt idx="600">
                  <c:v>45034</c:v>
                </c:pt>
                <c:pt idx="601">
                  <c:v>45035</c:v>
                </c:pt>
                <c:pt idx="602">
                  <c:v>45036</c:v>
                </c:pt>
                <c:pt idx="603">
                  <c:v>45037</c:v>
                </c:pt>
                <c:pt idx="604">
                  <c:v>45038</c:v>
                </c:pt>
                <c:pt idx="605">
                  <c:v>45039</c:v>
                </c:pt>
                <c:pt idx="606">
                  <c:v>45040</c:v>
                </c:pt>
                <c:pt idx="607">
                  <c:v>45041</c:v>
                </c:pt>
                <c:pt idx="608">
                  <c:v>45042</c:v>
                </c:pt>
                <c:pt idx="609">
                  <c:v>45043</c:v>
                </c:pt>
                <c:pt idx="610">
                  <c:v>45044</c:v>
                </c:pt>
                <c:pt idx="611">
                  <c:v>45045</c:v>
                </c:pt>
                <c:pt idx="612">
                  <c:v>45046</c:v>
                </c:pt>
                <c:pt idx="614">
                  <c:v>45018</c:v>
                </c:pt>
                <c:pt idx="615">
                  <c:v>45019</c:v>
                </c:pt>
                <c:pt idx="616">
                  <c:v>45020</c:v>
                </c:pt>
                <c:pt idx="617">
                  <c:v>45021</c:v>
                </c:pt>
                <c:pt idx="618">
                  <c:v>45022</c:v>
                </c:pt>
                <c:pt idx="619">
                  <c:v>45023</c:v>
                </c:pt>
                <c:pt idx="620">
                  <c:v>45024</c:v>
                </c:pt>
                <c:pt idx="621">
                  <c:v>45025</c:v>
                </c:pt>
                <c:pt idx="622">
                  <c:v>45026</c:v>
                </c:pt>
                <c:pt idx="623">
                  <c:v>45027</c:v>
                </c:pt>
                <c:pt idx="624">
                  <c:v>45028</c:v>
                </c:pt>
                <c:pt idx="625">
                  <c:v>45029</c:v>
                </c:pt>
                <c:pt idx="626">
                  <c:v>45030</c:v>
                </c:pt>
                <c:pt idx="627">
                  <c:v>45031</c:v>
                </c:pt>
                <c:pt idx="628">
                  <c:v>45032</c:v>
                </c:pt>
                <c:pt idx="629">
                  <c:v>45033</c:v>
                </c:pt>
                <c:pt idx="630">
                  <c:v>45034</c:v>
                </c:pt>
                <c:pt idx="631">
                  <c:v>45035</c:v>
                </c:pt>
                <c:pt idx="632">
                  <c:v>45036</c:v>
                </c:pt>
                <c:pt idx="633">
                  <c:v>45037</c:v>
                </c:pt>
                <c:pt idx="634">
                  <c:v>45038</c:v>
                </c:pt>
                <c:pt idx="635">
                  <c:v>45039</c:v>
                </c:pt>
                <c:pt idx="636">
                  <c:v>45040</c:v>
                </c:pt>
                <c:pt idx="637">
                  <c:v>45041</c:v>
                </c:pt>
                <c:pt idx="638">
                  <c:v>45042</c:v>
                </c:pt>
                <c:pt idx="639">
                  <c:v>45043</c:v>
                </c:pt>
                <c:pt idx="640">
                  <c:v>45044</c:v>
                </c:pt>
                <c:pt idx="641">
                  <c:v>45045</c:v>
                </c:pt>
                <c:pt idx="642">
                  <c:v>45046</c:v>
                </c:pt>
                <c:pt idx="644">
                  <c:v>45018</c:v>
                </c:pt>
                <c:pt idx="645">
                  <c:v>45019</c:v>
                </c:pt>
                <c:pt idx="646">
                  <c:v>45020</c:v>
                </c:pt>
                <c:pt idx="647">
                  <c:v>45021</c:v>
                </c:pt>
                <c:pt idx="648">
                  <c:v>45022</c:v>
                </c:pt>
                <c:pt idx="649">
                  <c:v>45023</c:v>
                </c:pt>
                <c:pt idx="650">
                  <c:v>45024</c:v>
                </c:pt>
                <c:pt idx="651">
                  <c:v>45025</c:v>
                </c:pt>
                <c:pt idx="652">
                  <c:v>45026</c:v>
                </c:pt>
                <c:pt idx="653">
                  <c:v>45027</c:v>
                </c:pt>
                <c:pt idx="654">
                  <c:v>45028</c:v>
                </c:pt>
                <c:pt idx="655">
                  <c:v>45029</c:v>
                </c:pt>
                <c:pt idx="656">
                  <c:v>45030</c:v>
                </c:pt>
                <c:pt idx="657">
                  <c:v>45031</c:v>
                </c:pt>
                <c:pt idx="658">
                  <c:v>45032</c:v>
                </c:pt>
                <c:pt idx="659">
                  <c:v>45033</c:v>
                </c:pt>
                <c:pt idx="660">
                  <c:v>45034</c:v>
                </c:pt>
                <c:pt idx="661">
                  <c:v>45035</c:v>
                </c:pt>
                <c:pt idx="662">
                  <c:v>45036</c:v>
                </c:pt>
                <c:pt idx="663">
                  <c:v>45037</c:v>
                </c:pt>
                <c:pt idx="664">
                  <c:v>45038</c:v>
                </c:pt>
                <c:pt idx="665">
                  <c:v>45039</c:v>
                </c:pt>
                <c:pt idx="666">
                  <c:v>45040</c:v>
                </c:pt>
                <c:pt idx="667">
                  <c:v>45041</c:v>
                </c:pt>
                <c:pt idx="668">
                  <c:v>45042</c:v>
                </c:pt>
                <c:pt idx="669">
                  <c:v>45043</c:v>
                </c:pt>
                <c:pt idx="670">
                  <c:v>45044</c:v>
                </c:pt>
                <c:pt idx="671">
                  <c:v>45045</c:v>
                </c:pt>
                <c:pt idx="672">
                  <c:v>45046</c:v>
                </c:pt>
                <c:pt idx="674">
                  <c:v>45018</c:v>
                </c:pt>
                <c:pt idx="675">
                  <c:v>45019</c:v>
                </c:pt>
                <c:pt idx="676">
                  <c:v>45020</c:v>
                </c:pt>
                <c:pt idx="677">
                  <c:v>45021</c:v>
                </c:pt>
                <c:pt idx="678">
                  <c:v>45022</c:v>
                </c:pt>
                <c:pt idx="679">
                  <c:v>45023</c:v>
                </c:pt>
                <c:pt idx="680">
                  <c:v>45024</c:v>
                </c:pt>
                <c:pt idx="681">
                  <c:v>45025</c:v>
                </c:pt>
                <c:pt idx="682">
                  <c:v>45026</c:v>
                </c:pt>
                <c:pt idx="683">
                  <c:v>45027</c:v>
                </c:pt>
                <c:pt idx="684">
                  <c:v>45028</c:v>
                </c:pt>
                <c:pt idx="685">
                  <c:v>45029</c:v>
                </c:pt>
                <c:pt idx="686">
                  <c:v>45030</c:v>
                </c:pt>
                <c:pt idx="687">
                  <c:v>45031</c:v>
                </c:pt>
                <c:pt idx="688">
                  <c:v>45032</c:v>
                </c:pt>
                <c:pt idx="689">
                  <c:v>45033</c:v>
                </c:pt>
                <c:pt idx="690">
                  <c:v>45034</c:v>
                </c:pt>
                <c:pt idx="691">
                  <c:v>45035</c:v>
                </c:pt>
                <c:pt idx="692">
                  <c:v>45036</c:v>
                </c:pt>
                <c:pt idx="693">
                  <c:v>45037</c:v>
                </c:pt>
                <c:pt idx="694">
                  <c:v>45038</c:v>
                </c:pt>
                <c:pt idx="695">
                  <c:v>45039</c:v>
                </c:pt>
                <c:pt idx="696">
                  <c:v>45040</c:v>
                </c:pt>
                <c:pt idx="697">
                  <c:v>45041</c:v>
                </c:pt>
                <c:pt idx="698">
                  <c:v>45042</c:v>
                </c:pt>
                <c:pt idx="699">
                  <c:v>45043</c:v>
                </c:pt>
                <c:pt idx="700">
                  <c:v>45044</c:v>
                </c:pt>
                <c:pt idx="701">
                  <c:v>45045</c:v>
                </c:pt>
                <c:pt idx="702">
                  <c:v>45046</c:v>
                </c:pt>
                <c:pt idx="704">
                  <c:v>45018</c:v>
                </c:pt>
                <c:pt idx="705">
                  <c:v>45019</c:v>
                </c:pt>
                <c:pt idx="706">
                  <c:v>45020</c:v>
                </c:pt>
                <c:pt idx="707">
                  <c:v>45021</c:v>
                </c:pt>
                <c:pt idx="708">
                  <c:v>45022</c:v>
                </c:pt>
                <c:pt idx="709">
                  <c:v>45023</c:v>
                </c:pt>
                <c:pt idx="710">
                  <c:v>45024</c:v>
                </c:pt>
                <c:pt idx="711">
                  <c:v>45025</c:v>
                </c:pt>
                <c:pt idx="712">
                  <c:v>45026</c:v>
                </c:pt>
                <c:pt idx="713">
                  <c:v>45027</c:v>
                </c:pt>
                <c:pt idx="714">
                  <c:v>45028</c:v>
                </c:pt>
                <c:pt idx="715">
                  <c:v>45029</c:v>
                </c:pt>
                <c:pt idx="716">
                  <c:v>45030</c:v>
                </c:pt>
                <c:pt idx="717">
                  <c:v>45031</c:v>
                </c:pt>
                <c:pt idx="718">
                  <c:v>45032</c:v>
                </c:pt>
                <c:pt idx="719">
                  <c:v>45033</c:v>
                </c:pt>
                <c:pt idx="720">
                  <c:v>45034</c:v>
                </c:pt>
                <c:pt idx="721">
                  <c:v>45035</c:v>
                </c:pt>
                <c:pt idx="722">
                  <c:v>45036</c:v>
                </c:pt>
                <c:pt idx="723">
                  <c:v>45037</c:v>
                </c:pt>
                <c:pt idx="724">
                  <c:v>45038</c:v>
                </c:pt>
                <c:pt idx="725">
                  <c:v>45039</c:v>
                </c:pt>
                <c:pt idx="726">
                  <c:v>45040</c:v>
                </c:pt>
                <c:pt idx="727">
                  <c:v>45041</c:v>
                </c:pt>
                <c:pt idx="728">
                  <c:v>45042</c:v>
                </c:pt>
                <c:pt idx="729">
                  <c:v>45043</c:v>
                </c:pt>
                <c:pt idx="730">
                  <c:v>45044</c:v>
                </c:pt>
                <c:pt idx="731">
                  <c:v>45045</c:v>
                </c:pt>
                <c:pt idx="732">
                  <c:v>45046</c:v>
                </c:pt>
                <c:pt idx="734">
                  <c:v>45018</c:v>
                </c:pt>
                <c:pt idx="735">
                  <c:v>45019</c:v>
                </c:pt>
                <c:pt idx="736">
                  <c:v>45020</c:v>
                </c:pt>
                <c:pt idx="737">
                  <c:v>45021</c:v>
                </c:pt>
                <c:pt idx="738">
                  <c:v>45022</c:v>
                </c:pt>
                <c:pt idx="739">
                  <c:v>45023</c:v>
                </c:pt>
                <c:pt idx="740">
                  <c:v>45024</c:v>
                </c:pt>
                <c:pt idx="741">
                  <c:v>45025</c:v>
                </c:pt>
                <c:pt idx="742">
                  <c:v>45026</c:v>
                </c:pt>
                <c:pt idx="743">
                  <c:v>45027</c:v>
                </c:pt>
                <c:pt idx="744">
                  <c:v>45028</c:v>
                </c:pt>
                <c:pt idx="745">
                  <c:v>45029</c:v>
                </c:pt>
                <c:pt idx="746">
                  <c:v>45030</c:v>
                </c:pt>
                <c:pt idx="747">
                  <c:v>45031</c:v>
                </c:pt>
                <c:pt idx="748">
                  <c:v>45032</c:v>
                </c:pt>
                <c:pt idx="749">
                  <c:v>45033</c:v>
                </c:pt>
                <c:pt idx="750">
                  <c:v>45034</c:v>
                </c:pt>
                <c:pt idx="751">
                  <c:v>45035</c:v>
                </c:pt>
                <c:pt idx="752">
                  <c:v>45036</c:v>
                </c:pt>
                <c:pt idx="753">
                  <c:v>45037</c:v>
                </c:pt>
                <c:pt idx="754">
                  <c:v>45038</c:v>
                </c:pt>
                <c:pt idx="755">
                  <c:v>45039</c:v>
                </c:pt>
                <c:pt idx="756">
                  <c:v>45040</c:v>
                </c:pt>
                <c:pt idx="757">
                  <c:v>45041</c:v>
                </c:pt>
                <c:pt idx="758">
                  <c:v>45042</c:v>
                </c:pt>
                <c:pt idx="759">
                  <c:v>45043</c:v>
                </c:pt>
                <c:pt idx="760">
                  <c:v>45044</c:v>
                </c:pt>
                <c:pt idx="761">
                  <c:v>45045</c:v>
                </c:pt>
                <c:pt idx="762">
                  <c:v>45046</c:v>
                </c:pt>
                <c:pt idx="764">
                  <c:v>45018</c:v>
                </c:pt>
                <c:pt idx="765">
                  <c:v>45019</c:v>
                </c:pt>
                <c:pt idx="766">
                  <c:v>45020</c:v>
                </c:pt>
                <c:pt idx="767">
                  <c:v>45021</c:v>
                </c:pt>
                <c:pt idx="768">
                  <c:v>45022</c:v>
                </c:pt>
                <c:pt idx="769">
                  <c:v>45023</c:v>
                </c:pt>
                <c:pt idx="770">
                  <c:v>45024</c:v>
                </c:pt>
                <c:pt idx="771">
                  <c:v>45025</c:v>
                </c:pt>
                <c:pt idx="772">
                  <c:v>45026</c:v>
                </c:pt>
                <c:pt idx="773">
                  <c:v>45027</c:v>
                </c:pt>
                <c:pt idx="774">
                  <c:v>45028</c:v>
                </c:pt>
                <c:pt idx="775">
                  <c:v>45029</c:v>
                </c:pt>
                <c:pt idx="776">
                  <c:v>45030</c:v>
                </c:pt>
                <c:pt idx="777">
                  <c:v>45031</c:v>
                </c:pt>
                <c:pt idx="778">
                  <c:v>45032</c:v>
                </c:pt>
                <c:pt idx="779">
                  <c:v>45033</c:v>
                </c:pt>
                <c:pt idx="780">
                  <c:v>45034</c:v>
                </c:pt>
                <c:pt idx="781">
                  <c:v>45035</c:v>
                </c:pt>
                <c:pt idx="782">
                  <c:v>45036</c:v>
                </c:pt>
                <c:pt idx="783">
                  <c:v>45037</c:v>
                </c:pt>
                <c:pt idx="784">
                  <c:v>45038</c:v>
                </c:pt>
                <c:pt idx="785">
                  <c:v>45039</c:v>
                </c:pt>
                <c:pt idx="786">
                  <c:v>45040</c:v>
                </c:pt>
                <c:pt idx="787">
                  <c:v>45041</c:v>
                </c:pt>
                <c:pt idx="788">
                  <c:v>45042</c:v>
                </c:pt>
                <c:pt idx="789">
                  <c:v>45043</c:v>
                </c:pt>
                <c:pt idx="790">
                  <c:v>45044</c:v>
                </c:pt>
                <c:pt idx="791">
                  <c:v>45045</c:v>
                </c:pt>
                <c:pt idx="792">
                  <c:v>45046</c:v>
                </c:pt>
                <c:pt idx="794">
                  <c:v>45018</c:v>
                </c:pt>
                <c:pt idx="795">
                  <c:v>45019</c:v>
                </c:pt>
                <c:pt idx="796">
                  <c:v>45020</c:v>
                </c:pt>
                <c:pt idx="797">
                  <c:v>45021</c:v>
                </c:pt>
                <c:pt idx="798">
                  <c:v>45022</c:v>
                </c:pt>
                <c:pt idx="799">
                  <c:v>45023</c:v>
                </c:pt>
                <c:pt idx="800">
                  <c:v>45024</c:v>
                </c:pt>
                <c:pt idx="801">
                  <c:v>45025</c:v>
                </c:pt>
                <c:pt idx="802">
                  <c:v>45026</c:v>
                </c:pt>
                <c:pt idx="803">
                  <c:v>45027</c:v>
                </c:pt>
                <c:pt idx="804">
                  <c:v>45028</c:v>
                </c:pt>
                <c:pt idx="805">
                  <c:v>45029</c:v>
                </c:pt>
                <c:pt idx="806">
                  <c:v>45030</c:v>
                </c:pt>
                <c:pt idx="807">
                  <c:v>45031</c:v>
                </c:pt>
                <c:pt idx="808">
                  <c:v>45032</c:v>
                </c:pt>
                <c:pt idx="809">
                  <c:v>45033</c:v>
                </c:pt>
                <c:pt idx="810">
                  <c:v>45034</c:v>
                </c:pt>
                <c:pt idx="811">
                  <c:v>45035</c:v>
                </c:pt>
                <c:pt idx="812">
                  <c:v>45036</c:v>
                </c:pt>
                <c:pt idx="813">
                  <c:v>45037</c:v>
                </c:pt>
                <c:pt idx="814">
                  <c:v>45038</c:v>
                </c:pt>
                <c:pt idx="815">
                  <c:v>45039</c:v>
                </c:pt>
                <c:pt idx="816">
                  <c:v>45040</c:v>
                </c:pt>
                <c:pt idx="817">
                  <c:v>45041</c:v>
                </c:pt>
                <c:pt idx="818">
                  <c:v>45042</c:v>
                </c:pt>
                <c:pt idx="819">
                  <c:v>45043</c:v>
                </c:pt>
                <c:pt idx="820">
                  <c:v>45044</c:v>
                </c:pt>
                <c:pt idx="821">
                  <c:v>45045</c:v>
                </c:pt>
                <c:pt idx="822">
                  <c:v>45046</c:v>
                </c:pt>
                <c:pt idx="824">
                  <c:v>45018</c:v>
                </c:pt>
                <c:pt idx="825">
                  <c:v>45019</c:v>
                </c:pt>
                <c:pt idx="826">
                  <c:v>45020</c:v>
                </c:pt>
                <c:pt idx="827">
                  <c:v>45021</c:v>
                </c:pt>
                <c:pt idx="828">
                  <c:v>45022</c:v>
                </c:pt>
                <c:pt idx="829">
                  <c:v>45023</c:v>
                </c:pt>
                <c:pt idx="830">
                  <c:v>45024</c:v>
                </c:pt>
                <c:pt idx="831">
                  <c:v>45025</c:v>
                </c:pt>
                <c:pt idx="832">
                  <c:v>45026</c:v>
                </c:pt>
                <c:pt idx="833">
                  <c:v>45027</c:v>
                </c:pt>
                <c:pt idx="834">
                  <c:v>45028</c:v>
                </c:pt>
                <c:pt idx="835">
                  <c:v>45029</c:v>
                </c:pt>
                <c:pt idx="836">
                  <c:v>45030</c:v>
                </c:pt>
                <c:pt idx="837">
                  <c:v>45031</c:v>
                </c:pt>
                <c:pt idx="838">
                  <c:v>45032</c:v>
                </c:pt>
                <c:pt idx="839">
                  <c:v>45033</c:v>
                </c:pt>
                <c:pt idx="840">
                  <c:v>45034</c:v>
                </c:pt>
                <c:pt idx="841">
                  <c:v>45035</c:v>
                </c:pt>
                <c:pt idx="842">
                  <c:v>45036</c:v>
                </c:pt>
                <c:pt idx="843">
                  <c:v>45037</c:v>
                </c:pt>
                <c:pt idx="844">
                  <c:v>45038</c:v>
                </c:pt>
                <c:pt idx="845">
                  <c:v>45039</c:v>
                </c:pt>
                <c:pt idx="846">
                  <c:v>45040</c:v>
                </c:pt>
                <c:pt idx="847">
                  <c:v>45041</c:v>
                </c:pt>
                <c:pt idx="848">
                  <c:v>45042</c:v>
                </c:pt>
                <c:pt idx="849">
                  <c:v>45043</c:v>
                </c:pt>
                <c:pt idx="850">
                  <c:v>45044</c:v>
                </c:pt>
                <c:pt idx="851">
                  <c:v>45045</c:v>
                </c:pt>
                <c:pt idx="852">
                  <c:v>45046</c:v>
                </c:pt>
                <c:pt idx="854">
                  <c:v>45047</c:v>
                </c:pt>
                <c:pt idx="855">
                  <c:v>45048</c:v>
                </c:pt>
                <c:pt idx="856">
                  <c:v>45049</c:v>
                </c:pt>
                <c:pt idx="857">
                  <c:v>45050</c:v>
                </c:pt>
                <c:pt idx="858">
                  <c:v>45051</c:v>
                </c:pt>
                <c:pt idx="859">
                  <c:v>45052</c:v>
                </c:pt>
                <c:pt idx="860">
                  <c:v>45053</c:v>
                </c:pt>
                <c:pt idx="861">
                  <c:v>45054</c:v>
                </c:pt>
                <c:pt idx="862">
                  <c:v>45055</c:v>
                </c:pt>
                <c:pt idx="863">
                  <c:v>45056</c:v>
                </c:pt>
                <c:pt idx="864">
                  <c:v>45057</c:v>
                </c:pt>
                <c:pt idx="865">
                  <c:v>45058</c:v>
                </c:pt>
                <c:pt idx="866">
                  <c:v>45059</c:v>
                </c:pt>
                <c:pt idx="867">
                  <c:v>45060</c:v>
                </c:pt>
                <c:pt idx="868">
                  <c:v>45061</c:v>
                </c:pt>
                <c:pt idx="869">
                  <c:v>45062</c:v>
                </c:pt>
                <c:pt idx="870">
                  <c:v>45063</c:v>
                </c:pt>
                <c:pt idx="871">
                  <c:v>45064</c:v>
                </c:pt>
                <c:pt idx="872">
                  <c:v>45065</c:v>
                </c:pt>
                <c:pt idx="873">
                  <c:v>45066</c:v>
                </c:pt>
                <c:pt idx="874">
                  <c:v>45067</c:v>
                </c:pt>
                <c:pt idx="875">
                  <c:v>45068</c:v>
                </c:pt>
                <c:pt idx="876">
                  <c:v>45069</c:v>
                </c:pt>
                <c:pt idx="877">
                  <c:v>45070</c:v>
                </c:pt>
                <c:pt idx="878">
                  <c:v>45071</c:v>
                </c:pt>
                <c:pt idx="879">
                  <c:v>45072</c:v>
                </c:pt>
                <c:pt idx="880">
                  <c:v>45073</c:v>
                </c:pt>
                <c:pt idx="881">
                  <c:v>45074</c:v>
                </c:pt>
                <c:pt idx="882">
                  <c:v>45075</c:v>
                </c:pt>
                <c:pt idx="883">
                  <c:v>45076</c:v>
                </c:pt>
                <c:pt idx="884">
                  <c:v>45077</c:v>
                </c:pt>
                <c:pt idx="885">
                  <c:v>45047</c:v>
                </c:pt>
                <c:pt idx="886">
                  <c:v>45048</c:v>
                </c:pt>
                <c:pt idx="887">
                  <c:v>45047</c:v>
                </c:pt>
                <c:pt idx="888">
                  <c:v>45048</c:v>
                </c:pt>
                <c:pt idx="889">
                  <c:v>45052</c:v>
                </c:pt>
                <c:pt idx="890">
                  <c:v>45047</c:v>
                </c:pt>
                <c:pt idx="891">
                  <c:v>45048</c:v>
                </c:pt>
                <c:pt idx="892">
                  <c:v>45047</c:v>
                </c:pt>
                <c:pt idx="893">
                  <c:v>45048</c:v>
                </c:pt>
                <c:pt idx="894">
                  <c:v>45049</c:v>
                </c:pt>
                <c:pt idx="895">
                  <c:v>45050</c:v>
                </c:pt>
                <c:pt idx="896">
                  <c:v>45051</c:v>
                </c:pt>
                <c:pt idx="897">
                  <c:v>45052</c:v>
                </c:pt>
                <c:pt idx="898">
                  <c:v>45053</c:v>
                </c:pt>
                <c:pt idx="899">
                  <c:v>45054</c:v>
                </c:pt>
                <c:pt idx="900">
                  <c:v>45055</c:v>
                </c:pt>
                <c:pt idx="901">
                  <c:v>45056</c:v>
                </c:pt>
                <c:pt idx="902">
                  <c:v>45057</c:v>
                </c:pt>
                <c:pt idx="903">
                  <c:v>45058</c:v>
                </c:pt>
                <c:pt idx="904">
                  <c:v>45059</c:v>
                </c:pt>
                <c:pt idx="905">
                  <c:v>45060</c:v>
                </c:pt>
                <c:pt idx="906">
                  <c:v>45061</c:v>
                </c:pt>
                <c:pt idx="907">
                  <c:v>45062</c:v>
                </c:pt>
                <c:pt idx="908">
                  <c:v>45063</c:v>
                </c:pt>
                <c:pt idx="909">
                  <c:v>45064</c:v>
                </c:pt>
                <c:pt idx="910">
                  <c:v>45065</c:v>
                </c:pt>
                <c:pt idx="911">
                  <c:v>45066</c:v>
                </c:pt>
                <c:pt idx="912">
                  <c:v>45067</c:v>
                </c:pt>
                <c:pt idx="913">
                  <c:v>45068</c:v>
                </c:pt>
                <c:pt idx="914">
                  <c:v>45069</c:v>
                </c:pt>
                <c:pt idx="915">
                  <c:v>45070</c:v>
                </c:pt>
                <c:pt idx="916">
                  <c:v>45071</c:v>
                </c:pt>
                <c:pt idx="917">
                  <c:v>45072</c:v>
                </c:pt>
                <c:pt idx="918">
                  <c:v>45073</c:v>
                </c:pt>
                <c:pt idx="919">
                  <c:v>45074</c:v>
                </c:pt>
                <c:pt idx="920">
                  <c:v>45075</c:v>
                </c:pt>
                <c:pt idx="921">
                  <c:v>45076</c:v>
                </c:pt>
                <c:pt idx="922">
                  <c:v>45077</c:v>
                </c:pt>
                <c:pt idx="923">
                  <c:v>45047</c:v>
                </c:pt>
                <c:pt idx="924">
                  <c:v>45048</c:v>
                </c:pt>
                <c:pt idx="925">
                  <c:v>45052</c:v>
                </c:pt>
                <c:pt idx="926">
                  <c:v>45064</c:v>
                </c:pt>
                <c:pt idx="927">
                  <c:v>45075</c:v>
                </c:pt>
                <c:pt idx="928">
                  <c:v>45047</c:v>
                </c:pt>
                <c:pt idx="929">
                  <c:v>45048</c:v>
                </c:pt>
                <c:pt idx="930">
                  <c:v>45073</c:v>
                </c:pt>
                <c:pt idx="931">
                  <c:v>45048</c:v>
                </c:pt>
                <c:pt idx="932">
                  <c:v>45050</c:v>
                </c:pt>
                <c:pt idx="933">
                  <c:v>45052</c:v>
                </c:pt>
                <c:pt idx="934">
                  <c:v>45053</c:v>
                </c:pt>
                <c:pt idx="935">
                  <c:v>45061</c:v>
                </c:pt>
                <c:pt idx="936">
                  <c:v>45062</c:v>
                </c:pt>
                <c:pt idx="937">
                  <c:v>45063</c:v>
                </c:pt>
                <c:pt idx="938">
                  <c:v>45064</c:v>
                </c:pt>
                <c:pt idx="939">
                  <c:v>45065</c:v>
                </c:pt>
                <c:pt idx="940">
                  <c:v>45068</c:v>
                </c:pt>
                <c:pt idx="941">
                  <c:v>45048</c:v>
                </c:pt>
                <c:pt idx="942">
                  <c:v>45050</c:v>
                </c:pt>
                <c:pt idx="943">
                  <c:v>45051</c:v>
                </c:pt>
                <c:pt idx="944">
                  <c:v>45052</c:v>
                </c:pt>
                <c:pt idx="945">
                  <c:v>45053</c:v>
                </c:pt>
                <c:pt idx="946">
                  <c:v>45055</c:v>
                </c:pt>
                <c:pt idx="947">
                  <c:v>45058</c:v>
                </c:pt>
                <c:pt idx="948">
                  <c:v>45059</c:v>
                </c:pt>
                <c:pt idx="949">
                  <c:v>45061</c:v>
                </c:pt>
                <c:pt idx="950">
                  <c:v>45062</c:v>
                </c:pt>
                <c:pt idx="951">
                  <c:v>45063</c:v>
                </c:pt>
                <c:pt idx="952">
                  <c:v>45064</c:v>
                </c:pt>
                <c:pt idx="953">
                  <c:v>45065</c:v>
                </c:pt>
                <c:pt idx="954">
                  <c:v>45067</c:v>
                </c:pt>
                <c:pt idx="955">
                  <c:v>45068</c:v>
                </c:pt>
                <c:pt idx="956">
                  <c:v>45069</c:v>
                </c:pt>
                <c:pt idx="957">
                  <c:v>45071</c:v>
                </c:pt>
                <c:pt idx="958">
                  <c:v>45072</c:v>
                </c:pt>
                <c:pt idx="959">
                  <c:v>45073</c:v>
                </c:pt>
                <c:pt idx="960">
                  <c:v>45075</c:v>
                </c:pt>
                <c:pt idx="961">
                  <c:v>45077</c:v>
                </c:pt>
                <c:pt idx="962">
                  <c:v>45048</c:v>
                </c:pt>
                <c:pt idx="963">
                  <c:v>45052</c:v>
                </c:pt>
                <c:pt idx="964">
                  <c:v>45070</c:v>
                </c:pt>
                <c:pt idx="965">
                  <c:v>45073</c:v>
                </c:pt>
                <c:pt idx="966">
                  <c:v>45077</c:v>
                </c:pt>
                <c:pt idx="967">
                  <c:v>45072</c:v>
                </c:pt>
                <c:pt idx="968">
                  <c:v>45056</c:v>
                </c:pt>
                <c:pt idx="969">
                  <c:v>45069</c:v>
                </c:pt>
                <c:pt idx="970">
                  <c:v>45048</c:v>
                </c:pt>
                <c:pt idx="971">
                  <c:v>45049</c:v>
                </c:pt>
                <c:pt idx="972">
                  <c:v>45052</c:v>
                </c:pt>
                <c:pt idx="973">
                  <c:v>45055</c:v>
                </c:pt>
                <c:pt idx="974">
                  <c:v>45075</c:v>
                </c:pt>
                <c:pt idx="975">
                  <c:v>45077</c:v>
                </c:pt>
                <c:pt idx="976">
                  <c:v>45078</c:v>
                </c:pt>
                <c:pt idx="977">
                  <c:v>45079</c:v>
                </c:pt>
                <c:pt idx="978">
                  <c:v>45080</c:v>
                </c:pt>
                <c:pt idx="979">
                  <c:v>45081</c:v>
                </c:pt>
                <c:pt idx="980">
                  <c:v>45082</c:v>
                </c:pt>
                <c:pt idx="981">
                  <c:v>45083</c:v>
                </c:pt>
                <c:pt idx="982">
                  <c:v>45084</c:v>
                </c:pt>
                <c:pt idx="983">
                  <c:v>45085</c:v>
                </c:pt>
                <c:pt idx="984">
                  <c:v>45086</c:v>
                </c:pt>
                <c:pt idx="985">
                  <c:v>45087</c:v>
                </c:pt>
                <c:pt idx="986">
                  <c:v>45088</c:v>
                </c:pt>
                <c:pt idx="987">
                  <c:v>45089</c:v>
                </c:pt>
                <c:pt idx="988">
                  <c:v>45090</c:v>
                </c:pt>
                <c:pt idx="989">
                  <c:v>45091</c:v>
                </c:pt>
                <c:pt idx="990">
                  <c:v>45092</c:v>
                </c:pt>
                <c:pt idx="991">
                  <c:v>45093</c:v>
                </c:pt>
                <c:pt idx="992">
                  <c:v>45094</c:v>
                </c:pt>
                <c:pt idx="993">
                  <c:v>45095</c:v>
                </c:pt>
                <c:pt idx="994">
                  <c:v>45096</c:v>
                </c:pt>
                <c:pt idx="995">
                  <c:v>45097</c:v>
                </c:pt>
                <c:pt idx="996">
                  <c:v>45098</c:v>
                </c:pt>
                <c:pt idx="997">
                  <c:v>45099</c:v>
                </c:pt>
                <c:pt idx="998">
                  <c:v>45100</c:v>
                </c:pt>
                <c:pt idx="999">
                  <c:v>45101</c:v>
                </c:pt>
                <c:pt idx="1000">
                  <c:v>45102</c:v>
                </c:pt>
                <c:pt idx="1001">
                  <c:v>45103</c:v>
                </c:pt>
                <c:pt idx="1002">
                  <c:v>45104</c:v>
                </c:pt>
                <c:pt idx="1003">
                  <c:v>45105</c:v>
                </c:pt>
                <c:pt idx="1004">
                  <c:v>45106</c:v>
                </c:pt>
                <c:pt idx="1005">
                  <c:v>45107</c:v>
                </c:pt>
                <c:pt idx="1007">
                  <c:v>45078</c:v>
                </c:pt>
                <c:pt idx="1008">
                  <c:v>45079</c:v>
                </c:pt>
                <c:pt idx="1009">
                  <c:v>45104</c:v>
                </c:pt>
                <c:pt idx="1010">
                  <c:v>45078</c:v>
                </c:pt>
                <c:pt idx="1011">
                  <c:v>45079</c:v>
                </c:pt>
                <c:pt idx="1012">
                  <c:v>45082</c:v>
                </c:pt>
                <c:pt idx="1013">
                  <c:v>45104</c:v>
                </c:pt>
                <c:pt idx="1014">
                  <c:v>45078</c:v>
                </c:pt>
                <c:pt idx="1015">
                  <c:v>45079</c:v>
                </c:pt>
                <c:pt idx="1016">
                  <c:v>45078</c:v>
                </c:pt>
                <c:pt idx="1017">
                  <c:v>45079</c:v>
                </c:pt>
                <c:pt idx="1018">
                  <c:v>45080</c:v>
                </c:pt>
                <c:pt idx="1019">
                  <c:v>45081</c:v>
                </c:pt>
                <c:pt idx="1020">
                  <c:v>45082</c:v>
                </c:pt>
                <c:pt idx="1021">
                  <c:v>45083</c:v>
                </c:pt>
                <c:pt idx="1022">
                  <c:v>45084</c:v>
                </c:pt>
                <c:pt idx="1023">
                  <c:v>45085</c:v>
                </c:pt>
                <c:pt idx="1024">
                  <c:v>45086</c:v>
                </c:pt>
                <c:pt idx="1025">
                  <c:v>45087</c:v>
                </c:pt>
                <c:pt idx="1026">
                  <c:v>45089</c:v>
                </c:pt>
                <c:pt idx="1027">
                  <c:v>45090</c:v>
                </c:pt>
                <c:pt idx="1028">
                  <c:v>45091</c:v>
                </c:pt>
                <c:pt idx="1029">
                  <c:v>45092</c:v>
                </c:pt>
                <c:pt idx="1030">
                  <c:v>45093</c:v>
                </c:pt>
                <c:pt idx="1031">
                  <c:v>45094</c:v>
                </c:pt>
                <c:pt idx="1032">
                  <c:v>45097</c:v>
                </c:pt>
                <c:pt idx="1033">
                  <c:v>45098</c:v>
                </c:pt>
                <c:pt idx="1034">
                  <c:v>45099</c:v>
                </c:pt>
                <c:pt idx="1035">
                  <c:v>45102</c:v>
                </c:pt>
                <c:pt idx="1036">
                  <c:v>45104</c:v>
                </c:pt>
                <c:pt idx="1037">
                  <c:v>45105</c:v>
                </c:pt>
                <c:pt idx="1038">
                  <c:v>45106</c:v>
                </c:pt>
                <c:pt idx="1039">
                  <c:v>45107</c:v>
                </c:pt>
                <c:pt idx="1040">
                  <c:v>45078</c:v>
                </c:pt>
                <c:pt idx="1041">
                  <c:v>45079</c:v>
                </c:pt>
                <c:pt idx="1042">
                  <c:v>45082</c:v>
                </c:pt>
                <c:pt idx="1043">
                  <c:v>45099</c:v>
                </c:pt>
                <c:pt idx="1044">
                  <c:v>45101</c:v>
                </c:pt>
                <c:pt idx="1045">
                  <c:v>45078</c:v>
                </c:pt>
                <c:pt idx="1046">
                  <c:v>45079</c:v>
                </c:pt>
                <c:pt idx="1047">
                  <c:v>45100</c:v>
                </c:pt>
                <c:pt idx="1048">
                  <c:v>45078</c:v>
                </c:pt>
                <c:pt idx="1049">
                  <c:v>45092</c:v>
                </c:pt>
                <c:pt idx="1050">
                  <c:v>45099</c:v>
                </c:pt>
                <c:pt idx="1051">
                  <c:v>45101</c:v>
                </c:pt>
                <c:pt idx="1052">
                  <c:v>45078</c:v>
                </c:pt>
                <c:pt idx="1053">
                  <c:v>45079</c:v>
                </c:pt>
                <c:pt idx="1054">
                  <c:v>45086</c:v>
                </c:pt>
                <c:pt idx="1055">
                  <c:v>45091</c:v>
                </c:pt>
                <c:pt idx="1056">
                  <c:v>45093</c:v>
                </c:pt>
                <c:pt idx="1057">
                  <c:v>45094</c:v>
                </c:pt>
                <c:pt idx="1058">
                  <c:v>45095</c:v>
                </c:pt>
                <c:pt idx="1059">
                  <c:v>45096</c:v>
                </c:pt>
                <c:pt idx="1060">
                  <c:v>45097</c:v>
                </c:pt>
                <c:pt idx="1061">
                  <c:v>45098</c:v>
                </c:pt>
                <c:pt idx="1062">
                  <c:v>45099</c:v>
                </c:pt>
                <c:pt idx="1063">
                  <c:v>45100</c:v>
                </c:pt>
                <c:pt idx="1064">
                  <c:v>45101</c:v>
                </c:pt>
                <c:pt idx="1065">
                  <c:v>45103</c:v>
                </c:pt>
                <c:pt idx="1066">
                  <c:v>45104</c:v>
                </c:pt>
                <c:pt idx="1067">
                  <c:v>45105</c:v>
                </c:pt>
                <c:pt idx="1068">
                  <c:v>45106</c:v>
                </c:pt>
                <c:pt idx="1069">
                  <c:v>45107</c:v>
                </c:pt>
                <c:pt idx="1070">
                  <c:v>45082</c:v>
                </c:pt>
                <c:pt idx="1071">
                  <c:v>45091</c:v>
                </c:pt>
                <c:pt idx="1072">
                  <c:v>45093</c:v>
                </c:pt>
                <c:pt idx="1073">
                  <c:v>45094</c:v>
                </c:pt>
                <c:pt idx="1074">
                  <c:v>45099</c:v>
                </c:pt>
                <c:pt idx="1075">
                  <c:v>45102</c:v>
                </c:pt>
                <c:pt idx="1076">
                  <c:v>45106</c:v>
                </c:pt>
                <c:pt idx="1077">
                  <c:v>45104</c:v>
                </c:pt>
                <c:pt idx="1078">
                  <c:v>45087</c:v>
                </c:pt>
                <c:pt idx="1079">
                  <c:v>45096</c:v>
                </c:pt>
                <c:pt idx="1080">
                  <c:v>45102</c:v>
                </c:pt>
                <c:pt idx="1081">
                  <c:v>45104</c:v>
                </c:pt>
                <c:pt idx="1082">
                  <c:v>45107</c:v>
                </c:pt>
                <c:pt idx="1083">
                  <c:v>45108</c:v>
                </c:pt>
                <c:pt idx="1084">
                  <c:v>45109</c:v>
                </c:pt>
                <c:pt idx="1085">
                  <c:v>45110</c:v>
                </c:pt>
                <c:pt idx="1086">
                  <c:v>45111</c:v>
                </c:pt>
                <c:pt idx="1087">
                  <c:v>45112</c:v>
                </c:pt>
                <c:pt idx="1088">
                  <c:v>45113</c:v>
                </c:pt>
                <c:pt idx="1089">
                  <c:v>45114</c:v>
                </c:pt>
                <c:pt idx="1090">
                  <c:v>45115</c:v>
                </c:pt>
                <c:pt idx="1091">
                  <c:v>45116</c:v>
                </c:pt>
                <c:pt idx="1092">
                  <c:v>45117</c:v>
                </c:pt>
                <c:pt idx="1093">
                  <c:v>45118</c:v>
                </c:pt>
                <c:pt idx="1094">
                  <c:v>45119</c:v>
                </c:pt>
                <c:pt idx="1095">
                  <c:v>45120</c:v>
                </c:pt>
                <c:pt idx="1096">
                  <c:v>45121</c:v>
                </c:pt>
                <c:pt idx="1097">
                  <c:v>45122</c:v>
                </c:pt>
                <c:pt idx="1098">
                  <c:v>45123</c:v>
                </c:pt>
                <c:pt idx="1099">
                  <c:v>45124</c:v>
                </c:pt>
                <c:pt idx="1100">
                  <c:v>45125</c:v>
                </c:pt>
                <c:pt idx="1101">
                  <c:v>45126</c:v>
                </c:pt>
                <c:pt idx="1102">
                  <c:v>45127</c:v>
                </c:pt>
                <c:pt idx="1103">
                  <c:v>45128</c:v>
                </c:pt>
                <c:pt idx="1104">
                  <c:v>45129</c:v>
                </c:pt>
                <c:pt idx="1105">
                  <c:v>45130</c:v>
                </c:pt>
                <c:pt idx="1106">
                  <c:v>45131</c:v>
                </c:pt>
                <c:pt idx="1107">
                  <c:v>45132</c:v>
                </c:pt>
                <c:pt idx="1108">
                  <c:v>45133</c:v>
                </c:pt>
                <c:pt idx="1109">
                  <c:v>45134</c:v>
                </c:pt>
                <c:pt idx="1110">
                  <c:v>45135</c:v>
                </c:pt>
                <c:pt idx="1111">
                  <c:v>45136</c:v>
                </c:pt>
                <c:pt idx="1112">
                  <c:v>45137</c:v>
                </c:pt>
                <c:pt idx="1113">
                  <c:v>45138</c:v>
                </c:pt>
                <c:pt idx="1114">
                  <c:v>45111</c:v>
                </c:pt>
                <c:pt idx="1115">
                  <c:v>45136</c:v>
                </c:pt>
                <c:pt idx="1116">
                  <c:v>45127</c:v>
                </c:pt>
                <c:pt idx="1117">
                  <c:v>45108</c:v>
                </c:pt>
                <c:pt idx="1118">
                  <c:v>45109</c:v>
                </c:pt>
                <c:pt idx="1119">
                  <c:v>45110</c:v>
                </c:pt>
                <c:pt idx="1120">
                  <c:v>45111</c:v>
                </c:pt>
                <c:pt idx="1121">
                  <c:v>45112</c:v>
                </c:pt>
                <c:pt idx="1122">
                  <c:v>45113</c:v>
                </c:pt>
                <c:pt idx="1123">
                  <c:v>45114</c:v>
                </c:pt>
                <c:pt idx="1124">
                  <c:v>45115</c:v>
                </c:pt>
                <c:pt idx="1125">
                  <c:v>45117</c:v>
                </c:pt>
                <c:pt idx="1126">
                  <c:v>45118</c:v>
                </c:pt>
                <c:pt idx="1127">
                  <c:v>45119</c:v>
                </c:pt>
                <c:pt idx="1128">
                  <c:v>45120</c:v>
                </c:pt>
                <c:pt idx="1129">
                  <c:v>45121</c:v>
                </c:pt>
                <c:pt idx="1130">
                  <c:v>45124</c:v>
                </c:pt>
                <c:pt idx="1131">
                  <c:v>45125</c:v>
                </c:pt>
                <c:pt idx="1132">
                  <c:v>45126</c:v>
                </c:pt>
                <c:pt idx="1133">
                  <c:v>45127</c:v>
                </c:pt>
                <c:pt idx="1134">
                  <c:v>45129</c:v>
                </c:pt>
                <c:pt idx="1135">
                  <c:v>45132</c:v>
                </c:pt>
                <c:pt idx="1136">
                  <c:v>45133</c:v>
                </c:pt>
                <c:pt idx="1137">
                  <c:v>45134</c:v>
                </c:pt>
                <c:pt idx="1138">
                  <c:v>45135</c:v>
                </c:pt>
                <c:pt idx="1139">
                  <c:v>45136</c:v>
                </c:pt>
                <c:pt idx="1140">
                  <c:v>45138</c:v>
                </c:pt>
                <c:pt idx="1141">
                  <c:v>45115</c:v>
                </c:pt>
                <c:pt idx="1142">
                  <c:v>45117</c:v>
                </c:pt>
                <c:pt idx="1143">
                  <c:v>45127</c:v>
                </c:pt>
                <c:pt idx="1144">
                  <c:v>45129</c:v>
                </c:pt>
                <c:pt idx="1145">
                  <c:v>45130</c:v>
                </c:pt>
                <c:pt idx="1146">
                  <c:v>45135</c:v>
                </c:pt>
                <c:pt idx="1147">
                  <c:v>45136</c:v>
                </c:pt>
                <c:pt idx="1148">
                  <c:v>45109</c:v>
                </c:pt>
                <c:pt idx="1149">
                  <c:v>45110</c:v>
                </c:pt>
                <c:pt idx="1150">
                  <c:v>45111</c:v>
                </c:pt>
                <c:pt idx="1151">
                  <c:v>45112</c:v>
                </c:pt>
                <c:pt idx="1152">
                  <c:v>45113</c:v>
                </c:pt>
                <c:pt idx="1153">
                  <c:v>45114</c:v>
                </c:pt>
                <c:pt idx="1154">
                  <c:v>45115</c:v>
                </c:pt>
                <c:pt idx="1155">
                  <c:v>45117</c:v>
                </c:pt>
                <c:pt idx="1156">
                  <c:v>45121</c:v>
                </c:pt>
                <c:pt idx="1157">
                  <c:v>45124</c:v>
                </c:pt>
                <c:pt idx="1158">
                  <c:v>45128</c:v>
                </c:pt>
                <c:pt idx="1159">
                  <c:v>45129</c:v>
                </c:pt>
                <c:pt idx="1160">
                  <c:v>45130</c:v>
                </c:pt>
                <c:pt idx="1161">
                  <c:v>45131</c:v>
                </c:pt>
                <c:pt idx="1162">
                  <c:v>45132</c:v>
                </c:pt>
                <c:pt idx="1163">
                  <c:v>45133</c:v>
                </c:pt>
                <c:pt idx="1164">
                  <c:v>45135</c:v>
                </c:pt>
                <c:pt idx="1165">
                  <c:v>45136</c:v>
                </c:pt>
                <c:pt idx="1166">
                  <c:v>45137</c:v>
                </c:pt>
                <c:pt idx="1167">
                  <c:v>45114</c:v>
                </c:pt>
                <c:pt idx="1168">
                  <c:v>45119</c:v>
                </c:pt>
                <c:pt idx="1169">
                  <c:v>45120</c:v>
                </c:pt>
                <c:pt idx="1170">
                  <c:v>45129</c:v>
                </c:pt>
                <c:pt idx="1171">
                  <c:v>45130</c:v>
                </c:pt>
                <c:pt idx="1172">
                  <c:v>45136</c:v>
                </c:pt>
                <c:pt idx="1173">
                  <c:v>45133</c:v>
                </c:pt>
                <c:pt idx="1174">
                  <c:v>45117</c:v>
                </c:pt>
                <c:pt idx="1175">
                  <c:v>45128</c:v>
                </c:pt>
                <c:pt idx="1176">
                  <c:v>45109</c:v>
                </c:pt>
                <c:pt idx="1177">
                  <c:v>45128</c:v>
                </c:pt>
                <c:pt idx="1178">
                  <c:v>45130</c:v>
                </c:pt>
                <c:pt idx="1179">
                  <c:v>45136</c:v>
                </c:pt>
                <c:pt idx="1180">
                  <c:v>45139</c:v>
                </c:pt>
                <c:pt idx="1181">
                  <c:v>45140</c:v>
                </c:pt>
                <c:pt idx="1182">
                  <c:v>45141</c:v>
                </c:pt>
                <c:pt idx="1183">
                  <c:v>45142</c:v>
                </c:pt>
                <c:pt idx="1184">
                  <c:v>45143</c:v>
                </c:pt>
                <c:pt idx="1185">
                  <c:v>45144</c:v>
                </c:pt>
                <c:pt idx="1186">
                  <c:v>45145</c:v>
                </c:pt>
                <c:pt idx="1187">
                  <c:v>45146</c:v>
                </c:pt>
                <c:pt idx="1188">
                  <c:v>45147</c:v>
                </c:pt>
                <c:pt idx="1189">
                  <c:v>45148</c:v>
                </c:pt>
                <c:pt idx="1190">
                  <c:v>45149</c:v>
                </c:pt>
                <c:pt idx="1191">
                  <c:v>45150</c:v>
                </c:pt>
                <c:pt idx="1192">
                  <c:v>45151</c:v>
                </c:pt>
                <c:pt idx="1193">
                  <c:v>45152</c:v>
                </c:pt>
                <c:pt idx="1194">
                  <c:v>45153</c:v>
                </c:pt>
                <c:pt idx="1195">
                  <c:v>45154</c:v>
                </c:pt>
                <c:pt idx="1196">
                  <c:v>45155</c:v>
                </c:pt>
                <c:pt idx="1197">
                  <c:v>45156</c:v>
                </c:pt>
                <c:pt idx="1198">
                  <c:v>45157</c:v>
                </c:pt>
                <c:pt idx="1199">
                  <c:v>45158</c:v>
                </c:pt>
                <c:pt idx="1200">
                  <c:v>45159</c:v>
                </c:pt>
                <c:pt idx="1201">
                  <c:v>45160</c:v>
                </c:pt>
                <c:pt idx="1202">
                  <c:v>45161</c:v>
                </c:pt>
                <c:pt idx="1203">
                  <c:v>45162</c:v>
                </c:pt>
                <c:pt idx="1204">
                  <c:v>45163</c:v>
                </c:pt>
                <c:pt idx="1205">
                  <c:v>45164</c:v>
                </c:pt>
                <c:pt idx="1206">
                  <c:v>45165</c:v>
                </c:pt>
                <c:pt idx="1207">
                  <c:v>45166</c:v>
                </c:pt>
                <c:pt idx="1208">
                  <c:v>45167</c:v>
                </c:pt>
                <c:pt idx="1209">
                  <c:v>45168</c:v>
                </c:pt>
                <c:pt idx="1210">
                  <c:v>45169</c:v>
                </c:pt>
                <c:pt idx="1211">
                  <c:v>45139</c:v>
                </c:pt>
                <c:pt idx="1212">
                  <c:v>45140</c:v>
                </c:pt>
                <c:pt idx="1213">
                  <c:v>45139</c:v>
                </c:pt>
                <c:pt idx="1214">
                  <c:v>45140</c:v>
                </c:pt>
                <c:pt idx="1215">
                  <c:v>45143</c:v>
                </c:pt>
                <c:pt idx="1216">
                  <c:v>45161</c:v>
                </c:pt>
                <c:pt idx="1217">
                  <c:v>45139</c:v>
                </c:pt>
                <c:pt idx="1218">
                  <c:v>45140</c:v>
                </c:pt>
                <c:pt idx="1219">
                  <c:v>45139</c:v>
                </c:pt>
                <c:pt idx="1220">
                  <c:v>45140</c:v>
                </c:pt>
                <c:pt idx="1221">
                  <c:v>45141</c:v>
                </c:pt>
                <c:pt idx="1222">
                  <c:v>45142</c:v>
                </c:pt>
                <c:pt idx="1223">
                  <c:v>45143</c:v>
                </c:pt>
                <c:pt idx="1224">
                  <c:v>45145</c:v>
                </c:pt>
                <c:pt idx="1225">
                  <c:v>45146</c:v>
                </c:pt>
                <c:pt idx="1226">
                  <c:v>45147</c:v>
                </c:pt>
                <c:pt idx="1227">
                  <c:v>45148</c:v>
                </c:pt>
                <c:pt idx="1228">
                  <c:v>45149</c:v>
                </c:pt>
                <c:pt idx="1229">
                  <c:v>45152</c:v>
                </c:pt>
                <c:pt idx="1230">
                  <c:v>45154</c:v>
                </c:pt>
                <c:pt idx="1231">
                  <c:v>45155</c:v>
                </c:pt>
                <c:pt idx="1232">
                  <c:v>45156</c:v>
                </c:pt>
                <c:pt idx="1233">
                  <c:v>45157</c:v>
                </c:pt>
                <c:pt idx="1234">
                  <c:v>45161</c:v>
                </c:pt>
                <c:pt idx="1235">
                  <c:v>45162</c:v>
                </c:pt>
                <c:pt idx="1236">
                  <c:v>45163</c:v>
                </c:pt>
                <c:pt idx="1237">
                  <c:v>45164</c:v>
                </c:pt>
                <c:pt idx="1238">
                  <c:v>45166</c:v>
                </c:pt>
                <c:pt idx="1239">
                  <c:v>45167</c:v>
                </c:pt>
                <c:pt idx="1240">
                  <c:v>45168</c:v>
                </c:pt>
                <c:pt idx="1241">
                  <c:v>45169</c:v>
                </c:pt>
                <c:pt idx="1242">
                  <c:v>45139</c:v>
                </c:pt>
                <c:pt idx="1243">
                  <c:v>45140</c:v>
                </c:pt>
                <c:pt idx="1244">
                  <c:v>45143</c:v>
                </c:pt>
                <c:pt idx="1245">
                  <c:v>45167</c:v>
                </c:pt>
                <c:pt idx="1246">
                  <c:v>45157</c:v>
                </c:pt>
                <c:pt idx="1247">
                  <c:v>45163</c:v>
                </c:pt>
                <c:pt idx="1248">
                  <c:v>45142</c:v>
                </c:pt>
                <c:pt idx="1249">
                  <c:v>45143</c:v>
                </c:pt>
                <c:pt idx="1250">
                  <c:v>45144</c:v>
                </c:pt>
                <c:pt idx="1251">
                  <c:v>45145</c:v>
                </c:pt>
                <c:pt idx="1252">
                  <c:v>45148</c:v>
                </c:pt>
                <c:pt idx="1253">
                  <c:v>45149</c:v>
                </c:pt>
                <c:pt idx="1254">
                  <c:v>45152</c:v>
                </c:pt>
                <c:pt idx="1255">
                  <c:v>45153</c:v>
                </c:pt>
                <c:pt idx="1256">
                  <c:v>45154</c:v>
                </c:pt>
                <c:pt idx="1257">
                  <c:v>45156</c:v>
                </c:pt>
                <c:pt idx="1258">
                  <c:v>45157</c:v>
                </c:pt>
                <c:pt idx="1259">
                  <c:v>45159</c:v>
                </c:pt>
                <c:pt idx="1260">
                  <c:v>45162</c:v>
                </c:pt>
                <c:pt idx="1261">
                  <c:v>45163</c:v>
                </c:pt>
                <c:pt idx="1262">
                  <c:v>45165</c:v>
                </c:pt>
                <c:pt idx="1263">
                  <c:v>45166</c:v>
                </c:pt>
                <c:pt idx="1264">
                  <c:v>45139</c:v>
                </c:pt>
                <c:pt idx="1265">
                  <c:v>45140</c:v>
                </c:pt>
                <c:pt idx="1266">
                  <c:v>45141</c:v>
                </c:pt>
                <c:pt idx="1267">
                  <c:v>45143</c:v>
                </c:pt>
                <c:pt idx="1268">
                  <c:v>45147</c:v>
                </c:pt>
                <c:pt idx="1269">
                  <c:v>45148</c:v>
                </c:pt>
                <c:pt idx="1270">
                  <c:v>45152</c:v>
                </c:pt>
                <c:pt idx="1271">
                  <c:v>45162</c:v>
                </c:pt>
                <c:pt idx="1272">
                  <c:v>45166</c:v>
                </c:pt>
                <c:pt idx="1273">
                  <c:v>45164</c:v>
                </c:pt>
                <c:pt idx="1274">
                  <c:v>45148</c:v>
                </c:pt>
                <c:pt idx="1275">
                  <c:v>45161</c:v>
                </c:pt>
                <c:pt idx="1276">
                  <c:v>45161</c:v>
                </c:pt>
                <c:pt idx="1277">
                  <c:v>45162</c:v>
                </c:pt>
                <c:pt idx="1278">
                  <c:v>45163</c:v>
                </c:pt>
                <c:pt idx="1279">
                  <c:v>45167</c:v>
                </c:pt>
                <c:pt idx="1371">
                  <c:v>45200</c:v>
                </c:pt>
                <c:pt idx="1372">
                  <c:v>45201</c:v>
                </c:pt>
                <c:pt idx="1373">
                  <c:v>45202</c:v>
                </c:pt>
                <c:pt idx="1374">
                  <c:v>45203</c:v>
                </c:pt>
                <c:pt idx="1375">
                  <c:v>45204</c:v>
                </c:pt>
                <c:pt idx="1376">
                  <c:v>45205</c:v>
                </c:pt>
                <c:pt idx="1377">
                  <c:v>45206</c:v>
                </c:pt>
                <c:pt idx="1378">
                  <c:v>45207</c:v>
                </c:pt>
                <c:pt idx="1379">
                  <c:v>45208</c:v>
                </c:pt>
                <c:pt idx="1380">
                  <c:v>45209</c:v>
                </c:pt>
                <c:pt idx="1381">
                  <c:v>45210</c:v>
                </c:pt>
                <c:pt idx="1382">
                  <c:v>45211</c:v>
                </c:pt>
                <c:pt idx="1383">
                  <c:v>45212</c:v>
                </c:pt>
                <c:pt idx="1384">
                  <c:v>45213</c:v>
                </c:pt>
                <c:pt idx="1385">
                  <c:v>45214</c:v>
                </c:pt>
                <c:pt idx="1386">
                  <c:v>45215</c:v>
                </c:pt>
                <c:pt idx="1387">
                  <c:v>45216</c:v>
                </c:pt>
                <c:pt idx="1388">
                  <c:v>45217</c:v>
                </c:pt>
                <c:pt idx="1389">
                  <c:v>45218</c:v>
                </c:pt>
                <c:pt idx="1390">
                  <c:v>45219</c:v>
                </c:pt>
                <c:pt idx="1391">
                  <c:v>45220</c:v>
                </c:pt>
                <c:pt idx="1392">
                  <c:v>45221</c:v>
                </c:pt>
                <c:pt idx="1393">
                  <c:v>45222</c:v>
                </c:pt>
                <c:pt idx="1394">
                  <c:v>45223</c:v>
                </c:pt>
                <c:pt idx="1395">
                  <c:v>45224</c:v>
                </c:pt>
                <c:pt idx="1396">
                  <c:v>45225</c:v>
                </c:pt>
                <c:pt idx="1397">
                  <c:v>45226</c:v>
                </c:pt>
                <c:pt idx="1398">
                  <c:v>45227</c:v>
                </c:pt>
                <c:pt idx="1399">
                  <c:v>45228</c:v>
                </c:pt>
                <c:pt idx="1400">
                  <c:v>45229</c:v>
                </c:pt>
                <c:pt idx="1401">
                  <c:v>45230</c:v>
                </c:pt>
                <c:pt idx="1402">
                  <c:v>45204</c:v>
                </c:pt>
                <c:pt idx="1403">
                  <c:v>45214</c:v>
                </c:pt>
                <c:pt idx="1404">
                  <c:v>45224</c:v>
                </c:pt>
                <c:pt idx="1405">
                  <c:v>45201</c:v>
                </c:pt>
                <c:pt idx="1406">
                  <c:v>45202</c:v>
                </c:pt>
                <c:pt idx="1407">
                  <c:v>45203</c:v>
                </c:pt>
                <c:pt idx="1408">
                  <c:v>45204</c:v>
                </c:pt>
                <c:pt idx="1409">
                  <c:v>45205</c:v>
                </c:pt>
                <c:pt idx="1410">
                  <c:v>45206</c:v>
                </c:pt>
                <c:pt idx="1411">
                  <c:v>45207</c:v>
                </c:pt>
                <c:pt idx="1412">
                  <c:v>45209</c:v>
                </c:pt>
                <c:pt idx="1413">
                  <c:v>45210</c:v>
                </c:pt>
                <c:pt idx="1414">
                  <c:v>45211</c:v>
                </c:pt>
                <c:pt idx="1415">
                  <c:v>45213</c:v>
                </c:pt>
                <c:pt idx="1416">
                  <c:v>45214</c:v>
                </c:pt>
                <c:pt idx="1417">
                  <c:v>45216</c:v>
                </c:pt>
                <c:pt idx="1418">
                  <c:v>45217</c:v>
                </c:pt>
                <c:pt idx="1419">
                  <c:v>45220</c:v>
                </c:pt>
                <c:pt idx="1420">
                  <c:v>45222</c:v>
                </c:pt>
                <c:pt idx="1421">
                  <c:v>45223</c:v>
                </c:pt>
                <c:pt idx="1422">
                  <c:v>45224</c:v>
                </c:pt>
                <c:pt idx="1423">
                  <c:v>45226</c:v>
                </c:pt>
                <c:pt idx="1424">
                  <c:v>45227</c:v>
                </c:pt>
                <c:pt idx="1425">
                  <c:v>45229</c:v>
                </c:pt>
                <c:pt idx="1426">
                  <c:v>45230</c:v>
                </c:pt>
                <c:pt idx="1427">
                  <c:v>45224</c:v>
                </c:pt>
                <c:pt idx="1428">
                  <c:v>45202</c:v>
                </c:pt>
                <c:pt idx="1429">
                  <c:v>45213</c:v>
                </c:pt>
                <c:pt idx="1430">
                  <c:v>45214</c:v>
                </c:pt>
                <c:pt idx="1431">
                  <c:v>45216</c:v>
                </c:pt>
                <c:pt idx="1432">
                  <c:v>45221</c:v>
                </c:pt>
                <c:pt idx="1433">
                  <c:v>45201</c:v>
                </c:pt>
                <c:pt idx="1434">
                  <c:v>45203</c:v>
                </c:pt>
                <c:pt idx="1435">
                  <c:v>45204</c:v>
                </c:pt>
                <c:pt idx="1436">
                  <c:v>45205</c:v>
                </c:pt>
                <c:pt idx="1437">
                  <c:v>45207</c:v>
                </c:pt>
                <c:pt idx="1438">
                  <c:v>45208</c:v>
                </c:pt>
                <c:pt idx="1439">
                  <c:v>45209</c:v>
                </c:pt>
                <c:pt idx="1440">
                  <c:v>45211</c:v>
                </c:pt>
                <c:pt idx="1441">
                  <c:v>45212</c:v>
                </c:pt>
                <c:pt idx="1442">
                  <c:v>45213</c:v>
                </c:pt>
                <c:pt idx="1443">
                  <c:v>45215</c:v>
                </c:pt>
                <c:pt idx="1444">
                  <c:v>45217</c:v>
                </c:pt>
                <c:pt idx="1445">
                  <c:v>45219</c:v>
                </c:pt>
                <c:pt idx="1446">
                  <c:v>45220</c:v>
                </c:pt>
                <c:pt idx="1447">
                  <c:v>45221</c:v>
                </c:pt>
                <c:pt idx="1448">
                  <c:v>45223</c:v>
                </c:pt>
                <c:pt idx="1449">
                  <c:v>45226</c:v>
                </c:pt>
                <c:pt idx="1450">
                  <c:v>45228</c:v>
                </c:pt>
                <c:pt idx="1451">
                  <c:v>45229</c:v>
                </c:pt>
                <c:pt idx="1452">
                  <c:v>45204</c:v>
                </c:pt>
                <c:pt idx="1453">
                  <c:v>45206</c:v>
                </c:pt>
                <c:pt idx="1454">
                  <c:v>45208</c:v>
                </c:pt>
                <c:pt idx="1455">
                  <c:v>45214</c:v>
                </c:pt>
                <c:pt idx="1456">
                  <c:v>45215</c:v>
                </c:pt>
                <c:pt idx="1457">
                  <c:v>45217</c:v>
                </c:pt>
                <c:pt idx="1458">
                  <c:v>45219</c:v>
                </c:pt>
                <c:pt idx="1459">
                  <c:v>45220</c:v>
                </c:pt>
                <c:pt idx="1460">
                  <c:v>45222</c:v>
                </c:pt>
                <c:pt idx="1461">
                  <c:v>45230</c:v>
                </c:pt>
                <c:pt idx="1462">
                  <c:v>45226</c:v>
                </c:pt>
                <c:pt idx="1463">
                  <c:v>45209</c:v>
                </c:pt>
                <c:pt idx="1464">
                  <c:v>45217</c:v>
                </c:pt>
                <c:pt idx="1465">
                  <c:v>45219</c:v>
                </c:pt>
                <c:pt idx="1466">
                  <c:v>45224</c:v>
                </c:pt>
                <c:pt idx="1467">
                  <c:v>45231</c:v>
                </c:pt>
                <c:pt idx="1468">
                  <c:v>45232</c:v>
                </c:pt>
                <c:pt idx="1469">
                  <c:v>45233</c:v>
                </c:pt>
                <c:pt idx="1470">
                  <c:v>45234</c:v>
                </c:pt>
                <c:pt idx="1471">
                  <c:v>45235</c:v>
                </c:pt>
                <c:pt idx="1472">
                  <c:v>45236</c:v>
                </c:pt>
                <c:pt idx="1473">
                  <c:v>45237</c:v>
                </c:pt>
                <c:pt idx="1474">
                  <c:v>45238</c:v>
                </c:pt>
                <c:pt idx="1475">
                  <c:v>45239</c:v>
                </c:pt>
                <c:pt idx="1476">
                  <c:v>45240</c:v>
                </c:pt>
                <c:pt idx="1477">
                  <c:v>45241</c:v>
                </c:pt>
                <c:pt idx="1478">
                  <c:v>45242</c:v>
                </c:pt>
                <c:pt idx="1479">
                  <c:v>45243</c:v>
                </c:pt>
                <c:pt idx="1480">
                  <c:v>45244</c:v>
                </c:pt>
                <c:pt idx="1481">
                  <c:v>45245</c:v>
                </c:pt>
                <c:pt idx="1482">
                  <c:v>45246</c:v>
                </c:pt>
                <c:pt idx="1483">
                  <c:v>45247</c:v>
                </c:pt>
                <c:pt idx="1484">
                  <c:v>45248</c:v>
                </c:pt>
                <c:pt idx="1485">
                  <c:v>45249</c:v>
                </c:pt>
                <c:pt idx="1486">
                  <c:v>45250</c:v>
                </c:pt>
                <c:pt idx="1487">
                  <c:v>45251</c:v>
                </c:pt>
                <c:pt idx="1488">
                  <c:v>45252</c:v>
                </c:pt>
                <c:pt idx="1489">
                  <c:v>45253</c:v>
                </c:pt>
                <c:pt idx="1490">
                  <c:v>45254</c:v>
                </c:pt>
                <c:pt idx="1491">
                  <c:v>45255</c:v>
                </c:pt>
                <c:pt idx="1492">
                  <c:v>45256</c:v>
                </c:pt>
                <c:pt idx="1493">
                  <c:v>45257</c:v>
                </c:pt>
                <c:pt idx="1494">
                  <c:v>45258</c:v>
                </c:pt>
                <c:pt idx="1495">
                  <c:v>45259</c:v>
                </c:pt>
                <c:pt idx="1496">
                  <c:v>45260</c:v>
                </c:pt>
                <c:pt idx="1497">
                  <c:v>45246</c:v>
                </c:pt>
                <c:pt idx="1498">
                  <c:v>45231</c:v>
                </c:pt>
                <c:pt idx="1499">
                  <c:v>45234</c:v>
                </c:pt>
                <c:pt idx="1500">
                  <c:v>45236</c:v>
                </c:pt>
                <c:pt idx="1501">
                  <c:v>45237</c:v>
                </c:pt>
                <c:pt idx="1502">
                  <c:v>45239</c:v>
                </c:pt>
                <c:pt idx="1503">
                  <c:v>45240</c:v>
                </c:pt>
                <c:pt idx="1504">
                  <c:v>45241</c:v>
                </c:pt>
                <c:pt idx="1505">
                  <c:v>45243</c:v>
                </c:pt>
                <c:pt idx="1506">
                  <c:v>45244</c:v>
                </c:pt>
                <c:pt idx="1507">
                  <c:v>45246</c:v>
                </c:pt>
                <c:pt idx="1508">
                  <c:v>45247</c:v>
                </c:pt>
                <c:pt idx="1509">
                  <c:v>45248</c:v>
                </c:pt>
                <c:pt idx="1510">
                  <c:v>45250</c:v>
                </c:pt>
                <c:pt idx="1511">
                  <c:v>45252</c:v>
                </c:pt>
                <c:pt idx="1512">
                  <c:v>45253</c:v>
                </c:pt>
                <c:pt idx="1513">
                  <c:v>45254</c:v>
                </c:pt>
                <c:pt idx="1514">
                  <c:v>45255</c:v>
                </c:pt>
                <c:pt idx="1515">
                  <c:v>45257</c:v>
                </c:pt>
                <c:pt idx="1516">
                  <c:v>45260</c:v>
                </c:pt>
                <c:pt idx="1517">
                  <c:v>45234</c:v>
                </c:pt>
                <c:pt idx="1518">
                  <c:v>45236</c:v>
                </c:pt>
                <c:pt idx="1519">
                  <c:v>45238</c:v>
                </c:pt>
                <c:pt idx="1520">
                  <c:v>45247</c:v>
                </c:pt>
                <c:pt idx="1521">
                  <c:v>45257</c:v>
                </c:pt>
                <c:pt idx="1522">
                  <c:v>45260</c:v>
                </c:pt>
                <c:pt idx="1523">
                  <c:v>45231</c:v>
                </c:pt>
                <c:pt idx="1524">
                  <c:v>45247</c:v>
                </c:pt>
                <c:pt idx="1525">
                  <c:v>45248</c:v>
                </c:pt>
                <c:pt idx="1526">
                  <c:v>45249</c:v>
                </c:pt>
                <c:pt idx="1527">
                  <c:v>45255</c:v>
                </c:pt>
                <c:pt idx="1528">
                  <c:v>45258</c:v>
                </c:pt>
                <c:pt idx="1529">
                  <c:v>45231</c:v>
                </c:pt>
                <c:pt idx="1530">
                  <c:v>45232</c:v>
                </c:pt>
                <c:pt idx="1531">
                  <c:v>45233</c:v>
                </c:pt>
                <c:pt idx="1532">
                  <c:v>45238</c:v>
                </c:pt>
                <c:pt idx="1533">
                  <c:v>45239</c:v>
                </c:pt>
                <c:pt idx="1534">
                  <c:v>45240</c:v>
                </c:pt>
                <c:pt idx="1535">
                  <c:v>45243</c:v>
                </c:pt>
                <c:pt idx="1536">
                  <c:v>45244</c:v>
                </c:pt>
                <c:pt idx="1537">
                  <c:v>45245</c:v>
                </c:pt>
                <c:pt idx="1538">
                  <c:v>45246</c:v>
                </c:pt>
                <c:pt idx="1539">
                  <c:v>45247</c:v>
                </c:pt>
                <c:pt idx="1540">
                  <c:v>45248</c:v>
                </c:pt>
                <c:pt idx="1541">
                  <c:v>45249</c:v>
                </c:pt>
                <c:pt idx="1542">
                  <c:v>45250</c:v>
                </c:pt>
                <c:pt idx="1543">
                  <c:v>45251</c:v>
                </c:pt>
                <c:pt idx="1544">
                  <c:v>45252</c:v>
                </c:pt>
                <c:pt idx="1545">
                  <c:v>45254</c:v>
                </c:pt>
                <c:pt idx="1546">
                  <c:v>45255</c:v>
                </c:pt>
                <c:pt idx="1547">
                  <c:v>45256</c:v>
                </c:pt>
                <c:pt idx="1548">
                  <c:v>45257</c:v>
                </c:pt>
                <c:pt idx="1549">
                  <c:v>45258</c:v>
                </c:pt>
                <c:pt idx="1550">
                  <c:v>45259</c:v>
                </c:pt>
                <c:pt idx="1551">
                  <c:v>45260</c:v>
                </c:pt>
                <c:pt idx="1552">
                  <c:v>45233</c:v>
                </c:pt>
                <c:pt idx="1553">
                  <c:v>45234</c:v>
                </c:pt>
                <c:pt idx="1554">
                  <c:v>45238</c:v>
                </c:pt>
                <c:pt idx="1555">
                  <c:v>45243</c:v>
                </c:pt>
                <c:pt idx="1556">
                  <c:v>45245</c:v>
                </c:pt>
                <c:pt idx="1557">
                  <c:v>45248</c:v>
                </c:pt>
                <c:pt idx="1558">
                  <c:v>45250</c:v>
                </c:pt>
                <c:pt idx="1559">
                  <c:v>45253</c:v>
                </c:pt>
                <c:pt idx="1560">
                  <c:v>45255</c:v>
                </c:pt>
                <c:pt idx="1561">
                  <c:v>45257</c:v>
                </c:pt>
                <c:pt idx="1562">
                  <c:v>45259</c:v>
                </c:pt>
                <c:pt idx="1563">
                  <c:v>45260</c:v>
                </c:pt>
                <c:pt idx="1564">
                  <c:v>45256</c:v>
                </c:pt>
                <c:pt idx="1565">
                  <c:v>45240</c:v>
                </c:pt>
                <c:pt idx="1566">
                  <c:v>45249</c:v>
                </c:pt>
                <c:pt idx="1567">
                  <c:v>45257</c:v>
                </c:pt>
                <c:pt idx="1568">
                  <c:v>45231</c:v>
                </c:pt>
                <c:pt idx="1569">
                  <c:v>45252</c:v>
                </c:pt>
                <c:pt idx="1570">
                  <c:v>45255</c:v>
                </c:pt>
                <c:pt idx="1571">
                  <c:v>45261</c:v>
                </c:pt>
                <c:pt idx="1572">
                  <c:v>45262</c:v>
                </c:pt>
                <c:pt idx="1573">
                  <c:v>45263</c:v>
                </c:pt>
                <c:pt idx="1574">
                  <c:v>45264</c:v>
                </c:pt>
                <c:pt idx="1575">
                  <c:v>45265</c:v>
                </c:pt>
                <c:pt idx="1576">
                  <c:v>45266</c:v>
                </c:pt>
                <c:pt idx="1577">
                  <c:v>45267</c:v>
                </c:pt>
                <c:pt idx="1578">
                  <c:v>45268</c:v>
                </c:pt>
                <c:pt idx="1579">
                  <c:v>45269</c:v>
                </c:pt>
                <c:pt idx="1580">
                  <c:v>45270</c:v>
                </c:pt>
                <c:pt idx="1581">
                  <c:v>45271</c:v>
                </c:pt>
                <c:pt idx="1582">
                  <c:v>45272</c:v>
                </c:pt>
                <c:pt idx="1583">
                  <c:v>45273</c:v>
                </c:pt>
                <c:pt idx="1584">
                  <c:v>45274</c:v>
                </c:pt>
                <c:pt idx="1585">
                  <c:v>45275</c:v>
                </c:pt>
                <c:pt idx="1586">
                  <c:v>45276</c:v>
                </c:pt>
                <c:pt idx="1587">
                  <c:v>45277</c:v>
                </c:pt>
                <c:pt idx="1588">
                  <c:v>45278</c:v>
                </c:pt>
                <c:pt idx="1589">
                  <c:v>45279</c:v>
                </c:pt>
                <c:pt idx="1590">
                  <c:v>45280</c:v>
                </c:pt>
                <c:pt idx="1591">
                  <c:v>45281</c:v>
                </c:pt>
                <c:pt idx="1592">
                  <c:v>45282</c:v>
                </c:pt>
                <c:pt idx="1593">
                  <c:v>45283</c:v>
                </c:pt>
                <c:pt idx="1594">
                  <c:v>45284</c:v>
                </c:pt>
                <c:pt idx="1595">
                  <c:v>45285</c:v>
                </c:pt>
                <c:pt idx="1596">
                  <c:v>45286</c:v>
                </c:pt>
                <c:pt idx="1597">
                  <c:v>45287</c:v>
                </c:pt>
                <c:pt idx="1598">
                  <c:v>45288</c:v>
                </c:pt>
                <c:pt idx="1599">
                  <c:v>45289</c:v>
                </c:pt>
                <c:pt idx="1600">
                  <c:v>45290</c:v>
                </c:pt>
                <c:pt idx="1601">
                  <c:v>45291</c:v>
                </c:pt>
                <c:pt idx="1602">
                  <c:v>45261</c:v>
                </c:pt>
                <c:pt idx="1603">
                  <c:v>45262</c:v>
                </c:pt>
                <c:pt idx="1604">
                  <c:v>45291</c:v>
                </c:pt>
                <c:pt idx="1605">
                  <c:v>45261</c:v>
                </c:pt>
                <c:pt idx="1606">
                  <c:v>45262</c:v>
                </c:pt>
                <c:pt idx="1607">
                  <c:v>45267</c:v>
                </c:pt>
                <c:pt idx="1608">
                  <c:v>45276</c:v>
                </c:pt>
                <c:pt idx="1609">
                  <c:v>45261</c:v>
                </c:pt>
                <c:pt idx="1610">
                  <c:v>45262</c:v>
                </c:pt>
                <c:pt idx="1611">
                  <c:v>45261</c:v>
                </c:pt>
                <c:pt idx="1612">
                  <c:v>45262</c:v>
                </c:pt>
                <c:pt idx="1613">
                  <c:v>45264</c:v>
                </c:pt>
                <c:pt idx="1614">
                  <c:v>45265</c:v>
                </c:pt>
                <c:pt idx="1615">
                  <c:v>45266</c:v>
                </c:pt>
                <c:pt idx="1616">
                  <c:v>45267</c:v>
                </c:pt>
                <c:pt idx="1617">
                  <c:v>45268</c:v>
                </c:pt>
                <c:pt idx="1618">
                  <c:v>45269</c:v>
                </c:pt>
                <c:pt idx="1619">
                  <c:v>45271</c:v>
                </c:pt>
                <c:pt idx="1620">
                  <c:v>45272</c:v>
                </c:pt>
                <c:pt idx="1621">
                  <c:v>45273</c:v>
                </c:pt>
                <c:pt idx="1622">
                  <c:v>45274</c:v>
                </c:pt>
                <c:pt idx="1623">
                  <c:v>45275</c:v>
                </c:pt>
                <c:pt idx="1624">
                  <c:v>45276</c:v>
                </c:pt>
                <c:pt idx="1625">
                  <c:v>45278</c:v>
                </c:pt>
                <c:pt idx="1626">
                  <c:v>45279</c:v>
                </c:pt>
                <c:pt idx="1627">
                  <c:v>45281</c:v>
                </c:pt>
                <c:pt idx="1628">
                  <c:v>45282</c:v>
                </c:pt>
                <c:pt idx="1629">
                  <c:v>45283</c:v>
                </c:pt>
                <c:pt idx="1630">
                  <c:v>45286</c:v>
                </c:pt>
                <c:pt idx="1631">
                  <c:v>45289</c:v>
                </c:pt>
                <c:pt idx="1632">
                  <c:v>45291</c:v>
                </c:pt>
                <c:pt idx="1633">
                  <c:v>45267</c:v>
                </c:pt>
                <c:pt idx="1634">
                  <c:v>45276</c:v>
                </c:pt>
                <c:pt idx="1635">
                  <c:v>45286</c:v>
                </c:pt>
                <c:pt idx="1636">
                  <c:v>45262</c:v>
                </c:pt>
                <c:pt idx="1637">
                  <c:v>45261</c:v>
                </c:pt>
                <c:pt idx="1638">
                  <c:v>45262</c:v>
                </c:pt>
                <c:pt idx="1639">
                  <c:v>45283</c:v>
                </c:pt>
                <c:pt idx="1640">
                  <c:v>45284</c:v>
                </c:pt>
                <c:pt idx="1641">
                  <c:v>45286</c:v>
                </c:pt>
                <c:pt idx="1642">
                  <c:v>45261</c:v>
                </c:pt>
                <c:pt idx="1643">
                  <c:v>45263</c:v>
                </c:pt>
                <c:pt idx="1644">
                  <c:v>45264</c:v>
                </c:pt>
                <c:pt idx="1645">
                  <c:v>45265</c:v>
                </c:pt>
                <c:pt idx="1646">
                  <c:v>45266</c:v>
                </c:pt>
                <c:pt idx="1647">
                  <c:v>45267</c:v>
                </c:pt>
                <c:pt idx="1648">
                  <c:v>45268</c:v>
                </c:pt>
                <c:pt idx="1649">
                  <c:v>45269</c:v>
                </c:pt>
                <c:pt idx="1650">
                  <c:v>45273</c:v>
                </c:pt>
                <c:pt idx="1651">
                  <c:v>45274</c:v>
                </c:pt>
                <c:pt idx="1652">
                  <c:v>45275</c:v>
                </c:pt>
                <c:pt idx="1653">
                  <c:v>45277</c:v>
                </c:pt>
                <c:pt idx="1654">
                  <c:v>45279</c:v>
                </c:pt>
                <c:pt idx="1655">
                  <c:v>45280</c:v>
                </c:pt>
                <c:pt idx="1656">
                  <c:v>45281</c:v>
                </c:pt>
                <c:pt idx="1657">
                  <c:v>45282</c:v>
                </c:pt>
                <c:pt idx="1658">
                  <c:v>45283</c:v>
                </c:pt>
                <c:pt idx="1659">
                  <c:v>45284</c:v>
                </c:pt>
                <c:pt idx="1660">
                  <c:v>45285</c:v>
                </c:pt>
                <c:pt idx="1661">
                  <c:v>45286</c:v>
                </c:pt>
                <c:pt idx="1662">
                  <c:v>45287</c:v>
                </c:pt>
                <c:pt idx="1663">
                  <c:v>45289</c:v>
                </c:pt>
                <c:pt idx="1664">
                  <c:v>45291</c:v>
                </c:pt>
                <c:pt idx="1665">
                  <c:v>45264</c:v>
                </c:pt>
                <c:pt idx="1666">
                  <c:v>45267</c:v>
                </c:pt>
                <c:pt idx="1667">
                  <c:v>45270</c:v>
                </c:pt>
                <c:pt idx="1668">
                  <c:v>45272</c:v>
                </c:pt>
                <c:pt idx="1669">
                  <c:v>45274</c:v>
                </c:pt>
                <c:pt idx="1670">
                  <c:v>45275</c:v>
                </c:pt>
                <c:pt idx="1671">
                  <c:v>45278</c:v>
                </c:pt>
                <c:pt idx="1672">
                  <c:v>45283</c:v>
                </c:pt>
                <c:pt idx="1673">
                  <c:v>45288</c:v>
                </c:pt>
                <c:pt idx="1674">
                  <c:v>45287</c:v>
                </c:pt>
                <c:pt idx="1675">
                  <c:v>45271</c:v>
                </c:pt>
                <c:pt idx="1676">
                  <c:v>45283</c:v>
                </c:pt>
                <c:pt idx="1677">
                  <c:v>45261</c:v>
                </c:pt>
                <c:pt idx="1678">
                  <c:v>45262</c:v>
                </c:pt>
                <c:pt idx="1679">
                  <c:v>45262</c:v>
                </c:pt>
                <c:pt idx="1680">
                  <c:v>45270</c:v>
                </c:pt>
                <c:pt idx="1681">
                  <c:v>45272</c:v>
                </c:pt>
                <c:pt idx="1682">
                  <c:v>45273</c:v>
                </c:pt>
                <c:pt idx="1683">
                  <c:v>45291</c:v>
                </c:pt>
              </c:numCache>
            </c:numRef>
          </c:cat>
          <c:val>
            <c:numRef>
              <c:f>'ACTUAL EXPENSES (2)'!$D$2:$D$1685</c:f>
              <c:numCache>
                <c:formatCode>General</c:formatCode>
                <c:ptCount val="168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4</c:v>
                </c:pt>
                <c:pt idx="367">
                  <c:v>4</c:v>
                </c:pt>
                <c:pt idx="368">
                  <c:v>4</c:v>
                </c:pt>
                <c:pt idx="369">
                  <c:v>4</c:v>
                </c:pt>
                <c:pt idx="371">
                  <c:v>4</c:v>
                </c:pt>
                <c:pt idx="372">
                  <c:v>4</c:v>
                </c:pt>
                <c:pt idx="373">
                  <c:v>4</c:v>
                </c:pt>
                <c:pt idx="374">
                  <c:v>4</c:v>
                </c:pt>
                <c:pt idx="375">
                  <c:v>4</c:v>
                </c:pt>
                <c:pt idx="376">
                  <c:v>4</c:v>
                </c:pt>
                <c:pt idx="377">
                  <c:v>4</c:v>
                </c:pt>
                <c:pt idx="378">
                  <c:v>4</c:v>
                </c:pt>
                <c:pt idx="379">
                  <c:v>4</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4</c:v>
                </c:pt>
                <c:pt idx="398">
                  <c:v>4</c:v>
                </c:pt>
                <c:pt idx="399">
                  <c:v>4</c:v>
                </c:pt>
                <c:pt idx="400">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4</c:v>
                </c:pt>
                <c:pt idx="483">
                  <c:v>4</c:v>
                </c:pt>
                <c:pt idx="484">
                  <c:v>4</c:v>
                </c:pt>
                <c:pt idx="485">
                  <c:v>4</c:v>
                </c:pt>
                <c:pt idx="486">
                  <c:v>4</c:v>
                </c:pt>
                <c:pt idx="487">
                  <c:v>4</c:v>
                </c:pt>
                <c:pt idx="488">
                  <c:v>4</c:v>
                </c:pt>
                <c:pt idx="489">
                  <c:v>4</c:v>
                </c:pt>
                <c:pt idx="490">
                  <c:v>4</c:v>
                </c:pt>
                <c:pt idx="491">
                  <c:v>4</c:v>
                </c:pt>
                <c:pt idx="493">
                  <c:v>4</c:v>
                </c:pt>
                <c:pt idx="494">
                  <c:v>4</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4</c:v>
                </c:pt>
                <c:pt idx="512">
                  <c:v>4</c:v>
                </c:pt>
                <c:pt idx="513">
                  <c:v>4</c:v>
                </c:pt>
                <c:pt idx="514">
                  <c:v>4</c:v>
                </c:pt>
                <c:pt idx="515">
                  <c:v>4</c:v>
                </c:pt>
                <c:pt idx="516">
                  <c:v>4</c:v>
                </c:pt>
                <c:pt idx="517">
                  <c:v>4</c:v>
                </c:pt>
                <c:pt idx="518">
                  <c:v>4</c:v>
                </c:pt>
                <c:pt idx="519">
                  <c:v>4</c:v>
                </c:pt>
                <c:pt idx="520">
                  <c:v>4</c:v>
                </c:pt>
                <c:pt idx="521">
                  <c:v>4</c:v>
                </c:pt>
                <c:pt idx="522">
                  <c:v>4</c:v>
                </c:pt>
                <c:pt idx="524">
                  <c:v>4</c:v>
                </c:pt>
                <c:pt idx="525">
                  <c:v>4</c:v>
                </c:pt>
                <c:pt idx="526">
                  <c:v>4</c:v>
                </c:pt>
                <c:pt idx="527">
                  <c:v>4</c:v>
                </c:pt>
                <c:pt idx="528">
                  <c:v>4</c:v>
                </c:pt>
                <c:pt idx="529">
                  <c:v>4</c:v>
                </c:pt>
                <c:pt idx="530">
                  <c:v>4</c:v>
                </c:pt>
                <c:pt idx="531">
                  <c:v>4</c:v>
                </c:pt>
                <c:pt idx="532">
                  <c:v>4</c:v>
                </c:pt>
                <c:pt idx="533">
                  <c:v>4</c:v>
                </c:pt>
                <c:pt idx="534">
                  <c:v>4</c:v>
                </c:pt>
                <c:pt idx="535">
                  <c:v>4</c:v>
                </c:pt>
                <c:pt idx="536">
                  <c:v>4</c:v>
                </c:pt>
                <c:pt idx="537">
                  <c:v>4</c:v>
                </c:pt>
                <c:pt idx="538">
                  <c:v>4</c:v>
                </c:pt>
                <c:pt idx="539">
                  <c:v>4</c:v>
                </c:pt>
                <c:pt idx="540">
                  <c:v>4</c:v>
                </c:pt>
                <c:pt idx="541">
                  <c:v>4</c:v>
                </c:pt>
                <c:pt idx="542">
                  <c:v>4</c:v>
                </c:pt>
                <c:pt idx="543">
                  <c:v>4</c:v>
                </c:pt>
                <c:pt idx="544">
                  <c:v>4</c:v>
                </c:pt>
                <c:pt idx="545">
                  <c:v>4</c:v>
                </c:pt>
                <c:pt idx="546">
                  <c:v>4</c:v>
                </c:pt>
                <c:pt idx="547">
                  <c:v>4</c:v>
                </c:pt>
                <c:pt idx="548">
                  <c:v>4</c:v>
                </c:pt>
                <c:pt idx="549">
                  <c:v>4</c:v>
                </c:pt>
                <c:pt idx="550">
                  <c:v>4</c:v>
                </c:pt>
                <c:pt idx="551">
                  <c:v>4</c:v>
                </c:pt>
                <c:pt idx="552">
                  <c:v>4</c:v>
                </c:pt>
                <c:pt idx="554">
                  <c:v>4</c:v>
                </c:pt>
                <c:pt idx="555">
                  <c:v>4</c:v>
                </c:pt>
                <c:pt idx="556">
                  <c:v>4</c:v>
                </c:pt>
                <c:pt idx="557">
                  <c:v>4</c:v>
                </c:pt>
                <c:pt idx="558">
                  <c:v>4</c:v>
                </c:pt>
                <c:pt idx="559">
                  <c:v>4</c:v>
                </c:pt>
                <c:pt idx="560">
                  <c:v>4</c:v>
                </c:pt>
                <c:pt idx="561">
                  <c:v>4</c:v>
                </c:pt>
                <c:pt idx="562">
                  <c:v>4</c:v>
                </c:pt>
                <c:pt idx="563">
                  <c:v>4</c:v>
                </c:pt>
                <c:pt idx="564">
                  <c:v>4</c:v>
                </c:pt>
                <c:pt idx="565">
                  <c:v>4</c:v>
                </c:pt>
                <c:pt idx="566">
                  <c:v>4</c:v>
                </c:pt>
                <c:pt idx="567">
                  <c:v>4</c:v>
                </c:pt>
                <c:pt idx="568">
                  <c:v>4</c:v>
                </c:pt>
                <c:pt idx="569">
                  <c:v>4</c:v>
                </c:pt>
                <c:pt idx="570">
                  <c:v>4</c:v>
                </c:pt>
                <c:pt idx="571">
                  <c:v>4</c:v>
                </c:pt>
                <c:pt idx="572">
                  <c:v>4</c:v>
                </c:pt>
                <c:pt idx="573">
                  <c:v>4</c:v>
                </c:pt>
                <c:pt idx="574">
                  <c:v>4</c:v>
                </c:pt>
                <c:pt idx="575">
                  <c:v>4</c:v>
                </c:pt>
                <c:pt idx="576">
                  <c:v>4</c:v>
                </c:pt>
                <c:pt idx="577">
                  <c:v>4</c:v>
                </c:pt>
                <c:pt idx="578">
                  <c:v>4</c:v>
                </c:pt>
                <c:pt idx="579">
                  <c:v>4</c:v>
                </c:pt>
                <c:pt idx="580">
                  <c:v>4</c:v>
                </c:pt>
                <c:pt idx="581">
                  <c:v>4</c:v>
                </c:pt>
                <c:pt idx="582">
                  <c:v>4</c:v>
                </c:pt>
                <c:pt idx="584">
                  <c:v>4</c:v>
                </c:pt>
                <c:pt idx="585">
                  <c:v>4</c:v>
                </c:pt>
                <c:pt idx="586">
                  <c:v>4</c:v>
                </c:pt>
                <c:pt idx="587">
                  <c:v>4</c:v>
                </c:pt>
                <c:pt idx="588">
                  <c:v>4</c:v>
                </c:pt>
                <c:pt idx="589">
                  <c:v>4</c:v>
                </c:pt>
                <c:pt idx="590">
                  <c:v>4</c:v>
                </c:pt>
                <c:pt idx="591">
                  <c:v>4</c:v>
                </c:pt>
                <c:pt idx="592">
                  <c:v>4</c:v>
                </c:pt>
                <c:pt idx="593">
                  <c:v>4</c:v>
                </c:pt>
                <c:pt idx="594">
                  <c:v>4</c:v>
                </c:pt>
                <c:pt idx="595">
                  <c:v>4</c:v>
                </c:pt>
                <c:pt idx="596">
                  <c:v>4</c:v>
                </c:pt>
                <c:pt idx="597">
                  <c:v>4</c:v>
                </c:pt>
                <c:pt idx="598">
                  <c:v>4</c:v>
                </c:pt>
                <c:pt idx="599">
                  <c:v>4</c:v>
                </c:pt>
                <c:pt idx="600">
                  <c:v>4</c:v>
                </c:pt>
                <c:pt idx="601">
                  <c:v>4</c:v>
                </c:pt>
                <c:pt idx="602">
                  <c:v>4</c:v>
                </c:pt>
                <c:pt idx="603">
                  <c:v>4</c:v>
                </c:pt>
                <c:pt idx="604">
                  <c:v>4</c:v>
                </c:pt>
                <c:pt idx="605">
                  <c:v>4</c:v>
                </c:pt>
                <c:pt idx="606">
                  <c:v>4</c:v>
                </c:pt>
                <c:pt idx="607">
                  <c:v>4</c:v>
                </c:pt>
                <c:pt idx="608">
                  <c:v>4</c:v>
                </c:pt>
                <c:pt idx="609">
                  <c:v>4</c:v>
                </c:pt>
                <c:pt idx="610">
                  <c:v>4</c:v>
                </c:pt>
                <c:pt idx="611">
                  <c:v>4</c:v>
                </c:pt>
                <c:pt idx="612">
                  <c:v>4</c:v>
                </c:pt>
                <c:pt idx="614">
                  <c:v>4</c:v>
                </c:pt>
                <c:pt idx="615">
                  <c:v>4</c:v>
                </c:pt>
                <c:pt idx="616">
                  <c:v>4</c:v>
                </c:pt>
                <c:pt idx="617">
                  <c:v>4</c:v>
                </c:pt>
                <c:pt idx="618">
                  <c:v>4</c:v>
                </c:pt>
                <c:pt idx="619">
                  <c:v>4</c:v>
                </c:pt>
                <c:pt idx="620">
                  <c:v>4</c:v>
                </c:pt>
                <c:pt idx="621">
                  <c:v>4</c:v>
                </c:pt>
                <c:pt idx="622">
                  <c:v>4</c:v>
                </c:pt>
                <c:pt idx="623">
                  <c:v>4</c:v>
                </c:pt>
                <c:pt idx="624">
                  <c:v>4</c:v>
                </c:pt>
                <c:pt idx="625">
                  <c:v>4</c:v>
                </c:pt>
                <c:pt idx="626">
                  <c:v>4</c:v>
                </c:pt>
                <c:pt idx="627">
                  <c:v>4</c:v>
                </c:pt>
                <c:pt idx="628">
                  <c:v>4</c:v>
                </c:pt>
                <c:pt idx="629">
                  <c:v>4</c:v>
                </c:pt>
                <c:pt idx="630">
                  <c:v>4</c:v>
                </c:pt>
                <c:pt idx="631">
                  <c:v>4</c:v>
                </c:pt>
                <c:pt idx="632">
                  <c:v>4</c:v>
                </c:pt>
                <c:pt idx="633">
                  <c:v>4</c:v>
                </c:pt>
                <c:pt idx="634">
                  <c:v>4</c:v>
                </c:pt>
                <c:pt idx="635">
                  <c:v>4</c:v>
                </c:pt>
                <c:pt idx="636">
                  <c:v>4</c:v>
                </c:pt>
                <c:pt idx="637">
                  <c:v>4</c:v>
                </c:pt>
                <c:pt idx="638">
                  <c:v>4</c:v>
                </c:pt>
                <c:pt idx="639">
                  <c:v>4</c:v>
                </c:pt>
                <c:pt idx="640">
                  <c:v>4</c:v>
                </c:pt>
                <c:pt idx="641">
                  <c:v>4</c:v>
                </c:pt>
                <c:pt idx="642">
                  <c:v>4</c:v>
                </c:pt>
                <c:pt idx="644">
                  <c:v>4</c:v>
                </c:pt>
                <c:pt idx="645">
                  <c:v>4</c:v>
                </c:pt>
                <c:pt idx="646">
                  <c:v>4</c:v>
                </c:pt>
                <c:pt idx="647">
                  <c:v>4</c:v>
                </c:pt>
                <c:pt idx="648">
                  <c:v>4</c:v>
                </c:pt>
                <c:pt idx="649">
                  <c:v>4</c:v>
                </c:pt>
                <c:pt idx="650">
                  <c:v>4</c:v>
                </c:pt>
                <c:pt idx="651">
                  <c:v>4</c:v>
                </c:pt>
                <c:pt idx="652">
                  <c:v>4</c:v>
                </c:pt>
                <c:pt idx="653">
                  <c:v>4</c:v>
                </c:pt>
                <c:pt idx="654">
                  <c:v>4</c:v>
                </c:pt>
                <c:pt idx="655">
                  <c:v>4</c:v>
                </c:pt>
                <c:pt idx="656">
                  <c:v>4</c:v>
                </c:pt>
                <c:pt idx="657">
                  <c:v>4</c:v>
                </c:pt>
                <c:pt idx="658">
                  <c:v>4</c:v>
                </c:pt>
                <c:pt idx="659">
                  <c:v>4</c:v>
                </c:pt>
                <c:pt idx="660">
                  <c:v>4</c:v>
                </c:pt>
                <c:pt idx="661">
                  <c:v>4</c:v>
                </c:pt>
                <c:pt idx="662">
                  <c:v>4</c:v>
                </c:pt>
                <c:pt idx="663">
                  <c:v>4</c:v>
                </c:pt>
                <c:pt idx="664">
                  <c:v>4</c:v>
                </c:pt>
                <c:pt idx="665">
                  <c:v>4</c:v>
                </c:pt>
                <c:pt idx="666">
                  <c:v>4</c:v>
                </c:pt>
                <c:pt idx="667">
                  <c:v>4</c:v>
                </c:pt>
                <c:pt idx="668">
                  <c:v>4</c:v>
                </c:pt>
                <c:pt idx="669">
                  <c:v>4</c:v>
                </c:pt>
                <c:pt idx="670">
                  <c:v>4</c:v>
                </c:pt>
                <c:pt idx="671">
                  <c:v>4</c:v>
                </c:pt>
                <c:pt idx="672">
                  <c:v>4</c:v>
                </c:pt>
                <c:pt idx="674">
                  <c:v>4</c:v>
                </c:pt>
                <c:pt idx="675">
                  <c:v>4</c:v>
                </c:pt>
                <c:pt idx="676">
                  <c:v>4</c:v>
                </c:pt>
                <c:pt idx="677">
                  <c:v>4</c:v>
                </c:pt>
                <c:pt idx="678">
                  <c:v>4</c:v>
                </c:pt>
                <c:pt idx="679">
                  <c:v>4</c:v>
                </c:pt>
                <c:pt idx="680">
                  <c:v>4</c:v>
                </c:pt>
                <c:pt idx="681">
                  <c:v>4</c:v>
                </c:pt>
                <c:pt idx="682">
                  <c:v>4</c:v>
                </c:pt>
                <c:pt idx="683">
                  <c:v>4</c:v>
                </c:pt>
                <c:pt idx="684">
                  <c:v>4</c:v>
                </c:pt>
                <c:pt idx="685">
                  <c:v>4</c:v>
                </c:pt>
                <c:pt idx="686">
                  <c:v>4</c:v>
                </c:pt>
                <c:pt idx="687">
                  <c:v>4</c:v>
                </c:pt>
                <c:pt idx="688">
                  <c:v>4</c:v>
                </c:pt>
                <c:pt idx="689">
                  <c:v>4</c:v>
                </c:pt>
                <c:pt idx="690">
                  <c:v>4</c:v>
                </c:pt>
                <c:pt idx="691">
                  <c:v>4</c:v>
                </c:pt>
                <c:pt idx="692">
                  <c:v>4</c:v>
                </c:pt>
                <c:pt idx="693">
                  <c:v>4</c:v>
                </c:pt>
                <c:pt idx="694">
                  <c:v>4</c:v>
                </c:pt>
                <c:pt idx="695">
                  <c:v>4</c:v>
                </c:pt>
                <c:pt idx="696">
                  <c:v>4</c:v>
                </c:pt>
                <c:pt idx="697">
                  <c:v>4</c:v>
                </c:pt>
                <c:pt idx="698">
                  <c:v>4</c:v>
                </c:pt>
                <c:pt idx="699">
                  <c:v>4</c:v>
                </c:pt>
                <c:pt idx="700">
                  <c:v>4</c:v>
                </c:pt>
                <c:pt idx="701">
                  <c:v>4</c:v>
                </c:pt>
                <c:pt idx="702">
                  <c:v>4</c:v>
                </c:pt>
                <c:pt idx="704">
                  <c:v>4</c:v>
                </c:pt>
                <c:pt idx="705">
                  <c:v>4</c:v>
                </c:pt>
                <c:pt idx="706">
                  <c:v>4</c:v>
                </c:pt>
                <c:pt idx="707">
                  <c:v>4</c:v>
                </c:pt>
                <c:pt idx="708">
                  <c:v>4</c:v>
                </c:pt>
                <c:pt idx="709">
                  <c:v>4</c:v>
                </c:pt>
                <c:pt idx="710">
                  <c:v>4</c:v>
                </c:pt>
                <c:pt idx="711">
                  <c:v>4</c:v>
                </c:pt>
                <c:pt idx="712">
                  <c:v>4</c:v>
                </c:pt>
                <c:pt idx="713">
                  <c:v>4</c:v>
                </c:pt>
                <c:pt idx="714">
                  <c:v>4</c:v>
                </c:pt>
                <c:pt idx="715">
                  <c:v>4</c:v>
                </c:pt>
                <c:pt idx="716">
                  <c:v>4</c:v>
                </c:pt>
                <c:pt idx="717">
                  <c:v>4</c:v>
                </c:pt>
                <c:pt idx="718">
                  <c:v>4</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4">
                  <c:v>4</c:v>
                </c:pt>
                <c:pt idx="735">
                  <c:v>4</c:v>
                </c:pt>
                <c:pt idx="736">
                  <c:v>4</c:v>
                </c:pt>
                <c:pt idx="737">
                  <c:v>4</c:v>
                </c:pt>
                <c:pt idx="738">
                  <c:v>4</c:v>
                </c:pt>
                <c:pt idx="739">
                  <c:v>4</c:v>
                </c:pt>
                <c:pt idx="740">
                  <c:v>4</c:v>
                </c:pt>
                <c:pt idx="741">
                  <c:v>4</c:v>
                </c:pt>
                <c:pt idx="742">
                  <c:v>4</c:v>
                </c:pt>
                <c:pt idx="743">
                  <c:v>4</c:v>
                </c:pt>
                <c:pt idx="744">
                  <c:v>4</c:v>
                </c:pt>
                <c:pt idx="745">
                  <c:v>4</c:v>
                </c:pt>
                <c:pt idx="746">
                  <c:v>4</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4">
                  <c:v>4</c:v>
                </c:pt>
                <c:pt idx="765">
                  <c:v>4</c:v>
                </c:pt>
                <c:pt idx="766">
                  <c:v>4</c:v>
                </c:pt>
                <c:pt idx="767">
                  <c:v>4</c:v>
                </c:pt>
                <c:pt idx="768">
                  <c:v>4</c:v>
                </c:pt>
                <c:pt idx="769">
                  <c:v>4</c:v>
                </c:pt>
                <c:pt idx="770">
                  <c:v>4</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4</c:v>
                </c:pt>
                <c:pt idx="785">
                  <c:v>4</c:v>
                </c:pt>
                <c:pt idx="786">
                  <c:v>4</c:v>
                </c:pt>
                <c:pt idx="787">
                  <c:v>4</c:v>
                </c:pt>
                <c:pt idx="788">
                  <c:v>4</c:v>
                </c:pt>
                <c:pt idx="789">
                  <c:v>4</c:v>
                </c:pt>
                <c:pt idx="790">
                  <c:v>4</c:v>
                </c:pt>
                <c:pt idx="791">
                  <c:v>4</c:v>
                </c:pt>
                <c:pt idx="792">
                  <c:v>4</c:v>
                </c:pt>
                <c:pt idx="794">
                  <c:v>4</c:v>
                </c:pt>
                <c:pt idx="795">
                  <c:v>4</c:v>
                </c:pt>
                <c:pt idx="796">
                  <c:v>4</c:v>
                </c:pt>
                <c:pt idx="797">
                  <c:v>4</c:v>
                </c:pt>
                <c:pt idx="798">
                  <c:v>4</c:v>
                </c:pt>
                <c:pt idx="799">
                  <c:v>4</c:v>
                </c:pt>
                <c:pt idx="800">
                  <c:v>4</c:v>
                </c:pt>
                <c:pt idx="801">
                  <c:v>4</c:v>
                </c:pt>
                <c:pt idx="802">
                  <c:v>4</c:v>
                </c:pt>
                <c:pt idx="803">
                  <c:v>4</c:v>
                </c:pt>
                <c:pt idx="804">
                  <c:v>4</c:v>
                </c:pt>
                <c:pt idx="805">
                  <c:v>4</c:v>
                </c:pt>
                <c:pt idx="806">
                  <c:v>4</c:v>
                </c:pt>
                <c:pt idx="807">
                  <c:v>4</c:v>
                </c:pt>
                <c:pt idx="808">
                  <c:v>4</c:v>
                </c:pt>
                <c:pt idx="809">
                  <c:v>4</c:v>
                </c:pt>
                <c:pt idx="810">
                  <c:v>4</c:v>
                </c:pt>
                <c:pt idx="811">
                  <c:v>4</c:v>
                </c:pt>
                <c:pt idx="812">
                  <c:v>4</c:v>
                </c:pt>
                <c:pt idx="813">
                  <c:v>4</c:v>
                </c:pt>
                <c:pt idx="814">
                  <c:v>4</c:v>
                </c:pt>
                <c:pt idx="815">
                  <c:v>4</c:v>
                </c:pt>
                <c:pt idx="816">
                  <c:v>4</c:v>
                </c:pt>
                <c:pt idx="817">
                  <c:v>4</c:v>
                </c:pt>
                <c:pt idx="818">
                  <c:v>4</c:v>
                </c:pt>
                <c:pt idx="819">
                  <c:v>4</c:v>
                </c:pt>
                <c:pt idx="820">
                  <c:v>4</c:v>
                </c:pt>
                <c:pt idx="821">
                  <c:v>4</c:v>
                </c:pt>
                <c:pt idx="822">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4</c:v>
                </c:pt>
                <c:pt idx="838">
                  <c:v>4</c:v>
                </c:pt>
                <c:pt idx="839">
                  <c:v>4</c:v>
                </c:pt>
                <c:pt idx="840">
                  <c:v>4</c:v>
                </c:pt>
                <c:pt idx="841">
                  <c:v>4</c:v>
                </c:pt>
                <c:pt idx="842">
                  <c:v>4</c:v>
                </c:pt>
                <c:pt idx="843">
                  <c:v>4</c:v>
                </c:pt>
                <c:pt idx="844">
                  <c:v>4</c:v>
                </c:pt>
                <c:pt idx="845">
                  <c:v>4</c:v>
                </c:pt>
                <c:pt idx="846">
                  <c:v>4</c:v>
                </c:pt>
                <c:pt idx="847">
                  <c:v>4</c:v>
                </c:pt>
                <c:pt idx="848">
                  <c:v>4</c:v>
                </c:pt>
                <c:pt idx="849">
                  <c:v>4</c:v>
                </c:pt>
                <c:pt idx="850">
                  <c:v>4</c:v>
                </c:pt>
                <c:pt idx="851">
                  <c:v>4</c:v>
                </c:pt>
                <c:pt idx="852">
                  <c:v>4</c:v>
                </c:pt>
                <c:pt idx="854">
                  <c:v>5</c:v>
                </c:pt>
                <c:pt idx="855">
                  <c:v>5</c:v>
                </c:pt>
                <c:pt idx="856">
                  <c:v>5</c:v>
                </c:pt>
                <c:pt idx="857">
                  <c:v>5</c:v>
                </c:pt>
                <c:pt idx="858">
                  <c:v>5</c:v>
                </c:pt>
                <c:pt idx="859">
                  <c:v>5</c:v>
                </c:pt>
                <c:pt idx="860">
                  <c:v>5</c:v>
                </c:pt>
                <c:pt idx="861">
                  <c:v>5</c:v>
                </c:pt>
                <c:pt idx="862">
                  <c:v>5</c:v>
                </c:pt>
                <c:pt idx="863">
                  <c:v>5</c:v>
                </c:pt>
                <c:pt idx="864">
                  <c:v>5</c:v>
                </c:pt>
                <c:pt idx="865">
                  <c:v>5</c:v>
                </c:pt>
                <c:pt idx="866">
                  <c:v>5</c:v>
                </c:pt>
                <c:pt idx="867">
                  <c:v>5</c:v>
                </c:pt>
                <c:pt idx="868">
                  <c:v>5</c:v>
                </c:pt>
                <c:pt idx="869">
                  <c:v>5</c:v>
                </c:pt>
                <c:pt idx="870">
                  <c:v>5</c:v>
                </c:pt>
                <c:pt idx="871">
                  <c:v>5</c:v>
                </c:pt>
                <c:pt idx="872">
                  <c:v>5</c:v>
                </c:pt>
                <c:pt idx="873">
                  <c:v>5</c:v>
                </c:pt>
                <c:pt idx="874">
                  <c:v>5</c:v>
                </c:pt>
                <c:pt idx="875">
                  <c:v>5</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5</c:v>
                </c:pt>
                <c:pt idx="896">
                  <c:v>5</c:v>
                </c:pt>
                <c:pt idx="897">
                  <c:v>5</c:v>
                </c:pt>
                <c:pt idx="898">
                  <c:v>5</c:v>
                </c:pt>
                <c:pt idx="899">
                  <c:v>5</c:v>
                </c:pt>
                <c:pt idx="900">
                  <c:v>5</c:v>
                </c:pt>
                <c:pt idx="901">
                  <c:v>5</c:v>
                </c:pt>
                <c:pt idx="902">
                  <c:v>5</c:v>
                </c:pt>
                <c:pt idx="903">
                  <c:v>5</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5</c:v>
                </c:pt>
                <c:pt idx="924">
                  <c:v>5</c:v>
                </c:pt>
                <c:pt idx="925">
                  <c:v>5</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5</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6</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6</c:v>
                </c:pt>
                <c:pt idx="1076">
                  <c:v>6</c:v>
                </c:pt>
                <c:pt idx="1077">
                  <c:v>6</c:v>
                </c:pt>
                <c:pt idx="1078">
                  <c:v>6</c:v>
                </c:pt>
                <c:pt idx="1079">
                  <c:v>6</c:v>
                </c:pt>
                <c:pt idx="1080">
                  <c:v>6</c:v>
                </c:pt>
                <c:pt idx="1081">
                  <c:v>6</c:v>
                </c:pt>
                <c:pt idx="1082">
                  <c:v>6</c:v>
                </c:pt>
                <c:pt idx="1083">
                  <c:v>7</c:v>
                </c:pt>
                <c:pt idx="1084">
                  <c:v>7</c:v>
                </c:pt>
                <c:pt idx="1085">
                  <c:v>7</c:v>
                </c:pt>
                <c:pt idx="1086">
                  <c:v>7</c:v>
                </c:pt>
                <c:pt idx="1087">
                  <c:v>7</c:v>
                </c:pt>
                <c:pt idx="1088">
                  <c:v>7</c:v>
                </c:pt>
                <c:pt idx="1089">
                  <c:v>7</c:v>
                </c:pt>
                <c:pt idx="1090">
                  <c:v>7</c:v>
                </c:pt>
                <c:pt idx="1091">
                  <c:v>7</c:v>
                </c:pt>
                <c:pt idx="1092">
                  <c:v>7</c:v>
                </c:pt>
                <c:pt idx="1093">
                  <c:v>7</c:v>
                </c:pt>
                <c:pt idx="1094">
                  <c:v>7</c:v>
                </c:pt>
                <c:pt idx="1095">
                  <c:v>7</c:v>
                </c:pt>
                <c:pt idx="1096">
                  <c:v>7</c:v>
                </c:pt>
                <c:pt idx="1097">
                  <c:v>7</c:v>
                </c:pt>
                <c:pt idx="1098">
                  <c:v>7</c:v>
                </c:pt>
                <c:pt idx="1099">
                  <c:v>7</c:v>
                </c:pt>
                <c:pt idx="1100">
                  <c:v>7</c:v>
                </c:pt>
                <c:pt idx="1101">
                  <c:v>7</c:v>
                </c:pt>
                <c:pt idx="1102">
                  <c:v>7</c:v>
                </c:pt>
                <c:pt idx="1103">
                  <c:v>7</c:v>
                </c:pt>
                <c:pt idx="1104">
                  <c:v>7</c:v>
                </c:pt>
                <c:pt idx="1105">
                  <c:v>7</c:v>
                </c:pt>
                <c:pt idx="1106">
                  <c:v>7</c:v>
                </c:pt>
                <c:pt idx="1107">
                  <c:v>7</c:v>
                </c:pt>
                <c:pt idx="1108">
                  <c:v>7</c:v>
                </c:pt>
                <c:pt idx="1109">
                  <c:v>7</c:v>
                </c:pt>
                <c:pt idx="1110">
                  <c:v>7</c:v>
                </c:pt>
                <c:pt idx="1111">
                  <c:v>7</c:v>
                </c:pt>
                <c:pt idx="1112">
                  <c:v>7</c:v>
                </c:pt>
                <c:pt idx="1113">
                  <c:v>7</c:v>
                </c:pt>
                <c:pt idx="1114">
                  <c:v>7</c:v>
                </c:pt>
                <c:pt idx="1115">
                  <c:v>7</c:v>
                </c:pt>
                <c:pt idx="1116">
                  <c:v>7</c:v>
                </c:pt>
                <c:pt idx="1117">
                  <c:v>7</c:v>
                </c:pt>
                <c:pt idx="1118">
                  <c:v>7</c:v>
                </c:pt>
                <c:pt idx="1119">
                  <c:v>7</c:v>
                </c:pt>
                <c:pt idx="1120">
                  <c:v>7</c:v>
                </c:pt>
                <c:pt idx="1121">
                  <c:v>7</c:v>
                </c:pt>
                <c:pt idx="1122">
                  <c:v>7</c:v>
                </c:pt>
                <c:pt idx="1123">
                  <c:v>7</c:v>
                </c:pt>
                <c:pt idx="1124">
                  <c:v>7</c:v>
                </c:pt>
                <c:pt idx="1125">
                  <c:v>7</c:v>
                </c:pt>
                <c:pt idx="1126">
                  <c:v>7</c:v>
                </c:pt>
                <c:pt idx="1127">
                  <c:v>7</c:v>
                </c:pt>
                <c:pt idx="1128">
                  <c:v>7</c:v>
                </c:pt>
                <c:pt idx="1129">
                  <c:v>7</c:v>
                </c:pt>
                <c:pt idx="1130">
                  <c:v>7</c:v>
                </c:pt>
                <c:pt idx="1131">
                  <c:v>7</c:v>
                </c:pt>
                <c:pt idx="1132">
                  <c:v>7</c:v>
                </c:pt>
                <c:pt idx="1133">
                  <c:v>7</c:v>
                </c:pt>
                <c:pt idx="1134">
                  <c:v>7</c:v>
                </c:pt>
                <c:pt idx="1135">
                  <c:v>7</c:v>
                </c:pt>
                <c:pt idx="1136">
                  <c:v>7</c:v>
                </c:pt>
                <c:pt idx="1137">
                  <c:v>7</c:v>
                </c:pt>
                <c:pt idx="1138">
                  <c:v>7</c:v>
                </c:pt>
                <c:pt idx="1139">
                  <c:v>7</c:v>
                </c:pt>
                <c:pt idx="1140">
                  <c:v>7</c:v>
                </c:pt>
                <c:pt idx="1141">
                  <c:v>7</c:v>
                </c:pt>
                <c:pt idx="1142">
                  <c:v>7</c:v>
                </c:pt>
                <c:pt idx="1143">
                  <c:v>7</c:v>
                </c:pt>
                <c:pt idx="1144">
                  <c:v>7</c:v>
                </c:pt>
                <c:pt idx="1145">
                  <c:v>7</c:v>
                </c:pt>
                <c:pt idx="1146">
                  <c:v>7</c:v>
                </c:pt>
                <c:pt idx="1147">
                  <c:v>7</c:v>
                </c:pt>
                <c:pt idx="1148">
                  <c:v>7</c:v>
                </c:pt>
                <c:pt idx="1149">
                  <c:v>7</c:v>
                </c:pt>
                <c:pt idx="1150">
                  <c:v>7</c:v>
                </c:pt>
                <c:pt idx="1151">
                  <c:v>7</c:v>
                </c:pt>
                <c:pt idx="1152">
                  <c:v>7</c:v>
                </c:pt>
                <c:pt idx="1153">
                  <c:v>7</c:v>
                </c:pt>
                <c:pt idx="1154">
                  <c:v>7</c:v>
                </c:pt>
                <c:pt idx="1155">
                  <c:v>7</c:v>
                </c:pt>
                <c:pt idx="1156">
                  <c:v>7</c:v>
                </c:pt>
                <c:pt idx="1157">
                  <c:v>7</c:v>
                </c:pt>
                <c:pt idx="1158">
                  <c:v>7</c:v>
                </c:pt>
                <c:pt idx="1159">
                  <c:v>7</c:v>
                </c:pt>
                <c:pt idx="1160">
                  <c:v>7</c:v>
                </c:pt>
                <c:pt idx="1161">
                  <c:v>7</c:v>
                </c:pt>
                <c:pt idx="1162">
                  <c:v>7</c:v>
                </c:pt>
                <c:pt idx="1163">
                  <c:v>7</c:v>
                </c:pt>
                <c:pt idx="1164">
                  <c:v>7</c:v>
                </c:pt>
                <c:pt idx="1165">
                  <c:v>7</c:v>
                </c:pt>
                <c:pt idx="1166">
                  <c:v>7</c:v>
                </c:pt>
                <c:pt idx="1167">
                  <c:v>7</c:v>
                </c:pt>
                <c:pt idx="1168">
                  <c:v>7</c:v>
                </c:pt>
                <c:pt idx="1169">
                  <c:v>7</c:v>
                </c:pt>
                <c:pt idx="1170">
                  <c:v>7</c:v>
                </c:pt>
                <c:pt idx="1171">
                  <c:v>7</c:v>
                </c:pt>
                <c:pt idx="1172">
                  <c:v>7</c:v>
                </c:pt>
                <c:pt idx="1173">
                  <c:v>7</c:v>
                </c:pt>
                <c:pt idx="1174">
                  <c:v>7</c:v>
                </c:pt>
                <c:pt idx="1175">
                  <c:v>7</c:v>
                </c:pt>
                <c:pt idx="1176">
                  <c:v>7</c:v>
                </c:pt>
                <c:pt idx="1177">
                  <c:v>7</c:v>
                </c:pt>
                <c:pt idx="1178">
                  <c:v>7</c:v>
                </c:pt>
                <c:pt idx="1179">
                  <c:v>7</c:v>
                </c:pt>
                <c:pt idx="1180">
                  <c:v>8</c:v>
                </c:pt>
                <c:pt idx="1181">
                  <c:v>8</c:v>
                </c:pt>
                <c:pt idx="1182">
                  <c:v>8</c:v>
                </c:pt>
                <c:pt idx="1183">
                  <c:v>8</c:v>
                </c:pt>
                <c:pt idx="1184">
                  <c:v>8</c:v>
                </c:pt>
                <c:pt idx="1185">
                  <c:v>8</c:v>
                </c:pt>
                <c:pt idx="1186">
                  <c:v>8</c:v>
                </c:pt>
                <c:pt idx="1187">
                  <c:v>8</c:v>
                </c:pt>
                <c:pt idx="1188">
                  <c:v>8</c:v>
                </c:pt>
                <c:pt idx="1189">
                  <c:v>8</c:v>
                </c:pt>
                <c:pt idx="1190">
                  <c:v>8</c:v>
                </c:pt>
                <c:pt idx="1191">
                  <c:v>8</c:v>
                </c:pt>
                <c:pt idx="1192">
                  <c:v>8</c:v>
                </c:pt>
                <c:pt idx="1193">
                  <c:v>8</c:v>
                </c:pt>
                <c:pt idx="1194">
                  <c:v>8</c:v>
                </c:pt>
                <c:pt idx="1195">
                  <c:v>8</c:v>
                </c:pt>
                <c:pt idx="1196">
                  <c:v>8</c:v>
                </c:pt>
                <c:pt idx="1197">
                  <c:v>8</c:v>
                </c:pt>
                <c:pt idx="1198">
                  <c:v>8</c:v>
                </c:pt>
                <c:pt idx="1199">
                  <c:v>8</c:v>
                </c:pt>
                <c:pt idx="1200">
                  <c:v>8</c:v>
                </c:pt>
                <c:pt idx="1201">
                  <c:v>8</c:v>
                </c:pt>
                <c:pt idx="1202">
                  <c:v>8</c:v>
                </c:pt>
                <c:pt idx="1203">
                  <c:v>8</c:v>
                </c:pt>
                <c:pt idx="1204">
                  <c:v>8</c:v>
                </c:pt>
                <c:pt idx="1205">
                  <c:v>8</c:v>
                </c:pt>
                <c:pt idx="1206">
                  <c:v>8</c:v>
                </c:pt>
                <c:pt idx="1207">
                  <c:v>8</c:v>
                </c:pt>
                <c:pt idx="1208">
                  <c:v>8</c:v>
                </c:pt>
                <c:pt idx="1209">
                  <c:v>8</c:v>
                </c:pt>
                <c:pt idx="1210">
                  <c:v>8</c:v>
                </c:pt>
                <c:pt idx="1211">
                  <c:v>8</c:v>
                </c:pt>
                <c:pt idx="1212">
                  <c:v>8</c:v>
                </c:pt>
                <c:pt idx="1213">
                  <c:v>8</c:v>
                </c:pt>
                <c:pt idx="1214">
                  <c:v>8</c:v>
                </c:pt>
                <c:pt idx="1215">
                  <c:v>8</c:v>
                </c:pt>
                <c:pt idx="1216">
                  <c:v>8</c:v>
                </c:pt>
                <c:pt idx="1217">
                  <c:v>8</c:v>
                </c:pt>
                <c:pt idx="1218">
                  <c:v>8</c:v>
                </c:pt>
                <c:pt idx="1219">
                  <c:v>8</c:v>
                </c:pt>
                <c:pt idx="1220">
                  <c:v>8</c:v>
                </c:pt>
                <c:pt idx="1221">
                  <c:v>8</c:v>
                </c:pt>
                <c:pt idx="1222">
                  <c:v>8</c:v>
                </c:pt>
                <c:pt idx="1223">
                  <c:v>8</c:v>
                </c:pt>
                <c:pt idx="1224">
                  <c:v>8</c:v>
                </c:pt>
                <c:pt idx="1225">
                  <c:v>8</c:v>
                </c:pt>
                <c:pt idx="1226">
                  <c:v>8</c:v>
                </c:pt>
                <c:pt idx="1227">
                  <c:v>8</c:v>
                </c:pt>
                <c:pt idx="1228">
                  <c:v>8</c:v>
                </c:pt>
                <c:pt idx="1229">
                  <c:v>8</c:v>
                </c:pt>
                <c:pt idx="1230">
                  <c:v>8</c:v>
                </c:pt>
                <c:pt idx="1231">
                  <c:v>8</c:v>
                </c:pt>
                <c:pt idx="1232">
                  <c:v>8</c:v>
                </c:pt>
                <c:pt idx="1233">
                  <c:v>8</c:v>
                </c:pt>
                <c:pt idx="1234">
                  <c:v>8</c:v>
                </c:pt>
                <c:pt idx="1235">
                  <c:v>8</c:v>
                </c:pt>
                <c:pt idx="1236">
                  <c:v>8</c:v>
                </c:pt>
                <c:pt idx="1237">
                  <c:v>8</c:v>
                </c:pt>
                <c:pt idx="1238">
                  <c:v>8</c:v>
                </c:pt>
                <c:pt idx="1239">
                  <c:v>8</c:v>
                </c:pt>
                <c:pt idx="1240">
                  <c:v>8</c:v>
                </c:pt>
                <c:pt idx="1241">
                  <c:v>8</c:v>
                </c:pt>
                <c:pt idx="1242">
                  <c:v>8</c:v>
                </c:pt>
                <c:pt idx="1243">
                  <c:v>8</c:v>
                </c:pt>
                <c:pt idx="1244">
                  <c:v>8</c:v>
                </c:pt>
                <c:pt idx="1245">
                  <c:v>8</c:v>
                </c:pt>
                <c:pt idx="1246">
                  <c:v>8</c:v>
                </c:pt>
                <c:pt idx="1247">
                  <c:v>8</c:v>
                </c:pt>
                <c:pt idx="1248">
                  <c:v>8</c:v>
                </c:pt>
                <c:pt idx="1249">
                  <c:v>8</c:v>
                </c:pt>
                <c:pt idx="1250">
                  <c:v>8</c:v>
                </c:pt>
                <c:pt idx="1251">
                  <c:v>8</c:v>
                </c:pt>
                <c:pt idx="1252">
                  <c:v>8</c:v>
                </c:pt>
                <c:pt idx="1253">
                  <c:v>8</c:v>
                </c:pt>
                <c:pt idx="1254">
                  <c:v>8</c:v>
                </c:pt>
                <c:pt idx="1255">
                  <c:v>8</c:v>
                </c:pt>
                <c:pt idx="1256">
                  <c:v>8</c:v>
                </c:pt>
                <c:pt idx="1257">
                  <c:v>8</c:v>
                </c:pt>
                <c:pt idx="1258">
                  <c:v>8</c:v>
                </c:pt>
                <c:pt idx="1259">
                  <c:v>8</c:v>
                </c:pt>
                <c:pt idx="1260">
                  <c:v>8</c:v>
                </c:pt>
                <c:pt idx="1261">
                  <c:v>8</c:v>
                </c:pt>
                <c:pt idx="1262">
                  <c:v>8</c:v>
                </c:pt>
                <c:pt idx="1263">
                  <c:v>8</c:v>
                </c:pt>
                <c:pt idx="1264">
                  <c:v>8</c:v>
                </c:pt>
                <c:pt idx="1265">
                  <c:v>8</c:v>
                </c:pt>
                <c:pt idx="1266">
                  <c:v>8</c:v>
                </c:pt>
                <c:pt idx="1267">
                  <c:v>8</c:v>
                </c:pt>
                <c:pt idx="1268">
                  <c:v>8</c:v>
                </c:pt>
                <c:pt idx="1269">
                  <c:v>8</c:v>
                </c:pt>
                <c:pt idx="1270">
                  <c:v>8</c:v>
                </c:pt>
                <c:pt idx="1271">
                  <c:v>8</c:v>
                </c:pt>
                <c:pt idx="1272">
                  <c:v>8</c:v>
                </c:pt>
                <c:pt idx="1273">
                  <c:v>8</c:v>
                </c:pt>
                <c:pt idx="1274">
                  <c:v>8</c:v>
                </c:pt>
                <c:pt idx="1275">
                  <c:v>8</c:v>
                </c:pt>
                <c:pt idx="1276">
                  <c:v>8</c:v>
                </c:pt>
                <c:pt idx="1277">
                  <c:v>8</c:v>
                </c:pt>
                <c:pt idx="1278">
                  <c:v>8</c:v>
                </c:pt>
                <c:pt idx="1279">
                  <c:v>8</c:v>
                </c:pt>
                <c:pt idx="1371">
                  <c:v>10</c:v>
                </c:pt>
                <c:pt idx="1372">
                  <c:v>10</c:v>
                </c:pt>
                <c:pt idx="1373">
                  <c:v>10</c:v>
                </c:pt>
                <c:pt idx="1374">
                  <c:v>10</c:v>
                </c:pt>
                <c:pt idx="1375">
                  <c:v>10</c:v>
                </c:pt>
                <c:pt idx="1376">
                  <c:v>10</c:v>
                </c:pt>
                <c:pt idx="1377">
                  <c:v>10</c:v>
                </c:pt>
                <c:pt idx="1378">
                  <c:v>10</c:v>
                </c:pt>
                <c:pt idx="1379">
                  <c:v>10</c:v>
                </c:pt>
                <c:pt idx="1380">
                  <c:v>10</c:v>
                </c:pt>
                <c:pt idx="1381">
                  <c:v>10</c:v>
                </c:pt>
                <c:pt idx="1382">
                  <c:v>10</c:v>
                </c:pt>
                <c:pt idx="1383">
                  <c:v>10</c:v>
                </c:pt>
                <c:pt idx="1384">
                  <c:v>10</c:v>
                </c:pt>
                <c:pt idx="1385">
                  <c:v>10</c:v>
                </c:pt>
                <c:pt idx="1386">
                  <c:v>10</c:v>
                </c:pt>
                <c:pt idx="1387">
                  <c:v>10</c:v>
                </c:pt>
                <c:pt idx="1388">
                  <c:v>10</c:v>
                </c:pt>
                <c:pt idx="1389">
                  <c:v>10</c:v>
                </c:pt>
                <c:pt idx="1390">
                  <c:v>10</c:v>
                </c:pt>
                <c:pt idx="1391">
                  <c:v>10</c:v>
                </c:pt>
                <c:pt idx="1392">
                  <c:v>10</c:v>
                </c:pt>
                <c:pt idx="1393">
                  <c:v>10</c:v>
                </c:pt>
                <c:pt idx="1394">
                  <c:v>10</c:v>
                </c:pt>
                <c:pt idx="1395">
                  <c:v>10</c:v>
                </c:pt>
                <c:pt idx="1396">
                  <c:v>10</c:v>
                </c:pt>
                <c:pt idx="1397">
                  <c:v>10</c:v>
                </c:pt>
                <c:pt idx="1398">
                  <c:v>10</c:v>
                </c:pt>
                <c:pt idx="1399">
                  <c:v>10</c:v>
                </c:pt>
                <c:pt idx="1400">
                  <c:v>10</c:v>
                </c:pt>
                <c:pt idx="1401">
                  <c:v>10</c:v>
                </c:pt>
                <c:pt idx="1402">
                  <c:v>10</c:v>
                </c:pt>
                <c:pt idx="1403">
                  <c:v>10</c:v>
                </c:pt>
                <c:pt idx="1404">
                  <c:v>10</c:v>
                </c:pt>
                <c:pt idx="1405">
                  <c:v>10</c:v>
                </c:pt>
                <c:pt idx="1406">
                  <c:v>10</c:v>
                </c:pt>
                <c:pt idx="1407">
                  <c:v>10</c:v>
                </c:pt>
                <c:pt idx="1408">
                  <c:v>10</c:v>
                </c:pt>
                <c:pt idx="1409">
                  <c:v>10</c:v>
                </c:pt>
                <c:pt idx="1410">
                  <c:v>10</c:v>
                </c:pt>
                <c:pt idx="1411">
                  <c:v>10</c:v>
                </c:pt>
                <c:pt idx="1412">
                  <c:v>10</c:v>
                </c:pt>
                <c:pt idx="1413">
                  <c:v>10</c:v>
                </c:pt>
                <c:pt idx="1414">
                  <c:v>10</c:v>
                </c:pt>
                <c:pt idx="1415">
                  <c:v>10</c:v>
                </c:pt>
                <c:pt idx="1416">
                  <c:v>10</c:v>
                </c:pt>
                <c:pt idx="1417">
                  <c:v>10</c:v>
                </c:pt>
                <c:pt idx="1418">
                  <c:v>10</c:v>
                </c:pt>
                <c:pt idx="1419">
                  <c:v>10</c:v>
                </c:pt>
                <c:pt idx="1420">
                  <c:v>10</c:v>
                </c:pt>
                <c:pt idx="1421">
                  <c:v>10</c:v>
                </c:pt>
                <c:pt idx="1422">
                  <c:v>10</c:v>
                </c:pt>
                <c:pt idx="1423">
                  <c:v>10</c:v>
                </c:pt>
                <c:pt idx="1424">
                  <c:v>10</c:v>
                </c:pt>
                <c:pt idx="1425">
                  <c:v>10</c:v>
                </c:pt>
                <c:pt idx="1426">
                  <c:v>10</c:v>
                </c:pt>
                <c:pt idx="1427">
                  <c:v>10</c:v>
                </c:pt>
                <c:pt idx="1428">
                  <c:v>10</c:v>
                </c:pt>
                <c:pt idx="1429">
                  <c:v>10</c:v>
                </c:pt>
                <c:pt idx="1430">
                  <c:v>10</c:v>
                </c:pt>
                <c:pt idx="1431">
                  <c:v>10</c:v>
                </c:pt>
                <c:pt idx="1432">
                  <c:v>10</c:v>
                </c:pt>
                <c:pt idx="1433">
                  <c:v>10</c:v>
                </c:pt>
                <c:pt idx="1434">
                  <c:v>10</c:v>
                </c:pt>
                <c:pt idx="1435">
                  <c:v>10</c:v>
                </c:pt>
                <c:pt idx="1436">
                  <c:v>10</c:v>
                </c:pt>
                <c:pt idx="1437">
                  <c:v>10</c:v>
                </c:pt>
                <c:pt idx="1438">
                  <c:v>10</c:v>
                </c:pt>
                <c:pt idx="1439">
                  <c:v>10</c:v>
                </c:pt>
                <c:pt idx="1440">
                  <c:v>10</c:v>
                </c:pt>
                <c:pt idx="1441">
                  <c:v>10</c:v>
                </c:pt>
                <c:pt idx="1442">
                  <c:v>10</c:v>
                </c:pt>
                <c:pt idx="1443">
                  <c:v>10</c:v>
                </c:pt>
                <c:pt idx="1444">
                  <c:v>10</c:v>
                </c:pt>
                <c:pt idx="1445">
                  <c:v>10</c:v>
                </c:pt>
                <c:pt idx="1446">
                  <c:v>10</c:v>
                </c:pt>
                <c:pt idx="1447">
                  <c:v>10</c:v>
                </c:pt>
                <c:pt idx="1448">
                  <c:v>10</c:v>
                </c:pt>
                <c:pt idx="1449">
                  <c:v>10</c:v>
                </c:pt>
                <c:pt idx="1450">
                  <c:v>10</c:v>
                </c:pt>
                <c:pt idx="1451">
                  <c:v>10</c:v>
                </c:pt>
                <c:pt idx="1452">
                  <c:v>10</c:v>
                </c:pt>
                <c:pt idx="1453">
                  <c:v>10</c:v>
                </c:pt>
                <c:pt idx="1454">
                  <c:v>10</c:v>
                </c:pt>
                <c:pt idx="1455">
                  <c:v>10</c:v>
                </c:pt>
                <c:pt idx="1456">
                  <c:v>10</c:v>
                </c:pt>
                <c:pt idx="1457">
                  <c:v>10</c:v>
                </c:pt>
                <c:pt idx="1458">
                  <c:v>10</c:v>
                </c:pt>
                <c:pt idx="1459">
                  <c:v>10</c:v>
                </c:pt>
                <c:pt idx="1460">
                  <c:v>10</c:v>
                </c:pt>
                <c:pt idx="1461">
                  <c:v>10</c:v>
                </c:pt>
                <c:pt idx="1462">
                  <c:v>10</c:v>
                </c:pt>
                <c:pt idx="1463">
                  <c:v>10</c:v>
                </c:pt>
                <c:pt idx="1464">
                  <c:v>10</c:v>
                </c:pt>
                <c:pt idx="1465">
                  <c:v>10</c:v>
                </c:pt>
                <c:pt idx="1466">
                  <c:v>10</c:v>
                </c:pt>
                <c:pt idx="1467">
                  <c:v>11</c:v>
                </c:pt>
                <c:pt idx="1468">
                  <c:v>11</c:v>
                </c:pt>
                <c:pt idx="1469">
                  <c:v>11</c:v>
                </c:pt>
                <c:pt idx="1470">
                  <c:v>11</c:v>
                </c:pt>
                <c:pt idx="1471">
                  <c:v>11</c:v>
                </c:pt>
                <c:pt idx="1472">
                  <c:v>11</c:v>
                </c:pt>
                <c:pt idx="1473">
                  <c:v>11</c:v>
                </c:pt>
                <c:pt idx="1474">
                  <c:v>11</c:v>
                </c:pt>
                <c:pt idx="1475">
                  <c:v>11</c:v>
                </c:pt>
                <c:pt idx="1476">
                  <c:v>11</c:v>
                </c:pt>
                <c:pt idx="1477">
                  <c:v>11</c:v>
                </c:pt>
                <c:pt idx="1478">
                  <c:v>11</c:v>
                </c:pt>
                <c:pt idx="1479">
                  <c:v>11</c:v>
                </c:pt>
                <c:pt idx="1480">
                  <c:v>11</c:v>
                </c:pt>
                <c:pt idx="1481">
                  <c:v>11</c:v>
                </c:pt>
                <c:pt idx="1482">
                  <c:v>11</c:v>
                </c:pt>
                <c:pt idx="1483">
                  <c:v>11</c:v>
                </c:pt>
                <c:pt idx="1484">
                  <c:v>11</c:v>
                </c:pt>
                <c:pt idx="1485">
                  <c:v>11</c:v>
                </c:pt>
                <c:pt idx="1486">
                  <c:v>11</c:v>
                </c:pt>
                <c:pt idx="1487">
                  <c:v>11</c:v>
                </c:pt>
                <c:pt idx="1488">
                  <c:v>11</c:v>
                </c:pt>
                <c:pt idx="1489">
                  <c:v>11</c:v>
                </c:pt>
                <c:pt idx="1490">
                  <c:v>11</c:v>
                </c:pt>
                <c:pt idx="1491">
                  <c:v>11</c:v>
                </c:pt>
                <c:pt idx="1492">
                  <c:v>11</c:v>
                </c:pt>
                <c:pt idx="1493">
                  <c:v>11</c:v>
                </c:pt>
                <c:pt idx="1494">
                  <c:v>11</c:v>
                </c:pt>
                <c:pt idx="1495">
                  <c:v>11</c:v>
                </c:pt>
                <c:pt idx="1496">
                  <c:v>11</c:v>
                </c:pt>
                <c:pt idx="1497">
                  <c:v>11</c:v>
                </c:pt>
                <c:pt idx="1498">
                  <c:v>11</c:v>
                </c:pt>
                <c:pt idx="1499">
                  <c:v>11</c:v>
                </c:pt>
                <c:pt idx="1500">
                  <c:v>11</c:v>
                </c:pt>
                <c:pt idx="1501">
                  <c:v>11</c:v>
                </c:pt>
                <c:pt idx="1502">
                  <c:v>11</c:v>
                </c:pt>
                <c:pt idx="1503">
                  <c:v>11</c:v>
                </c:pt>
                <c:pt idx="1504">
                  <c:v>11</c:v>
                </c:pt>
                <c:pt idx="1505">
                  <c:v>11</c:v>
                </c:pt>
                <c:pt idx="1506">
                  <c:v>11</c:v>
                </c:pt>
                <c:pt idx="1507">
                  <c:v>11</c:v>
                </c:pt>
                <c:pt idx="1508">
                  <c:v>11</c:v>
                </c:pt>
                <c:pt idx="1509">
                  <c:v>11</c:v>
                </c:pt>
                <c:pt idx="1510">
                  <c:v>11</c:v>
                </c:pt>
                <c:pt idx="1511">
                  <c:v>11</c:v>
                </c:pt>
                <c:pt idx="1512">
                  <c:v>11</c:v>
                </c:pt>
                <c:pt idx="1513">
                  <c:v>11</c:v>
                </c:pt>
                <c:pt idx="1514">
                  <c:v>11</c:v>
                </c:pt>
                <c:pt idx="1515">
                  <c:v>11</c:v>
                </c:pt>
                <c:pt idx="1516">
                  <c:v>11</c:v>
                </c:pt>
                <c:pt idx="1517">
                  <c:v>11</c:v>
                </c:pt>
                <c:pt idx="1518">
                  <c:v>11</c:v>
                </c:pt>
                <c:pt idx="1519">
                  <c:v>11</c:v>
                </c:pt>
                <c:pt idx="1520">
                  <c:v>11</c:v>
                </c:pt>
                <c:pt idx="1521">
                  <c:v>11</c:v>
                </c:pt>
                <c:pt idx="1522">
                  <c:v>11</c:v>
                </c:pt>
                <c:pt idx="1523">
                  <c:v>11</c:v>
                </c:pt>
                <c:pt idx="1524">
                  <c:v>11</c:v>
                </c:pt>
                <c:pt idx="1525">
                  <c:v>11</c:v>
                </c:pt>
                <c:pt idx="1526">
                  <c:v>11</c:v>
                </c:pt>
                <c:pt idx="1527">
                  <c:v>11</c:v>
                </c:pt>
                <c:pt idx="1528">
                  <c:v>11</c:v>
                </c:pt>
                <c:pt idx="1529">
                  <c:v>11</c:v>
                </c:pt>
                <c:pt idx="1530">
                  <c:v>11</c:v>
                </c:pt>
                <c:pt idx="1531">
                  <c:v>11</c:v>
                </c:pt>
                <c:pt idx="1532">
                  <c:v>11</c:v>
                </c:pt>
                <c:pt idx="1533">
                  <c:v>11</c:v>
                </c:pt>
                <c:pt idx="1534">
                  <c:v>11</c:v>
                </c:pt>
                <c:pt idx="1535">
                  <c:v>11</c:v>
                </c:pt>
                <c:pt idx="1536">
                  <c:v>11</c:v>
                </c:pt>
                <c:pt idx="1537">
                  <c:v>11</c:v>
                </c:pt>
                <c:pt idx="1538">
                  <c:v>11</c:v>
                </c:pt>
                <c:pt idx="1539">
                  <c:v>11</c:v>
                </c:pt>
                <c:pt idx="1540">
                  <c:v>11</c:v>
                </c:pt>
                <c:pt idx="1541">
                  <c:v>11</c:v>
                </c:pt>
                <c:pt idx="1542">
                  <c:v>11</c:v>
                </c:pt>
                <c:pt idx="1543">
                  <c:v>11</c:v>
                </c:pt>
                <c:pt idx="1544">
                  <c:v>11</c:v>
                </c:pt>
                <c:pt idx="1545">
                  <c:v>11</c:v>
                </c:pt>
                <c:pt idx="1546">
                  <c:v>11</c:v>
                </c:pt>
                <c:pt idx="1547">
                  <c:v>11</c:v>
                </c:pt>
                <c:pt idx="1548">
                  <c:v>11</c:v>
                </c:pt>
                <c:pt idx="1549">
                  <c:v>11</c:v>
                </c:pt>
                <c:pt idx="1550">
                  <c:v>11</c:v>
                </c:pt>
                <c:pt idx="1551">
                  <c:v>11</c:v>
                </c:pt>
                <c:pt idx="1552">
                  <c:v>11</c:v>
                </c:pt>
                <c:pt idx="1553">
                  <c:v>11</c:v>
                </c:pt>
                <c:pt idx="1554">
                  <c:v>11</c:v>
                </c:pt>
                <c:pt idx="1555">
                  <c:v>11</c:v>
                </c:pt>
                <c:pt idx="1556">
                  <c:v>11</c:v>
                </c:pt>
                <c:pt idx="1557">
                  <c:v>11</c:v>
                </c:pt>
                <c:pt idx="1558">
                  <c:v>11</c:v>
                </c:pt>
                <c:pt idx="1559">
                  <c:v>11</c:v>
                </c:pt>
                <c:pt idx="1560">
                  <c:v>11</c:v>
                </c:pt>
                <c:pt idx="1561">
                  <c:v>11</c:v>
                </c:pt>
                <c:pt idx="1562">
                  <c:v>11</c:v>
                </c:pt>
                <c:pt idx="1563">
                  <c:v>11</c:v>
                </c:pt>
                <c:pt idx="1564">
                  <c:v>11</c:v>
                </c:pt>
                <c:pt idx="1565">
                  <c:v>11</c:v>
                </c:pt>
                <c:pt idx="1566">
                  <c:v>11</c:v>
                </c:pt>
                <c:pt idx="1567">
                  <c:v>11</c:v>
                </c:pt>
                <c:pt idx="1568">
                  <c:v>11</c:v>
                </c:pt>
                <c:pt idx="1569">
                  <c:v>11</c:v>
                </c:pt>
                <c:pt idx="1570">
                  <c:v>11</c:v>
                </c:pt>
                <c:pt idx="1571">
                  <c:v>12</c:v>
                </c:pt>
                <c:pt idx="1572">
                  <c:v>12</c:v>
                </c:pt>
                <c:pt idx="1573">
                  <c:v>12</c:v>
                </c:pt>
                <c:pt idx="1574">
                  <c:v>12</c:v>
                </c:pt>
                <c:pt idx="1575">
                  <c:v>12</c:v>
                </c:pt>
                <c:pt idx="1576">
                  <c:v>12</c:v>
                </c:pt>
                <c:pt idx="1577">
                  <c:v>12</c:v>
                </c:pt>
                <c:pt idx="1578">
                  <c:v>12</c:v>
                </c:pt>
                <c:pt idx="1579">
                  <c:v>12</c:v>
                </c:pt>
                <c:pt idx="1580">
                  <c:v>12</c:v>
                </c:pt>
                <c:pt idx="1581">
                  <c:v>12</c:v>
                </c:pt>
                <c:pt idx="1582">
                  <c:v>12</c:v>
                </c:pt>
                <c:pt idx="1583">
                  <c:v>12</c:v>
                </c:pt>
                <c:pt idx="1584">
                  <c:v>12</c:v>
                </c:pt>
                <c:pt idx="1585">
                  <c:v>12</c:v>
                </c:pt>
                <c:pt idx="1586">
                  <c:v>12</c:v>
                </c:pt>
                <c:pt idx="1587">
                  <c:v>12</c:v>
                </c:pt>
                <c:pt idx="1588">
                  <c:v>12</c:v>
                </c:pt>
                <c:pt idx="1589">
                  <c:v>12</c:v>
                </c:pt>
                <c:pt idx="1590">
                  <c:v>12</c:v>
                </c:pt>
                <c:pt idx="1591">
                  <c:v>12</c:v>
                </c:pt>
                <c:pt idx="1592">
                  <c:v>12</c:v>
                </c:pt>
                <c:pt idx="1593">
                  <c:v>12</c:v>
                </c:pt>
                <c:pt idx="1594">
                  <c:v>12</c:v>
                </c:pt>
                <c:pt idx="1595">
                  <c:v>12</c:v>
                </c:pt>
                <c:pt idx="1596">
                  <c:v>12</c:v>
                </c:pt>
                <c:pt idx="1597">
                  <c:v>12</c:v>
                </c:pt>
                <c:pt idx="1598">
                  <c:v>12</c:v>
                </c:pt>
                <c:pt idx="1599">
                  <c:v>12</c:v>
                </c:pt>
                <c:pt idx="1600">
                  <c:v>12</c:v>
                </c:pt>
                <c:pt idx="1601">
                  <c:v>12</c:v>
                </c:pt>
                <c:pt idx="1602">
                  <c:v>12</c:v>
                </c:pt>
                <c:pt idx="1603">
                  <c:v>12</c:v>
                </c:pt>
                <c:pt idx="1604">
                  <c:v>12</c:v>
                </c:pt>
                <c:pt idx="1605">
                  <c:v>12</c:v>
                </c:pt>
                <c:pt idx="1606">
                  <c:v>12</c:v>
                </c:pt>
                <c:pt idx="1607">
                  <c:v>12</c:v>
                </c:pt>
                <c:pt idx="1608">
                  <c:v>12</c:v>
                </c:pt>
                <c:pt idx="1609">
                  <c:v>12</c:v>
                </c:pt>
                <c:pt idx="1610">
                  <c:v>12</c:v>
                </c:pt>
                <c:pt idx="1611">
                  <c:v>12</c:v>
                </c:pt>
                <c:pt idx="1612">
                  <c:v>12</c:v>
                </c:pt>
                <c:pt idx="1613">
                  <c:v>12</c:v>
                </c:pt>
                <c:pt idx="1614">
                  <c:v>12</c:v>
                </c:pt>
                <c:pt idx="1615">
                  <c:v>12</c:v>
                </c:pt>
                <c:pt idx="1616">
                  <c:v>12</c:v>
                </c:pt>
                <c:pt idx="1617">
                  <c:v>12</c:v>
                </c:pt>
                <c:pt idx="1618">
                  <c:v>12</c:v>
                </c:pt>
                <c:pt idx="1619">
                  <c:v>12</c:v>
                </c:pt>
                <c:pt idx="1620">
                  <c:v>12</c:v>
                </c:pt>
                <c:pt idx="1621">
                  <c:v>12</c:v>
                </c:pt>
                <c:pt idx="1622">
                  <c:v>12</c:v>
                </c:pt>
                <c:pt idx="1623">
                  <c:v>12</c:v>
                </c:pt>
                <c:pt idx="1624">
                  <c:v>12</c:v>
                </c:pt>
                <c:pt idx="1625">
                  <c:v>12</c:v>
                </c:pt>
                <c:pt idx="1626">
                  <c:v>12</c:v>
                </c:pt>
                <c:pt idx="1627">
                  <c:v>12</c:v>
                </c:pt>
                <c:pt idx="1628">
                  <c:v>12</c:v>
                </c:pt>
                <c:pt idx="1629">
                  <c:v>12</c:v>
                </c:pt>
                <c:pt idx="1630">
                  <c:v>12</c:v>
                </c:pt>
                <c:pt idx="1631">
                  <c:v>12</c:v>
                </c:pt>
                <c:pt idx="1632">
                  <c:v>12</c:v>
                </c:pt>
                <c:pt idx="1633">
                  <c:v>12</c:v>
                </c:pt>
                <c:pt idx="1634">
                  <c:v>12</c:v>
                </c:pt>
                <c:pt idx="1635">
                  <c:v>12</c:v>
                </c:pt>
                <c:pt idx="1636">
                  <c:v>12</c:v>
                </c:pt>
                <c:pt idx="1637">
                  <c:v>12</c:v>
                </c:pt>
                <c:pt idx="1638">
                  <c:v>12</c:v>
                </c:pt>
                <c:pt idx="1639">
                  <c:v>12</c:v>
                </c:pt>
                <c:pt idx="1640">
                  <c:v>12</c:v>
                </c:pt>
                <c:pt idx="1641">
                  <c:v>12</c:v>
                </c:pt>
                <c:pt idx="1642">
                  <c:v>12</c:v>
                </c:pt>
                <c:pt idx="1643">
                  <c:v>12</c:v>
                </c:pt>
                <c:pt idx="1644">
                  <c:v>12</c:v>
                </c:pt>
                <c:pt idx="1645">
                  <c:v>12</c:v>
                </c:pt>
                <c:pt idx="1646">
                  <c:v>12</c:v>
                </c:pt>
                <c:pt idx="1647">
                  <c:v>12</c:v>
                </c:pt>
                <c:pt idx="1648">
                  <c:v>12</c:v>
                </c:pt>
                <c:pt idx="1649">
                  <c:v>12</c:v>
                </c:pt>
                <c:pt idx="1650">
                  <c:v>12</c:v>
                </c:pt>
                <c:pt idx="1651">
                  <c:v>12</c:v>
                </c:pt>
                <c:pt idx="1652">
                  <c:v>12</c:v>
                </c:pt>
                <c:pt idx="1653">
                  <c:v>12</c:v>
                </c:pt>
                <c:pt idx="1654">
                  <c:v>12</c:v>
                </c:pt>
                <c:pt idx="1655">
                  <c:v>12</c:v>
                </c:pt>
                <c:pt idx="1656">
                  <c:v>12</c:v>
                </c:pt>
                <c:pt idx="1657">
                  <c:v>12</c:v>
                </c:pt>
                <c:pt idx="1658">
                  <c:v>12</c:v>
                </c:pt>
                <c:pt idx="1659">
                  <c:v>12</c:v>
                </c:pt>
                <c:pt idx="1660">
                  <c:v>12</c:v>
                </c:pt>
                <c:pt idx="1661">
                  <c:v>12</c:v>
                </c:pt>
                <c:pt idx="1662">
                  <c:v>12</c:v>
                </c:pt>
                <c:pt idx="1663">
                  <c:v>12</c:v>
                </c:pt>
                <c:pt idx="1664">
                  <c:v>12</c:v>
                </c:pt>
                <c:pt idx="1665">
                  <c:v>12</c:v>
                </c:pt>
                <c:pt idx="1666">
                  <c:v>12</c:v>
                </c:pt>
                <c:pt idx="1667">
                  <c:v>12</c:v>
                </c:pt>
                <c:pt idx="1668">
                  <c:v>12</c:v>
                </c:pt>
                <c:pt idx="1669">
                  <c:v>12</c:v>
                </c:pt>
                <c:pt idx="1670">
                  <c:v>12</c:v>
                </c:pt>
                <c:pt idx="1671">
                  <c:v>12</c:v>
                </c:pt>
                <c:pt idx="1672">
                  <c:v>12</c:v>
                </c:pt>
                <c:pt idx="1673">
                  <c:v>12</c:v>
                </c:pt>
                <c:pt idx="1674">
                  <c:v>12</c:v>
                </c:pt>
                <c:pt idx="1675">
                  <c:v>12</c:v>
                </c:pt>
                <c:pt idx="1676">
                  <c:v>12</c:v>
                </c:pt>
                <c:pt idx="1677">
                  <c:v>12</c:v>
                </c:pt>
                <c:pt idx="1678">
                  <c:v>12</c:v>
                </c:pt>
                <c:pt idx="1679">
                  <c:v>12</c:v>
                </c:pt>
                <c:pt idx="1680">
                  <c:v>12</c:v>
                </c:pt>
                <c:pt idx="1681">
                  <c:v>12</c:v>
                </c:pt>
                <c:pt idx="1682">
                  <c:v>12</c:v>
                </c:pt>
                <c:pt idx="1683">
                  <c:v>12</c:v>
                </c:pt>
              </c:numCache>
            </c:numRef>
          </c:val>
          <c:extLst>
            <c:ext xmlns:c16="http://schemas.microsoft.com/office/drawing/2014/chart" uri="{C3380CC4-5D6E-409C-BE32-E72D297353CC}">
              <c16:uniqueId val="{00000001-5630-B047-8676-E055EA8119FF}"/>
            </c:ext>
          </c:extLst>
        </c:ser>
        <c:dLbls>
          <c:showLegendKey val="0"/>
          <c:showVal val="0"/>
          <c:showCatName val="0"/>
          <c:showSerName val="0"/>
          <c:showPercent val="0"/>
          <c:showBubbleSize val="0"/>
        </c:dLbls>
        <c:gapWidth val="219"/>
        <c:overlap val="-27"/>
        <c:axId val="2143509680"/>
        <c:axId val="2144193328"/>
      </c:barChart>
      <c:dateAx>
        <c:axId val="214350968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44193328"/>
        <c:crosses val="autoZero"/>
        <c:auto val="1"/>
        <c:lblOffset val="100"/>
        <c:baseTimeUnit val="days"/>
      </c:dateAx>
      <c:valAx>
        <c:axId val="214419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4350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180973</xdr:colOff>
      <xdr:row>0</xdr:row>
      <xdr:rowOff>0</xdr:rowOff>
    </xdr:from>
    <xdr:to>
      <xdr:col>10</xdr:col>
      <xdr:colOff>19049</xdr:colOff>
      <xdr:row>0</xdr:row>
      <xdr:rowOff>762000</xdr:rowOff>
    </xdr:to>
    <xdr:pic>
      <xdr:nvPicPr>
        <xdr:cNvPr id="2" name="Picture 1" descr="Fresh produce: lettuce, tomatoes, and cucumbers">
          <a:extLst>
            <a:ext uri="{FF2B5EF4-FFF2-40B4-BE49-F238E27FC236}">
              <a16:creationId xmlns:a16="http://schemas.microsoft.com/office/drawing/2014/main" id="{A83168B8-03A5-5C45-85BD-25D1ED7EF0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3" y="0"/>
          <a:ext cx="12538076" cy="762000"/>
        </a:xfrm>
        <a:prstGeom prst="rect">
          <a:avLst/>
        </a:prstGeom>
      </xdr:spPr>
    </xdr:pic>
    <xdr:clientData/>
  </xdr:twoCellAnchor>
  <xdr:twoCellAnchor>
    <xdr:from>
      <xdr:col>11</xdr:col>
      <xdr:colOff>180973</xdr:colOff>
      <xdr:row>0</xdr:row>
      <xdr:rowOff>0</xdr:rowOff>
    </xdr:from>
    <xdr:to>
      <xdr:col>21</xdr:col>
      <xdr:colOff>19049</xdr:colOff>
      <xdr:row>0</xdr:row>
      <xdr:rowOff>762000</xdr:rowOff>
    </xdr:to>
    <xdr:pic>
      <xdr:nvPicPr>
        <xdr:cNvPr id="3" name="Picture 2" descr="Fresh produce: lettuce, tomatoes, and cucumbers">
          <a:extLst>
            <a:ext uri="{FF2B5EF4-FFF2-40B4-BE49-F238E27FC236}">
              <a16:creationId xmlns:a16="http://schemas.microsoft.com/office/drawing/2014/main" id="{E79FEA6F-7076-1C4A-904E-CBCB89F872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04270" y="0"/>
          <a:ext cx="12831153" cy="762000"/>
        </a:xfrm>
        <a:prstGeom prst="rect">
          <a:avLst/>
        </a:prstGeom>
      </xdr:spPr>
    </xdr:pic>
    <xdr:clientData/>
  </xdr:twoCellAnchor>
  <xdr:twoCellAnchor>
    <xdr:from>
      <xdr:col>23</xdr:col>
      <xdr:colOff>180973</xdr:colOff>
      <xdr:row>0</xdr:row>
      <xdr:rowOff>0</xdr:rowOff>
    </xdr:from>
    <xdr:to>
      <xdr:col>33</xdr:col>
      <xdr:colOff>19049</xdr:colOff>
      <xdr:row>0</xdr:row>
      <xdr:rowOff>762000</xdr:rowOff>
    </xdr:to>
    <xdr:pic>
      <xdr:nvPicPr>
        <xdr:cNvPr id="7" name="Picture 6" descr="Fresh produce: lettuce, tomatoes, and cucumbers">
          <a:extLst>
            <a:ext uri="{FF2B5EF4-FFF2-40B4-BE49-F238E27FC236}">
              <a16:creationId xmlns:a16="http://schemas.microsoft.com/office/drawing/2014/main" id="{252DE0BC-96E7-E240-977C-BBD5C142AA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04270" y="0"/>
          <a:ext cx="12831153" cy="762000"/>
        </a:xfrm>
        <a:prstGeom prst="rect">
          <a:avLst/>
        </a:prstGeom>
      </xdr:spPr>
    </xdr:pic>
    <xdr:clientData/>
  </xdr:twoCellAnchor>
  <xdr:twoCellAnchor>
    <xdr:from>
      <xdr:col>37</xdr:col>
      <xdr:colOff>180973</xdr:colOff>
      <xdr:row>0</xdr:row>
      <xdr:rowOff>0</xdr:rowOff>
    </xdr:from>
    <xdr:to>
      <xdr:col>47</xdr:col>
      <xdr:colOff>19049</xdr:colOff>
      <xdr:row>0</xdr:row>
      <xdr:rowOff>762000</xdr:rowOff>
    </xdr:to>
    <xdr:pic>
      <xdr:nvPicPr>
        <xdr:cNvPr id="4" name="Picture 3" descr="Fresh produce: lettuce, tomatoes, and cucumbers">
          <a:extLst>
            <a:ext uri="{FF2B5EF4-FFF2-40B4-BE49-F238E27FC236}">
              <a16:creationId xmlns:a16="http://schemas.microsoft.com/office/drawing/2014/main" id="{9DD41B60-8038-0546-942F-DA84F1CF25F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424473" y="0"/>
          <a:ext cx="11204576" cy="762000"/>
        </a:xfrm>
        <a:prstGeom prst="rect">
          <a:avLst/>
        </a:prstGeom>
      </xdr:spPr>
    </xdr:pic>
    <xdr:clientData/>
  </xdr:twoCellAnchor>
  <xdr:twoCellAnchor>
    <xdr:from>
      <xdr:col>49</xdr:col>
      <xdr:colOff>180973</xdr:colOff>
      <xdr:row>0</xdr:row>
      <xdr:rowOff>0</xdr:rowOff>
    </xdr:from>
    <xdr:to>
      <xdr:col>59</xdr:col>
      <xdr:colOff>19049</xdr:colOff>
      <xdr:row>0</xdr:row>
      <xdr:rowOff>762000</xdr:rowOff>
    </xdr:to>
    <xdr:pic>
      <xdr:nvPicPr>
        <xdr:cNvPr id="5" name="Picture 4" descr="Fresh produce: lettuce, tomatoes, and cucumbers">
          <a:extLst>
            <a:ext uri="{FF2B5EF4-FFF2-40B4-BE49-F238E27FC236}">
              <a16:creationId xmlns:a16="http://schemas.microsoft.com/office/drawing/2014/main" id="{55FC3930-4841-DA4D-9940-012E3130EA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424473" y="0"/>
          <a:ext cx="11204576" cy="762000"/>
        </a:xfrm>
        <a:prstGeom prst="rect">
          <a:avLst/>
        </a:prstGeom>
      </xdr:spPr>
    </xdr:pic>
    <xdr:clientData/>
  </xdr:twoCellAnchor>
  <xdr:twoCellAnchor>
    <xdr:from>
      <xdr:col>60</xdr:col>
      <xdr:colOff>180973</xdr:colOff>
      <xdr:row>0</xdr:row>
      <xdr:rowOff>0</xdr:rowOff>
    </xdr:from>
    <xdr:to>
      <xdr:col>70</xdr:col>
      <xdr:colOff>19049</xdr:colOff>
      <xdr:row>0</xdr:row>
      <xdr:rowOff>762000</xdr:rowOff>
    </xdr:to>
    <xdr:pic>
      <xdr:nvPicPr>
        <xdr:cNvPr id="6" name="Picture 5" descr="Fresh produce: lettuce, tomatoes, and cucumbers">
          <a:extLst>
            <a:ext uri="{FF2B5EF4-FFF2-40B4-BE49-F238E27FC236}">
              <a16:creationId xmlns:a16="http://schemas.microsoft.com/office/drawing/2014/main" id="{47103F2F-E6C3-C743-8AC1-D195AFF14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136736" y="0"/>
          <a:ext cx="11235788" cy="762000"/>
        </a:xfrm>
        <a:prstGeom prst="rect">
          <a:avLst/>
        </a:prstGeom>
      </xdr:spPr>
    </xdr:pic>
    <xdr:clientData/>
  </xdr:twoCellAnchor>
  <xdr:twoCellAnchor>
    <xdr:from>
      <xdr:col>72</xdr:col>
      <xdr:colOff>180973</xdr:colOff>
      <xdr:row>0</xdr:row>
      <xdr:rowOff>0</xdr:rowOff>
    </xdr:from>
    <xdr:to>
      <xdr:col>82</xdr:col>
      <xdr:colOff>19049</xdr:colOff>
      <xdr:row>0</xdr:row>
      <xdr:rowOff>762000</xdr:rowOff>
    </xdr:to>
    <xdr:pic>
      <xdr:nvPicPr>
        <xdr:cNvPr id="8" name="Picture 7" descr="Fresh produce: lettuce, tomatoes, and cucumbers">
          <a:extLst>
            <a:ext uri="{FF2B5EF4-FFF2-40B4-BE49-F238E27FC236}">
              <a16:creationId xmlns:a16="http://schemas.microsoft.com/office/drawing/2014/main" id="{B68456A0-C552-D24F-8B80-9CF14F5131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019702" y="0"/>
          <a:ext cx="11666296" cy="762000"/>
        </a:xfrm>
        <a:prstGeom prst="rect">
          <a:avLst/>
        </a:prstGeom>
      </xdr:spPr>
    </xdr:pic>
    <xdr:clientData/>
  </xdr:twoCellAnchor>
  <xdr:twoCellAnchor>
    <xdr:from>
      <xdr:col>84</xdr:col>
      <xdr:colOff>180973</xdr:colOff>
      <xdr:row>0</xdr:row>
      <xdr:rowOff>0</xdr:rowOff>
    </xdr:from>
    <xdr:to>
      <xdr:col>94</xdr:col>
      <xdr:colOff>19049</xdr:colOff>
      <xdr:row>0</xdr:row>
      <xdr:rowOff>762000</xdr:rowOff>
    </xdr:to>
    <xdr:pic>
      <xdr:nvPicPr>
        <xdr:cNvPr id="9" name="Picture 8" descr="Fresh produce: lettuce, tomatoes, and cucumbers">
          <a:extLst>
            <a:ext uri="{FF2B5EF4-FFF2-40B4-BE49-F238E27FC236}">
              <a16:creationId xmlns:a16="http://schemas.microsoft.com/office/drawing/2014/main" id="{799A5D79-2443-834C-8C4B-5593C855BF2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019702" y="0"/>
          <a:ext cx="11666296" cy="762000"/>
        </a:xfrm>
        <a:prstGeom prst="rect">
          <a:avLst/>
        </a:prstGeom>
      </xdr:spPr>
    </xdr:pic>
    <xdr:clientData/>
  </xdr:twoCellAnchor>
  <xdr:twoCellAnchor>
    <xdr:from>
      <xdr:col>96</xdr:col>
      <xdr:colOff>180973</xdr:colOff>
      <xdr:row>0</xdr:row>
      <xdr:rowOff>0</xdr:rowOff>
    </xdr:from>
    <xdr:to>
      <xdr:col>106</xdr:col>
      <xdr:colOff>19049</xdr:colOff>
      <xdr:row>0</xdr:row>
      <xdr:rowOff>762000</xdr:rowOff>
    </xdr:to>
    <xdr:pic>
      <xdr:nvPicPr>
        <xdr:cNvPr id="11" name="Picture 10" descr="Fresh produce: lettuce, tomatoes, and cucumbers">
          <a:extLst>
            <a:ext uri="{FF2B5EF4-FFF2-40B4-BE49-F238E27FC236}">
              <a16:creationId xmlns:a16="http://schemas.microsoft.com/office/drawing/2014/main" id="{FA28055B-72B8-FE41-908E-853A6BB4084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333176" y="0"/>
          <a:ext cx="11784687" cy="203200"/>
        </a:xfrm>
        <a:prstGeom prst="rect">
          <a:avLst/>
        </a:prstGeom>
      </xdr:spPr>
    </xdr:pic>
    <xdr:clientData/>
  </xdr:twoCellAnchor>
  <xdr:twoCellAnchor>
    <xdr:from>
      <xdr:col>96</xdr:col>
      <xdr:colOff>180973</xdr:colOff>
      <xdr:row>0</xdr:row>
      <xdr:rowOff>0</xdr:rowOff>
    </xdr:from>
    <xdr:to>
      <xdr:col>106</xdr:col>
      <xdr:colOff>19049</xdr:colOff>
      <xdr:row>0</xdr:row>
      <xdr:rowOff>762000</xdr:rowOff>
    </xdr:to>
    <xdr:pic>
      <xdr:nvPicPr>
        <xdr:cNvPr id="12" name="Picture 11" descr="Fresh produce: lettuce, tomatoes, and cucumbers">
          <a:extLst>
            <a:ext uri="{FF2B5EF4-FFF2-40B4-BE49-F238E27FC236}">
              <a16:creationId xmlns:a16="http://schemas.microsoft.com/office/drawing/2014/main" id="{69609324-2F8C-0146-9EF6-51F31173A65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333176" y="0"/>
          <a:ext cx="11784687" cy="203200"/>
        </a:xfrm>
        <a:prstGeom prst="rect">
          <a:avLst/>
        </a:prstGeom>
      </xdr:spPr>
    </xdr:pic>
    <xdr:clientData/>
  </xdr:twoCellAnchor>
  <xdr:twoCellAnchor>
    <xdr:from>
      <xdr:col>108</xdr:col>
      <xdr:colOff>180973</xdr:colOff>
      <xdr:row>0</xdr:row>
      <xdr:rowOff>0</xdr:rowOff>
    </xdr:from>
    <xdr:to>
      <xdr:col>118</xdr:col>
      <xdr:colOff>19049</xdr:colOff>
      <xdr:row>0</xdr:row>
      <xdr:rowOff>762000</xdr:rowOff>
    </xdr:to>
    <xdr:pic>
      <xdr:nvPicPr>
        <xdr:cNvPr id="10" name="Picture 9" descr="Fresh produce: lettuce, tomatoes, and cucumbers">
          <a:extLst>
            <a:ext uri="{FF2B5EF4-FFF2-40B4-BE49-F238E27FC236}">
              <a16:creationId xmlns:a16="http://schemas.microsoft.com/office/drawing/2014/main" id="{49E2A1AA-8062-4344-9286-0456FD50F0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765041" y="0"/>
          <a:ext cx="11784686" cy="203200"/>
        </a:xfrm>
        <a:prstGeom prst="rect">
          <a:avLst/>
        </a:prstGeom>
      </xdr:spPr>
    </xdr:pic>
    <xdr:clientData/>
  </xdr:twoCellAnchor>
  <xdr:twoCellAnchor>
    <xdr:from>
      <xdr:col>108</xdr:col>
      <xdr:colOff>180973</xdr:colOff>
      <xdr:row>0</xdr:row>
      <xdr:rowOff>0</xdr:rowOff>
    </xdr:from>
    <xdr:to>
      <xdr:col>118</xdr:col>
      <xdr:colOff>19049</xdr:colOff>
      <xdr:row>0</xdr:row>
      <xdr:rowOff>762000</xdr:rowOff>
    </xdr:to>
    <xdr:pic>
      <xdr:nvPicPr>
        <xdr:cNvPr id="13" name="Picture 12" descr="Fresh produce: lettuce, tomatoes, and cucumbers">
          <a:extLst>
            <a:ext uri="{FF2B5EF4-FFF2-40B4-BE49-F238E27FC236}">
              <a16:creationId xmlns:a16="http://schemas.microsoft.com/office/drawing/2014/main" id="{2EC8D5FC-3C27-E148-8F64-D72ED41DEB0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7765041" y="0"/>
          <a:ext cx="11784686" cy="203200"/>
        </a:xfrm>
        <a:prstGeom prst="rect">
          <a:avLst/>
        </a:prstGeom>
      </xdr:spPr>
    </xdr:pic>
    <xdr:clientData/>
  </xdr:twoCellAnchor>
  <xdr:twoCellAnchor>
    <xdr:from>
      <xdr:col>120</xdr:col>
      <xdr:colOff>180973</xdr:colOff>
      <xdr:row>0</xdr:row>
      <xdr:rowOff>0</xdr:rowOff>
    </xdr:from>
    <xdr:to>
      <xdr:col>130</xdr:col>
      <xdr:colOff>19049</xdr:colOff>
      <xdr:row>0</xdr:row>
      <xdr:rowOff>762000</xdr:rowOff>
    </xdr:to>
    <xdr:pic>
      <xdr:nvPicPr>
        <xdr:cNvPr id="14" name="Picture 13" descr="Fresh produce: lettuce, tomatoes, and cucumbers">
          <a:extLst>
            <a:ext uri="{FF2B5EF4-FFF2-40B4-BE49-F238E27FC236}">
              <a16:creationId xmlns:a16="http://schemas.microsoft.com/office/drawing/2014/main" id="{3F8F8603-169F-0145-9651-93E827C995D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1327428" y="0"/>
          <a:ext cx="11799166" cy="203200"/>
        </a:xfrm>
        <a:prstGeom prst="rect">
          <a:avLst/>
        </a:prstGeom>
      </xdr:spPr>
    </xdr:pic>
    <xdr:clientData/>
  </xdr:twoCellAnchor>
  <xdr:twoCellAnchor>
    <xdr:from>
      <xdr:col>120</xdr:col>
      <xdr:colOff>180973</xdr:colOff>
      <xdr:row>0</xdr:row>
      <xdr:rowOff>0</xdr:rowOff>
    </xdr:from>
    <xdr:to>
      <xdr:col>130</xdr:col>
      <xdr:colOff>19049</xdr:colOff>
      <xdr:row>0</xdr:row>
      <xdr:rowOff>762000</xdr:rowOff>
    </xdr:to>
    <xdr:pic>
      <xdr:nvPicPr>
        <xdr:cNvPr id="15" name="Picture 14" descr="Fresh produce: lettuce, tomatoes, and cucumbers">
          <a:extLst>
            <a:ext uri="{FF2B5EF4-FFF2-40B4-BE49-F238E27FC236}">
              <a16:creationId xmlns:a16="http://schemas.microsoft.com/office/drawing/2014/main" id="{9CE6F1DD-74EC-B94E-A370-361EA35FF2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327428" y="0"/>
          <a:ext cx="11799166" cy="203200"/>
        </a:xfrm>
        <a:prstGeom prst="rect">
          <a:avLst/>
        </a:prstGeom>
      </xdr:spPr>
    </xdr:pic>
    <xdr:clientData/>
  </xdr:twoCellAnchor>
  <xdr:twoCellAnchor>
    <xdr:from>
      <xdr:col>132</xdr:col>
      <xdr:colOff>180973</xdr:colOff>
      <xdr:row>0</xdr:row>
      <xdr:rowOff>0</xdr:rowOff>
    </xdr:from>
    <xdr:to>
      <xdr:col>142</xdr:col>
      <xdr:colOff>19049</xdr:colOff>
      <xdr:row>0</xdr:row>
      <xdr:rowOff>762000</xdr:rowOff>
    </xdr:to>
    <xdr:pic>
      <xdr:nvPicPr>
        <xdr:cNvPr id="16" name="Picture 15" descr="Fresh produce: lettuce, tomatoes, and cucumbers">
          <a:extLst>
            <a:ext uri="{FF2B5EF4-FFF2-40B4-BE49-F238E27FC236}">
              <a16:creationId xmlns:a16="http://schemas.microsoft.com/office/drawing/2014/main" id="{6722BE4E-CC8C-6A49-832D-AA26632674E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4777882" y="0"/>
          <a:ext cx="11799167" cy="203200"/>
        </a:xfrm>
        <a:prstGeom prst="rect">
          <a:avLst/>
        </a:prstGeom>
      </xdr:spPr>
    </xdr:pic>
    <xdr:clientData/>
  </xdr:twoCellAnchor>
  <xdr:twoCellAnchor>
    <xdr:from>
      <xdr:col>132</xdr:col>
      <xdr:colOff>180973</xdr:colOff>
      <xdr:row>0</xdr:row>
      <xdr:rowOff>0</xdr:rowOff>
    </xdr:from>
    <xdr:to>
      <xdr:col>142</xdr:col>
      <xdr:colOff>19049</xdr:colOff>
      <xdr:row>0</xdr:row>
      <xdr:rowOff>762000</xdr:rowOff>
    </xdr:to>
    <xdr:pic>
      <xdr:nvPicPr>
        <xdr:cNvPr id="17" name="Picture 16" descr="Fresh produce: lettuce, tomatoes, and cucumbers">
          <a:extLst>
            <a:ext uri="{FF2B5EF4-FFF2-40B4-BE49-F238E27FC236}">
              <a16:creationId xmlns:a16="http://schemas.microsoft.com/office/drawing/2014/main" id="{E7BA5E2F-492C-0B4D-AB23-500D50063F4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4777882" y="0"/>
          <a:ext cx="11799167" cy="203200"/>
        </a:xfrm>
        <a:prstGeom prst="rect">
          <a:avLst/>
        </a:prstGeom>
      </xdr:spPr>
    </xdr:pic>
    <xdr:clientData/>
  </xdr:twoCellAnchor>
  <xdr:twoCellAnchor>
    <xdr:from>
      <xdr:col>144</xdr:col>
      <xdr:colOff>180973</xdr:colOff>
      <xdr:row>0</xdr:row>
      <xdr:rowOff>0</xdr:rowOff>
    </xdr:from>
    <xdr:to>
      <xdr:col>154</xdr:col>
      <xdr:colOff>19049</xdr:colOff>
      <xdr:row>0</xdr:row>
      <xdr:rowOff>762000</xdr:rowOff>
    </xdr:to>
    <xdr:pic>
      <xdr:nvPicPr>
        <xdr:cNvPr id="18" name="Picture 17" descr="Fresh produce: lettuce, tomatoes, and cucumbers">
          <a:extLst>
            <a:ext uri="{FF2B5EF4-FFF2-40B4-BE49-F238E27FC236}">
              <a16:creationId xmlns:a16="http://schemas.microsoft.com/office/drawing/2014/main" id="{C3BB88E4-F47F-BB48-B812-554689180B4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8228337" y="0"/>
          <a:ext cx="11799167" cy="203200"/>
        </a:xfrm>
        <a:prstGeom prst="rect">
          <a:avLst/>
        </a:prstGeom>
      </xdr:spPr>
    </xdr:pic>
    <xdr:clientData/>
  </xdr:twoCellAnchor>
  <xdr:twoCellAnchor>
    <xdr:from>
      <xdr:col>144</xdr:col>
      <xdr:colOff>180973</xdr:colOff>
      <xdr:row>0</xdr:row>
      <xdr:rowOff>0</xdr:rowOff>
    </xdr:from>
    <xdr:to>
      <xdr:col>154</xdr:col>
      <xdr:colOff>19049</xdr:colOff>
      <xdr:row>0</xdr:row>
      <xdr:rowOff>762000</xdr:rowOff>
    </xdr:to>
    <xdr:pic>
      <xdr:nvPicPr>
        <xdr:cNvPr id="19" name="Picture 18" descr="Fresh produce: lettuce, tomatoes, and cucumbers">
          <a:extLst>
            <a:ext uri="{FF2B5EF4-FFF2-40B4-BE49-F238E27FC236}">
              <a16:creationId xmlns:a16="http://schemas.microsoft.com/office/drawing/2014/main" id="{9720D710-6BB5-5F49-AB4D-8F701348E77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8228337" y="0"/>
          <a:ext cx="11799167" cy="203200"/>
        </a:xfrm>
        <a:prstGeom prst="rect">
          <a:avLst/>
        </a:prstGeom>
      </xdr:spPr>
    </xdr:pic>
    <xdr:clientData/>
  </xdr:twoCellAnchor>
  <xdr:twoCellAnchor>
    <xdr:from>
      <xdr:col>156</xdr:col>
      <xdr:colOff>180973</xdr:colOff>
      <xdr:row>0</xdr:row>
      <xdr:rowOff>0</xdr:rowOff>
    </xdr:from>
    <xdr:to>
      <xdr:col>166</xdr:col>
      <xdr:colOff>19049</xdr:colOff>
      <xdr:row>0</xdr:row>
      <xdr:rowOff>762000</xdr:rowOff>
    </xdr:to>
    <xdr:pic>
      <xdr:nvPicPr>
        <xdr:cNvPr id="20" name="Picture 19" descr="Fresh produce: lettuce, tomatoes, and cucumbers">
          <a:extLst>
            <a:ext uri="{FF2B5EF4-FFF2-40B4-BE49-F238E27FC236}">
              <a16:creationId xmlns:a16="http://schemas.microsoft.com/office/drawing/2014/main" id="{74F5F4A3-A259-E24A-939D-55F17EF2AF5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1678791" y="0"/>
          <a:ext cx="11799167" cy="203200"/>
        </a:xfrm>
        <a:prstGeom prst="rect">
          <a:avLst/>
        </a:prstGeom>
      </xdr:spPr>
    </xdr:pic>
    <xdr:clientData/>
  </xdr:twoCellAnchor>
  <xdr:twoCellAnchor>
    <xdr:from>
      <xdr:col>156</xdr:col>
      <xdr:colOff>180973</xdr:colOff>
      <xdr:row>0</xdr:row>
      <xdr:rowOff>0</xdr:rowOff>
    </xdr:from>
    <xdr:to>
      <xdr:col>166</xdr:col>
      <xdr:colOff>19049</xdr:colOff>
      <xdr:row>0</xdr:row>
      <xdr:rowOff>762000</xdr:rowOff>
    </xdr:to>
    <xdr:pic>
      <xdr:nvPicPr>
        <xdr:cNvPr id="21" name="Picture 20" descr="Fresh produce: lettuce, tomatoes, and cucumbers">
          <a:extLst>
            <a:ext uri="{FF2B5EF4-FFF2-40B4-BE49-F238E27FC236}">
              <a16:creationId xmlns:a16="http://schemas.microsoft.com/office/drawing/2014/main" id="{351B113D-0EB6-1544-A558-DD19CDE9023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1678791" y="0"/>
          <a:ext cx="11799167" cy="203200"/>
        </a:xfrm>
        <a:prstGeom prst="rect">
          <a:avLst/>
        </a:prstGeom>
      </xdr:spPr>
    </xdr:pic>
    <xdr:clientData/>
  </xdr:twoCellAnchor>
  <xdr:twoCellAnchor>
    <xdr:from>
      <xdr:col>168</xdr:col>
      <xdr:colOff>180973</xdr:colOff>
      <xdr:row>0</xdr:row>
      <xdr:rowOff>0</xdr:rowOff>
    </xdr:from>
    <xdr:to>
      <xdr:col>178</xdr:col>
      <xdr:colOff>19049</xdr:colOff>
      <xdr:row>0</xdr:row>
      <xdr:rowOff>762000</xdr:rowOff>
    </xdr:to>
    <xdr:pic>
      <xdr:nvPicPr>
        <xdr:cNvPr id="22" name="Picture 21" descr="Fresh produce: lettuce, tomatoes, and cucumbers">
          <a:extLst>
            <a:ext uri="{FF2B5EF4-FFF2-40B4-BE49-F238E27FC236}">
              <a16:creationId xmlns:a16="http://schemas.microsoft.com/office/drawing/2014/main" id="{65A4EAB5-A762-2E43-92DF-D20B4CC84C4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5129246" y="0"/>
          <a:ext cx="11799167" cy="203200"/>
        </a:xfrm>
        <a:prstGeom prst="rect">
          <a:avLst/>
        </a:prstGeom>
      </xdr:spPr>
    </xdr:pic>
    <xdr:clientData/>
  </xdr:twoCellAnchor>
  <xdr:twoCellAnchor>
    <xdr:from>
      <xdr:col>168</xdr:col>
      <xdr:colOff>180973</xdr:colOff>
      <xdr:row>0</xdr:row>
      <xdr:rowOff>0</xdr:rowOff>
    </xdr:from>
    <xdr:to>
      <xdr:col>178</xdr:col>
      <xdr:colOff>19049</xdr:colOff>
      <xdr:row>0</xdr:row>
      <xdr:rowOff>762000</xdr:rowOff>
    </xdr:to>
    <xdr:pic>
      <xdr:nvPicPr>
        <xdr:cNvPr id="23" name="Picture 22" descr="Fresh produce: lettuce, tomatoes, and cucumbers">
          <a:extLst>
            <a:ext uri="{FF2B5EF4-FFF2-40B4-BE49-F238E27FC236}">
              <a16:creationId xmlns:a16="http://schemas.microsoft.com/office/drawing/2014/main" id="{8B766DF7-ACD8-FF48-9B56-67ADA2E03D0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5129246" y="0"/>
          <a:ext cx="11799167" cy="203200"/>
        </a:xfrm>
        <a:prstGeom prst="rect">
          <a:avLst/>
        </a:prstGeom>
      </xdr:spPr>
    </xdr:pic>
    <xdr:clientData/>
  </xdr:twoCellAnchor>
  <xdr:twoCellAnchor>
    <xdr:from>
      <xdr:col>180</xdr:col>
      <xdr:colOff>180973</xdr:colOff>
      <xdr:row>0</xdr:row>
      <xdr:rowOff>0</xdr:rowOff>
    </xdr:from>
    <xdr:to>
      <xdr:col>190</xdr:col>
      <xdr:colOff>19049</xdr:colOff>
      <xdr:row>0</xdr:row>
      <xdr:rowOff>762000</xdr:rowOff>
    </xdr:to>
    <xdr:pic>
      <xdr:nvPicPr>
        <xdr:cNvPr id="24" name="Picture 23" descr="Fresh produce: lettuce, tomatoes, and cucumbers">
          <a:extLst>
            <a:ext uri="{FF2B5EF4-FFF2-40B4-BE49-F238E27FC236}">
              <a16:creationId xmlns:a16="http://schemas.microsoft.com/office/drawing/2014/main" id="{53B2C0AB-13E8-B74E-B076-045BA6261B2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5129246" y="0"/>
          <a:ext cx="11799167" cy="203200"/>
        </a:xfrm>
        <a:prstGeom prst="rect">
          <a:avLst/>
        </a:prstGeom>
      </xdr:spPr>
    </xdr:pic>
    <xdr:clientData/>
  </xdr:twoCellAnchor>
  <xdr:twoCellAnchor>
    <xdr:from>
      <xdr:col>180</xdr:col>
      <xdr:colOff>180973</xdr:colOff>
      <xdr:row>0</xdr:row>
      <xdr:rowOff>0</xdr:rowOff>
    </xdr:from>
    <xdr:to>
      <xdr:col>190</xdr:col>
      <xdr:colOff>19049</xdr:colOff>
      <xdr:row>0</xdr:row>
      <xdr:rowOff>762000</xdr:rowOff>
    </xdr:to>
    <xdr:pic>
      <xdr:nvPicPr>
        <xdr:cNvPr id="25" name="Picture 24" descr="Fresh produce: lettuce, tomatoes, and cucumbers">
          <a:extLst>
            <a:ext uri="{FF2B5EF4-FFF2-40B4-BE49-F238E27FC236}">
              <a16:creationId xmlns:a16="http://schemas.microsoft.com/office/drawing/2014/main" id="{F75CFA35-84FE-AB47-8888-398FE3A410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5129246" y="0"/>
          <a:ext cx="11799167" cy="203200"/>
        </a:xfrm>
        <a:prstGeom prst="rect">
          <a:avLst/>
        </a:prstGeom>
      </xdr:spPr>
    </xdr:pic>
    <xdr:clientData/>
  </xdr:twoCellAnchor>
  <xdr:twoCellAnchor>
    <xdr:from>
      <xdr:col>192</xdr:col>
      <xdr:colOff>180973</xdr:colOff>
      <xdr:row>0</xdr:row>
      <xdr:rowOff>0</xdr:rowOff>
    </xdr:from>
    <xdr:to>
      <xdr:col>202</xdr:col>
      <xdr:colOff>19049</xdr:colOff>
      <xdr:row>0</xdr:row>
      <xdr:rowOff>762000</xdr:rowOff>
    </xdr:to>
    <xdr:pic>
      <xdr:nvPicPr>
        <xdr:cNvPr id="26" name="Picture 25" descr="Fresh produce: lettuce, tomatoes, and cucumbers">
          <a:extLst>
            <a:ext uri="{FF2B5EF4-FFF2-40B4-BE49-F238E27FC236}">
              <a16:creationId xmlns:a16="http://schemas.microsoft.com/office/drawing/2014/main" id="{6EE3024B-5592-794F-84CA-CC34B506E0A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2030155" y="0"/>
          <a:ext cx="11799167" cy="203200"/>
        </a:xfrm>
        <a:prstGeom prst="rect">
          <a:avLst/>
        </a:prstGeom>
      </xdr:spPr>
    </xdr:pic>
    <xdr:clientData/>
  </xdr:twoCellAnchor>
  <xdr:twoCellAnchor>
    <xdr:from>
      <xdr:col>192</xdr:col>
      <xdr:colOff>180973</xdr:colOff>
      <xdr:row>0</xdr:row>
      <xdr:rowOff>0</xdr:rowOff>
    </xdr:from>
    <xdr:to>
      <xdr:col>202</xdr:col>
      <xdr:colOff>19049</xdr:colOff>
      <xdr:row>0</xdr:row>
      <xdr:rowOff>762000</xdr:rowOff>
    </xdr:to>
    <xdr:pic>
      <xdr:nvPicPr>
        <xdr:cNvPr id="27" name="Picture 26" descr="Fresh produce: lettuce, tomatoes, and cucumbers">
          <a:extLst>
            <a:ext uri="{FF2B5EF4-FFF2-40B4-BE49-F238E27FC236}">
              <a16:creationId xmlns:a16="http://schemas.microsoft.com/office/drawing/2014/main" id="{134FC43E-B8DA-9849-AC30-C2D8C1E6D62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2030155" y="0"/>
          <a:ext cx="11799167" cy="20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16</xdr:row>
      <xdr:rowOff>9526</xdr:rowOff>
    </xdr:from>
    <xdr:to>
      <xdr:col>22</xdr:col>
      <xdr:colOff>498928</xdr:colOff>
      <xdr:row>35</xdr:row>
      <xdr:rowOff>28576</xdr:rowOff>
    </xdr:to>
    <xdr:graphicFrame macro="">
      <xdr:nvGraphicFramePr>
        <xdr:cNvPr id="3" name="Chart 2">
          <a:extLst>
            <a:ext uri="{FF2B5EF4-FFF2-40B4-BE49-F238E27FC236}">
              <a16:creationId xmlns:a16="http://schemas.microsoft.com/office/drawing/2014/main" id="{2AD6F950-3452-42F8-AD66-B3516FDAD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0</xdr:row>
      <xdr:rowOff>0</xdr:rowOff>
    </xdr:from>
    <xdr:to>
      <xdr:col>13</xdr:col>
      <xdr:colOff>314325</xdr:colOff>
      <xdr:row>13</xdr:row>
      <xdr:rowOff>161925</xdr:rowOff>
    </xdr:to>
    <xdr:graphicFrame macro="">
      <xdr:nvGraphicFramePr>
        <xdr:cNvPr id="4" name="Chart 3">
          <a:extLst>
            <a:ext uri="{FF2B5EF4-FFF2-40B4-BE49-F238E27FC236}">
              <a16:creationId xmlns:a16="http://schemas.microsoft.com/office/drawing/2014/main" id="{E26F9D95-2DAE-4BF6-B5D9-964736D34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431800</xdr:colOff>
      <xdr:row>2</xdr:row>
      <xdr:rowOff>139700</xdr:rowOff>
    </xdr:from>
    <xdr:to>
      <xdr:col>19</xdr:col>
      <xdr:colOff>0</xdr:colOff>
      <xdr:row>45</xdr:row>
      <xdr:rowOff>25400</xdr:rowOff>
    </xdr:to>
    <xdr:graphicFrame macro="">
      <xdr:nvGraphicFramePr>
        <xdr:cNvPr id="2" name="Chart 1">
          <a:extLst>
            <a:ext uri="{FF2B5EF4-FFF2-40B4-BE49-F238E27FC236}">
              <a16:creationId xmlns:a16="http://schemas.microsoft.com/office/drawing/2014/main" id="{A66BF8A8-F592-A872-A71B-373A0FECD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ustin Uto-Dieu" id="{B602138E-D724-2645-AECF-3334CF3BF9F5}" userId="d70f98b2c65244c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1E7F54-86FC-0840-B68B-3DE44C7ACBC6}" autoFormatId="16" applyNumberFormats="0" applyBorderFormats="0" applyFontFormats="0" applyPatternFormats="0" applyAlignmentFormats="0" applyWidthHeightFormats="0">
  <queryTableRefresh nextId="6" unboundColumnsRight="1">
    <queryTableFields count="5">
      <queryTableField id="1" name="Category" tableColumnId="1"/>
      <queryTableField id="2" name="Date" tableColumnId="2"/>
      <queryTableField id="3" name="Value" tableColumnId="3"/>
      <queryTableField id="4" name="Month" tableColumnId="4"/>
      <queryTableField id="5" dataBound="0" tableColumnId="5"/>
    </queryTableFields>
  </queryTableRefresh>
</queryTable>
</file>

<file path=xl/tables/_rels/table1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E5B861-2E99-634D-9986-30AD10EC52FF}" name="GroceryList" displayName="GroceryList" ref="B5:J53" headerRowDxfId="303" dataDxfId="302" totalsRowDxfId="301">
  <autoFilter ref="B5:J53" xr:uid="{56E5B861-2E99-634D-9986-30AD10EC52FF}"/>
  <tableColumns count="9">
    <tableColumn id="1" xr3:uid="{471D0C96-0F37-3745-B48E-F5ABC7477AF8}" name="DONE?" totalsRowLabel="Total" dataCellStyle="Center Alignment"/>
    <tableColumn id="2" xr3:uid="{120DC2D2-1DF3-774A-AD59-7F486505A800}" name="ITEM" dataDxfId="300" dataCellStyle="Normal"/>
    <tableColumn id="9" xr3:uid="{CC7E6A4D-5BCA-664E-9365-40EAF23A4DF2}" name="STORE" dataDxfId="299" dataCellStyle="Normal"/>
    <tableColumn id="3" xr3:uid="{059C24AF-E9D0-184A-9312-F22D02DEADD4}" name="CATEGORY" dataDxfId="298" dataCellStyle="Normal"/>
    <tableColumn id="4" xr3:uid="{376C18FE-9E0F-4C4D-B759-8CC923C8E40B}" name="QTY" dataCellStyle="Center Alignment"/>
    <tableColumn id="8" xr3:uid="{EB8BD3ED-6A87-C743-99F4-A032A7AE3C2A}" name="UNIT" dataDxfId="297" totalsRowDxfId="296"/>
    <tableColumn id="5" xr3:uid="{0E83FBCE-FE5A-D34F-8F82-3A0BCC195C93}" name="UNIT PRICE" dataDxfId="295"/>
    <tableColumn id="6" xr3:uid="{8F5095FB-0599-F245-AC26-D30214EED502}" name="TOTAL" dataDxfId="294">
      <calculatedColumnFormula>IFERROR(GroceryList[[#This Row],[QTY]]*GroceryList[[#This Row],[UNIT PRICE]],"")</calculatedColumnFormula>
    </tableColumn>
    <tableColumn id="7" xr3:uid="{4FF23D6A-9956-6442-8A3C-E1C6A306C4BE}" name="NOTE" totalsRowFunction="count" dataDxfId="293"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D29610-0FE8-5F42-8A4F-1C77179E3976}" name="GroceryList27456148109" displayName="GroceryList27456148109" ref="DF5:DO54" headerRowDxfId="196" dataDxfId="195" totalsRowDxfId="194">
  <autoFilter ref="DF5:DO54" xr:uid="{5CD29610-0FE8-5F42-8A4F-1C77179E3976}"/>
  <tableColumns count="10">
    <tableColumn id="1" xr3:uid="{10108117-FDC6-8043-A677-93DE805BA49F}" name="DONE?" totalsRowLabel="Total" dataCellStyle="Center Alignment"/>
    <tableColumn id="2" xr3:uid="{39E8E95A-33D0-3540-B062-91A1D21EFD28}" name="ITEM" dataDxfId="193" dataCellStyle="Normal"/>
    <tableColumn id="9" xr3:uid="{4CB92CBF-A107-E644-BE96-7D8826E96983}" name="STORE" dataDxfId="192" dataCellStyle="Normal"/>
    <tableColumn id="3" xr3:uid="{E460D729-54F7-8744-BE68-73A4C796BD1F}" name="CATEGORY" dataDxfId="191" dataCellStyle="Normal"/>
    <tableColumn id="4" xr3:uid="{E2ADDA88-652D-5A49-888F-F0A6DC9E104F}" name="QTY" dataCellStyle="Center Alignment"/>
    <tableColumn id="8" xr3:uid="{B476ED7E-C6E5-814D-9DEC-30854C3F6523}" name="UNIT" dataDxfId="190" totalsRowDxfId="189"/>
    <tableColumn id="5" xr3:uid="{D870CECA-3D9E-E74E-BE55-B79ECAA3BD21}" name="UNIT PRICE" dataDxfId="188"/>
    <tableColumn id="6" xr3:uid="{EC05D33D-12AA-8048-9519-B3B8B5BE4280}" name="TOTAL" dataDxfId="187">
      <calculatedColumnFormula>IFERROR(GroceryList27456148109[[#This Row],[QTY]]*GroceryList27456148109[[#This Row],[UNIT PRICE]],"")</calculatedColumnFormula>
    </tableColumn>
    <tableColumn id="7" xr3:uid="{001DE548-1C35-AB46-9BFA-6A0B4A8CF349}" name="Essential" totalsRowFunction="count" dataDxfId="186" dataCellStyle="Normal"/>
    <tableColumn id="10" xr3:uid="{A0BDEACF-2A1A-6341-B482-18E428BA73D6}" name="Notes" dataDxfId="185" totalsRowDxfId="184"/>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60EE71-D2D7-384F-A12E-181157090BF3}" name="GroceryList2745614810911" displayName="GroceryList2745614810911" ref="DR5:EA54" headerRowDxfId="183" dataDxfId="182" totalsRowDxfId="181">
  <autoFilter ref="DR5:EA54" xr:uid="{B760EE71-D2D7-384F-A12E-181157090BF3}"/>
  <tableColumns count="10">
    <tableColumn id="1" xr3:uid="{DC0B5FF1-4EBD-9F45-83EF-15D306AB903D}" name="DONE?" totalsRowLabel="Total" dataCellStyle="Center Alignment"/>
    <tableColumn id="2" xr3:uid="{309AD127-3FB5-3D42-A515-09ABF7CCF3D6}" name="ITEM" dataDxfId="180" dataCellStyle="Normal"/>
    <tableColumn id="9" xr3:uid="{EA3DF2E2-C353-8A44-BBED-54EB884CC4B4}" name="STORE" dataDxfId="179" dataCellStyle="Normal"/>
    <tableColumn id="3" xr3:uid="{0B6A94E6-24C2-0247-9416-944032F83377}" name="CATEGORY" dataDxfId="178" dataCellStyle="Normal"/>
    <tableColumn id="4" xr3:uid="{17A05E88-1E4E-3C4A-86EF-4ABA93B13BCF}" name="QTY" dataCellStyle="Center Alignment"/>
    <tableColumn id="8" xr3:uid="{3A1FF5E7-16E1-7D4D-8832-EF7A14F3912D}" name="UNIT" dataDxfId="177" totalsRowDxfId="176"/>
    <tableColumn id="5" xr3:uid="{35E74718-06A5-C148-8C59-73129CD2B703}" name="UNIT PRICE" dataDxfId="175"/>
    <tableColumn id="6" xr3:uid="{B77D6D2E-AB34-2841-809A-5C75B0A3815F}" name="TOTAL" dataDxfId="174">
      <calculatedColumnFormula>IFERROR(GroceryList2745614810911[[#This Row],[QTY]]*GroceryList2745614810911[[#This Row],[UNIT PRICE]],"")</calculatedColumnFormula>
    </tableColumn>
    <tableColumn id="7" xr3:uid="{F1556A8F-2B8E-BE4F-9026-8E05AA75EDE6}" name="Essential" totalsRowFunction="count" dataDxfId="173" dataCellStyle="Normal"/>
    <tableColumn id="10" xr3:uid="{2E0C6FE4-2E0C-744E-B58A-7DE6F560B986}" name="Notes" dataDxfId="172" totalsRowDxfId="171"/>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F38B538-A0CB-7042-96DE-C53B1AD76A30}" name="GroceryList274561481091112" displayName="GroceryList274561481091112" ref="ED5:EM54" headerRowDxfId="170" dataDxfId="169" totalsRowDxfId="168">
  <autoFilter ref="ED5:EM54" xr:uid="{9F38B538-A0CB-7042-96DE-C53B1AD76A30}">
    <filterColumn colId="4">
      <filters>
        <filter val="1"/>
        <filter val="2"/>
        <filter val="3"/>
        <filter val="5"/>
      </filters>
    </filterColumn>
  </autoFilter>
  <tableColumns count="10">
    <tableColumn id="1" xr3:uid="{54AB2A59-60D5-B140-872E-E5FD72FF6D4A}" name="DONE?" totalsRowLabel="Total" dataCellStyle="Center Alignment"/>
    <tableColumn id="2" xr3:uid="{9EDE6419-8708-B443-9212-19058D495686}" name="ITEM" dataDxfId="167" dataCellStyle="Normal"/>
    <tableColumn id="9" xr3:uid="{394F68D0-133B-C640-94FD-D1F861CA2E33}" name="STORE" dataDxfId="166" dataCellStyle="Normal"/>
    <tableColumn id="3" xr3:uid="{A4EC1E2E-0EC4-1549-85CE-3BE1217A9B58}" name="CATEGORY" dataDxfId="165" dataCellStyle="Normal"/>
    <tableColumn id="4" xr3:uid="{6253B027-33E1-AF4A-83BB-DFF8B095C1C4}" name="QTY" dataCellStyle="Center Alignment"/>
    <tableColumn id="8" xr3:uid="{36C0E6A0-D4C6-C448-9B5C-F32C63CE30FA}" name="UNIT" dataDxfId="164" totalsRowDxfId="163"/>
    <tableColumn id="5" xr3:uid="{002899EC-AFA5-8643-813B-FAC8BC013D8B}" name="UNIT PRICE" dataDxfId="162"/>
    <tableColumn id="6" xr3:uid="{6165D5FA-19CD-0345-9C68-A95B566ED00C}" name="TOTAL" dataDxfId="161">
      <calculatedColumnFormula>IFERROR(GroceryList274561481091112[[#This Row],[QTY]]*GroceryList274561481091112[[#This Row],[UNIT PRICE]],"")</calculatedColumnFormula>
    </tableColumn>
    <tableColumn id="7" xr3:uid="{BA8ED35A-A878-FC42-8548-9D7355E4EBE0}" name="Essential" totalsRowFunction="count" dataDxfId="160" dataCellStyle="Normal"/>
    <tableColumn id="10" xr3:uid="{AB44F9C9-E617-9A46-A980-00B103FA4CDC}" name="Notes" dataDxfId="159" totalsRowDxfId="158"/>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EFEB93-7678-9843-A87D-2808C82E7332}" name="GroceryList27456148109111213" displayName="GroceryList27456148109111213" ref="EP5:EY54" headerRowDxfId="157" dataDxfId="156" totalsRowDxfId="155">
  <autoFilter ref="EP5:EY54" xr:uid="{36EFEB93-7678-9843-A87D-2808C82E7332}"/>
  <tableColumns count="10">
    <tableColumn id="1" xr3:uid="{870CD6B9-D777-174F-80F6-F3A3A7F04C4F}" name="DONE?" totalsRowLabel="Total" dataCellStyle="Center Alignment"/>
    <tableColumn id="2" xr3:uid="{BC7861A3-F8EC-4749-9B37-191F6DAC855F}" name="ITEM" dataDxfId="154" dataCellStyle="Normal"/>
    <tableColumn id="9" xr3:uid="{0201A9C7-9196-6040-837F-BA98D487C333}" name="STORE" dataDxfId="153" dataCellStyle="Normal"/>
    <tableColumn id="3" xr3:uid="{E647F1AE-CE8B-BC42-935C-7A1E31128A5F}" name="CATEGORY" dataDxfId="152" dataCellStyle="Normal"/>
    <tableColumn id="4" xr3:uid="{478BAD74-A1F0-5847-8AF0-79CB5DDFDC22}" name="QTY" dataCellStyle="Center Alignment"/>
    <tableColumn id="8" xr3:uid="{EC820E7F-9C30-A642-84D7-8628857B8819}" name="UNIT" dataDxfId="151" totalsRowDxfId="150"/>
    <tableColumn id="5" xr3:uid="{501E9E15-3312-6E4C-ADBC-EEFC1FC1B38B}" name="UNIT PRICE" dataDxfId="149"/>
    <tableColumn id="6" xr3:uid="{61CA2CF0-B792-5949-B702-40872866DE69}" name="TOTAL" dataDxfId="148">
      <calculatedColumnFormula>IFERROR(GroceryList27456148109111213[[#This Row],[QTY]]*GroceryList27456148109111213[[#This Row],[UNIT PRICE]],"")</calculatedColumnFormula>
    </tableColumn>
    <tableColumn id="7" xr3:uid="{54564610-590A-2F42-97E8-D96D343CCF9C}" name="Essential" totalsRowFunction="count" dataDxfId="147" dataCellStyle="Normal"/>
    <tableColumn id="10" xr3:uid="{C9E19844-7E29-3942-A6DD-A6DFE5868812}" name="Notes" dataDxfId="146" totalsRowDxfId="145"/>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D39ED49-245E-0E4D-A9FF-C7FA32789317}" name="GroceryList2745614810911121315" displayName="GroceryList2745614810911121315" ref="FB5:FK54" headerRowDxfId="144" dataDxfId="143" totalsRowDxfId="142">
  <autoFilter ref="FB5:FK54" xr:uid="{4D39ED49-245E-0E4D-A9FF-C7FA32789317}"/>
  <tableColumns count="10">
    <tableColumn id="1" xr3:uid="{F7E5C524-EE6D-8443-9DC2-38A7E385083E}" name="DONE?" totalsRowLabel="Total" dataCellStyle="Center Alignment"/>
    <tableColumn id="2" xr3:uid="{864AFBD6-D3A5-4748-82FE-AF54516BCB1D}" name="ITEM" dataDxfId="141" dataCellStyle="Normal"/>
    <tableColumn id="9" xr3:uid="{4F0EC791-57AA-D149-90AF-F265F8A8D3EA}" name="STORE" dataDxfId="140" dataCellStyle="Normal"/>
    <tableColumn id="3" xr3:uid="{ED5B38F3-E852-4644-934A-E344ECE3690D}" name="CATEGORY" dataDxfId="139" dataCellStyle="Normal"/>
    <tableColumn id="4" xr3:uid="{D49879C1-6696-534A-ACDE-9AFA35160B1A}" name="QTY" dataCellStyle="Center Alignment"/>
    <tableColumn id="8" xr3:uid="{CA5FA4F6-246D-8A42-83E4-7AEE5474D7D6}" name="UNIT" dataDxfId="138" totalsRowDxfId="137"/>
    <tableColumn id="5" xr3:uid="{498115E2-17A9-994B-87D5-9F2DAF0E99DC}" name="UNIT PRICE" dataDxfId="136"/>
    <tableColumn id="6" xr3:uid="{526F4B82-EE68-4746-B06B-7A6F112771C2}" name="TOTAL" dataDxfId="135">
      <calculatedColumnFormula>IFERROR(GroceryList2745614810911121315[[#This Row],[QTY]]*GroceryList2745614810911121315[[#This Row],[UNIT PRICE]],"")</calculatedColumnFormula>
    </tableColumn>
    <tableColumn id="7" xr3:uid="{70B66818-7321-C247-92F2-1FB9B8A66CF4}" name="Essential" totalsRowFunction="count" dataDxfId="134" dataCellStyle="Normal"/>
    <tableColumn id="10" xr3:uid="{49071EFE-DFC3-0241-9043-D0AFAF95EC4C}" name="Notes" dataDxfId="133" totalsRowDxfId="132"/>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84EBA8F-400F-C042-A72F-3F39190EFC6F}" name="GroceryList274561481091112131516" displayName="GroceryList274561481091112131516" ref="FN5:FW54" headerRowDxfId="131" dataDxfId="130" totalsRowDxfId="129">
  <autoFilter ref="FN5:FW54" xr:uid="{484EBA8F-400F-C042-A72F-3F39190EFC6F}"/>
  <tableColumns count="10">
    <tableColumn id="1" xr3:uid="{F13F3147-2A40-D545-AE20-11A985BBFE16}" name="DONE?" totalsRowLabel="Total" dataCellStyle="Center Alignment"/>
    <tableColumn id="2" xr3:uid="{8447D92C-E7EC-0F49-AA46-A45E91335F67}" name="ITEM" dataDxfId="128" dataCellStyle="Normal"/>
    <tableColumn id="9" xr3:uid="{6250AB29-49B7-7F40-BDF5-A3E4F7646483}" name="STORE" dataDxfId="127" dataCellStyle="Normal"/>
    <tableColumn id="3" xr3:uid="{8F4CA73A-3F88-724B-B55B-BE83BEE75629}" name="CATEGORY" dataDxfId="126" dataCellStyle="Normal"/>
    <tableColumn id="4" xr3:uid="{3DDE0F83-B408-924D-A277-E61865B0188D}" name="QTY" dataCellStyle="Center Alignment"/>
    <tableColumn id="8" xr3:uid="{B0E5DE77-4425-7C48-AEBC-064586FEB38D}" name="UNIT" dataDxfId="125" totalsRowDxfId="124"/>
    <tableColumn id="5" xr3:uid="{975FEE4F-BFDD-454C-AFCB-A7A670CB9D43}" name="UNIT PRICE" dataDxfId="123"/>
    <tableColumn id="6" xr3:uid="{17249974-5CC0-F545-BFC9-7707E5E8A458}" name="TOTAL" dataDxfId="122">
      <calculatedColumnFormula>IFERROR(GroceryList274561481091112131516[[#This Row],[QTY]]*GroceryList274561481091112131516[[#This Row],[UNIT PRICE]],"")</calculatedColumnFormula>
    </tableColumn>
    <tableColumn id="7" xr3:uid="{9B02F7C6-9717-154B-8A11-3ACAF4166005}" name="Essential" totalsRowFunction="count" dataDxfId="121" dataCellStyle="Normal"/>
    <tableColumn id="10" xr3:uid="{100C4FAC-CA76-D947-A26A-11FD26C65647}" name="Notes" dataDxfId="120" totalsRowDxfId="119"/>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8A9D3D4-B163-954A-86DF-7565AE642B13}" name="GroceryList274561481091112131517" displayName="GroceryList274561481091112131517" ref="FZ5:GI54" headerRowDxfId="118" dataDxfId="117" totalsRowDxfId="116">
  <autoFilter ref="FZ5:GI54" xr:uid="{E8A9D3D4-B163-954A-86DF-7565AE642B13}">
    <filterColumn colId="4">
      <filters>
        <filter val="1"/>
        <filter val="2"/>
        <filter val="3"/>
        <filter val="6"/>
      </filters>
    </filterColumn>
  </autoFilter>
  <tableColumns count="10">
    <tableColumn id="1" xr3:uid="{3E02571A-3120-8447-87E6-AD5C81E9B0CD}" name="DONE?" totalsRowLabel="Total" dataCellStyle="Center Alignment"/>
    <tableColumn id="2" xr3:uid="{8AEF9826-3FBA-7645-8BF6-8DEC2ECA1C20}" name="ITEM" dataDxfId="115" dataCellStyle="Normal"/>
    <tableColumn id="9" xr3:uid="{ED93EAD1-1809-8A40-9726-AB890AE63EBD}" name="STORE" dataDxfId="114" dataCellStyle="Normal"/>
    <tableColumn id="3" xr3:uid="{10D7BEE5-A744-E34A-AB11-6B34ED5C8A6A}" name="CATEGORY" dataDxfId="113" dataCellStyle="Normal"/>
    <tableColumn id="4" xr3:uid="{0EE47212-D60B-864C-9D66-B4A4282A5B13}" name="QTY" dataCellStyle="Center Alignment"/>
    <tableColumn id="8" xr3:uid="{385205E5-3911-F548-AED0-76C5CB96FF8D}" name="UNIT" dataDxfId="112" totalsRowDxfId="111"/>
    <tableColumn id="5" xr3:uid="{AD2354AB-462C-BA45-807A-FB0911D0A51C}" name="UNIT PRICE" dataDxfId="110"/>
    <tableColumn id="6" xr3:uid="{9758B263-A474-F945-B6C1-B513ECDB06C7}" name="TOTAL" dataDxfId="109">
      <calculatedColumnFormula>IFERROR(GroceryList274561481091112131517[[#This Row],[QTY]]*GroceryList274561481091112131517[[#This Row],[UNIT PRICE]],"")</calculatedColumnFormula>
    </tableColumn>
    <tableColumn id="7" xr3:uid="{AAC99AD1-A145-9F4A-AADC-3E0805820674}" name="Essential" totalsRowFunction="count" dataDxfId="108" dataCellStyle="Normal"/>
    <tableColumn id="10" xr3:uid="{C30DE70E-5A98-7A4E-818E-6AE5AD85E9FC}" name="Notes" dataDxfId="107" totalsRowDxfId="106"/>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907F2B6-DCF0-C449-A7B6-F56A016EDF22}" name="GroceryList27456148109111213151718" displayName="GroceryList27456148109111213151718" ref="GL5:GU54" headerRowDxfId="105" dataDxfId="104" totalsRowDxfId="103">
  <autoFilter ref="GL5:GU54" xr:uid="{4907F2B6-DCF0-C449-A7B6-F56A016EDF22}"/>
  <tableColumns count="10">
    <tableColumn id="1" xr3:uid="{10FAB396-8C1A-2B4F-AACD-A524B0ECD2AA}" name="DONE?" totalsRowLabel="Total" dataCellStyle="Center Alignment"/>
    <tableColumn id="2" xr3:uid="{B814C2FA-E7BB-7A48-838D-A96C16BDB89F}" name="ITEM" dataDxfId="102" dataCellStyle="Normal"/>
    <tableColumn id="9" xr3:uid="{02A5B4FC-E7F9-3D48-8C95-F50AB5D3D908}" name="STORE" dataDxfId="101" dataCellStyle="Normal"/>
    <tableColumn id="3" xr3:uid="{0F07473C-6BD5-A74F-8941-128DCB9A6201}" name="CATEGORY" dataDxfId="100" dataCellStyle="Normal"/>
    <tableColumn id="4" xr3:uid="{5C375C8D-6056-0748-B47C-8E000566ECAA}" name="QTY" dataDxfId="99" dataCellStyle="Center Alignment"/>
    <tableColumn id="8" xr3:uid="{3AF8811D-A541-AC42-8D88-F7FE91B0FB31}" name="UNIT" dataDxfId="98" totalsRowDxfId="97"/>
    <tableColumn id="5" xr3:uid="{14E57965-04D3-2A48-99CC-A3A5129745C7}" name="UNIT PRICE" dataDxfId="96"/>
    <tableColumn id="6" xr3:uid="{85CB8712-9EE2-D749-88F7-40775F174F34}" name="TOTAL" dataDxfId="95">
      <calculatedColumnFormula>IFERROR(GroceryList27456148109111213151718[[#This Row],[QTY]]*GroceryList27456148109111213151718[[#This Row],[UNIT PRICE]],"")</calculatedColumnFormula>
    </tableColumn>
    <tableColumn id="7" xr3:uid="{B4C68647-1A00-B043-95DD-D300DB41BC58}" name="Essential" totalsRowFunction="count" dataDxfId="94" dataCellStyle="Normal"/>
    <tableColumn id="10" xr3:uid="{0585F603-B295-8E4A-9400-E59AA4001E25}" name="Notes" dataDxfId="93" totalsRowDxfId="92"/>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0C0D5C8-8553-E94F-A1D2-148D1AD66E95}" name="ACTUAL_EXPENSES" displayName="ACTUAL_EXPENSES" ref="A1:E1685" tableType="queryTable" totalsRowShown="0">
  <autoFilter ref="A1:E1685" xr:uid="{C0C0D5C8-8553-E94F-A1D2-148D1AD66E95}"/>
  <tableColumns count="5">
    <tableColumn id="1" xr3:uid="{8A1B8813-4586-9243-8929-471DC14AD5A9}" uniqueName="1" name="Category" queryTableFieldId="1" dataDxfId="2"/>
    <tableColumn id="2" xr3:uid="{4CD83F4D-DCCC-8E45-BCAC-04540C588ECA}" uniqueName="2" name="Date" queryTableFieldId="2" dataDxfId="1"/>
    <tableColumn id="3" xr3:uid="{B8595070-C09C-8540-810F-87ADA2440D72}" uniqueName="3" name="Value" queryTableFieldId="3"/>
    <tableColumn id="4" xr3:uid="{5DE018D2-8075-B341-8F31-88246069AD8C}" uniqueName="4" name="Month" queryTableFieldId="4"/>
    <tableColumn id="5" xr3:uid="{16307B65-9A9F-E449-A229-0BDE5DBA3A28}" uniqueName="5" name="MonthName" queryTableFieldId="5" dataDxfId="0">
      <calculatedColumnFormula>TEXT(ACTUAL_EXPENSES[[#This Row],[Date]],"mmm")</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2678FD-2F5E-F047-8E63-09A033ADB8B7}" name="GroceryList2" displayName="GroceryList2" ref="M5:U53" headerRowDxfId="292" dataDxfId="291" totalsRowDxfId="290">
  <autoFilter ref="M5:U53" xr:uid="{482678FD-2F5E-F047-8E63-09A033ADB8B7}"/>
  <tableColumns count="9">
    <tableColumn id="1" xr3:uid="{68727F10-F81F-B14C-B183-BB5E9AF7260D}" name="DONE?" totalsRowLabel="Total" dataCellStyle="Center Alignment"/>
    <tableColumn id="2" xr3:uid="{158AEAF5-59C9-3247-BF7C-A5868E4EF213}" name="ITEM" dataDxfId="289" dataCellStyle="Normal"/>
    <tableColumn id="9" xr3:uid="{C7E84743-13F7-6846-A3DE-3864A4D27252}" name="STORE" dataDxfId="288" dataCellStyle="Normal"/>
    <tableColumn id="3" xr3:uid="{3469DA17-EFBC-4642-9497-DF4BA2233889}" name="CATEGORY" dataDxfId="287" dataCellStyle="Normal"/>
    <tableColumn id="4" xr3:uid="{8B3221D3-B506-134F-91F5-2A20FF10AFB1}" name="QTY" dataCellStyle="Center Alignment"/>
    <tableColumn id="8" xr3:uid="{006186A2-8856-934E-BCD2-3662DB55F856}" name="UNIT" dataDxfId="286" totalsRowDxfId="285"/>
    <tableColumn id="5" xr3:uid="{8F6CB15D-DA5C-E548-A6D5-581A4A6A504B}" name="UNIT PRICE" dataDxfId="284"/>
    <tableColumn id="6" xr3:uid="{39969511-7F46-A546-90EE-D62F085DC405}" name="TOTAL" dataDxfId="283">
      <calculatedColumnFormula>IFERROR(GroceryList2[[#This Row],[QTY]]*GroceryList2[[#This Row],[UNIT PRICE]],"")</calculatedColumnFormula>
    </tableColumn>
    <tableColumn id="7" xr3:uid="{EF520492-DA4F-1145-86DA-8D11D7A03904}" name="NOTE" totalsRowFunction="count" dataDxfId="282"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089F7E-5243-5443-9697-1FC6BBBFF599}" name="GroceryList27" displayName="GroceryList27" ref="Y5:AG53" headerRowDxfId="281" dataDxfId="280" totalsRowDxfId="279">
  <autoFilter ref="Y5:AG53" xr:uid="{5D089F7E-5243-5443-9697-1FC6BBBFF599}"/>
  <tableColumns count="9">
    <tableColumn id="1" xr3:uid="{1EB97B2D-8AB9-AB4B-98E0-19655B5A9724}" name="DONE?" totalsRowLabel="Total" dataCellStyle="Center Alignment"/>
    <tableColumn id="2" xr3:uid="{AE2F85DF-07EC-1445-93CA-32CA7CB0A47E}" name="ITEM" dataDxfId="278" dataCellStyle="Normal"/>
    <tableColumn id="9" xr3:uid="{D5D2E8D1-B5B1-DD4A-8664-AF78CD1A7C77}" name="STORE" dataDxfId="277" dataCellStyle="Normal"/>
    <tableColumn id="3" xr3:uid="{6E874CF2-521E-1A40-B346-19CE137B1C8B}" name="CATEGORY" dataDxfId="276" dataCellStyle="Normal"/>
    <tableColumn id="4" xr3:uid="{2BD6D8EA-C995-7A40-944A-3FFE4CB74F40}" name="QTY" dataCellStyle="Center Alignment"/>
    <tableColumn id="8" xr3:uid="{5BBC1D1F-1ECE-8147-BC14-2EF9145AF426}" name="UNIT" dataDxfId="275" totalsRowDxfId="274"/>
    <tableColumn id="5" xr3:uid="{7505FD05-2521-8847-9A24-C706F275834B}" name="UNIT PRICE" dataDxfId="273"/>
    <tableColumn id="6" xr3:uid="{3723D0AB-A6B9-6647-931C-9B2FBFAA589C}" name="TOTAL" dataDxfId="272">
      <calculatedColumnFormula>IFERROR(GroceryList27[[#This Row],[QTY]]*GroceryList27[[#This Row],[UNIT PRICE]],"")</calculatedColumnFormula>
    </tableColumn>
    <tableColumn id="7" xr3:uid="{493EC3F6-AA8C-334A-8D98-DD47588F0F7A}" name="NOTE" totalsRowFunction="count" dataDxfId="271"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D41FA7-F237-E947-BD70-B17997541391}" name="GroceryList274" displayName="GroceryList274" ref="AM5:AU53" headerRowDxfId="270" dataDxfId="269" totalsRowDxfId="268">
  <autoFilter ref="AM5:AU53" xr:uid="{D0D41FA7-F237-E947-BD70-B17997541391}"/>
  <tableColumns count="9">
    <tableColumn id="1" xr3:uid="{EAC30C7A-778E-2F4F-84B9-E8C07EA9B5EA}" name="DONE?" totalsRowLabel="Total" dataCellStyle="Center Alignment"/>
    <tableColumn id="2" xr3:uid="{D51D7A29-8912-B74F-974E-45BED2FB3680}" name="ITEM" dataDxfId="267" dataCellStyle="Normal"/>
    <tableColumn id="9" xr3:uid="{EBF06AF1-9684-0846-80BD-AB6EC8B03C45}" name="STORE" dataDxfId="266" dataCellStyle="Normal"/>
    <tableColumn id="3" xr3:uid="{C956706B-6C75-A043-BC3E-AD8F16D25C17}" name="CATEGORY" dataDxfId="265" dataCellStyle="Normal"/>
    <tableColumn id="4" xr3:uid="{D4C8D6E8-AB3A-6349-8F00-F03CD0BE4847}" name="QTY" dataCellStyle="Center Alignment"/>
    <tableColumn id="8" xr3:uid="{F7DEAAD4-E503-0F40-B9BB-CE1282893374}" name="UNIT" dataDxfId="264" totalsRowDxfId="263"/>
    <tableColumn id="5" xr3:uid="{2E517F1B-B28A-FD43-94FD-5F81660E4CF1}" name="UNIT PRICE" dataDxfId="262"/>
    <tableColumn id="6" xr3:uid="{D1CCE01D-F0FF-7B49-8B58-0A0732D127F4}" name="TOTAL" dataDxfId="261">
      <calculatedColumnFormula>IFERROR(GroceryList274[[#This Row],[QTY]]*GroceryList274[[#This Row],[UNIT PRICE]],"")</calculatedColumnFormula>
    </tableColumn>
    <tableColumn id="7" xr3:uid="{579999A6-3B5D-1E40-A5DA-243C41178BC1}" name="NOTE" totalsRowFunction="count" dataDxfId="260"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C26C2B-486F-8B41-9C84-5FF53C453C74}" name="GroceryList2745" displayName="GroceryList2745" ref="AY5:BG54" headerRowDxfId="259" dataDxfId="258" totalsRowDxfId="257">
  <autoFilter ref="AY5:BG54" xr:uid="{05C26C2B-486F-8B41-9C84-5FF53C453C74}"/>
  <tableColumns count="9">
    <tableColumn id="1" xr3:uid="{85C423D4-CF50-2E4F-B80E-3A791588C1E3}" name="DONE?" totalsRowLabel="Total" dataCellStyle="Center Alignment"/>
    <tableColumn id="2" xr3:uid="{C2F261F5-D4E8-E741-B5D8-804CB3820E87}" name="ITEM" dataDxfId="256" dataCellStyle="Normal"/>
    <tableColumn id="9" xr3:uid="{F2271757-0C88-8A4B-834E-9D947B589329}" name="STORE" dataDxfId="255" dataCellStyle="Normal"/>
    <tableColumn id="3" xr3:uid="{4C8E7E94-DA39-D842-8808-AAF36179EF49}" name="CATEGORY" dataDxfId="254" dataCellStyle="Normal"/>
    <tableColumn id="4" xr3:uid="{8C7DC108-4F6D-9F41-A5BE-A9051F883582}" name="QTY" dataCellStyle="Center Alignment"/>
    <tableColumn id="8" xr3:uid="{7F5A12D2-71DF-D542-A483-3E6161336D50}" name="UNIT" dataDxfId="253" totalsRowDxfId="252"/>
    <tableColumn id="5" xr3:uid="{CD802224-4E44-F446-9A1E-609FC550E22E}" name="UNIT PRICE" dataDxfId="251"/>
    <tableColumn id="6" xr3:uid="{F32195CB-C2F2-8049-A873-4034522E13E1}" name="TOTAL" dataDxfId="250">
      <calculatedColumnFormula>IFERROR(GroceryList2745[[#This Row],[QTY]]*GroceryList2745[[#This Row],[UNIT PRICE]],"")</calculatedColumnFormula>
    </tableColumn>
    <tableColumn id="7" xr3:uid="{7615EFC8-D19F-D949-9997-D7C9E595E71D}" name="NOTE" totalsRowFunction="count" dataDxfId="249"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994813-A6B2-ED4C-918C-A4782DC44C85}" name="GroceryList27456" displayName="GroceryList27456" ref="BJ5:BS54" headerRowDxfId="248" dataDxfId="247" totalsRowDxfId="246">
  <autoFilter ref="BJ5:BS54" xr:uid="{18994813-A6B2-ED4C-918C-A4782DC44C85}"/>
  <tableColumns count="10">
    <tableColumn id="1" xr3:uid="{845EAC1D-F582-364E-A736-83F7D8C43D93}" name="DONE?" totalsRowLabel="Total" dataCellStyle="Center Alignment"/>
    <tableColumn id="2" xr3:uid="{61AA4DCF-0F45-C648-8760-B7B5114F0515}" name="ITEM" dataDxfId="245" dataCellStyle="Normal"/>
    <tableColumn id="9" xr3:uid="{CCFBF63E-DEA3-0F4E-8769-AEFDA767CB7B}" name="STORE" dataDxfId="244" dataCellStyle="Normal"/>
    <tableColumn id="3" xr3:uid="{E5CD330B-C78C-8B4D-BC6F-E6A5A41B5A59}" name="CATEGORY" dataDxfId="243" dataCellStyle="Normal"/>
    <tableColumn id="4" xr3:uid="{DA2C9F58-9C5A-394A-99F7-50567002FFA1}" name="QTY" dataCellStyle="Center Alignment"/>
    <tableColumn id="8" xr3:uid="{38402CB8-88B3-3C4B-B365-154DF34EC3CF}" name="UNIT" dataDxfId="242" totalsRowDxfId="241"/>
    <tableColumn id="5" xr3:uid="{E429764D-57BF-DE49-AC66-CC68854B5D22}" name="UNIT PRICE" dataDxfId="240"/>
    <tableColumn id="6" xr3:uid="{2E03C24C-AFC3-564E-B5E1-A65B09C7FF50}" name="TOTAL" dataDxfId="239">
      <calculatedColumnFormula>IFERROR(GroceryList27456[[#This Row],[QTY]]*GroceryList27456[[#This Row],[UNIT PRICE]],"")</calculatedColumnFormula>
    </tableColumn>
    <tableColumn id="7" xr3:uid="{2FB67684-2349-5149-A5A0-1397E61347EF}" name="Essential" totalsRowFunction="count" dataDxfId="238" dataCellStyle="Normal"/>
    <tableColumn id="10" xr3:uid="{0CAAB1E9-1B3F-B541-84BF-4A399BB36402}" name="Notes" dataDxfId="237" totalsRowDxfId="236"/>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72146E2-EBB8-B942-8A69-CE9AC609CC9E}" name="GroceryList2745614" displayName="GroceryList2745614" ref="BV5:CE54" headerRowDxfId="235" dataDxfId="234" totalsRowDxfId="233">
  <autoFilter ref="BV5:CE54" xr:uid="{372146E2-EBB8-B942-8A69-CE9AC609CC9E}"/>
  <tableColumns count="10">
    <tableColumn id="1" xr3:uid="{AAC738CD-7BC1-CD40-AF68-396561E4444E}" name="DONE?" totalsRowLabel="Total" dataCellStyle="Center Alignment"/>
    <tableColumn id="2" xr3:uid="{71418B1E-9ABA-4F4E-B75F-FE47BBAEE2AD}" name="ITEM" dataDxfId="232" dataCellStyle="Normal"/>
    <tableColumn id="9" xr3:uid="{C8C99262-A3F5-8B4A-8C89-89B9132E30D4}" name="STORE" dataDxfId="231" dataCellStyle="Normal"/>
    <tableColumn id="3" xr3:uid="{F807C40A-1B09-D044-9C8B-EEAF000B9562}" name="CATEGORY" dataDxfId="230" dataCellStyle="Normal"/>
    <tableColumn id="4" xr3:uid="{1CC96369-C44D-054E-B814-4D76FF0736B0}" name="QTY" dataCellStyle="Center Alignment"/>
    <tableColumn id="8" xr3:uid="{29F098F9-2C12-2E4D-8B70-50E67F69727E}" name="UNIT" dataDxfId="229" totalsRowDxfId="228"/>
    <tableColumn id="5" xr3:uid="{B6A793B4-232B-4942-AE2F-9625F3623962}" name="UNIT PRICE" dataDxfId="227"/>
    <tableColumn id="6" xr3:uid="{B741DFC7-447B-B442-9072-3C97B75026BA}" name="TOTAL" dataDxfId="226">
      <calculatedColumnFormula>IFERROR(GroceryList2745614[[#This Row],[QTY]]*GroceryList2745614[[#This Row],[UNIT PRICE]],"")</calculatedColumnFormula>
    </tableColumn>
    <tableColumn id="7" xr3:uid="{D70A0704-63F3-B343-A60D-D9C564CFAB79}" name="Essential" totalsRowFunction="count" dataDxfId="225" dataCellStyle="Normal"/>
    <tableColumn id="10" xr3:uid="{A8F6A94B-6DA6-594A-9CD7-48DFC55637BA}" name="Notes" dataDxfId="224" totalsRowDxfId="223"/>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0A2D5B-E972-1E49-B111-D9AE3E040347}" name="GroceryList27456148" displayName="GroceryList27456148" ref="CH5:CQ54" headerRowDxfId="222" dataDxfId="221" totalsRowDxfId="220">
  <autoFilter ref="CH5:CQ54" xr:uid="{510A2D5B-E972-1E49-B111-D9AE3E040347}"/>
  <tableColumns count="10">
    <tableColumn id="1" xr3:uid="{3503E998-8AC4-504B-A812-94551134BF11}" name="DONE?" totalsRowLabel="Total" dataCellStyle="Center Alignment"/>
    <tableColumn id="2" xr3:uid="{2660477D-D41D-D542-AB8C-9A436703E47F}" name="ITEM" dataDxfId="219" dataCellStyle="Normal"/>
    <tableColumn id="9" xr3:uid="{D270A196-17F4-8945-BB88-5B79C69DD1E3}" name="STORE" dataDxfId="218" dataCellStyle="Normal"/>
    <tableColumn id="3" xr3:uid="{075CE9C4-5332-0942-BDE2-097D50ACF529}" name="CATEGORY" dataDxfId="217" dataCellStyle="Normal"/>
    <tableColumn id="4" xr3:uid="{3E992EA9-DB1B-6A4C-A514-92A5A1016168}" name="QTY" dataCellStyle="Center Alignment"/>
    <tableColumn id="8" xr3:uid="{E995A453-DE8D-2140-8D3F-7F86B691B27B}" name="UNIT" dataDxfId="216" totalsRowDxfId="215"/>
    <tableColumn id="5" xr3:uid="{03D83A76-CA6A-3A42-A66F-229A48078DD3}" name="UNIT PRICE" dataDxfId="214"/>
    <tableColumn id="6" xr3:uid="{5313D8B0-1AD7-5A40-827C-4170BA94BEAC}" name="TOTAL" dataDxfId="213">
      <calculatedColumnFormula>IFERROR(GroceryList27456148[[#This Row],[QTY]]*GroceryList27456148[[#This Row],[UNIT PRICE]],"")</calculatedColumnFormula>
    </tableColumn>
    <tableColumn id="7" xr3:uid="{46D263FF-5239-4D4B-8CCE-CE118B73A263}" name="Essential" totalsRowFunction="count" dataDxfId="212" dataCellStyle="Normal"/>
    <tableColumn id="10" xr3:uid="{B948926A-6FD7-3144-9C0A-815A67190F6C}" name="Notes" dataDxfId="211" totalsRowDxfId="210"/>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24CCEA-6D63-D24A-98DE-E5AD4FEC745B}" name="GroceryList2745614810" displayName="GroceryList2745614810" ref="CT5:DC54" headerRowDxfId="209" dataDxfId="208" totalsRowDxfId="207">
  <autoFilter ref="CT5:DC54" xr:uid="{A324CCEA-6D63-D24A-98DE-E5AD4FEC745B}"/>
  <tableColumns count="10">
    <tableColumn id="1" xr3:uid="{BC2985A1-DF6D-D244-BFD4-2BA5CF048873}" name="DONE?" totalsRowLabel="Total" dataCellStyle="Center Alignment"/>
    <tableColumn id="2" xr3:uid="{BADF8850-E0CC-0441-AD34-8EA4329F6836}" name="ITEM" dataDxfId="206" dataCellStyle="Normal"/>
    <tableColumn id="9" xr3:uid="{11FE7CC9-D71C-7340-AAA9-25CC93F1056D}" name="STORE" dataDxfId="205" dataCellStyle="Normal"/>
    <tableColumn id="3" xr3:uid="{E7B6781D-4A78-AE4D-8B46-74541C0CFB8F}" name="CATEGORY" dataDxfId="204" dataCellStyle="Normal"/>
    <tableColumn id="4" xr3:uid="{CE9AD327-C6B6-9044-A552-4D4DEBCA6987}" name="QTY" dataCellStyle="Center Alignment"/>
    <tableColumn id="8" xr3:uid="{2F48B474-75A4-F948-801D-772294294C33}" name="UNIT" dataDxfId="203" totalsRowDxfId="202"/>
    <tableColumn id="5" xr3:uid="{EC5F0CA4-6116-0746-AA44-3BC31A93E0B6}" name="UNIT PRICE" dataDxfId="201"/>
    <tableColumn id="6" xr3:uid="{1F5C8083-DE21-4A4B-96A7-CA7E76E054E6}" name="TOTAL" dataDxfId="200">
      <calculatedColumnFormula>IFERROR(GroceryList2745614810[[#This Row],[QTY]]*GroceryList2745614810[[#This Row],[UNIT PRICE]],"")</calculatedColumnFormula>
    </tableColumn>
    <tableColumn id="7" xr3:uid="{7BC58F5A-DE08-CB46-BB1D-0845FB4E3E68}" name="Essential" totalsRowFunction="count" dataDxfId="199" dataCellStyle="Normal"/>
    <tableColumn id="10" xr3:uid="{857CFEA9-262A-4942-A8BB-2EEC0E625A5F}" name="Notes" dataDxfId="198" totalsRowDxfId="197"/>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4" dT="2023-10-05T17:44:36.06" personId="{B602138E-D724-2645-AECF-3334CF3BF9F5}" id="{D3349D0F-0368-6A45-B0B6-69C0AA567E51}">
    <text>Rent loan (actually received on 27/09/23</text>
  </threadedComment>
  <threadedComment ref="K4" dT="2023-10-15T08:07:32.27" personId="{B602138E-D724-2645-AECF-3334CF3BF9F5}" id="{520C100B-6636-6644-87F8-FC7C08A0C123}" parentId="{D3349D0F-0368-6A45-B0B6-69C0AA567E51}">
    <text xml:space="preserve">Plus gratis sales, strawberry. And coffee
</text>
  </threadedComment>
</ThreadedComments>
</file>

<file path=xl/threadedComments/threadedComment2.xml><?xml version="1.0" encoding="utf-8"?>
<ThreadedComments xmlns="http://schemas.microsoft.com/office/spreadsheetml/2018/threadedcomments" xmlns:x="http://schemas.openxmlformats.org/spreadsheetml/2006/main">
  <threadedComment ref="AD193" dT="2023-08-30T07:56:14.75" personId="{B602138E-D724-2645-AECF-3334CF3BF9F5}" id="{7E7F0600-6317-8747-A7CD-0FC11E6FEC6B}">
    <text>Larissa’s Eyedrops</text>
  </threadedComment>
  <threadedComment ref="AC219" dT="2023-09-28T15:19:43.89" personId="{B602138E-D724-2645-AECF-3334CF3BF9F5}" id="{00713BC5-3D49-6940-8682-087D865AEF2B}">
    <text>Waakye for Larissa</text>
  </threadedComment>
  <threadedComment ref="E220" dT="2023-09-04T13:28:56.53" personId="{B602138E-D724-2645-AECF-3334CF3BF9F5}" id="{5364ECA6-7BF5-AD4F-A6C9-A1DC171D74F7}">
    <text xml:space="preserve">Triple action cream and Floss
</text>
  </threadedComment>
  <threadedComment ref="AA225" dT="2023-09-27T05:41:14.69" personId="{B602138E-D724-2645-AECF-3334CF3BF9F5}" id="{E77F79F9-4167-B24A-AF03-2D92A7010652}">
    <text>Shaving stick</text>
  </threadedComment>
  <threadedComment ref="B226" dT="2023-09-04T08:21:46.28" personId="{B602138E-D724-2645-AECF-3334CF3BF9F5}" id="{A59BB960-D62D-4F44-A1BD-6BA41113F0B2}">
    <text>Uber Double charged: expecting a refund of 44ghc</text>
  </threadedComment>
  <threadedComment ref="F226" dT="2023-09-06T07:48:11.35" personId="{B602138E-D724-2645-AECF-3334CF3BF9F5}" id="{7FDF28DC-9505-214F-A2DC-CAAA1CED7C8B}">
    <text xml:space="preserve">Keyboard delivery
</text>
  </threadedComment>
  <threadedComment ref="I226" dT="2023-09-09T16:26:19.87" personId="{B602138E-D724-2645-AECF-3334CF3BF9F5}" id="{D49FC66B-045E-9C42-BFF2-57D1540C3C23}">
    <text>I was charged twice by Uber .expecting 48ghc refund</text>
  </threadedComment>
  <threadedComment ref="W226" dT="2023-09-23T09:46:08.50" personId="{B602138E-D724-2645-AECF-3334CF3BF9F5}" id="{5E6CAB57-8683-B741-A17C-53A8BF92F18D}">
    <text xml:space="preserve">Was double charged for uber
</text>
  </threadedComment>
  <threadedComment ref="B227" dT="2023-09-04T08:22:36.60" personId="{B602138E-D724-2645-AECF-3334CF3BF9F5}" id="{B0A11BF9-753B-4341-A784-457205E0E0D1}">
    <text xml:space="preserve">Sent to Larissa as transfer charges
</text>
  </threadedComment>
  <threadedComment ref="E227" dT="2023-09-05T17:54:18.39" personId="{B602138E-D724-2645-AECF-3334CF3BF9F5}" id="{5A33FEBF-7F13-864A-B695-A1E29D5A6C6D}">
    <text xml:space="preserve">Water heater </text>
  </threadedComment>
  <threadedComment ref="F227" dT="2023-09-08T13:56:44.12" personId="{B602138E-D724-2645-AECF-3334CF3BF9F5}" id="{EB0AA160-7567-1542-A3D3-507C12CD875F}">
    <text>Cash to Larissa</text>
  </threadedComment>
  <threadedComment ref="J227" dT="2023-09-09T16:25:28.87" personId="{B602138E-D724-2645-AECF-3334CF3BF9F5}" id="{015FAB10-AFAF-6046-A79E-5263F9063930}">
    <text xml:space="preserve">Trash
</text>
  </threadedComment>
  <threadedComment ref="N227" dT="2023-09-14T06:43:17.63" personId="{B602138E-D724-2645-AECF-3334CF3BF9F5}" id="{0FEE39CB-ABD9-3E4C-8CF5-B1EBF62A3FCF}">
    <text>Delivery fee for Larissa’s gel</text>
  </threadedComment>
  <threadedComment ref="T227" dT="2023-09-19T15:19:49.33" personId="{B602138E-D724-2645-AECF-3334CF3BF9F5}" id="{C35CC5F7-53E6-1042-94C1-AA9494DFE842}">
    <text>Hand mixer + delivery</text>
  </threadedComment>
  <threadedComment ref="W227" dT="2023-09-23T09:45:28.76" personId="{B602138E-D724-2645-AECF-3334CF3BF9F5}" id="{D6B9BC24-ABF1-B842-B5E2-732708DFE72D}">
    <text>Anniversary fund</text>
  </threadedComment>
  <threadedComment ref="W233" dT="2023-09-22T15:56:16.22" personId="{B602138E-D724-2645-AECF-3334CF3BF9F5}" id="{CC768C5B-D8CB-2841-81D4-60BAE3AEA40B}">
    <text>Savings transfer charge</text>
  </threadedComment>
  <threadedComment ref="AB245" dT="2023-10-28T06:54:42.24" personId="{B602138E-D724-2645-AECF-3334CF3BF9F5}" id="{B43E2964-87A2-D342-948E-E6ECA8964F92}">
    <text xml:space="preserve">Anniversary celebration </text>
  </threadedComment>
  <threadedComment ref="D251" dT="2023-10-03T13:07:02.58" personId="{B602138E-D724-2645-AECF-3334CF3BF9F5}" id="{6FA554FF-529D-3E4C-99D1-4BE8DD996507}">
    <text xml:space="preserve">Shaving sticks
</text>
  </threadedComment>
  <threadedComment ref="K252" dT="2023-10-10T08:55:22.63" personId="{B602138E-D724-2645-AECF-3334CF3BF9F5}" id="{6094491F-AD67-5242-A0CA-DCAAFC9AA0D9}">
    <text>Uber for Larissa</text>
  </threadedComment>
  <threadedComment ref="F253" dT="2023-10-06T06:46:34.98" personId="{B602138E-D724-2645-AECF-3334CF3BF9F5}" id="{2B086A58-419A-DD48-B8DF-8A93E4AC02CC}">
    <text xml:space="preserve">Donation to old woman
</text>
  </threadedComment>
  <threadedComment ref="H253" dT="2023-10-08T16:04:38.56" personId="{B602138E-D724-2645-AECF-3334CF3BF9F5}" id="{4BE0F747-671B-A941-93F3-421244B7214A}">
    <text>Shoe repairs</text>
  </threadedComment>
  <threadedComment ref="P253" dT="2023-10-15T08:08:15.15" personId="{B602138E-D724-2645-AECF-3334CF3BF9F5}" id="{9B531ECF-1885-5B4B-BCF3-3171A57A76A8}">
    <text>Eben’ s birthday</text>
  </threadedComment>
  <threadedComment ref="Q253" dT="2023-10-17T06:54:47.89" personId="{B602138E-D724-2645-AECF-3334CF3BF9F5}" id="{043DDF6A-BFF2-5C48-BB70-F3D9BBDD29C4}">
    <text>Electricity for Larissa</text>
  </threadedComment>
  <threadedComment ref="U253" dT="2023-10-21T15:57:30.45" personId="{B602138E-D724-2645-AECF-3334CF3BF9F5}" id="{4EA8C925-C2EA-524E-9469-50DC6CDE2455}">
    <text>Gave to Larissa</text>
  </threadedComment>
  <threadedComment ref="X253" dT="2023-10-24T06:47:56.75" personId="{B602138E-D724-2645-AECF-3334CF3BF9F5}" id="{957539C1-0103-F948-A8EF-4A851DFDE8FA}">
    <text xml:space="preserve">Larissa </text>
  </threadedComment>
  <threadedComment ref="AF253" dT="2023-11-01T14:17:30.47" personId="{B602138E-D724-2645-AECF-3334CF3BF9F5}" id="{8C233738-3C0A-2142-96AC-19A33670CA43}">
    <text xml:space="preserve">Gave to Larissa
</text>
  </threadedComment>
  <threadedComment ref="Z271" dT="2023-11-25T15:56:17.04" personId="{B602138E-D724-2645-AECF-3334CF3BF9F5}" id="{1B6E9BCE-0678-244D-82CA-8F07120CA5DC}">
    <text xml:space="preserve">Foodstuff
</text>
  </threadedComment>
  <threadedComment ref="E272" dT="2023-11-05T09:36:04.87" personId="{B602138E-D724-2645-AECF-3334CF3BF9F5}" id="{74B740C7-5AC0-554F-AA29-DEEE4BA3ED26}">
    <text xml:space="preserve">Vitamin C
</text>
  </threadedComment>
  <threadedComment ref="I272" dT="2023-11-09T17:39:23.63" personId="{B602138E-D724-2645-AECF-3334CF3BF9F5}" id="{7663DB03-0BF5-A14D-A563-20BACC53A85A}">
    <text>Eye drops for Larissa</text>
  </threadedComment>
  <threadedComment ref="AM272" dT="2023-11-05T09:36:04.87" personId="{B602138E-D724-2645-AECF-3334CF3BF9F5}" id="{0E454D1D-E14B-034D-B5F5-2F7EA171B869}">
    <text xml:space="preserve">Vitamin C
</text>
  </threadedComment>
  <threadedComment ref="AC277" dT="2023-11-28T10:17:26.56" personId="{B602138E-D724-2645-AECF-3334CF3BF9F5}" id="{47ADFA99-83E6-7148-BB8E-B6FAD8084E8C}">
    <text>Tissues for the office</text>
  </threadedComment>
  <threadedComment ref="D279" dT="2023-11-04T08:08:37.49" personId="{B602138E-D724-2645-AECF-3334CF3BF9F5}" id="{63F6FB0B-08BC-BC4A-B60A-A5D05A28AC71}">
    <text xml:space="preserve">Clash royale
</text>
  </threadedComment>
  <threadedComment ref="E279" dT="2023-11-05T09:36:29.76" personId="{B602138E-D724-2645-AECF-3334CF3BF9F5}" id="{F46A4B0A-D4A4-7443-85D1-28332C77BEC0}">
    <text>Slippers for Larissa</text>
  </threadedComment>
  <threadedComment ref="I279" dT="2023-11-09T17:39:53.20" personId="{B602138E-D724-2645-AECF-3334CF3BF9F5}" id="{84620177-9F8C-FB4A-85BD-196C1F93EB9B}">
    <text xml:space="preserve">Cash for Larissa </text>
  </threadedComment>
  <threadedComment ref="N279" dT="2023-11-14T08:59:22.57" personId="{B602138E-D724-2645-AECF-3334CF3BF9F5}" id="{EE8A82C8-59A3-854F-A574-EAB8D1038E8F}">
    <text>Cash for Larissa</text>
  </threadedComment>
  <threadedComment ref="P279" dT="2023-11-16T08:48:10.99" personId="{B602138E-D724-2645-AECF-3334CF3BF9F5}" id="{AFEE81F8-E472-A24F-B5C4-AFBD0CC78A6B}">
    <text xml:space="preserve">Cash for Larissa </text>
  </threadedComment>
  <threadedComment ref="S279" dT="2023-11-19T08:05:19.99" personId="{B602138E-D724-2645-AECF-3334CF3BF9F5}" id="{8E3D47D2-ACDE-784A-8039-AF1CEF8523B8}">
    <text>Tail comb</text>
  </threadedComment>
  <threadedComment ref="U279" dT="2023-11-22T04:19:27.54" personId="{B602138E-D724-2645-AECF-3334CF3BF9F5}" id="{E3AAAB5B-BE98-7448-A10C-DCC471663C20}">
    <text xml:space="preserve">Body splash and cash for Larissa
</text>
  </threadedComment>
  <threadedComment ref="AD279" dT="2023-11-30T07:34:48.60" personId="{B602138E-D724-2645-AECF-3334CF3BF9F5}" id="{E2941D6A-2C1D-AD46-97D0-4DA7870F8737}">
    <text>+Larissa’s lip balm</text>
  </threadedComment>
  <threadedComment ref="AE279" dT="2023-12-04T07:00:00.79" personId="{B602138E-D724-2645-AECF-3334CF3BF9F5}" id="{0F6DF0C0-C31E-0244-B6F9-92ED7D6C4E4F}">
    <text xml:space="preserve">Sent to Larissa for assignment
</text>
  </threadedComment>
  <threadedComment ref="AL279" dT="2023-11-04T08:08:37.49" personId="{B602138E-D724-2645-AECF-3334CF3BF9F5}" id="{89AE3E54-CB50-784F-82E1-A51FC7292AA4}">
    <text xml:space="preserve">Clash royale
</text>
  </threadedComment>
  <threadedComment ref="H298" dT="2023-12-11T16:22:04.12" personId="{B602138E-D724-2645-AECF-3334CF3BF9F5}" id="{515EF8F9-D29F-8A4A-8712-25D27F293CF4}">
    <text>Dental floss</text>
  </threadedComment>
  <threadedComment ref="E305" dT="2023-12-06T06:46:37.69" personId="{B602138E-D724-2645-AECF-3334CF3BF9F5}" id="{0A595B69-6B46-C84B-9EAE-9890075971DA}">
    <text xml:space="preserve">Airtime </text>
  </threadedComment>
  <threadedComment ref="E305" dT="2023-12-06T06:50:26.14" personId="{B602138E-D724-2645-AECF-3334CF3BF9F5}" id="{8B6E02CF-30C1-8340-9FE5-15347A954D1D}" parentId="{0A595B69-6B46-C84B-9EAE-9890075971DA}">
    <text xml:space="preserve">Cash for Larissa </text>
  </threadedComment>
  <threadedComment ref="X305" dT="2023-12-24T09:17:08.50" personId="{B602138E-D724-2645-AECF-3334CF3BF9F5}" id="{122FD808-A1C3-F745-A99E-B524B7852E18}">
    <text>Picture @palace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drawing" Target="../drawings/drawing1.xml"/><Relationship Id="rId16" Type="http://schemas.openxmlformats.org/officeDocument/2006/relationships/table" Target="../tables/table14.xml"/><Relationship Id="rId1" Type="http://schemas.openxmlformats.org/officeDocument/2006/relationships/printerSettings" Target="../printerSettings/printerSettings3.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BEE5B-F0EA-4C8B-9CBF-C7DA3266E8C2}">
  <dimension ref="A2:A8"/>
  <sheetViews>
    <sheetView zoomScale="140" workbookViewId="0">
      <selection activeCell="C18" sqref="C18"/>
    </sheetView>
  </sheetViews>
  <sheetFormatPr baseColWidth="10" defaultColWidth="8.83203125" defaultRowHeight="15" x14ac:dyDescent="0.2"/>
  <sheetData>
    <row r="2" spans="1:1" x14ac:dyDescent="0.2">
      <c r="A2" s="14" t="s">
        <v>38</v>
      </c>
    </row>
    <row r="3" spans="1:1" x14ac:dyDescent="0.2">
      <c r="A3" s="71" t="s">
        <v>32</v>
      </c>
    </row>
    <row r="4" spans="1:1" x14ac:dyDescent="0.2">
      <c r="A4" s="71" t="s">
        <v>33</v>
      </c>
    </row>
    <row r="5" spans="1:1" x14ac:dyDescent="0.2">
      <c r="A5" s="71" t="s">
        <v>34</v>
      </c>
    </row>
    <row r="6" spans="1:1" x14ac:dyDescent="0.2">
      <c r="A6" s="71" t="s">
        <v>35</v>
      </c>
    </row>
    <row r="7" spans="1:1" x14ac:dyDescent="0.2">
      <c r="A7" s="71" t="s">
        <v>36</v>
      </c>
    </row>
    <row r="8" spans="1:1" x14ac:dyDescent="0.2">
      <c r="A8" s="71" t="s">
        <v>37</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70A21-A4CF-DD47-969E-12021E408F58}">
  <dimension ref="A1:P36"/>
  <sheetViews>
    <sheetView zoomScale="140" zoomScaleNormal="140" workbookViewId="0">
      <selection activeCell="F14" sqref="F14"/>
    </sheetView>
  </sheetViews>
  <sheetFormatPr baseColWidth="10" defaultColWidth="11.5" defaultRowHeight="15" x14ac:dyDescent="0.2"/>
  <cols>
    <col min="1" max="1" width="40" bestFit="1" customWidth="1"/>
    <col min="2" max="2" width="10.83203125" style="13"/>
  </cols>
  <sheetData>
    <row r="1" spans="1:16" x14ac:dyDescent="0.2">
      <c r="A1" s="72" t="s">
        <v>54</v>
      </c>
      <c r="B1" s="13" t="s">
        <v>56</v>
      </c>
      <c r="L1">
        <v>3280</v>
      </c>
    </row>
    <row r="2" spans="1:16" x14ac:dyDescent="0.2">
      <c r="A2" s="72" t="s">
        <v>55</v>
      </c>
      <c r="B2" s="13">
        <v>700</v>
      </c>
      <c r="E2">
        <v>4800</v>
      </c>
      <c r="L2">
        <v>4160</v>
      </c>
    </row>
    <row r="3" spans="1:16" x14ac:dyDescent="0.2">
      <c r="A3" s="72" t="s">
        <v>58</v>
      </c>
      <c r="B3" s="13">
        <v>9500</v>
      </c>
      <c r="E3">
        <v>5400</v>
      </c>
      <c r="K3" s="72" t="s">
        <v>67</v>
      </c>
      <c r="L3">
        <f>L1+L2</f>
        <v>7440</v>
      </c>
      <c r="M3">
        <f>K17</f>
        <v>4550</v>
      </c>
      <c r="N3">
        <v>950</v>
      </c>
      <c r="O3">
        <v>130</v>
      </c>
      <c r="P3">
        <v>120</v>
      </c>
    </row>
    <row r="4" spans="1:16" x14ac:dyDescent="0.2">
      <c r="A4" s="72" t="s">
        <v>57</v>
      </c>
      <c r="B4" s="13">
        <v>2000</v>
      </c>
      <c r="E4">
        <v>5760</v>
      </c>
      <c r="K4" s="72" t="s">
        <v>208</v>
      </c>
      <c r="L4">
        <f>L3-M3</f>
        <v>2890</v>
      </c>
    </row>
    <row r="5" spans="1:16" x14ac:dyDescent="0.2">
      <c r="A5" s="72" t="s">
        <v>60</v>
      </c>
      <c r="B5" s="13">
        <v>2800</v>
      </c>
      <c r="E5">
        <v>6000</v>
      </c>
      <c r="K5" s="72" t="s">
        <v>331</v>
      </c>
      <c r="L5">
        <f>L4-N3</f>
        <v>1940</v>
      </c>
    </row>
    <row r="6" spans="1:16" x14ac:dyDescent="0.2">
      <c r="A6" s="72" t="s">
        <v>59</v>
      </c>
      <c r="B6" s="13">
        <v>16000</v>
      </c>
      <c r="E6">
        <v>6600</v>
      </c>
      <c r="K6" s="72" t="s">
        <v>332</v>
      </c>
      <c r="L6">
        <f>L5-O3</f>
        <v>1810</v>
      </c>
    </row>
    <row r="7" spans="1:16" x14ac:dyDescent="0.2">
      <c r="A7" s="72" t="s">
        <v>152</v>
      </c>
      <c r="B7" s="13">
        <v>12000</v>
      </c>
      <c r="K7" s="72" t="s">
        <v>333</v>
      </c>
      <c r="L7">
        <f>L6-P3</f>
        <v>1690</v>
      </c>
    </row>
    <row r="8" spans="1:16" x14ac:dyDescent="0.2">
      <c r="K8" s="72"/>
    </row>
    <row r="10" spans="1:16" x14ac:dyDescent="0.2">
      <c r="A10" s="72" t="s">
        <v>11</v>
      </c>
      <c r="B10" s="13">
        <f>SUM(B2:B9)</f>
        <v>43000</v>
      </c>
      <c r="E10">
        <f>SUM(E2:E6)</f>
        <v>28560</v>
      </c>
    </row>
    <row r="13" spans="1:16" x14ac:dyDescent="0.2">
      <c r="L13">
        <v>1400</v>
      </c>
      <c r="N13" s="72"/>
      <c r="O13" s="72"/>
    </row>
    <row r="14" spans="1:16" x14ac:dyDescent="0.2">
      <c r="A14" s="72" t="s">
        <v>231</v>
      </c>
      <c r="E14" s="72" t="s">
        <v>46</v>
      </c>
      <c r="F14">
        <v>1000</v>
      </c>
      <c r="H14" s="72" t="s">
        <v>202</v>
      </c>
      <c r="K14" s="72">
        <v>300</v>
      </c>
      <c r="M14" s="72"/>
      <c r="N14" s="72"/>
    </row>
    <row r="15" spans="1:16" x14ac:dyDescent="0.2">
      <c r="A15" s="72" t="s">
        <v>232</v>
      </c>
      <c r="B15" s="13">
        <v>200</v>
      </c>
      <c r="E15" s="72" t="s">
        <v>199</v>
      </c>
      <c r="F15">
        <v>1500</v>
      </c>
      <c r="H15" s="72" t="s">
        <v>203</v>
      </c>
      <c r="I15">
        <v>1700</v>
      </c>
      <c r="K15" s="72">
        <v>250</v>
      </c>
      <c r="N15" s="72"/>
    </row>
    <row r="16" spans="1:16" x14ac:dyDescent="0.2">
      <c r="A16" s="72" t="s">
        <v>233</v>
      </c>
      <c r="B16" s="13">
        <v>300</v>
      </c>
      <c r="E16" s="72" t="s">
        <v>200</v>
      </c>
      <c r="F16">
        <v>0</v>
      </c>
      <c r="H16" s="72" t="s">
        <v>204</v>
      </c>
      <c r="I16">
        <v>1200</v>
      </c>
      <c r="K16" s="72">
        <v>4000</v>
      </c>
      <c r="M16" s="72"/>
      <c r="N16" s="72"/>
    </row>
    <row r="17" spans="1:14" x14ac:dyDescent="0.2">
      <c r="A17" s="72" t="s">
        <v>234</v>
      </c>
      <c r="B17" s="13">
        <v>300</v>
      </c>
      <c r="E17" s="72" t="s">
        <v>201</v>
      </c>
      <c r="F17">
        <v>0</v>
      </c>
      <c r="H17" s="72" t="s">
        <v>205</v>
      </c>
      <c r="I17">
        <v>250</v>
      </c>
      <c r="K17" s="72">
        <f>SUM(K14:K16)</f>
        <v>4550</v>
      </c>
      <c r="M17" s="72"/>
      <c r="N17" s="72"/>
    </row>
    <row r="18" spans="1:14" x14ac:dyDescent="0.2">
      <c r="A18" s="72" t="s">
        <v>235</v>
      </c>
      <c r="B18" s="13">
        <v>300</v>
      </c>
      <c r="H18" s="72" t="s">
        <v>207</v>
      </c>
      <c r="I18">
        <v>3900</v>
      </c>
      <c r="N18" s="72"/>
    </row>
    <row r="19" spans="1:14" x14ac:dyDescent="0.2">
      <c r="A19" s="72" t="s">
        <v>236</v>
      </c>
      <c r="B19" s="13">
        <v>300</v>
      </c>
      <c r="H19" s="72"/>
    </row>
    <row r="20" spans="1:14" x14ac:dyDescent="0.2">
      <c r="A20" s="72" t="s">
        <v>248</v>
      </c>
      <c r="B20" s="13">
        <v>300</v>
      </c>
      <c r="E20" s="72" t="s">
        <v>67</v>
      </c>
      <c r="F20">
        <f>SUM(F14:F17)</f>
        <v>2500</v>
      </c>
      <c r="H20" s="72" t="s">
        <v>67</v>
      </c>
      <c r="I20">
        <f>SUM(I15:I18)</f>
        <v>7050</v>
      </c>
    </row>
    <row r="21" spans="1:14" x14ac:dyDescent="0.2">
      <c r="A21" s="72" t="s">
        <v>237</v>
      </c>
      <c r="B21" s="13">
        <v>300</v>
      </c>
    </row>
    <row r="22" spans="1:14" x14ac:dyDescent="0.2">
      <c r="A22" s="72" t="s">
        <v>238</v>
      </c>
      <c r="B22" s="13">
        <v>150</v>
      </c>
      <c r="F22" s="72" t="s">
        <v>208</v>
      </c>
      <c r="G22">
        <f>I20-F20</f>
        <v>4550</v>
      </c>
    </row>
    <row r="23" spans="1:14" x14ac:dyDescent="0.2">
      <c r="A23" s="72" t="s">
        <v>239</v>
      </c>
      <c r="B23" s="13">
        <v>400</v>
      </c>
    </row>
    <row r="24" spans="1:14" x14ac:dyDescent="0.2">
      <c r="A24" s="72" t="s">
        <v>251</v>
      </c>
    </row>
    <row r="25" spans="1:14" x14ac:dyDescent="0.2">
      <c r="A25" s="72" t="s">
        <v>247</v>
      </c>
      <c r="B25" s="13">
        <v>800</v>
      </c>
      <c r="F25" s="72" t="s">
        <v>186</v>
      </c>
      <c r="G25">
        <f>I17+I15</f>
        <v>1950</v>
      </c>
    </row>
    <row r="26" spans="1:14" x14ac:dyDescent="0.2">
      <c r="A26" s="72" t="s">
        <v>0</v>
      </c>
      <c r="B26" s="13">
        <f>SUM(B15:B25)</f>
        <v>3350</v>
      </c>
    </row>
    <row r="27" spans="1:14" x14ac:dyDescent="0.2">
      <c r="G27" s="34">
        <f>G22-B26</f>
        <v>1200</v>
      </c>
    </row>
    <row r="28" spans="1:14" x14ac:dyDescent="0.2">
      <c r="A28" s="72" t="s">
        <v>240</v>
      </c>
    </row>
    <row r="29" spans="1:14" x14ac:dyDescent="0.2">
      <c r="A29" s="72" t="s">
        <v>241</v>
      </c>
    </row>
    <row r="30" spans="1:14" x14ac:dyDescent="0.2">
      <c r="A30" s="72" t="s">
        <v>242</v>
      </c>
    </row>
    <row r="31" spans="1:14" x14ac:dyDescent="0.2">
      <c r="A31" s="72" t="s">
        <v>243</v>
      </c>
    </row>
    <row r="32" spans="1:14" x14ac:dyDescent="0.2">
      <c r="A32" s="72" t="s">
        <v>244</v>
      </c>
    </row>
    <row r="33" spans="1:1" x14ac:dyDescent="0.2">
      <c r="A33" s="72" t="s">
        <v>245</v>
      </c>
    </row>
    <row r="34" spans="1:1" x14ac:dyDescent="0.2">
      <c r="A34" s="72" t="s">
        <v>246</v>
      </c>
    </row>
    <row r="35" spans="1:1" x14ac:dyDescent="0.2">
      <c r="A35" s="72" t="s">
        <v>249</v>
      </c>
    </row>
    <row r="36" spans="1:1" x14ac:dyDescent="0.2">
      <c r="A36" s="72" t="s">
        <v>250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0258-4271-7241-AFE7-D18D4977803D}">
  <dimension ref="A1:B7"/>
  <sheetViews>
    <sheetView zoomScale="140" zoomScaleNormal="140" workbookViewId="0">
      <selection activeCell="B7" sqref="B7"/>
    </sheetView>
  </sheetViews>
  <sheetFormatPr baseColWidth="10" defaultColWidth="10.83203125" defaultRowHeight="15" x14ac:dyDescent="0.2"/>
  <sheetData>
    <row r="1" spans="1:2" x14ac:dyDescent="0.2">
      <c r="A1" s="72" t="s">
        <v>209</v>
      </c>
      <c r="B1">
        <f>2930-70</f>
        <v>2860</v>
      </c>
    </row>
    <row r="3" spans="1:2" x14ac:dyDescent="0.2">
      <c r="A3" s="72" t="s">
        <v>210</v>
      </c>
      <c r="B3">
        <v>700</v>
      </c>
    </row>
    <row r="4" spans="1:2" x14ac:dyDescent="0.2">
      <c r="A4" s="72" t="s">
        <v>211</v>
      </c>
      <c r="B4">
        <v>1750</v>
      </c>
    </row>
    <row r="5" spans="1:2" x14ac:dyDescent="0.2">
      <c r="A5" s="72" t="s">
        <v>213</v>
      </c>
      <c r="B5">
        <v>40</v>
      </c>
    </row>
    <row r="6" spans="1:2" x14ac:dyDescent="0.2">
      <c r="A6" s="72" t="s">
        <v>212</v>
      </c>
      <c r="B6">
        <f>SUM(B3:B5)</f>
        <v>2490</v>
      </c>
    </row>
    <row r="7" spans="1:2" x14ac:dyDescent="0.2">
      <c r="A7" s="72" t="s">
        <v>76</v>
      </c>
      <c r="B7">
        <f>B1-B6</f>
        <v>370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AC17-9274-CB4C-A261-B4BE9625C000}">
  <dimension ref="A1:J28"/>
  <sheetViews>
    <sheetView zoomScale="110" zoomScaleNormal="110" workbookViewId="0">
      <selection activeCell="B15" sqref="B15"/>
    </sheetView>
  </sheetViews>
  <sheetFormatPr baseColWidth="10" defaultColWidth="10.83203125" defaultRowHeight="15" x14ac:dyDescent="0.2"/>
  <cols>
    <col min="1" max="1" width="37" customWidth="1"/>
    <col min="2" max="2" width="10.83203125" style="107"/>
    <col min="5" max="5" width="10.33203125" customWidth="1"/>
    <col min="6" max="6" width="11.5" style="102" customWidth="1"/>
    <col min="7" max="7" width="43.33203125" style="102" customWidth="1"/>
    <col min="8" max="8" width="35.33203125" style="102" customWidth="1"/>
  </cols>
  <sheetData>
    <row r="1" spans="1:8" x14ac:dyDescent="0.2">
      <c r="A1" s="72" t="s">
        <v>231</v>
      </c>
      <c r="B1" s="118"/>
      <c r="E1" s="108"/>
      <c r="F1" s="107"/>
      <c r="G1" s="107"/>
      <c r="H1" s="107"/>
    </row>
    <row r="2" spans="1:8" x14ac:dyDescent="0.2">
      <c r="A2" s="117" t="s">
        <v>232</v>
      </c>
      <c r="B2" s="118">
        <v>0</v>
      </c>
      <c r="C2" s="118">
        <v>200</v>
      </c>
      <c r="E2" s="119"/>
      <c r="F2" s="120"/>
      <c r="G2" s="121" t="s">
        <v>282</v>
      </c>
      <c r="H2" s="121" t="s">
        <v>41</v>
      </c>
    </row>
    <row r="3" spans="1:8" x14ac:dyDescent="0.2">
      <c r="A3" s="117" t="s">
        <v>291</v>
      </c>
      <c r="B3" s="118">
        <v>0</v>
      </c>
      <c r="E3" s="137" t="s">
        <v>252</v>
      </c>
      <c r="F3" s="121" t="s">
        <v>258</v>
      </c>
      <c r="G3" s="137" t="s">
        <v>283</v>
      </c>
      <c r="H3" s="137" t="s">
        <v>284</v>
      </c>
    </row>
    <row r="4" spans="1:8" x14ac:dyDescent="0.2">
      <c r="A4" s="117" t="s">
        <v>234</v>
      </c>
      <c r="B4" s="118">
        <v>100</v>
      </c>
      <c r="E4" s="137"/>
      <c r="F4" s="121" t="s">
        <v>259</v>
      </c>
      <c r="G4" s="138"/>
      <c r="H4" s="138"/>
    </row>
    <row r="5" spans="1:8" ht="48" x14ac:dyDescent="0.2">
      <c r="A5" s="72" t="s">
        <v>297</v>
      </c>
      <c r="B5" s="118">
        <v>110</v>
      </c>
      <c r="C5">
        <v>340</v>
      </c>
      <c r="E5" s="137" t="s">
        <v>253</v>
      </c>
      <c r="F5" s="121" t="s">
        <v>260</v>
      </c>
      <c r="G5" s="121" t="s">
        <v>232</v>
      </c>
      <c r="H5" s="122" t="s">
        <v>285</v>
      </c>
    </row>
    <row r="6" spans="1:8" ht="32" x14ac:dyDescent="0.2">
      <c r="A6" s="117" t="s">
        <v>294</v>
      </c>
      <c r="B6" s="118">
        <v>450</v>
      </c>
      <c r="E6" s="137"/>
      <c r="F6" s="121" t="s">
        <v>261</v>
      </c>
      <c r="G6" s="123" t="s">
        <v>289</v>
      </c>
      <c r="H6" s="122" t="s">
        <v>286</v>
      </c>
    </row>
    <row r="7" spans="1:8" ht="64" x14ac:dyDescent="0.2">
      <c r="A7" s="72" t="s">
        <v>304</v>
      </c>
      <c r="B7" s="118">
        <v>300</v>
      </c>
      <c r="E7" s="137" t="s">
        <v>254</v>
      </c>
      <c r="F7" s="121" t="s">
        <v>262</v>
      </c>
      <c r="G7" s="124"/>
      <c r="H7" s="122" t="s">
        <v>307</v>
      </c>
    </row>
    <row r="8" spans="1:8" ht="32" x14ac:dyDescent="0.2">
      <c r="A8" s="72" t="s">
        <v>237</v>
      </c>
      <c r="B8" s="118">
        <v>0</v>
      </c>
      <c r="C8" s="118">
        <v>350</v>
      </c>
      <c r="E8" s="137"/>
      <c r="F8" s="121" t="s">
        <v>263</v>
      </c>
      <c r="G8" s="123" t="s">
        <v>289</v>
      </c>
      <c r="H8" s="122" t="s">
        <v>308</v>
      </c>
    </row>
    <row r="9" spans="1:8" ht="39" customHeight="1" x14ac:dyDescent="0.2">
      <c r="A9" s="72" t="s">
        <v>238</v>
      </c>
      <c r="B9" s="118">
        <v>0</v>
      </c>
      <c r="E9" s="137" t="s">
        <v>255</v>
      </c>
      <c r="F9" s="121" t="s">
        <v>264</v>
      </c>
      <c r="G9" s="121" t="s">
        <v>303</v>
      </c>
      <c r="H9" s="122" t="s">
        <v>309</v>
      </c>
    </row>
    <row r="10" spans="1:8" ht="37" customHeight="1" x14ac:dyDescent="0.2">
      <c r="A10" s="72" t="s">
        <v>239</v>
      </c>
      <c r="C10" s="118">
        <v>510</v>
      </c>
      <c r="E10" s="137"/>
      <c r="F10" s="121" t="s">
        <v>265</v>
      </c>
      <c r="G10" s="123" t="s">
        <v>289</v>
      </c>
      <c r="H10" s="122" t="s">
        <v>310</v>
      </c>
    </row>
    <row r="11" spans="1:8" ht="48" x14ac:dyDescent="0.2">
      <c r="A11" s="117" t="s">
        <v>312</v>
      </c>
      <c r="B11" s="118">
        <v>100</v>
      </c>
      <c r="E11" s="137" t="s">
        <v>271</v>
      </c>
      <c r="F11" s="121" t="s">
        <v>266</v>
      </c>
      <c r="G11" s="122" t="s">
        <v>293</v>
      </c>
      <c r="H11" s="122" t="s">
        <v>311</v>
      </c>
    </row>
    <row r="12" spans="1:8" ht="48" x14ac:dyDescent="0.2">
      <c r="A12" s="117" t="s">
        <v>299</v>
      </c>
      <c r="C12" s="118">
        <v>200</v>
      </c>
      <c r="E12" s="138"/>
      <c r="F12" s="121" t="s">
        <v>267</v>
      </c>
      <c r="G12" s="121" t="s">
        <v>291</v>
      </c>
      <c r="H12" s="122" t="s">
        <v>313</v>
      </c>
    </row>
    <row r="13" spans="1:8" ht="36" customHeight="1" x14ac:dyDescent="0.2">
      <c r="A13" s="72" t="s">
        <v>296</v>
      </c>
      <c r="B13" s="118">
        <f>(260+ 800)-C13</f>
        <v>364</v>
      </c>
      <c r="C13">
        <f>150+108+108+200+130</f>
        <v>696</v>
      </c>
      <c r="E13" s="138"/>
      <c r="F13" s="121" t="s">
        <v>268</v>
      </c>
      <c r="G13" s="121" t="s">
        <v>292</v>
      </c>
      <c r="H13" s="122" t="s">
        <v>314</v>
      </c>
    </row>
    <row r="14" spans="1:8" ht="32" x14ac:dyDescent="0.2">
      <c r="A14" s="72" t="s">
        <v>0</v>
      </c>
      <c r="B14" s="118">
        <f>SUM(B2:B13)</f>
        <v>1424</v>
      </c>
      <c r="E14" s="138"/>
      <c r="F14" s="121" t="s">
        <v>269</v>
      </c>
      <c r="G14" s="125" t="s">
        <v>301</v>
      </c>
      <c r="H14" s="126" t="s">
        <v>324</v>
      </c>
    </row>
    <row r="15" spans="1:8" ht="32" x14ac:dyDescent="0.2">
      <c r="B15" s="118"/>
      <c r="E15" s="138"/>
      <c r="F15" s="121" t="s">
        <v>270</v>
      </c>
      <c r="G15" s="121" t="s">
        <v>300</v>
      </c>
      <c r="H15" s="122" t="s">
        <v>325</v>
      </c>
    </row>
    <row r="16" spans="1:8" ht="32" x14ac:dyDescent="0.2">
      <c r="A16" s="72" t="s">
        <v>240</v>
      </c>
      <c r="B16" s="118"/>
      <c r="E16" s="137" t="s">
        <v>256</v>
      </c>
      <c r="F16" s="121" t="s">
        <v>272</v>
      </c>
      <c r="G16" s="125" t="s">
        <v>315</v>
      </c>
      <c r="H16" s="122" t="s">
        <v>326</v>
      </c>
    </row>
    <row r="17" spans="1:10" ht="48" x14ac:dyDescent="0.2">
      <c r="A17" s="72" t="s">
        <v>241</v>
      </c>
      <c r="B17" s="118"/>
      <c r="E17" s="137"/>
      <c r="F17" s="121" t="s">
        <v>273</v>
      </c>
      <c r="G17" s="121" t="s">
        <v>288</v>
      </c>
      <c r="H17" s="122" t="s">
        <v>327</v>
      </c>
    </row>
    <row r="18" spans="1:10" ht="80" x14ac:dyDescent="0.2">
      <c r="A18" s="72" t="s">
        <v>242</v>
      </c>
      <c r="B18" s="118"/>
      <c r="E18" s="137" t="s">
        <v>279</v>
      </c>
      <c r="F18" s="121" t="s">
        <v>274</v>
      </c>
      <c r="G18" s="125" t="s">
        <v>302</v>
      </c>
      <c r="H18" s="122" t="s">
        <v>316</v>
      </c>
      <c r="J18" s="116"/>
    </row>
    <row r="19" spans="1:10" ht="45" customHeight="1" x14ac:dyDescent="0.2">
      <c r="A19" s="72" t="s">
        <v>243</v>
      </c>
      <c r="B19" s="118"/>
      <c r="E19" s="138"/>
      <c r="F19" s="121" t="s">
        <v>275</v>
      </c>
      <c r="G19" s="121" t="s">
        <v>290</v>
      </c>
      <c r="H19" s="122" t="s">
        <v>317</v>
      </c>
    </row>
    <row r="20" spans="1:10" ht="32" x14ac:dyDescent="0.2">
      <c r="A20" s="72" t="s">
        <v>244</v>
      </c>
      <c r="B20" s="118"/>
      <c r="E20" s="138"/>
      <c r="F20" s="121" t="s">
        <v>276</v>
      </c>
      <c r="G20" s="125" t="s">
        <v>287</v>
      </c>
      <c r="H20" s="122" t="s">
        <v>318</v>
      </c>
    </row>
    <row r="21" spans="1:10" ht="32" x14ac:dyDescent="0.2">
      <c r="A21" s="72" t="s">
        <v>245</v>
      </c>
      <c r="B21" s="118"/>
      <c r="E21" s="138"/>
      <c r="F21" s="121" t="s">
        <v>277</v>
      </c>
      <c r="G21" s="121" t="s">
        <v>298</v>
      </c>
      <c r="H21" s="122" t="s">
        <v>319</v>
      </c>
    </row>
    <row r="22" spans="1:10" ht="48" x14ac:dyDescent="0.2">
      <c r="A22" s="72" t="s">
        <v>306</v>
      </c>
      <c r="B22" s="118"/>
      <c r="E22" s="138"/>
      <c r="F22" s="121" t="s">
        <v>278</v>
      </c>
      <c r="G22" s="120"/>
      <c r="H22" s="122" t="s">
        <v>322</v>
      </c>
    </row>
    <row r="23" spans="1:10" ht="32" x14ac:dyDescent="0.2">
      <c r="A23" s="72" t="s">
        <v>249</v>
      </c>
      <c r="B23" s="118"/>
      <c r="E23" s="137" t="s">
        <v>257</v>
      </c>
      <c r="F23" s="121" t="s">
        <v>280</v>
      </c>
      <c r="G23" s="125" t="s">
        <v>295</v>
      </c>
      <c r="H23" s="122" t="s">
        <v>323</v>
      </c>
    </row>
    <row r="24" spans="1:10" x14ac:dyDescent="0.2">
      <c r="A24" s="72" t="s">
        <v>250</v>
      </c>
      <c r="B24" s="118"/>
      <c r="E24" s="137"/>
      <c r="F24" s="121" t="s">
        <v>281</v>
      </c>
      <c r="G24" s="123" t="s">
        <v>289</v>
      </c>
      <c r="H24" s="120"/>
    </row>
    <row r="25" spans="1:10" x14ac:dyDescent="0.2">
      <c r="A25" s="72" t="s">
        <v>305</v>
      </c>
      <c r="E25" s="108"/>
      <c r="F25" s="107"/>
      <c r="G25" s="107"/>
      <c r="H25" s="107"/>
    </row>
    <row r="26" spans="1:10" x14ac:dyDescent="0.2">
      <c r="A26" s="72" t="s">
        <v>320</v>
      </c>
      <c r="E26" s="108"/>
      <c r="F26" s="107"/>
      <c r="G26" s="107"/>
      <c r="H26" s="107"/>
    </row>
    <row r="27" spans="1:10" x14ac:dyDescent="0.2">
      <c r="A27" s="72" t="s">
        <v>321</v>
      </c>
      <c r="E27" s="108"/>
      <c r="F27" s="107"/>
      <c r="G27" s="107"/>
      <c r="H27" s="107"/>
    </row>
    <row r="28" spans="1:10" x14ac:dyDescent="0.2">
      <c r="E28" s="108"/>
      <c r="F28" s="107"/>
      <c r="G28" s="107"/>
      <c r="H28" s="107"/>
    </row>
  </sheetData>
  <mergeCells count="10">
    <mergeCell ref="E18:E22"/>
    <mergeCell ref="E23:E24"/>
    <mergeCell ref="G3:G4"/>
    <mergeCell ref="H3:H4"/>
    <mergeCell ref="E3:E4"/>
    <mergeCell ref="E5:E6"/>
    <mergeCell ref="E7:E8"/>
    <mergeCell ref="E9:E10"/>
    <mergeCell ref="E11:E15"/>
    <mergeCell ref="E16:E17"/>
  </mergeCells>
  <phoneticPr fontId="4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P31"/>
  <sheetViews>
    <sheetView zoomScale="136" zoomScaleNormal="140" workbookViewId="0">
      <pane xSplit="1" ySplit="3" topLeftCell="B5" activePane="bottomRight" state="frozen"/>
      <selection pane="topRight" activeCell="B1" sqref="B1"/>
      <selection pane="bottomLeft" activeCell="A4" sqref="A4"/>
      <selection pane="bottomRight" activeCell="M9" sqref="M9:M28"/>
    </sheetView>
  </sheetViews>
  <sheetFormatPr baseColWidth="10" defaultColWidth="8.83203125" defaultRowHeight="15" x14ac:dyDescent="0.2"/>
  <cols>
    <col min="1" max="1" width="23.1640625" customWidth="1"/>
    <col min="2" max="2" width="10.1640625" bestFit="1" customWidth="1"/>
    <col min="3" max="3" width="11" bestFit="1" customWidth="1"/>
    <col min="4" max="4" width="10.5" customWidth="1"/>
    <col min="5" max="5" width="9.83203125" customWidth="1"/>
    <col min="6" max="6" width="11.5" customWidth="1"/>
    <col min="7" max="7" width="14" customWidth="1"/>
    <col min="8" max="8" width="11.5" customWidth="1"/>
    <col min="9" max="9" width="9.6640625" customWidth="1"/>
    <col min="10" max="10" width="11.83203125" style="6" customWidth="1"/>
    <col min="11" max="11" width="10.83203125" style="6" customWidth="1"/>
    <col min="12" max="12" width="13.6640625" style="6" customWidth="1"/>
    <col min="13" max="13" width="12" style="6" customWidth="1"/>
    <col min="14" max="14" width="4.6640625" style="6" customWidth="1"/>
    <col min="15" max="16" width="12.33203125" style="6" customWidth="1"/>
  </cols>
  <sheetData>
    <row r="1" spans="1:16" s="8" customFormat="1" ht="18.75" customHeight="1" x14ac:dyDescent="0.25">
      <c r="A1" s="129" t="s">
        <v>62</v>
      </c>
      <c r="B1" s="129"/>
      <c r="C1" s="129"/>
      <c r="D1" s="129"/>
      <c r="E1" s="129"/>
      <c r="F1" s="129"/>
      <c r="G1" s="129"/>
      <c r="H1" s="129"/>
      <c r="I1" s="129"/>
      <c r="J1" s="129"/>
      <c r="K1" s="129"/>
      <c r="L1" s="129"/>
      <c r="M1" s="129"/>
      <c r="N1" s="129"/>
      <c r="O1" s="129"/>
      <c r="P1" s="130" t="s">
        <v>28</v>
      </c>
    </row>
    <row r="2" spans="1:16" ht="15.75" customHeight="1" x14ac:dyDescent="0.2">
      <c r="A2" s="25" t="s">
        <v>29</v>
      </c>
      <c r="B2" s="25" t="s">
        <v>16</v>
      </c>
      <c r="C2" s="25" t="s">
        <v>17</v>
      </c>
      <c r="D2" s="25" t="s">
        <v>18</v>
      </c>
      <c r="E2" s="25" t="s">
        <v>19</v>
      </c>
      <c r="F2" s="25" t="s">
        <v>20</v>
      </c>
      <c r="G2" s="25" t="s">
        <v>21</v>
      </c>
      <c r="H2" s="25" t="s">
        <v>22</v>
      </c>
      <c r="I2" s="25" t="s">
        <v>23</v>
      </c>
      <c r="J2" s="26" t="s">
        <v>24</v>
      </c>
      <c r="K2" s="26" t="s">
        <v>25</v>
      </c>
      <c r="L2" s="26" t="s">
        <v>26</v>
      </c>
      <c r="M2" s="26" t="s">
        <v>27</v>
      </c>
      <c r="N2" s="26"/>
      <c r="O2" s="26" t="s">
        <v>11</v>
      </c>
      <c r="P2" s="130"/>
    </row>
    <row r="3" spans="1:16" ht="15.75" customHeight="1" x14ac:dyDescent="0.2">
      <c r="A3" s="58" t="s">
        <v>14</v>
      </c>
      <c r="B3" s="59" t="s">
        <v>1</v>
      </c>
      <c r="C3" s="59" t="s">
        <v>1</v>
      </c>
      <c r="D3" s="59" t="s">
        <v>1</v>
      </c>
      <c r="E3" s="59" t="s">
        <v>1</v>
      </c>
      <c r="F3" s="59" t="s">
        <v>1</v>
      </c>
      <c r="G3" s="59" t="s">
        <v>1</v>
      </c>
      <c r="H3" s="59" t="s">
        <v>1</v>
      </c>
      <c r="I3" s="59" t="s">
        <v>1</v>
      </c>
      <c r="J3" s="59" t="s">
        <v>1</v>
      </c>
      <c r="K3" s="59" t="s">
        <v>1</v>
      </c>
      <c r="L3" s="59" t="s">
        <v>1</v>
      </c>
      <c r="M3" s="59" t="s">
        <v>1</v>
      </c>
      <c r="N3" s="59"/>
      <c r="O3" s="59" t="s">
        <v>1</v>
      </c>
      <c r="P3" s="59" t="s">
        <v>1</v>
      </c>
    </row>
    <row r="4" spans="1:16" ht="15.75" customHeight="1" x14ac:dyDescent="0.2">
      <c r="A4" s="16" t="s">
        <v>9</v>
      </c>
      <c r="B4" s="13">
        <v>3945</v>
      </c>
      <c r="C4" s="13">
        <v>3900</v>
      </c>
      <c r="D4" s="13">
        <v>3900</v>
      </c>
      <c r="E4" s="13">
        <v>3850</v>
      </c>
      <c r="F4" s="13">
        <v>3850</v>
      </c>
      <c r="G4" s="13">
        <v>3850</v>
      </c>
      <c r="H4" s="13">
        <v>3847</v>
      </c>
      <c r="I4" s="13">
        <v>3840</v>
      </c>
      <c r="J4" s="13">
        <v>3850</v>
      </c>
      <c r="K4" s="13">
        <v>3829</v>
      </c>
      <c r="L4" s="13">
        <v>3850</v>
      </c>
      <c r="M4" s="13">
        <v>3850</v>
      </c>
      <c r="N4" s="10"/>
      <c r="O4" s="10">
        <f>SUM(B4:N4)</f>
        <v>46361</v>
      </c>
      <c r="P4" s="43">
        <f>O4/COLUMNS(B4:M4)</f>
        <v>3863.4166666666665</v>
      </c>
    </row>
    <row r="5" spans="1:16" ht="16.5" customHeight="1" x14ac:dyDescent="0.2">
      <c r="A5" t="s">
        <v>10</v>
      </c>
      <c r="B5" s="13">
        <v>255</v>
      </c>
      <c r="C5" s="13">
        <v>230</v>
      </c>
      <c r="D5" s="13"/>
      <c r="E5" s="13">
        <v>800</v>
      </c>
      <c r="F5" s="13"/>
      <c r="G5" s="13"/>
      <c r="H5" s="13">
        <v>0</v>
      </c>
      <c r="I5" s="13">
        <v>200</v>
      </c>
      <c r="J5" s="13"/>
      <c r="K5" s="13"/>
      <c r="L5" s="10"/>
      <c r="M5" s="10">
        <v>0</v>
      </c>
      <c r="N5" s="10"/>
      <c r="O5" s="10">
        <f>SUM(B5:N5)</f>
        <v>1485</v>
      </c>
      <c r="P5" s="43">
        <f>O5/COLUMNS(B5:M5)</f>
        <v>123.75</v>
      </c>
    </row>
    <row r="6" spans="1:16" ht="16.5" customHeight="1" thickBot="1" x14ac:dyDescent="0.25">
      <c r="A6" s="14" t="s">
        <v>30</v>
      </c>
      <c r="B6" s="27">
        <f t="shared" ref="B6:M6" si="0">SUM(B4:B5)</f>
        <v>4200</v>
      </c>
      <c r="C6" s="27">
        <f>SUM(C4:C5)</f>
        <v>4130</v>
      </c>
      <c r="D6" s="27">
        <f>SUM(D4:D5)</f>
        <v>3900</v>
      </c>
      <c r="E6" s="27">
        <f t="shared" si="0"/>
        <v>4650</v>
      </c>
      <c r="F6" s="27">
        <f t="shared" si="0"/>
        <v>3850</v>
      </c>
      <c r="G6" s="27">
        <f t="shared" si="0"/>
        <v>3850</v>
      </c>
      <c r="H6" s="27">
        <f t="shared" si="0"/>
        <v>3847</v>
      </c>
      <c r="I6" s="27">
        <f t="shared" si="0"/>
        <v>4040</v>
      </c>
      <c r="J6" s="27">
        <f t="shared" si="0"/>
        <v>3850</v>
      </c>
      <c r="K6" s="27">
        <f t="shared" si="0"/>
        <v>3829</v>
      </c>
      <c r="L6" s="27">
        <f>SUM(L4:L5)</f>
        <v>3850</v>
      </c>
      <c r="M6" s="27">
        <f t="shared" si="0"/>
        <v>3850</v>
      </c>
      <c r="N6" s="27"/>
      <c r="O6" s="27">
        <f>SUM(B6:M6)</f>
        <v>47846</v>
      </c>
      <c r="P6" s="44">
        <f>O6/COLUMNS(B6:M6)</f>
        <v>3987.1666666666665</v>
      </c>
    </row>
    <row r="7" spans="1:16" ht="16.5" customHeight="1" thickTop="1" x14ac:dyDescent="0.2">
      <c r="A7" s="4"/>
      <c r="B7" s="61"/>
      <c r="C7" s="61"/>
      <c r="D7" s="61"/>
      <c r="E7" s="61"/>
      <c r="F7" s="61"/>
      <c r="G7" s="61"/>
      <c r="H7" s="61"/>
      <c r="I7" s="61"/>
      <c r="J7" s="61"/>
      <c r="K7" s="61"/>
      <c r="L7" s="61"/>
      <c r="M7" s="61"/>
      <c r="N7" s="61"/>
      <c r="O7" s="61"/>
      <c r="P7" s="60"/>
    </row>
    <row r="8" spans="1:16" ht="15.75" customHeight="1" x14ac:dyDescent="0.2">
      <c r="A8" s="14" t="s">
        <v>13</v>
      </c>
      <c r="B8" s="62"/>
      <c r="C8" s="62"/>
      <c r="D8" s="62"/>
      <c r="E8" s="62"/>
      <c r="F8" s="62"/>
      <c r="G8" s="62"/>
      <c r="H8" s="62"/>
      <c r="I8" s="62"/>
      <c r="J8" s="62"/>
      <c r="K8" s="62"/>
      <c r="L8" s="62"/>
      <c r="M8" s="62"/>
      <c r="N8" s="62"/>
      <c r="O8" s="62"/>
      <c r="P8" s="63"/>
    </row>
    <row r="9" spans="1:16" ht="15.75" customHeight="1" x14ac:dyDescent="0.2">
      <c r="A9" s="16" t="s">
        <v>46</v>
      </c>
      <c r="B9" s="13">
        <v>1205</v>
      </c>
      <c r="C9" s="13">
        <v>1205</v>
      </c>
      <c r="D9" s="13">
        <v>205</v>
      </c>
      <c r="E9" s="13">
        <v>1405</v>
      </c>
      <c r="F9" s="13">
        <v>0</v>
      </c>
      <c r="G9" s="13">
        <v>500</v>
      </c>
      <c r="H9" s="13">
        <v>500</v>
      </c>
      <c r="I9" s="13">
        <v>300</v>
      </c>
      <c r="J9" s="13">
        <v>300</v>
      </c>
      <c r="K9" s="13">
        <v>500</v>
      </c>
      <c r="L9" s="13">
        <v>500</v>
      </c>
      <c r="M9" s="13">
        <v>500</v>
      </c>
      <c r="N9" s="13"/>
      <c r="O9" s="10">
        <f>SUM(B9:M9)</f>
        <v>7120</v>
      </c>
      <c r="P9" s="28">
        <f>O9/COLUMNS(B9:M9)</f>
        <v>593.33333333333337</v>
      </c>
    </row>
    <row r="10" spans="1:16" ht="15.75" customHeight="1" x14ac:dyDescent="0.2">
      <c r="A10" s="16" t="s">
        <v>47</v>
      </c>
      <c r="B10" s="13">
        <f>0.1*B4</f>
        <v>394.5</v>
      </c>
      <c r="C10" s="13">
        <f>0.1*C4</f>
        <v>390</v>
      </c>
      <c r="D10" s="13">
        <f t="shared" ref="D10:J10" si="1">0.1*D4</f>
        <v>390</v>
      </c>
      <c r="E10" s="13">
        <f t="shared" si="1"/>
        <v>385</v>
      </c>
      <c r="F10" s="13">
        <f t="shared" si="1"/>
        <v>385</v>
      </c>
      <c r="G10" s="13">
        <f t="shared" si="1"/>
        <v>385</v>
      </c>
      <c r="H10" s="13">
        <f t="shared" si="1"/>
        <v>384.70000000000005</v>
      </c>
      <c r="I10" s="13">
        <f t="shared" si="1"/>
        <v>384</v>
      </c>
      <c r="J10" s="13">
        <f t="shared" si="1"/>
        <v>385</v>
      </c>
      <c r="K10" s="13">
        <v>0</v>
      </c>
      <c r="L10" s="13">
        <v>0</v>
      </c>
      <c r="M10" s="13">
        <v>0</v>
      </c>
      <c r="N10" s="10"/>
      <c r="O10" s="10">
        <f t="shared" ref="O10:O28" si="2">SUM(B10:M10)</f>
        <v>3483.2</v>
      </c>
      <c r="P10" s="28">
        <f t="shared" ref="P10:P28" si="3">O10/COLUMNS(B10:M10)</f>
        <v>290.26666666666665</v>
      </c>
    </row>
    <row r="11" spans="1:16" ht="15.75" customHeight="1" x14ac:dyDescent="0.2">
      <c r="A11" s="16" t="s">
        <v>52</v>
      </c>
      <c r="B11" s="13">
        <v>300</v>
      </c>
      <c r="C11" s="13">
        <v>300</v>
      </c>
      <c r="D11" s="13">
        <v>300</v>
      </c>
      <c r="E11" s="13">
        <v>300</v>
      </c>
      <c r="F11" s="13">
        <v>300</v>
      </c>
      <c r="G11" s="13">
        <v>300</v>
      </c>
      <c r="H11" s="13">
        <v>300</v>
      </c>
      <c r="I11" s="13">
        <v>300</v>
      </c>
      <c r="J11" s="13">
        <v>300</v>
      </c>
      <c r="K11" s="13">
        <v>300</v>
      </c>
      <c r="L11" s="13">
        <v>330</v>
      </c>
      <c r="M11" s="13">
        <v>330</v>
      </c>
      <c r="N11" s="10"/>
      <c r="O11" s="10">
        <f t="shared" si="2"/>
        <v>3660</v>
      </c>
      <c r="P11" s="28">
        <f t="shared" si="3"/>
        <v>305</v>
      </c>
    </row>
    <row r="12" spans="1:16" ht="15.75" customHeight="1" x14ac:dyDescent="0.2">
      <c r="A12" s="16" t="s">
        <v>44</v>
      </c>
      <c r="B12" s="13">
        <v>200</v>
      </c>
      <c r="C12" s="13">
        <v>200</v>
      </c>
      <c r="D12" s="13">
        <v>200</v>
      </c>
      <c r="E12" s="13">
        <v>350</v>
      </c>
      <c r="F12" s="13">
        <v>500</v>
      </c>
      <c r="G12" s="13">
        <f t="shared" ref="G12:J12" si="4">1200-500</f>
        <v>700</v>
      </c>
      <c r="H12" s="13">
        <f>1200-500</f>
        <v>700</v>
      </c>
      <c r="I12" s="13">
        <v>0</v>
      </c>
      <c r="J12" s="13">
        <f t="shared" si="4"/>
        <v>700</v>
      </c>
      <c r="K12" s="13">
        <v>250</v>
      </c>
      <c r="L12" s="13">
        <v>250</v>
      </c>
      <c r="M12" s="13">
        <v>250</v>
      </c>
      <c r="N12" s="10"/>
      <c r="O12" s="10">
        <f t="shared" si="2"/>
        <v>4300</v>
      </c>
      <c r="P12" s="28">
        <f t="shared" si="3"/>
        <v>358.33333333333331</v>
      </c>
    </row>
    <row r="13" spans="1:16" ht="15.75" customHeight="1" x14ac:dyDescent="0.2">
      <c r="A13" s="72" t="s">
        <v>161</v>
      </c>
      <c r="B13" s="13">
        <v>20</v>
      </c>
      <c r="C13" s="13">
        <v>20</v>
      </c>
      <c r="D13" s="13">
        <v>320</v>
      </c>
      <c r="E13" s="13">
        <v>500</v>
      </c>
      <c r="F13" s="13">
        <v>320</v>
      </c>
      <c r="G13" s="13">
        <v>320</v>
      </c>
      <c r="H13" s="13">
        <v>20</v>
      </c>
      <c r="I13" s="13">
        <v>20</v>
      </c>
      <c r="J13" s="13">
        <v>20</v>
      </c>
      <c r="K13" s="13">
        <v>20</v>
      </c>
      <c r="L13" s="13">
        <v>20</v>
      </c>
      <c r="M13" s="13">
        <v>0</v>
      </c>
      <c r="N13" s="10"/>
      <c r="O13" s="10">
        <f t="shared" si="2"/>
        <v>1600</v>
      </c>
      <c r="P13" s="28">
        <f t="shared" si="3"/>
        <v>133.33333333333334</v>
      </c>
    </row>
    <row r="14" spans="1:16" ht="15.75" customHeight="1" x14ac:dyDescent="0.2">
      <c r="A14" s="72" t="s">
        <v>41</v>
      </c>
      <c r="B14" s="13">
        <v>150</v>
      </c>
      <c r="C14" s="13">
        <v>150</v>
      </c>
      <c r="D14" s="13">
        <v>150</v>
      </c>
      <c r="E14" s="13">
        <v>300</v>
      </c>
      <c r="F14" s="13">
        <v>250</v>
      </c>
      <c r="G14" s="13">
        <v>150</v>
      </c>
      <c r="H14" s="13">
        <v>400</v>
      </c>
      <c r="I14" s="13">
        <v>450</v>
      </c>
      <c r="J14" s="13">
        <v>450</v>
      </c>
      <c r="K14" s="13">
        <v>700</v>
      </c>
      <c r="L14" s="13">
        <v>700</v>
      </c>
      <c r="M14" s="13">
        <v>600</v>
      </c>
      <c r="N14" s="10"/>
      <c r="O14" s="10">
        <f t="shared" si="2"/>
        <v>4450</v>
      </c>
      <c r="P14" s="28">
        <f t="shared" si="3"/>
        <v>370.83333333333331</v>
      </c>
    </row>
    <row r="15" spans="1:16" ht="15.75" customHeight="1" x14ac:dyDescent="0.2">
      <c r="A15" s="72" t="s">
        <v>61</v>
      </c>
      <c r="B15" s="13">
        <v>350</v>
      </c>
      <c r="C15" s="13">
        <v>350</v>
      </c>
      <c r="D15" s="13">
        <v>0</v>
      </c>
      <c r="E15" s="13">
        <v>0</v>
      </c>
      <c r="F15" s="13">
        <v>0</v>
      </c>
      <c r="G15" s="13">
        <v>0</v>
      </c>
      <c r="H15" s="13">
        <v>0</v>
      </c>
      <c r="I15" s="13">
        <v>0</v>
      </c>
      <c r="J15" s="13">
        <v>0</v>
      </c>
      <c r="K15" s="13">
        <v>0</v>
      </c>
      <c r="L15" s="13">
        <v>0</v>
      </c>
      <c r="M15" s="13">
        <v>0</v>
      </c>
      <c r="N15" s="10"/>
      <c r="O15" s="10">
        <f t="shared" si="2"/>
        <v>700</v>
      </c>
      <c r="P15" s="28">
        <f t="shared" si="3"/>
        <v>58.333333333333336</v>
      </c>
    </row>
    <row r="16" spans="1:16" ht="15.75" customHeight="1" x14ac:dyDescent="0.2">
      <c r="A16" s="16" t="s">
        <v>45</v>
      </c>
      <c r="B16" s="13">
        <v>200</v>
      </c>
      <c r="C16" s="13">
        <v>200</v>
      </c>
      <c r="D16" s="13">
        <v>200</v>
      </c>
      <c r="E16" s="13">
        <v>200</v>
      </c>
      <c r="F16" s="13">
        <v>200</v>
      </c>
      <c r="G16" s="13">
        <v>200</v>
      </c>
      <c r="H16" s="13">
        <v>200</v>
      </c>
      <c r="I16" s="13">
        <v>200</v>
      </c>
      <c r="J16" s="13">
        <v>200</v>
      </c>
      <c r="K16" s="13">
        <v>200</v>
      </c>
      <c r="L16" s="13">
        <v>200</v>
      </c>
      <c r="M16" s="13">
        <v>0</v>
      </c>
      <c r="N16" s="10"/>
      <c r="O16" s="10">
        <f t="shared" si="2"/>
        <v>2200</v>
      </c>
      <c r="P16" s="28">
        <f t="shared" si="3"/>
        <v>183.33333333333334</v>
      </c>
    </row>
    <row r="17" spans="1:16" ht="15.75" customHeight="1" x14ac:dyDescent="0.2">
      <c r="A17" s="72" t="s">
        <v>128</v>
      </c>
      <c r="B17" s="13">
        <v>100</v>
      </c>
      <c r="C17" s="13">
        <v>100</v>
      </c>
      <c r="D17" s="13">
        <v>100</v>
      </c>
      <c r="E17" s="13">
        <v>0</v>
      </c>
      <c r="F17" s="13">
        <v>100</v>
      </c>
      <c r="G17" s="13">
        <v>100</v>
      </c>
      <c r="H17" s="13">
        <v>100</v>
      </c>
      <c r="I17" s="13">
        <v>100</v>
      </c>
      <c r="J17" s="13">
        <v>100</v>
      </c>
      <c r="K17" s="13">
        <v>0</v>
      </c>
      <c r="L17" s="13">
        <v>0</v>
      </c>
      <c r="M17" s="13">
        <v>100</v>
      </c>
      <c r="N17" s="10"/>
      <c r="O17" s="10">
        <f t="shared" si="2"/>
        <v>900</v>
      </c>
      <c r="P17" s="28">
        <f t="shared" si="3"/>
        <v>75</v>
      </c>
    </row>
    <row r="18" spans="1:16" ht="15.75" customHeight="1" x14ac:dyDescent="0.2">
      <c r="A18" s="16" t="s">
        <v>42</v>
      </c>
      <c r="B18" s="13"/>
      <c r="C18" s="13"/>
      <c r="D18" s="13"/>
      <c r="E18" s="13"/>
      <c r="F18" s="13"/>
      <c r="G18" s="13"/>
      <c r="H18" s="13"/>
      <c r="I18" s="13"/>
      <c r="J18" s="13"/>
      <c r="K18" s="13"/>
      <c r="L18" s="13"/>
      <c r="M18" s="13"/>
      <c r="N18" s="10"/>
      <c r="O18" s="10">
        <f t="shared" si="2"/>
        <v>0</v>
      </c>
      <c r="P18" s="28">
        <f t="shared" si="3"/>
        <v>0</v>
      </c>
    </row>
    <row r="19" spans="1:16" ht="15.75" customHeight="1" x14ac:dyDescent="0.2">
      <c r="A19" s="16" t="s">
        <v>43</v>
      </c>
      <c r="B19" s="13">
        <v>500</v>
      </c>
      <c r="C19" s="13">
        <v>300</v>
      </c>
      <c r="D19" s="13">
        <v>250</v>
      </c>
      <c r="E19" s="13">
        <v>250</v>
      </c>
      <c r="F19" s="13">
        <v>400</v>
      </c>
      <c r="G19" s="13">
        <v>300</v>
      </c>
      <c r="H19" s="13">
        <v>200</v>
      </c>
      <c r="I19" s="13">
        <v>200</v>
      </c>
      <c r="J19" s="13">
        <v>200</v>
      </c>
      <c r="K19" s="13">
        <v>300</v>
      </c>
      <c r="L19" s="13">
        <v>200</v>
      </c>
      <c r="M19" s="13">
        <v>400</v>
      </c>
      <c r="N19" s="10"/>
      <c r="O19" s="10">
        <f t="shared" si="2"/>
        <v>3500</v>
      </c>
      <c r="P19" s="28">
        <f t="shared" si="3"/>
        <v>291.66666666666669</v>
      </c>
    </row>
    <row r="20" spans="1:16" ht="15.75" customHeight="1" x14ac:dyDescent="0.2">
      <c r="A20" s="72" t="s">
        <v>53</v>
      </c>
      <c r="B20" s="13">
        <v>300</v>
      </c>
      <c r="C20" s="13">
        <v>300</v>
      </c>
      <c r="D20" s="13">
        <v>300</v>
      </c>
      <c r="E20" s="13">
        <v>400</v>
      </c>
      <c r="F20" s="13">
        <v>300</v>
      </c>
      <c r="G20" s="13">
        <v>300</v>
      </c>
      <c r="H20" s="13">
        <v>500</v>
      </c>
      <c r="I20" s="13">
        <v>800</v>
      </c>
      <c r="J20" s="13">
        <v>700</v>
      </c>
      <c r="K20" s="13">
        <v>750</v>
      </c>
      <c r="L20" s="13">
        <v>820</v>
      </c>
      <c r="M20" s="13">
        <v>950</v>
      </c>
      <c r="N20" s="10"/>
      <c r="O20" s="10">
        <f t="shared" si="2"/>
        <v>6420</v>
      </c>
      <c r="P20" s="28">
        <f t="shared" si="3"/>
        <v>535</v>
      </c>
    </row>
    <row r="21" spans="1:16" ht="15.75" customHeight="1" x14ac:dyDescent="0.2">
      <c r="A21" s="16" t="s">
        <v>39</v>
      </c>
      <c r="B21" s="13">
        <v>200</v>
      </c>
      <c r="C21" s="13">
        <v>200</v>
      </c>
      <c r="D21" s="13">
        <v>400</v>
      </c>
      <c r="E21" s="13">
        <v>450</v>
      </c>
      <c r="F21" s="13">
        <v>400</v>
      </c>
      <c r="G21" s="13">
        <v>400</v>
      </c>
      <c r="H21" s="13">
        <v>400</v>
      </c>
      <c r="I21" s="13">
        <v>400</v>
      </c>
      <c r="J21" s="13">
        <v>400</v>
      </c>
      <c r="K21" s="13">
        <v>400</v>
      </c>
      <c r="L21" s="13">
        <v>400</v>
      </c>
      <c r="M21" s="13">
        <v>400</v>
      </c>
      <c r="N21" s="10"/>
      <c r="O21" s="10">
        <f t="shared" si="2"/>
        <v>4450</v>
      </c>
      <c r="P21" s="28">
        <f t="shared" si="3"/>
        <v>370.83333333333331</v>
      </c>
    </row>
    <row r="22" spans="1:16" ht="15.75" customHeight="1" x14ac:dyDescent="0.2">
      <c r="A22" s="72" t="s">
        <v>127</v>
      </c>
      <c r="B22" s="13">
        <v>0</v>
      </c>
      <c r="C22" s="13">
        <v>0</v>
      </c>
      <c r="D22" s="13"/>
      <c r="E22" s="13"/>
      <c r="F22" s="13">
        <v>200</v>
      </c>
      <c r="G22" s="13">
        <v>0</v>
      </c>
      <c r="H22" s="13">
        <v>105</v>
      </c>
      <c r="I22" s="13">
        <v>750</v>
      </c>
      <c r="J22" s="13">
        <v>150</v>
      </c>
      <c r="K22" s="13">
        <v>300</v>
      </c>
      <c r="L22" s="13">
        <v>200</v>
      </c>
      <c r="M22" s="13"/>
      <c r="N22" s="10"/>
      <c r="O22" s="10">
        <f t="shared" si="2"/>
        <v>1705</v>
      </c>
      <c r="P22" s="28">
        <f t="shared" si="3"/>
        <v>142.08333333333334</v>
      </c>
    </row>
    <row r="23" spans="1:16" ht="15.75" customHeight="1" x14ac:dyDescent="0.2">
      <c r="A23" s="16" t="s">
        <v>48</v>
      </c>
      <c r="B23" s="13">
        <f>61-45</f>
        <v>16</v>
      </c>
      <c r="C23" s="13">
        <f>61-45</f>
        <v>16</v>
      </c>
      <c r="D23" s="13">
        <v>15</v>
      </c>
      <c r="E23" s="13">
        <v>15</v>
      </c>
      <c r="F23" s="13">
        <v>15</v>
      </c>
      <c r="G23" s="13">
        <v>15</v>
      </c>
      <c r="H23" s="13">
        <v>15</v>
      </c>
      <c r="I23" s="13">
        <v>15</v>
      </c>
      <c r="J23" s="13">
        <v>15</v>
      </c>
      <c r="K23" s="13">
        <v>13</v>
      </c>
      <c r="L23" s="13">
        <v>13</v>
      </c>
      <c r="M23" s="13">
        <v>15</v>
      </c>
      <c r="N23" s="10"/>
      <c r="O23" s="10">
        <f t="shared" si="2"/>
        <v>178</v>
      </c>
      <c r="P23" s="28">
        <f t="shared" si="3"/>
        <v>14.833333333333334</v>
      </c>
    </row>
    <row r="24" spans="1:16" ht="16.5" customHeight="1" x14ac:dyDescent="0.2">
      <c r="A24" s="16" t="s">
        <v>49</v>
      </c>
      <c r="B24" s="13">
        <v>12</v>
      </c>
      <c r="C24" s="13">
        <v>12</v>
      </c>
      <c r="D24" s="13">
        <v>9</v>
      </c>
      <c r="E24" s="13">
        <v>9</v>
      </c>
      <c r="F24" s="13">
        <v>9</v>
      </c>
      <c r="G24" s="13">
        <v>9</v>
      </c>
      <c r="H24" s="13">
        <v>9</v>
      </c>
      <c r="I24" s="13">
        <v>9</v>
      </c>
      <c r="J24" s="13">
        <v>9</v>
      </c>
      <c r="K24" s="13">
        <v>9</v>
      </c>
      <c r="L24" s="13">
        <v>9</v>
      </c>
      <c r="M24" s="13">
        <v>9</v>
      </c>
      <c r="N24" s="10"/>
      <c r="O24" s="10">
        <f t="shared" si="2"/>
        <v>114</v>
      </c>
      <c r="P24" s="28">
        <f t="shared" si="3"/>
        <v>9.5</v>
      </c>
    </row>
    <row r="25" spans="1:16" ht="16.5" customHeight="1" x14ac:dyDescent="0.2">
      <c r="A25" s="72" t="s">
        <v>126</v>
      </c>
      <c r="B25" s="13">
        <v>0</v>
      </c>
      <c r="C25" s="13">
        <v>0</v>
      </c>
      <c r="D25" s="13">
        <v>60</v>
      </c>
      <c r="E25" s="13">
        <v>60</v>
      </c>
      <c r="F25" s="13">
        <v>120</v>
      </c>
      <c r="G25" s="13">
        <v>60</v>
      </c>
      <c r="H25" s="13">
        <v>0</v>
      </c>
      <c r="I25" s="13">
        <v>100</v>
      </c>
      <c r="J25" s="13">
        <v>100</v>
      </c>
      <c r="K25" s="13">
        <v>100</v>
      </c>
      <c r="L25" s="13">
        <v>100</v>
      </c>
      <c r="M25" s="13">
        <v>100</v>
      </c>
      <c r="N25" s="10"/>
      <c r="O25" s="10">
        <f t="shared" si="2"/>
        <v>800</v>
      </c>
      <c r="P25" s="28">
        <f t="shared" si="3"/>
        <v>66.666666666666671</v>
      </c>
    </row>
    <row r="26" spans="1:16" ht="16.5" customHeight="1" x14ac:dyDescent="0.2">
      <c r="A26" s="16" t="s">
        <v>50</v>
      </c>
      <c r="B26" s="13">
        <v>0</v>
      </c>
      <c r="C26" s="13">
        <v>0</v>
      </c>
      <c r="D26" s="13"/>
      <c r="E26" s="13"/>
      <c r="F26" s="13"/>
      <c r="G26" s="13"/>
      <c r="H26" s="13"/>
      <c r="I26" s="13"/>
      <c r="J26" s="13"/>
      <c r="K26" s="13"/>
      <c r="L26" s="13"/>
      <c r="M26" s="13"/>
      <c r="N26" s="10"/>
      <c r="O26" s="10">
        <f t="shared" si="2"/>
        <v>0</v>
      </c>
      <c r="P26" s="28">
        <f t="shared" si="3"/>
        <v>0</v>
      </c>
    </row>
    <row r="27" spans="1:16" ht="16.5" customHeight="1" x14ac:dyDescent="0.2">
      <c r="A27" s="72" t="s">
        <v>73</v>
      </c>
      <c r="B27" s="13">
        <v>0</v>
      </c>
      <c r="C27" s="13">
        <v>0</v>
      </c>
      <c r="D27" s="13">
        <v>100</v>
      </c>
      <c r="E27" s="13">
        <v>0</v>
      </c>
      <c r="F27" s="13">
        <v>0</v>
      </c>
      <c r="G27" s="13">
        <v>0</v>
      </c>
      <c r="H27" s="13">
        <v>0</v>
      </c>
      <c r="I27" s="13">
        <v>0</v>
      </c>
      <c r="J27" s="13">
        <v>0</v>
      </c>
      <c r="K27" s="13">
        <v>0</v>
      </c>
      <c r="L27" s="13">
        <v>0</v>
      </c>
      <c r="M27" s="13">
        <v>100</v>
      </c>
      <c r="N27" s="10"/>
      <c r="O27" s="10">
        <f t="shared" si="2"/>
        <v>200</v>
      </c>
      <c r="P27" s="28">
        <f t="shared" si="3"/>
        <v>16.666666666666668</v>
      </c>
    </row>
    <row r="28" spans="1:16" ht="16.5" customHeight="1" x14ac:dyDescent="0.2">
      <c r="A28" s="16" t="s">
        <v>51</v>
      </c>
      <c r="B28" s="13">
        <v>10</v>
      </c>
      <c r="C28" s="13">
        <v>10</v>
      </c>
      <c r="D28" s="13">
        <v>10</v>
      </c>
      <c r="E28" s="13">
        <v>10</v>
      </c>
      <c r="F28" s="13">
        <v>10</v>
      </c>
      <c r="G28" s="13">
        <v>10</v>
      </c>
      <c r="H28" s="13">
        <v>10</v>
      </c>
      <c r="I28" s="13">
        <v>10</v>
      </c>
      <c r="J28" s="13">
        <v>10</v>
      </c>
      <c r="K28" s="13">
        <v>10</v>
      </c>
      <c r="L28" s="13">
        <v>10</v>
      </c>
      <c r="M28" s="13">
        <v>10</v>
      </c>
      <c r="N28" s="10"/>
      <c r="O28" s="10">
        <f t="shared" si="2"/>
        <v>120</v>
      </c>
      <c r="P28" s="28">
        <f t="shared" si="3"/>
        <v>10</v>
      </c>
    </row>
    <row r="29" spans="1:16" ht="16" thickBot="1" x14ac:dyDescent="0.25">
      <c r="A29" s="14" t="s">
        <v>30</v>
      </c>
      <c r="B29" s="27">
        <f>SUM(B9:B24)</f>
        <v>3947.5</v>
      </c>
      <c r="C29" s="27">
        <f>SUM(C9:C28)</f>
        <v>3753</v>
      </c>
      <c r="D29" s="27">
        <f>SUM(D9:D28)</f>
        <v>3009</v>
      </c>
      <c r="E29" s="27">
        <f>SUM(E9:E28)</f>
        <v>4634</v>
      </c>
      <c r="F29" s="27">
        <f t="shared" ref="F29:N29" si="5">SUM(F9:F28)</f>
        <v>3509</v>
      </c>
      <c r="G29" s="27">
        <f t="shared" si="5"/>
        <v>3749</v>
      </c>
      <c r="H29" s="27">
        <f t="shared" si="5"/>
        <v>3843.7</v>
      </c>
      <c r="I29" s="27">
        <f t="shared" si="5"/>
        <v>4038</v>
      </c>
      <c r="J29" s="27">
        <f t="shared" si="5"/>
        <v>4039</v>
      </c>
      <c r="K29" s="27">
        <f t="shared" si="5"/>
        <v>3852</v>
      </c>
      <c r="L29" s="27">
        <f t="shared" si="5"/>
        <v>3752</v>
      </c>
      <c r="M29" s="27">
        <f t="shared" si="5"/>
        <v>3764</v>
      </c>
      <c r="N29" s="27">
        <f t="shared" si="5"/>
        <v>0</v>
      </c>
      <c r="O29" s="27">
        <f>SUM(O9:O28)</f>
        <v>45900.2</v>
      </c>
      <c r="P29" s="29">
        <f t="shared" ref="P29" si="6">O29/COLUMNS(B29:M29)</f>
        <v>3825.0166666666664</v>
      </c>
    </row>
    <row r="30" spans="1:16" ht="16.5" customHeight="1" thickTop="1" x14ac:dyDescent="0.2">
      <c r="J30" s="11"/>
      <c r="K30" s="11"/>
      <c r="L30" s="11"/>
      <c r="M30" s="11"/>
      <c r="N30" s="11"/>
      <c r="O30" s="11"/>
      <c r="P30" s="28"/>
    </row>
    <row r="31" spans="1:16" ht="15.75" customHeight="1" x14ac:dyDescent="0.2">
      <c r="A31" s="14" t="s">
        <v>31</v>
      </c>
      <c r="B31" s="15">
        <f t="shared" ref="B31:M31" si="7">SUM(B6-B29)</f>
        <v>252.5</v>
      </c>
      <c r="C31" s="15">
        <f>SUM(C6-C29)</f>
        <v>377</v>
      </c>
      <c r="D31" s="15">
        <f t="shared" si="7"/>
        <v>891</v>
      </c>
      <c r="E31" s="15">
        <f t="shared" si="7"/>
        <v>16</v>
      </c>
      <c r="F31" s="15">
        <f t="shared" si="7"/>
        <v>341</v>
      </c>
      <c r="G31" s="15">
        <f t="shared" si="7"/>
        <v>101</v>
      </c>
      <c r="H31" s="15">
        <f t="shared" si="7"/>
        <v>3.3000000000001819</v>
      </c>
      <c r="I31" s="15">
        <f t="shared" si="7"/>
        <v>2</v>
      </c>
      <c r="J31" s="12">
        <f t="shared" si="7"/>
        <v>-189</v>
      </c>
      <c r="K31" s="12">
        <f t="shared" si="7"/>
        <v>-23</v>
      </c>
      <c r="L31" s="12">
        <f t="shared" si="7"/>
        <v>98</v>
      </c>
      <c r="M31" s="12">
        <f t="shared" si="7"/>
        <v>86</v>
      </c>
      <c r="N31" s="12"/>
      <c r="O31" s="12">
        <f>SUM(O6-O29)</f>
        <v>1945.8000000000029</v>
      </c>
      <c r="P31" s="30">
        <f>O31/COLUMNS(B31:M31)</f>
        <v>162.15000000000023</v>
      </c>
    </row>
  </sheetData>
  <mergeCells count="2">
    <mergeCell ref="A1:O1"/>
    <mergeCell ref="P1:P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95B0-AF3E-2C42-A463-3C3FD636133F}">
  <sheetPr>
    <tabColor theme="5"/>
    <pageSetUpPr fitToPage="1"/>
  </sheetPr>
  <dimension ref="B1:GU54"/>
  <sheetViews>
    <sheetView showGridLines="0" topLeftCell="DY4" zoomScale="110" zoomScaleNormal="110" workbookViewId="0">
      <selection activeCell="DL7" sqref="DL7"/>
    </sheetView>
  </sheetViews>
  <sheetFormatPr baseColWidth="10" defaultColWidth="9.1640625" defaultRowHeight="30" customHeight="1" x14ac:dyDescent="0.2"/>
  <cols>
    <col min="1" max="1" width="2.6640625" style="73" customWidth="1"/>
    <col min="2" max="2" width="11.5" style="73" customWidth="1"/>
    <col min="3" max="3" width="22.6640625" style="100" customWidth="1"/>
    <col min="4" max="4" width="18.6640625" style="73" customWidth="1"/>
    <col min="5" max="5" width="17.33203125" style="73" customWidth="1"/>
    <col min="6" max="6" width="15.33203125" style="73" customWidth="1"/>
    <col min="7" max="7" width="14.83203125" style="73" customWidth="1"/>
    <col min="8" max="8" width="16.5" style="86" customWidth="1"/>
    <col min="9" max="9" width="21.5" style="73" customWidth="1"/>
    <col min="10" max="10" width="25.6640625" style="73" customWidth="1"/>
    <col min="11" max="11" width="2.6640625" style="73" customWidth="1"/>
    <col min="12" max="12" width="9.1640625" style="73"/>
    <col min="13" max="13" width="11.5" style="73" customWidth="1"/>
    <col min="14" max="14" width="22.6640625" style="100" customWidth="1"/>
    <col min="15" max="15" width="18.6640625" style="73" customWidth="1"/>
    <col min="16" max="16" width="17.33203125" style="73" customWidth="1"/>
    <col min="17" max="17" width="15.33203125" style="73" customWidth="1"/>
    <col min="18" max="18" width="12" style="73" bestFit="1" customWidth="1"/>
    <col min="19" max="19" width="16.5" style="86" customWidth="1"/>
    <col min="20" max="20" width="21.5" style="73" customWidth="1"/>
    <col min="21" max="21" width="25.6640625" style="73" customWidth="1"/>
    <col min="22" max="24" width="9.1640625" style="73"/>
    <col min="25" max="25" width="11.5" style="73" customWidth="1"/>
    <col min="26" max="26" width="22.6640625" style="73" customWidth="1"/>
    <col min="27" max="27" width="18.6640625" style="73" customWidth="1"/>
    <col min="28" max="28" width="17.33203125" style="73" customWidth="1"/>
    <col min="29" max="29" width="15.33203125" style="73" customWidth="1"/>
    <col min="30" max="30" width="12" style="73" bestFit="1" customWidth="1"/>
    <col min="31" max="31" width="16.5" style="73" customWidth="1"/>
    <col min="32" max="32" width="21.5" style="73" customWidth="1"/>
    <col min="33" max="33" width="25.6640625" style="73" customWidth="1"/>
    <col min="34" max="38" width="9.1640625" style="73"/>
    <col min="39" max="39" width="11.5" style="73" bestFit="1" customWidth="1"/>
    <col min="40" max="40" width="19.5" style="73" bestFit="1" customWidth="1"/>
    <col min="41" max="41" width="22.1640625" style="73" customWidth="1"/>
    <col min="42" max="42" width="24.33203125" style="73" customWidth="1"/>
    <col min="43" max="43" width="13.5" style="73" bestFit="1" customWidth="1"/>
    <col min="44" max="44" width="10.83203125" style="73" bestFit="1" customWidth="1"/>
    <col min="45" max="45" width="14.6640625" style="73" bestFit="1" customWidth="1"/>
    <col min="46" max="46" width="13.5" style="73" bestFit="1" customWidth="1"/>
    <col min="47" max="47" width="10.33203125" style="73" bestFit="1" customWidth="1"/>
    <col min="48" max="50" width="9.1640625" style="73"/>
    <col min="51" max="51" width="11.5" style="73" bestFit="1" customWidth="1"/>
    <col min="52" max="52" width="19.5" style="73" bestFit="1" customWidth="1"/>
    <col min="53" max="53" width="22.1640625" style="73" customWidth="1"/>
    <col min="54" max="54" width="24.33203125" style="73" customWidth="1"/>
    <col min="55" max="55" width="13.5" style="73" bestFit="1" customWidth="1"/>
    <col min="56" max="56" width="10.83203125" style="73" bestFit="1" customWidth="1"/>
    <col min="57" max="57" width="14.6640625" style="73" bestFit="1" customWidth="1"/>
    <col min="58" max="58" width="13.5" style="73" bestFit="1" customWidth="1"/>
    <col min="59" max="59" width="10.33203125" style="73" bestFit="1" customWidth="1"/>
    <col min="60" max="61" width="9.1640625" style="73"/>
    <col min="62" max="62" width="11.5" style="73" bestFit="1" customWidth="1"/>
    <col min="63" max="63" width="19.5" style="73" bestFit="1" customWidth="1"/>
    <col min="64" max="64" width="22.1640625" style="73" customWidth="1"/>
    <col min="65" max="65" width="24.33203125" style="73" customWidth="1"/>
    <col min="66" max="66" width="13.5" style="73" bestFit="1" customWidth="1"/>
    <col min="67" max="67" width="10.83203125" style="73" bestFit="1" customWidth="1"/>
    <col min="68" max="68" width="14.6640625" style="73" bestFit="1" customWidth="1"/>
    <col min="69" max="69" width="13.5" style="73" bestFit="1" customWidth="1"/>
    <col min="70" max="71" width="10.33203125" style="73" bestFit="1" customWidth="1"/>
    <col min="72" max="73" width="9.1640625" style="73"/>
    <col min="74" max="74" width="11.5" style="73" bestFit="1" customWidth="1"/>
    <col min="75" max="75" width="19.5" style="73" bestFit="1" customWidth="1"/>
    <col min="76" max="76" width="22.1640625" style="73" customWidth="1"/>
    <col min="77" max="77" width="24.33203125" style="73" customWidth="1"/>
    <col min="78" max="78" width="13.5" style="73" bestFit="1" customWidth="1"/>
    <col min="79" max="79" width="12.1640625" style="73" bestFit="1" customWidth="1"/>
    <col min="80" max="80" width="14.6640625" style="73" bestFit="1" customWidth="1"/>
    <col min="81" max="81" width="18" style="73" customWidth="1"/>
    <col min="82" max="83" width="10.33203125" style="73" bestFit="1" customWidth="1"/>
    <col min="84" max="85" width="9.1640625" style="73"/>
    <col min="86" max="86" width="11.5" style="73" bestFit="1" customWidth="1"/>
    <col min="87" max="87" width="19.5" style="73" bestFit="1" customWidth="1"/>
    <col min="88" max="88" width="22.1640625" style="73" customWidth="1"/>
    <col min="89" max="89" width="24.33203125" style="73" customWidth="1"/>
    <col min="90" max="90" width="13.5" style="73" bestFit="1" customWidth="1"/>
    <col min="91" max="91" width="13.6640625" style="73" bestFit="1" customWidth="1"/>
    <col min="92" max="92" width="14.6640625" style="73" bestFit="1" customWidth="1"/>
    <col min="93" max="93" width="18" style="73" customWidth="1"/>
    <col min="94" max="95" width="10.33203125" style="73" bestFit="1" customWidth="1"/>
    <col min="96" max="97" width="9.1640625" style="73"/>
    <col min="98" max="98" width="11.5" style="73" bestFit="1" customWidth="1"/>
    <col min="99" max="99" width="19.5" style="73" bestFit="1" customWidth="1"/>
    <col min="100" max="100" width="22.1640625" style="73" customWidth="1"/>
    <col min="101" max="101" width="24.33203125" style="73" customWidth="1"/>
    <col min="102" max="102" width="13.5" style="73" bestFit="1" customWidth="1"/>
    <col min="103" max="103" width="13.6640625" style="73" bestFit="1" customWidth="1"/>
    <col min="104" max="104" width="14.6640625" style="73" bestFit="1" customWidth="1"/>
    <col min="105" max="105" width="18" style="73" customWidth="1"/>
    <col min="106" max="107" width="10.33203125" style="73" bestFit="1" customWidth="1"/>
    <col min="108" max="109" width="9.1640625" style="73"/>
    <col min="110" max="110" width="11.5" style="73" bestFit="1" customWidth="1"/>
    <col min="111" max="111" width="19.5" style="73" bestFit="1" customWidth="1"/>
    <col min="112" max="112" width="22.1640625" style="73" customWidth="1"/>
    <col min="113" max="113" width="24.33203125" style="73" customWidth="1"/>
    <col min="114" max="114" width="13.5" style="73" bestFit="1" customWidth="1"/>
    <col min="115" max="115" width="13.6640625" style="73" bestFit="1" customWidth="1"/>
    <col min="116" max="116" width="14.6640625" style="73" bestFit="1" customWidth="1"/>
    <col min="117" max="117" width="18" style="73" customWidth="1"/>
    <col min="118" max="119" width="10.33203125" style="73" bestFit="1" customWidth="1"/>
    <col min="120" max="121" width="9.1640625" style="73"/>
    <col min="122" max="122" width="11.5" style="73" bestFit="1" customWidth="1"/>
    <col min="123" max="123" width="19.5" style="73" bestFit="1" customWidth="1"/>
    <col min="124" max="124" width="22.1640625" style="73" customWidth="1"/>
    <col min="125" max="125" width="24.33203125" style="73" customWidth="1"/>
    <col min="126" max="126" width="13.5" style="73" bestFit="1" customWidth="1"/>
    <col min="127" max="127" width="13.6640625" style="73" bestFit="1" customWidth="1"/>
    <col min="128" max="128" width="14.6640625" style="73" bestFit="1" customWidth="1"/>
    <col min="129" max="129" width="18" style="73" customWidth="1"/>
    <col min="130" max="131" width="10.33203125" style="73" bestFit="1" customWidth="1"/>
    <col min="132" max="133" width="9.1640625" style="73"/>
    <col min="134" max="134" width="11.5" style="73" bestFit="1" customWidth="1"/>
    <col min="135" max="135" width="19.5" style="73" bestFit="1" customWidth="1"/>
    <col min="136" max="136" width="22.1640625" style="73" customWidth="1"/>
    <col min="137" max="137" width="24.33203125" style="73" customWidth="1"/>
    <col min="138" max="138" width="13.5" style="73" bestFit="1" customWidth="1"/>
    <col min="139" max="139" width="13.6640625" style="73" bestFit="1" customWidth="1"/>
    <col min="140" max="140" width="14.6640625" style="73" bestFit="1" customWidth="1"/>
    <col min="141" max="141" width="18" style="73" customWidth="1"/>
    <col min="142" max="143" width="10.33203125" style="73" bestFit="1" customWidth="1"/>
    <col min="144" max="145" width="9.1640625" style="73"/>
    <col min="146" max="146" width="11.5" style="73" bestFit="1" customWidth="1"/>
    <col min="147" max="147" width="19.5" style="73" bestFit="1" customWidth="1"/>
    <col min="148" max="148" width="22.1640625" style="73" customWidth="1"/>
    <col min="149" max="149" width="24.33203125" style="73" customWidth="1"/>
    <col min="150" max="150" width="13.5" style="73" bestFit="1" customWidth="1"/>
    <col min="151" max="151" width="13.6640625" style="73" bestFit="1" customWidth="1"/>
    <col min="152" max="152" width="14.6640625" style="73" bestFit="1" customWidth="1"/>
    <col min="153" max="153" width="18" style="73" customWidth="1"/>
    <col min="154" max="155" width="10.33203125" style="73" bestFit="1" customWidth="1"/>
    <col min="156" max="157" width="9.1640625" style="73"/>
    <col min="158" max="158" width="11.5" style="73" bestFit="1" customWidth="1"/>
    <col min="159" max="159" width="19.5" style="73" bestFit="1" customWidth="1"/>
    <col min="160" max="160" width="22.1640625" style="73" customWidth="1"/>
    <col min="161" max="161" width="24.33203125" style="73" customWidth="1"/>
    <col min="162" max="162" width="13.5" style="73" bestFit="1" customWidth="1"/>
    <col min="163" max="163" width="13.6640625" style="73" bestFit="1" customWidth="1"/>
    <col min="164" max="164" width="14.6640625" style="73" bestFit="1" customWidth="1"/>
    <col min="165" max="165" width="18" style="73" customWidth="1"/>
    <col min="166" max="167" width="10.33203125" style="73" bestFit="1" customWidth="1"/>
    <col min="168" max="169" width="9.1640625" style="73"/>
    <col min="170" max="170" width="11.5" style="73" bestFit="1" customWidth="1"/>
    <col min="171" max="171" width="19.5" style="73" bestFit="1" customWidth="1"/>
    <col min="172" max="172" width="22.1640625" style="73" customWidth="1"/>
    <col min="173" max="173" width="24.33203125" style="73" customWidth="1"/>
    <col min="174" max="174" width="13.5" style="73" bestFit="1" customWidth="1"/>
    <col min="175" max="175" width="13.6640625" style="73" bestFit="1" customWidth="1"/>
    <col min="176" max="176" width="14.6640625" style="73" bestFit="1" customWidth="1"/>
    <col min="177" max="177" width="18" style="73" customWidth="1"/>
    <col min="178" max="179" width="10.33203125" style="73" bestFit="1" customWidth="1"/>
    <col min="180" max="181" width="9.1640625" style="73"/>
    <col min="182" max="182" width="11.5" style="73" bestFit="1" customWidth="1"/>
    <col min="183" max="183" width="19.5" style="73" bestFit="1" customWidth="1"/>
    <col min="184" max="184" width="22.1640625" style="73" customWidth="1"/>
    <col min="185" max="185" width="24.33203125" style="73" customWidth="1"/>
    <col min="186" max="186" width="13.5" style="73" bestFit="1" customWidth="1"/>
    <col min="187" max="187" width="13.6640625" style="73" bestFit="1" customWidth="1"/>
    <col min="188" max="188" width="14.6640625" style="73" bestFit="1" customWidth="1"/>
    <col min="189" max="189" width="18" style="73" customWidth="1"/>
    <col min="190" max="191" width="10.33203125" style="73" bestFit="1" customWidth="1"/>
    <col min="192" max="193" width="9.1640625" style="73"/>
    <col min="194" max="194" width="11.5" style="73" bestFit="1" customWidth="1"/>
    <col min="195" max="195" width="19.5" style="73" bestFit="1" customWidth="1"/>
    <col min="196" max="196" width="22.1640625" style="73" customWidth="1"/>
    <col min="197" max="197" width="24.33203125" style="73" customWidth="1"/>
    <col min="198" max="198" width="13.5" style="73" bestFit="1" customWidth="1"/>
    <col min="199" max="199" width="13.6640625" style="73" bestFit="1" customWidth="1"/>
    <col min="200" max="200" width="14.6640625" style="73" bestFit="1" customWidth="1"/>
    <col min="201" max="201" width="18" style="73" customWidth="1"/>
    <col min="202" max="203" width="10.33203125" style="73" bestFit="1" customWidth="1"/>
    <col min="204" max="16384" width="9.1640625" style="73"/>
  </cols>
  <sheetData>
    <row r="1" spans="2:203" ht="16" thickBot="1" x14ac:dyDescent="0.25">
      <c r="B1" s="131"/>
      <c r="C1" s="131"/>
      <c r="D1" s="131"/>
      <c r="E1" s="131"/>
      <c r="F1" s="131"/>
      <c r="G1" s="131"/>
      <c r="H1" s="131"/>
      <c r="I1" s="131"/>
      <c r="J1" s="131"/>
      <c r="M1" s="131"/>
      <c r="N1" s="131"/>
      <c r="O1" s="131"/>
      <c r="P1" s="131"/>
      <c r="Q1" s="131"/>
      <c r="R1" s="131"/>
      <c r="S1" s="131"/>
      <c r="T1" s="131"/>
      <c r="U1" s="131"/>
      <c r="Y1" s="131"/>
      <c r="Z1" s="131"/>
      <c r="AA1" s="131"/>
      <c r="AB1" s="131"/>
      <c r="AC1" s="131"/>
      <c r="AD1" s="131"/>
      <c r="AE1" s="131"/>
      <c r="AF1" s="131"/>
      <c r="AG1" s="131"/>
      <c r="AM1" s="131"/>
      <c r="AN1" s="131"/>
      <c r="AO1" s="131"/>
      <c r="AP1" s="131"/>
      <c r="AQ1" s="131"/>
      <c r="AR1" s="131"/>
      <c r="AS1" s="131"/>
      <c r="AT1" s="131"/>
      <c r="AU1" s="131"/>
      <c r="AY1" s="131"/>
      <c r="AZ1" s="131"/>
      <c r="BA1" s="131"/>
      <c r="BB1" s="131"/>
      <c r="BC1" s="131"/>
      <c r="BD1" s="131"/>
      <c r="BE1" s="131"/>
      <c r="BF1" s="131"/>
      <c r="BG1" s="131"/>
      <c r="BJ1" s="131"/>
      <c r="BK1" s="131"/>
      <c r="BL1" s="131"/>
      <c r="BM1" s="131"/>
      <c r="BN1" s="131"/>
      <c r="BO1" s="131"/>
      <c r="BP1" s="131"/>
      <c r="BQ1" s="131"/>
      <c r="BR1" s="131"/>
      <c r="BV1" s="131"/>
      <c r="BW1" s="131"/>
      <c r="BX1" s="131"/>
      <c r="BY1" s="131"/>
      <c r="BZ1" s="131"/>
      <c r="CA1" s="131"/>
      <c r="CB1" s="131"/>
      <c r="CC1" s="131"/>
      <c r="CD1" s="131"/>
      <c r="CH1" s="131"/>
      <c r="CI1" s="131"/>
      <c r="CJ1" s="131"/>
      <c r="CK1" s="131"/>
      <c r="CL1" s="131"/>
      <c r="CM1" s="131"/>
      <c r="CN1" s="131"/>
      <c r="CO1" s="131"/>
      <c r="CP1" s="131"/>
      <c r="CT1" s="131"/>
      <c r="CU1" s="131"/>
      <c r="CV1" s="131"/>
      <c r="CW1" s="131"/>
      <c r="CX1" s="131"/>
      <c r="CY1" s="131"/>
      <c r="CZ1" s="131"/>
      <c r="DA1" s="131"/>
      <c r="DB1" s="131"/>
      <c r="DF1" s="131"/>
      <c r="DG1" s="131"/>
      <c r="DH1" s="131"/>
      <c r="DI1" s="131"/>
      <c r="DJ1" s="131"/>
      <c r="DK1" s="131"/>
      <c r="DL1" s="131"/>
      <c r="DM1" s="131"/>
      <c r="DN1" s="131"/>
      <c r="DR1" s="131"/>
      <c r="DS1" s="131"/>
      <c r="DT1" s="131"/>
      <c r="DU1" s="131"/>
      <c r="DV1" s="131"/>
      <c r="DW1" s="131"/>
      <c r="DX1" s="131"/>
      <c r="DY1" s="131"/>
      <c r="DZ1" s="131"/>
      <c r="ED1" s="131"/>
      <c r="EE1" s="131"/>
      <c r="EF1" s="131"/>
      <c r="EG1" s="131"/>
      <c r="EH1" s="131"/>
      <c r="EI1" s="131"/>
      <c r="EJ1" s="131"/>
      <c r="EK1" s="131"/>
      <c r="EL1" s="131"/>
      <c r="EP1" s="131"/>
      <c r="EQ1" s="131"/>
      <c r="ER1" s="131"/>
      <c r="ES1" s="131"/>
      <c r="ET1" s="131"/>
      <c r="EU1" s="131"/>
      <c r="EV1" s="131"/>
      <c r="EW1" s="131"/>
      <c r="EX1" s="131"/>
      <c r="FB1" s="131"/>
      <c r="FC1" s="131"/>
      <c r="FD1" s="131"/>
      <c r="FE1" s="131"/>
      <c r="FF1" s="131"/>
      <c r="FG1" s="131"/>
      <c r="FH1" s="131"/>
      <c r="FI1" s="131"/>
      <c r="FJ1" s="131"/>
      <c r="FN1" s="131"/>
      <c r="FO1" s="131"/>
      <c r="FP1" s="131"/>
      <c r="FQ1" s="131"/>
      <c r="FR1" s="131"/>
      <c r="FS1" s="131"/>
      <c r="FT1" s="131"/>
      <c r="FU1" s="131"/>
      <c r="FV1" s="131"/>
      <c r="FZ1" s="131"/>
      <c r="GA1" s="131"/>
      <c r="GB1" s="131"/>
      <c r="GC1" s="131"/>
      <c r="GD1" s="131"/>
      <c r="GE1" s="131"/>
      <c r="GF1" s="131"/>
      <c r="GG1" s="131"/>
      <c r="GH1" s="131"/>
      <c r="GL1" s="131"/>
      <c r="GM1" s="131"/>
      <c r="GN1" s="131"/>
      <c r="GO1" s="131"/>
      <c r="GP1" s="131"/>
      <c r="GQ1" s="131"/>
      <c r="GR1" s="131"/>
      <c r="GS1" s="131"/>
      <c r="GT1" s="131"/>
    </row>
    <row r="2" spans="2:203" ht="17" thickTop="1" x14ac:dyDescent="0.2">
      <c r="B2" s="134" t="s">
        <v>153</v>
      </c>
      <c r="C2" s="133"/>
      <c r="D2" s="74" t="s">
        <v>92</v>
      </c>
      <c r="E2" s="75" t="s">
        <v>91</v>
      </c>
      <c r="F2" s="76" t="s">
        <v>90</v>
      </c>
      <c r="G2" s="77" t="s">
        <v>89</v>
      </c>
      <c r="H2" s="78" t="s">
        <v>78</v>
      </c>
      <c r="I2" s="79" t="s">
        <v>79</v>
      </c>
      <c r="J2" s="80"/>
      <c r="M2" s="134" t="s">
        <v>123</v>
      </c>
      <c r="N2" s="133"/>
      <c r="O2" s="74" t="s">
        <v>92</v>
      </c>
      <c r="P2" s="75" t="s">
        <v>91</v>
      </c>
      <c r="Q2" s="76" t="s">
        <v>90</v>
      </c>
      <c r="R2" s="77" t="s">
        <v>89</v>
      </c>
      <c r="S2" s="78" t="s">
        <v>78</v>
      </c>
      <c r="T2" s="79" t="s">
        <v>79</v>
      </c>
      <c r="U2" s="80"/>
      <c r="Y2" s="134" t="s">
        <v>162</v>
      </c>
      <c r="Z2" s="133"/>
      <c r="AA2" s="74" t="s">
        <v>92</v>
      </c>
      <c r="AB2" s="75" t="s">
        <v>91</v>
      </c>
      <c r="AC2" s="76" t="s">
        <v>90</v>
      </c>
      <c r="AD2" s="77" t="s">
        <v>89</v>
      </c>
      <c r="AE2" s="78" t="s">
        <v>78</v>
      </c>
      <c r="AF2" s="79" t="s">
        <v>79</v>
      </c>
      <c r="AG2" s="80"/>
      <c r="AM2" s="134" t="s">
        <v>163</v>
      </c>
      <c r="AN2" s="133"/>
      <c r="AO2" s="74" t="s">
        <v>92</v>
      </c>
      <c r="AP2" s="75" t="s">
        <v>91</v>
      </c>
      <c r="AQ2" s="76" t="s">
        <v>90</v>
      </c>
      <c r="AR2" s="77" t="s">
        <v>89</v>
      </c>
      <c r="AS2" s="78" t="s">
        <v>78</v>
      </c>
      <c r="AT2" s="79" t="s">
        <v>79</v>
      </c>
      <c r="AU2" s="80"/>
      <c r="AY2" s="134" t="s">
        <v>164</v>
      </c>
      <c r="AZ2" s="133"/>
      <c r="BA2" s="74" t="s">
        <v>92</v>
      </c>
      <c r="BB2" s="75" t="s">
        <v>91</v>
      </c>
      <c r="BC2" s="76" t="s">
        <v>90</v>
      </c>
      <c r="BD2" s="77" t="s">
        <v>89</v>
      </c>
      <c r="BE2" s="78" t="s">
        <v>78</v>
      </c>
      <c r="BF2" s="79" t="s">
        <v>79</v>
      </c>
      <c r="BG2" s="80"/>
      <c r="BJ2" s="134" t="s">
        <v>166</v>
      </c>
      <c r="BK2" s="133"/>
      <c r="BL2" s="74" t="s">
        <v>92</v>
      </c>
      <c r="BM2" s="75" t="s">
        <v>91</v>
      </c>
      <c r="BN2" s="76" t="s">
        <v>90</v>
      </c>
      <c r="BO2" s="77" t="s">
        <v>89</v>
      </c>
      <c r="BP2" s="78" t="s">
        <v>78</v>
      </c>
      <c r="BQ2" s="79" t="s">
        <v>79</v>
      </c>
      <c r="BR2" s="80"/>
      <c r="BS2" s="80"/>
      <c r="BV2" s="134" t="s">
        <v>170</v>
      </c>
      <c r="BW2" s="133"/>
      <c r="BX2" s="74" t="s">
        <v>92</v>
      </c>
      <c r="BY2" s="75" t="s">
        <v>91</v>
      </c>
      <c r="BZ2" s="76" t="s">
        <v>90</v>
      </c>
      <c r="CA2" s="77" t="s">
        <v>89</v>
      </c>
      <c r="CB2" s="78" t="s">
        <v>78</v>
      </c>
      <c r="CC2" s="79" t="s">
        <v>79</v>
      </c>
      <c r="CD2" s="80"/>
      <c r="CE2" s="80"/>
      <c r="CH2" s="134" t="s">
        <v>171</v>
      </c>
      <c r="CI2" s="133"/>
      <c r="CJ2" s="74" t="s">
        <v>92</v>
      </c>
      <c r="CK2" s="75" t="s">
        <v>91</v>
      </c>
      <c r="CL2" s="76" t="s">
        <v>90</v>
      </c>
      <c r="CM2" s="77" t="s">
        <v>89</v>
      </c>
      <c r="CN2" s="78" t="s">
        <v>78</v>
      </c>
      <c r="CO2" s="79" t="s">
        <v>79</v>
      </c>
      <c r="CP2" s="80"/>
      <c r="CQ2" s="80"/>
      <c r="CT2" s="134" t="s">
        <v>177</v>
      </c>
      <c r="CU2" s="133"/>
      <c r="CV2" s="74" t="s">
        <v>92</v>
      </c>
      <c r="CW2" s="75" t="s">
        <v>91</v>
      </c>
      <c r="CX2" s="76" t="s">
        <v>90</v>
      </c>
      <c r="CY2" s="77" t="s">
        <v>89</v>
      </c>
      <c r="CZ2" s="78" t="s">
        <v>78</v>
      </c>
      <c r="DA2" s="79" t="s">
        <v>79</v>
      </c>
      <c r="DB2" s="80"/>
      <c r="DC2" s="80"/>
      <c r="DF2" s="134" t="s">
        <v>178</v>
      </c>
      <c r="DG2" s="133"/>
      <c r="DH2" s="74" t="s">
        <v>92</v>
      </c>
      <c r="DI2" s="75" t="s">
        <v>91</v>
      </c>
      <c r="DJ2" s="76" t="s">
        <v>90</v>
      </c>
      <c r="DK2" s="77" t="s">
        <v>89</v>
      </c>
      <c r="DL2" s="78" t="s">
        <v>78</v>
      </c>
      <c r="DM2" s="79" t="s">
        <v>79</v>
      </c>
      <c r="DN2" s="80"/>
      <c r="DO2" s="80"/>
      <c r="DR2" s="132" t="s">
        <v>185</v>
      </c>
      <c r="DS2" s="133"/>
      <c r="DT2" s="74" t="s">
        <v>92</v>
      </c>
      <c r="DU2" s="75" t="s">
        <v>91</v>
      </c>
      <c r="DV2" s="76" t="s">
        <v>90</v>
      </c>
      <c r="DW2" s="77" t="s">
        <v>89</v>
      </c>
      <c r="DX2" s="78" t="s">
        <v>78</v>
      </c>
      <c r="DY2" s="79" t="s">
        <v>79</v>
      </c>
      <c r="DZ2" s="80"/>
      <c r="EA2" s="80"/>
      <c r="ED2" s="132" t="s">
        <v>206</v>
      </c>
      <c r="EE2" s="133"/>
      <c r="EF2" s="74" t="s">
        <v>92</v>
      </c>
      <c r="EG2" s="75" t="s">
        <v>91</v>
      </c>
      <c r="EH2" s="76" t="s">
        <v>90</v>
      </c>
      <c r="EI2" s="77" t="s">
        <v>89</v>
      </c>
      <c r="EJ2" s="78" t="s">
        <v>78</v>
      </c>
      <c r="EK2" s="79" t="s">
        <v>79</v>
      </c>
      <c r="EL2" s="80"/>
      <c r="EM2" s="80"/>
      <c r="EP2" s="132" t="s">
        <v>223</v>
      </c>
      <c r="EQ2" s="133"/>
      <c r="ER2" s="74" t="s">
        <v>92</v>
      </c>
      <c r="ES2" s="75" t="s">
        <v>91</v>
      </c>
      <c r="ET2" s="76" t="s">
        <v>90</v>
      </c>
      <c r="EU2" s="77" t="s">
        <v>89</v>
      </c>
      <c r="EV2" s="78" t="s">
        <v>78</v>
      </c>
      <c r="EW2" s="79" t="s">
        <v>79</v>
      </c>
      <c r="EX2" s="80"/>
      <c r="EY2" s="80"/>
      <c r="FB2" s="132" t="s">
        <v>224</v>
      </c>
      <c r="FC2" s="133"/>
      <c r="FD2" s="74" t="s">
        <v>92</v>
      </c>
      <c r="FE2" s="75" t="s">
        <v>91</v>
      </c>
      <c r="FF2" s="76" t="s">
        <v>90</v>
      </c>
      <c r="FG2" s="77" t="s">
        <v>89</v>
      </c>
      <c r="FH2" s="78" t="s">
        <v>78</v>
      </c>
      <c r="FI2" s="79" t="s">
        <v>79</v>
      </c>
      <c r="FJ2" s="80"/>
      <c r="FK2" s="80"/>
      <c r="FN2" s="132" t="s">
        <v>224</v>
      </c>
      <c r="FO2" s="133"/>
      <c r="FP2" s="74" t="s">
        <v>92</v>
      </c>
      <c r="FQ2" s="75" t="s">
        <v>91</v>
      </c>
      <c r="FR2" s="76" t="s">
        <v>90</v>
      </c>
      <c r="FS2" s="77" t="s">
        <v>89</v>
      </c>
      <c r="FT2" s="78" t="s">
        <v>78</v>
      </c>
      <c r="FU2" s="79" t="s">
        <v>79</v>
      </c>
      <c r="FV2" s="80"/>
      <c r="FW2" s="80"/>
      <c r="FZ2" s="132" t="s">
        <v>328</v>
      </c>
      <c r="GA2" s="133"/>
      <c r="GB2" s="74" t="s">
        <v>92</v>
      </c>
      <c r="GC2" s="75" t="s">
        <v>91</v>
      </c>
      <c r="GD2" s="76" t="s">
        <v>90</v>
      </c>
      <c r="GE2" s="77" t="s">
        <v>89</v>
      </c>
      <c r="GF2" s="78" t="s">
        <v>78</v>
      </c>
      <c r="GG2" s="79" t="s">
        <v>79</v>
      </c>
      <c r="GH2" s="80"/>
      <c r="GI2" s="80"/>
      <c r="GL2" s="132" t="s">
        <v>328</v>
      </c>
      <c r="GM2" s="133"/>
      <c r="GN2" s="74" t="s">
        <v>92</v>
      </c>
      <c r="GO2" s="75" t="s">
        <v>91</v>
      </c>
      <c r="GP2" s="76" t="s">
        <v>90</v>
      </c>
      <c r="GQ2" s="77" t="s">
        <v>89</v>
      </c>
      <c r="GR2" s="78" t="s">
        <v>78</v>
      </c>
      <c r="GS2" s="79" t="s">
        <v>79</v>
      </c>
      <c r="GT2" s="80"/>
      <c r="GU2" s="80"/>
    </row>
    <row r="3" spans="2:203" ht="60" customHeight="1" thickBot="1" x14ac:dyDescent="0.25">
      <c r="B3" s="134"/>
      <c r="C3" s="133"/>
      <c r="D3" s="96">
        <f>IFERROR(SUMIF(GroceryList[CATEGORY],Category1,GroceryList[TOTAL]), "")</f>
        <v>270.31</v>
      </c>
      <c r="E3" s="95">
        <f>IFERROR(SUMIF(GroceryList[CATEGORY],Category2,GroceryList[TOTAL]), "")</f>
        <v>322.75000000000006</v>
      </c>
      <c r="F3" s="94">
        <f>IFERROR(SUMIF(GroceryList[CATEGORY],Category3,GroceryList[TOTAL]), "")</f>
        <v>121.58500000000001</v>
      </c>
      <c r="G3" s="93">
        <f>IFERROR(SUMIF(GroceryList[CATEGORY],Category4,GroceryList[TOTAL]), "")</f>
        <v>42.67</v>
      </c>
      <c r="H3" s="92">
        <f>IFERROR(SUMIF(GroceryList[CATEGORY],Category5,GroceryList[TOTAL]), "")</f>
        <v>0</v>
      </c>
      <c r="I3" s="91">
        <f>SUM(GroceryList[TOTAL])</f>
        <v>757.31499999999994</v>
      </c>
      <c r="J3" s="80"/>
      <c r="M3" s="134"/>
      <c r="N3" s="133"/>
      <c r="O3" s="96">
        <f>IFERROR(SUMIF(GroceryList2[CATEGORY],Category1,GroceryList2[TOTAL]), "")</f>
        <v>0</v>
      </c>
      <c r="P3" s="95">
        <f>IFERROR(SUMIF(GroceryList2[CATEGORY],Category2,GroceryList2[TOTAL]), "")</f>
        <v>121.72999999999998</v>
      </c>
      <c r="Q3" s="94">
        <f>IFERROR(SUMIF(GroceryList2[CATEGORY],Category3,GroceryList2[TOTAL]), "")</f>
        <v>0</v>
      </c>
      <c r="R3" s="93">
        <f>IFERROR(SUMIF(GroceryList2[CATEGORY],Category4,GroceryList2[TOTAL]), "")</f>
        <v>0</v>
      </c>
      <c r="S3" s="92">
        <f>IFERROR(SUMIF(GroceryList2[CATEGORY],Category5,GroceryList2[TOTAL]), "")</f>
        <v>0</v>
      </c>
      <c r="T3" s="91">
        <f>SUM(GroceryList2[TOTAL])</f>
        <v>121.72999999999998</v>
      </c>
      <c r="U3" s="80"/>
      <c r="Y3" s="134"/>
      <c r="Z3" s="133"/>
      <c r="AA3" s="96">
        <f>IFERROR(SUMIF(GroceryList27[CATEGORY],Category1,GroceryList27[TOTAL]), "")</f>
        <v>45</v>
      </c>
      <c r="AB3" s="95">
        <f>IFERROR(SUMIF(GroceryList27[CATEGORY],Category2,GroceryList27[TOTAL]), "")</f>
        <v>114.07</v>
      </c>
      <c r="AC3" s="94">
        <f>IFERROR(SUMIF(GroceryList27[CATEGORY],Category3,GroceryList27[TOTAL]), "")</f>
        <v>80</v>
      </c>
      <c r="AD3" s="93">
        <f>IFERROR(SUMIF(GroceryList27[CATEGORY],Category4,GroceryList27[TOTAL]), "")</f>
        <v>0</v>
      </c>
      <c r="AE3" s="92">
        <f>IFERROR(SUMIF(GroceryList27[CATEGORY],Category5,GroceryList27[TOTAL]), "")</f>
        <v>0</v>
      </c>
      <c r="AF3" s="91">
        <f>SUM(GroceryList27[TOTAL])</f>
        <v>323.07</v>
      </c>
      <c r="AG3" s="80"/>
      <c r="AM3" s="134"/>
      <c r="AN3" s="133"/>
      <c r="AO3" s="96">
        <f>IFERROR(SUMIF(GroceryList274[CATEGORY],Category1,GroceryList274[TOTAL]), "")</f>
        <v>45</v>
      </c>
      <c r="AP3" s="95">
        <f>IFERROR(SUMIF(GroceryList274[CATEGORY],Category2,GroceryList274[TOTAL]), "")</f>
        <v>163.155</v>
      </c>
      <c r="AQ3" s="94">
        <f>IFERROR(SUMIF(GroceryList274[CATEGORY],Category3,GroceryList274[TOTAL]), "")</f>
        <v>34</v>
      </c>
      <c r="AR3" s="93">
        <f>IFERROR(SUMIF(GroceryList274[CATEGORY],Category4,GroceryList274[TOTAL]), "")</f>
        <v>0</v>
      </c>
      <c r="AS3" s="92">
        <f>IFERROR(SUMIF(GroceryList274[CATEGORY],Category5,GroceryList274[TOTAL]), "")</f>
        <v>0</v>
      </c>
      <c r="AT3" s="91">
        <f>SUM(GroceryList274[TOTAL])</f>
        <v>242.155</v>
      </c>
      <c r="AU3" s="80"/>
      <c r="AY3" s="134"/>
      <c r="AZ3" s="133"/>
      <c r="BA3" s="96">
        <f>IFERROR(SUMIF(GroceryList2745[CATEGORY],Category1,GroceryList2745[TOTAL]), "")</f>
        <v>134.39000000000001</v>
      </c>
      <c r="BB3" s="95">
        <f>IFERROR(SUMIF(GroceryList2745[CATEGORY],Category2,GroceryList2745[TOTAL]), "")</f>
        <v>111.96000000000001</v>
      </c>
      <c r="BC3" s="94">
        <f>IFERROR(SUMIF(GroceryList2745[CATEGORY],Category3,GroceryList2745[TOTAL]), "")</f>
        <v>0</v>
      </c>
      <c r="BD3" s="93">
        <f>IFERROR(SUMIF(GroceryList2745[CATEGORY],Category4,GroceryList2745[TOTAL]), "")</f>
        <v>0</v>
      </c>
      <c r="BE3" s="92">
        <f>IFERROR(SUMIF(GroceryList2745[CATEGORY],Category5,GroceryList2745[TOTAL]), "")</f>
        <v>0</v>
      </c>
      <c r="BF3" s="91">
        <f>SUM(GroceryList2745[TOTAL])</f>
        <v>246.35000000000002</v>
      </c>
      <c r="BG3" s="80"/>
      <c r="BJ3" s="134"/>
      <c r="BK3" s="133"/>
      <c r="BL3" s="96">
        <f>IFERROR(SUMIF(GroceryList27456[CATEGORY],Category1,GroceryList27456[TOTAL]), "")</f>
        <v>50</v>
      </c>
      <c r="BM3" s="95">
        <f>IFERROR(SUMIF(GroceryList27456[CATEGORY],Category2,GroceryList27456[TOTAL]), "")</f>
        <v>100.49000000000001</v>
      </c>
      <c r="BN3" s="94">
        <f>IFERROR(SUMIF(GroceryList27456[CATEGORY],Category3,GroceryList27456[TOTAL]), "")</f>
        <v>0</v>
      </c>
      <c r="BO3" s="93">
        <f>IFERROR(SUMIF(GroceryList27456[CATEGORY],Category4,GroceryList27456[TOTAL]), "")</f>
        <v>0</v>
      </c>
      <c r="BP3" s="92">
        <f>IFERROR(SUMIF(GroceryList27456[CATEGORY],Category5,GroceryList27456[TOTAL]), "")</f>
        <v>0</v>
      </c>
      <c r="BQ3" s="91">
        <f>SUM(GroceryList27456[TOTAL])</f>
        <v>150.49</v>
      </c>
      <c r="BR3" s="80"/>
      <c r="BS3" s="80"/>
      <c r="BV3" s="134"/>
      <c r="BW3" s="133"/>
      <c r="BX3" s="96">
        <f>IFERROR(SUMIF(GroceryList2745614[CATEGORY],Category1,GroceryList2745614[TOTAL]), "")</f>
        <v>119.16</v>
      </c>
      <c r="BY3" s="95">
        <f>IFERROR(SUMIF(GroceryList2745614[CATEGORY],Category2,GroceryList2745614[TOTAL]), "")</f>
        <v>202.46999999999997</v>
      </c>
      <c r="BZ3" s="94">
        <f>IFERROR(SUMIF(GroceryList2745614[CATEGORY],Category3,GroceryList2745614[TOTAL]), "")</f>
        <v>271.77000000000004</v>
      </c>
      <c r="CA3" s="93">
        <f>IFERROR(SUMIF(GroceryList2745614[CATEGORY],Category4,GroceryList2745614[TOTAL]), "")</f>
        <v>60</v>
      </c>
      <c r="CB3" s="92">
        <f>IFERROR(SUMIF(GroceryList2745614[CATEGORY],Category5,GroceryList2745614[TOTAL]), "")</f>
        <v>0</v>
      </c>
      <c r="CC3" s="91">
        <f>SUM(GroceryList2745614[TOTAL])</f>
        <v>653.4</v>
      </c>
      <c r="CD3" s="80"/>
      <c r="CE3" s="80"/>
      <c r="CH3" s="134"/>
      <c r="CI3" s="133"/>
      <c r="CJ3" s="96">
        <f>IFERROR(SUMIF(GroceryList27456148[CATEGORY],Category1,GroceryList27456148[TOTAL]), "")</f>
        <v>237.12</v>
      </c>
      <c r="CK3" s="95">
        <f>IFERROR(SUMIF(GroceryList27456148[CATEGORY],Category2,GroceryList27456148[TOTAL]), "")</f>
        <v>174.8</v>
      </c>
      <c r="CL3" s="94">
        <f>IFERROR(SUMIF(GroceryList27456148[CATEGORY],Category3,GroceryList27456148[TOTAL]), "")</f>
        <v>281.55</v>
      </c>
      <c r="CM3" s="93">
        <f>IFERROR(SUMIF(GroceryList27456148[CATEGORY],Category4,GroceryList27456148[TOTAL]), "")</f>
        <v>120</v>
      </c>
      <c r="CN3" s="92">
        <f>IFERROR(SUMIF(GroceryList27456148[CATEGORY],Category5,GroceryList27456148[TOTAL]), "")</f>
        <v>0</v>
      </c>
      <c r="CO3" s="91">
        <f>SUM(GroceryList27456148[TOTAL])</f>
        <v>813.47</v>
      </c>
      <c r="CP3" s="80"/>
      <c r="CQ3" s="80"/>
      <c r="CT3" s="134"/>
      <c r="CU3" s="133"/>
      <c r="CV3" s="96">
        <f>IFERROR(SUMIF(GroceryList2745614810[CATEGORY],Category1,GroceryList2745614810[TOTAL]), "")</f>
        <v>116.02000000000001</v>
      </c>
      <c r="CW3" s="95">
        <f>IFERROR(SUMIF(GroceryList2745614810[CATEGORY],Category2,GroceryList2745614810[TOTAL]), "")</f>
        <v>130.66</v>
      </c>
      <c r="CX3" s="94">
        <f>IFERROR(SUMIF(GroceryList2745614810[CATEGORY],Category3,GroceryList2745614810[TOTAL]), "")</f>
        <v>218.04</v>
      </c>
      <c r="CY3" s="93">
        <f>IFERROR(SUMIF(GroceryList2745614810[CATEGORY],Category4,GroceryList2745614810[TOTAL]), "")</f>
        <v>0</v>
      </c>
      <c r="CZ3" s="92">
        <f>IFERROR(SUMIF(GroceryList2745614810[CATEGORY],Category5,GroceryList2745614810[TOTAL]), "")</f>
        <v>0</v>
      </c>
      <c r="DA3" s="91">
        <f>SUM(GroceryList2745614810[TOTAL])</f>
        <v>540.49</v>
      </c>
      <c r="DB3" s="80"/>
      <c r="DC3" s="80"/>
      <c r="DF3" s="134"/>
      <c r="DG3" s="133"/>
      <c r="DH3" s="96">
        <f>IFERROR(SUMIF(GroceryList27456148109[CATEGORY],Category1,GroceryList27456148109[TOTAL]), "")</f>
        <v>40</v>
      </c>
      <c r="DI3" s="95">
        <f>IFERROR(SUMIF(GroceryList27456148109[CATEGORY],Category2,GroceryList27456148109[TOTAL]), "")</f>
        <v>0</v>
      </c>
      <c r="DJ3" s="94">
        <f>IFERROR(SUMIF(GroceryList27456148109[CATEGORY],Category3,GroceryList27456148109[TOTAL]), "")</f>
        <v>130</v>
      </c>
      <c r="DK3" s="93">
        <f>IFERROR(SUMIF(GroceryList27456148109[CATEGORY],Category4,GroceryList27456148109[TOTAL]), "")</f>
        <v>0</v>
      </c>
      <c r="DL3" s="92">
        <f>IFERROR(SUMIF(GroceryList27456148109[CATEGORY],Category5,GroceryList27456148109[TOTAL]), "")</f>
        <v>0</v>
      </c>
      <c r="DM3" s="91">
        <f>SUM(GroceryList27456148109[TOTAL])</f>
        <v>170</v>
      </c>
      <c r="DN3" s="80"/>
      <c r="DO3" s="80"/>
      <c r="DR3" s="134"/>
      <c r="DS3" s="133"/>
      <c r="DT3" s="96">
        <f>IFERROR(SUMIF(GroceryList2745614810911[CATEGORY],Category1,GroceryList2745614810911[TOTAL]), "")</f>
        <v>110.76</v>
      </c>
      <c r="DU3" s="95">
        <f>IFERROR(SUMIF(GroceryList2745614810911[CATEGORY],Category2,GroceryList2745614810911[TOTAL]), "")</f>
        <v>122.36000000000001</v>
      </c>
      <c r="DV3" s="94">
        <f>IFERROR(SUMIF(GroceryList2745614810911[CATEGORY],Category3,GroceryList2745614810911[TOTAL]), "")</f>
        <v>241.17</v>
      </c>
      <c r="DW3" s="93">
        <f>IFERROR(SUMIF(GroceryList2745614810911[CATEGORY],Category4,GroceryList2745614810911[TOTAL]), "")</f>
        <v>60</v>
      </c>
      <c r="DX3" s="92">
        <f>IFERROR(SUMIF(GroceryList2745614810911[CATEGORY],Category5,GroceryList2745614810911[TOTAL]), "")</f>
        <v>0</v>
      </c>
      <c r="DY3" s="91">
        <f>SUM(GroceryList2745614810911[TOTAL])</f>
        <v>534.29</v>
      </c>
      <c r="DZ3" s="80"/>
      <c r="EA3" s="80"/>
      <c r="ED3" s="134"/>
      <c r="EE3" s="133"/>
      <c r="EF3" s="96">
        <f>IFERROR(SUMIF(GroceryList274561481091112[CATEGORY],Category1,GroceryList274561481091112[TOTAL]), "")</f>
        <v>361.69000000000005</v>
      </c>
      <c r="EG3" s="95">
        <f>IFERROR(SUMIF(GroceryList274561481091112[CATEGORY],Category2,GroceryList274561481091112[TOTAL]), "")</f>
        <v>297.52999999999997</v>
      </c>
      <c r="EH3" s="94">
        <f>IFERROR(SUMIF(GroceryList274561481091112[CATEGORY],Category3,GroceryList274561481091112[TOTAL]), "")</f>
        <v>235.35</v>
      </c>
      <c r="EI3" s="93">
        <f>IFERROR(SUMIF(GroceryList274561481091112[CATEGORY],Category4,GroceryList274561481091112[TOTAL]), "")</f>
        <v>87.47</v>
      </c>
      <c r="EJ3" s="92">
        <f>IFERROR(SUMIF(GroceryList274561481091112[CATEGORY],Category5,GroceryList274561481091112[TOTAL]), "")</f>
        <v>0</v>
      </c>
      <c r="EK3" s="91">
        <f>SUM(GroceryList274561481091112[TOTAL])</f>
        <v>982.04000000000008</v>
      </c>
      <c r="EL3" s="80"/>
      <c r="EM3" s="80"/>
      <c r="EP3" s="134"/>
      <c r="EQ3" s="133"/>
      <c r="ER3" s="96">
        <f>IFERROR(SUMIF(GroceryList27456148109111213[CATEGORY],Category1,GroceryList27456148109111213[TOTAL]), "")</f>
        <v>40</v>
      </c>
      <c r="ES3" s="95">
        <f>IFERROR(SUMIF(GroceryList27456148109111213[CATEGORY],Category2,GroceryList27456148109111213[TOTAL]), "")</f>
        <v>20.420000000000002</v>
      </c>
      <c r="ET3" s="94">
        <f>IFERROR(SUMIF(GroceryList27456148109111213[CATEGORY],Category3,GroceryList27456148109111213[TOTAL]), "")</f>
        <v>166.38</v>
      </c>
      <c r="EU3" s="93">
        <f>IFERROR(SUMIF(GroceryList27456148109111213[CATEGORY],Category4,GroceryList27456148109111213[TOTAL]), "")</f>
        <v>0</v>
      </c>
      <c r="EV3" s="92">
        <f>IFERROR(SUMIF(GroceryList27456148109111213[CATEGORY],Category5,GroceryList27456148109111213[TOTAL]), "")</f>
        <v>0</v>
      </c>
      <c r="EW3" s="91">
        <f>SUM(GroceryList27456148109111213[TOTAL])</f>
        <v>226.8</v>
      </c>
      <c r="EX3" s="80"/>
      <c r="EY3" s="80"/>
      <c r="FB3" s="134"/>
      <c r="FC3" s="133"/>
      <c r="FD3" s="96">
        <f>IFERROR(SUMIF(GroceryList2745614810911121315[CATEGORY],Category1,GroceryList2745614810911121315[TOTAL]), "")</f>
        <v>139.31020000000001</v>
      </c>
      <c r="FE3" s="95">
        <f>IFERROR(SUMIF(GroceryList2745614810911121315[CATEGORY],Category2,GroceryList2745614810911121315[TOTAL]), "")</f>
        <v>143</v>
      </c>
      <c r="FF3" s="94">
        <f>IFERROR(SUMIF(GroceryList2745614810911121315[CATEGORY],Category3,GroceryList2745614810911121315[TOTAL]), "")</f>
        <v>58.11</v>
      </c>
      <c r="FG3" s="93">
        <f>IFERROR(SUMIF(GroceryList2745614810911121315[CATEGORY],Category4,GroceryList2745614810911121315[TOTAL]), "")</f>
        <v>10</v>
      </c>
      <c r="FH3" s="92">
        <f>IFERROR(SUMIF(GroceryList2745614810911121315[CATEGORY],Category5,GroceryList2745614810911121315[TOTAL]), "")</f>
        <v>0</v>
      </c>
      <c r="FI3" s="91">
        <f>SUM(GroceryList2745614810911121315[TOTAL])</f>
        <v>569.35020000000009</v>
      </c>
      <c r="FJ3" s="80"/>
      <c r="FK3" s="80"/>
      <c r="FN3" s="134"/>
      <c r="FO3" s="133"/>
      <c r="FP3" s="96">
        <f>IFERROR(SUMIF(GroceryList274561481091112131516[CATEGORY],Category1,GroceryList274561481091112131516[TOTAL]), "")</f>
        <v>40</v>
      </c>
      <c r="FQ3" s="95">
        <f>IFERROR(SUMIF(GroceryList274561481091112131516[CATEGORY],Category2,GroceryList274561481091112131516[TOTAL]), "")</f>
        <v>22.99</v>
      </c>
      <c r="FR3" s="94">
        <f>IFERROR(SUMIF(GroceryList274561481091112131516[CATEGORY],Category3,GroceryList274561481091112131516[TOTAL]), "")</f>
        <v>120</v>
      </c>
      <c r="FS3" s="93">
        <f>IFERROR(SUMIF(GroceryList274561481091112131516[CATEGORY],Category4,GroceryList274561481091112131516[TOTAL]), "")</f>
        <v>0</v>
      </c>
      <c r="FT3" s="92">
        <f>IFERROR(SUMIF(GroceryList274561481091112131516[CATEGORY],Category5,GroceryList274561481091112131516[TOTAL]), "")</f>
        <v>0</v>
      </c>
      <c r="FU3" s="91">
        <f>SUM(GroceryList274561481091112131516[TOTAL])</f>
        <v>182.99</v>
      </c>
      <c r="FV3" s="80"/>
      <c r="FW3" s="80"/>
      <c r="FZ3" s="134"/>
      <c r="GA3" s="133"/>
      <c r="GB3" s="96">
        <f>IFERROR(SUMIF(GroceryList274561481091112131517[CATEGORY],Category1,GroceryList274561481091112131517[TOTAL]), "")</f>
        <v>322.97000000000003</v>
      </c>
      <c r="GC3" s="95">
        <f>IFERROR(SUMIF(GroceryList274561481091112131517[CATEGORY],Category2,GroceryList274561481091112131517[TOTAL]), "")</f>
        <v>425.12</v>
      </c>
      <c r="GD3" s="94">
        <f>IFERROR(SUMIF(GroceryList274561481091112131517[CATEGORY],Category3,GroceryList274561481091112131517[TOTAL]), "")</f>
        <v>458.53</v>
      </c>
      <c r="GE3" s="93">
        <f>IFERROR(SUMIF(GroceryList274561481091112131517[CATEGORY],Category4,GroceryList274561481091112131517[TOTAL]), "")</f>
        <v>102.99</v>
      </c>
      <c r="GF3" s="92">
        <f>IFERROR(SUMIF(GroceryList274561481091112131517[CATEGORY],Category5,GroceryList274561481091112131517[TOTAL]), "")</f>
        <v>0</v>
      </c>
      <c r="GG3" s="91">
        <f>SUM(GroceryList274561481091112131517[TOTAL])</f>
        <v>1309.6100000000001</v>
      </c>
      <c r="GH3" s="80"/>
      <c r="GI3" s="80"/>
      <c r="GL3" s="134"/>
      <c r="GM3" s="133"/>
      <c r="GN3" s="96">
        <f>IFERROR(SUMIF(GroceryList27456148109111213151718[CATEGORY],Category1,GroceryList27456148109111213151718[TOTAL]), "")</f>
        <v>370.44000000000005</v>
      </c>
      <c r="GO3" s="95">
        <f>IFERROR(SUMIF(GroceryList27456148109111213151718[CATEGORY],Category2,GroceryList27456148109111213151718[TOTAL]), "")</f>
        <v>391.09000000000003</v>
      </c>
      <c r="GP3" s="94">
        <f>IFERROR(SUMIF(GroceryList27456148109111213151718[CATEGORY],Category3,GroceryList27456148109111213151718[TOTAL]), "")</f>
        <v>474.66999999999996</v>
      </c>
      <c r="GQ3" s="93">
        <f>IFERROR(SUMIF(GroceryList27456148109111213151718[CATEGORY],Category4,GroceryList27456148109111213151718[TOTAL]), "")</f>
        <v>102.99</v>
      </c>
      <c r="GR3" s="92">
        <f>IFERROR(SUMIF(GroceryList27456148109111213151718[CATEGORY],Category5,GroceryList27456148109111213151718[TOTAL]), "")</f>
        <v>0</v>
      </c>
      <c r="GS3" s="91">
        <f>SUM(GroceryList27456148109111213151718[TOTAL])</f>
        <v>1339.19</v>
      </c>
      <c r="GT3" s="80"/>
      <c r="GU3" s="80"/>
    </row>
    <row r="4" spans="2:203" ht="21" customHeight="1" thickTop="1" x14ac:dyDescent="0.2">
      <c r="B4" s="81"/>
      <c r="C4" s="98"/>
      <c r="D4" s="81" t="s">
        <v>80</v>
      </c>
      <c r="E4" s="81"/>
      <c r="F4" s="81"/>
      <c r="G4" s="81"/>
      <c r="H4" s="81"/>
      <c r="I4" s="80" t="str">
        <f>IF(SUM(D3:H3)&lt;&gt;SUM(GroceryList[TOTAL]),"Out of Balance","")</f>
        <v/>
      </c>
      <c r="J4" s="80"/>
      <c r="M4" s="81"/>
      <c r="N4" s="98"/>
      <c r="O4" s="81" t="s">
        <v>80</v>
      </c>
      <c r="P4" s="81"/>
      <c r="Q4" s="81"/>
      <c r="R4" s="81"/>
      <c r="S4" s="81"/>
      <c r="T4" s="80" t="str">
        <f>IF(SUM(O3:S3)&lt;&gt;SUM(GroceryList2[TOTAL]),"Out of Balance","")</f>
        <v/>
      </c>
      <c r="U4" s="80"/>
      <c r="Y4" s="81"/>
      <c r="Z4" s="98"/>
      <c r="AA4" s="81" t="s">
        <v>80</v>
      </c>
      <c r="AB4" s="81"/>
      <c r="AC4" s="81"/>
      <c r="AD4" s="81"/>
      <c r="AE4" s="81"/>
      <c r="AF4" s="80" t="str">
        <f>IF(SUM(AA3:AE3)&lt;&gt;SUM(GroceryList27[TOTAL]),"Out of Balance","")</f>
        <v>Out of Balance</v>
      </c>
      <c r="AG4" s="80"/>
      <c r="AM4" s="81"/>
      <c r="AN4" s="98"/>
      <c r="AO4" s="81" t="s">
        <v>80</v>
      </c>
      <c r="AP4" s="81"/>
      <c r="AQ4" s="81"/>
      <c r="AR4" s="81"/>
      <c r="AS4" s="81"/>
      <c r="AT4" s="80" t="str">
        <f>IF(SUM(AO3:AS3)&lt;&gt;SUM(GroceryList274[TOTAL]),"Out of Balance","")</f>
        <v/>
      </c>
      <c r="AU4" s="80"/>
      <c r="AY4" s="81"/>
      <c r="AZ4" s="98"/>
      <c r="BA4" s="81" t="s">
        <v>80</v>
      </c>
      <c r="BB4" s="81"/>
      <c r="BC4" s="81"/>
      <c r="BD4" s="81"/>
      <c r="BE4" s="81"/>
      <c r="BF4" s="80" t="str">
        <f>IF(SUM(BA3:BE3)&lt;&gt;SUM(GroceryList2745[TOTAL]),"Out of Balance","")</f>
        <v/>
      </c>
      <c r="BG4" s="80"/>
      <c r="BJ4" s="81"/>
      <c r="BK4" s="98"/>
      <c r="BL4" s="81" t="s">
        <v>80</v>
      </c>
      <c r="BM4" s="81"/>
      <c r="BN4" s="81"/>
      <c r="BO4" s="81"/>
      <c r="BP4" s="81"/>
      <c r="BQ4" s="80" t="str">
        <f>IF(SUM(BL3:BP3)&lt;&gt;SUM(GroceryList27456[TOTAL]),"Out of Balance","")</f>
        <v/>
      </c>
      <c r="BR4" s="80"/>
      <c r="BS4" s="80"/>
      <c r="BV4" s="81"/>
      <c r="BW4" s="98"/>
      <c r="BX4" s="81" t="s">
        <v>80</v>
      </c>
      <c r="BY4" s="81"/>
      <c r="BZ4" s="81"/>
      <c r="CA4" s="81"/>
      <c r="CB4" s="81"/>
      <c r="CC4" s="80" t="str">
        <f>IF(SUM(BX3:CB3)&lt;&gt;SUM(GroceryList2745614[TOTAL]),"Out of Balance","")</f>
        <v/>
      </c>
      <c r="CD4" s="80"/>
      <c r="CE4" s="80"/>
      <c r="CH4" s="81"/>
      <c r="CI4" s="98"/>
      <c r="CJ4" s="81" t="s">
        <v>80</v>
      </c>
      <c r="CK4" s="81"/>
      <c r="CL4" s="81"/>
      <c r="CM4" s="81"/>
      <c r="CN4" s="81"/>
      <c r="CO4" s="80" t="str">
        <f>IF(SUM(CJ3:CN3)&lt;&gt;SUM(GroceryList27456148[TOTAL]),"Out of Balance","")</f>
        <v/>
      </c>
      <c r="CP4" s="80"/>
      <c r="CQ4" s="80"/>
      <c r="CT4" s="81"/>
      <c r="CU4" s="98"/>
      <c r="CV4" s="81" t="s">
        <v>80</v>
      </c>
      <c r="CW4" s="81"/>
      <c r="CX4" s="81"/>
      <c r="CY4" s="81"/>
      <c r="CZ4" s="81"/>
      <c r="DA4" s="80" t="str">
        <f>IF(SUM(CV3:CZ3)&lt;&gt;SUM(GroceryList2745614810[TOTAL]),"Out of Balance","")</f>
        <v>Out of Balance</v>
      </c>
      <c r="DB4" s="80"/>
      <c r="DC4" s="80"/>
      <c r="DF4" s="81"/>
      <c r="DG4" s="98"/>
      <c r="DH4" s="81" t="s">
        <v>80</v>
      </c>
      <c r="DI4" s="81"/>
      <c r="DJ4" s="81"/>
      <c r="DK4" s="81"/>
      <c r="DL4" s="81"/>
      <c r="DM4" s="80" t="str">
        <f>IF(SUM(DH3:DL3)&lt;&gt;SUM(GroceryList27456148109[TOTAL]),"Out of Balance","")</f>
        <v/>
      </c>
      <c r="DN4" s="80"/>
      <c r="DO4" s="80"/>
      <c r="DR4" s="81"/>
      <c r="DS4" s="98"/>
      <c r="DT4" s="81" t="s">
        <v>80</v>
      </c>
      <c r="DU4" s="81"/>
      <c r="DV4" s="81"/>
      <c r="DW4" s="81"/>
      <c r="DX4" s="81"/>
      <c r="DY4" s="80" t="str">
        <f>IF(SUM(DT3:DX3)&lt;&gt;SUM(GroceryList2745614810911[TOTAL]),"Out of Balance","")</f>
        <v/>
      </c>
      <c r="DZ4" s="80"/>
      <c r="EA4" s="80"/>
      <c r="ED4" s="81"/>
      <c r="EE4" s="98"/>
      <c r="EF4" s="81" t="s">
        <v>80</v>
      </c>
      <c r="EG4" s="81"/>
      <c r="EH4" s="81"/>
      <c r="EI4" s="81"/>
      <c r="EJ4" s="81"/>
      <c r="EK4" s="80" t="str">
        <f>IF(SUM(EF3:EJ3)&lt;&gt;SUM(GroceryList274561481091112[TOTAL]),"Out of Balance","")</f>
        <v/>
      </c>
      <c r="EL4" s="80"/>
      <c r="EM4" s="80"/>
      <c r="EP4" s="81"/>
      <c r="EQ4" s="98"/>
      <c r="ER4" s="81" t="s">
        <v>80</v>
      </c>
      <c r="ES4" s="81"/>
      <c r="ET4" s="81"/>
      <c r="EU4" s="81"/>
      <c r="EV4" s="81"/>
      <c r="EW4" s="80" t="str">
        <f>IF(SUM(ER3:EV3)&lt;&gt;SUM(GroceryList27456148109111213[TOTAL]),"Out of Balance","")</f>
        <v/>
      </c>
      <c r="EX4" s="80"/>
      <c r="EY4" s="80"/>
      <c r="FB4" s="81"/>
      <c r="FC4" s="98"/>
      <c r="FD4" s="81" t="s">
        <v>80</v>
      </c>
      <c r="FE4" s="81"/>
      <c r="FF4" s="81"/>
      <c r="FG4" s="81"/>
      <c r="FH4" s="81"/>
      <c r="FI4" s="80" t="str">
        <f>IF(SUM(FD3:FH3)&lt;&gt;SUM(GroceryList2745614810911121315[TOTAL]),"Out of Balance","")</f>
        <v>Out of Balance</v>
      </c>
      <c r="FJ4" s="80"/>
      <c r="FK4" s="80"/>
      <c r="FN4" s="81"/>
      <c r="FO4" s="98"/>
      <c r="FP4" s="81" t="s">
        <v>80</v>
      </c>
      <c r="FQ4" s="81"/>
      <c r="FR4" s="81"/>
      <c r="FS4" s="81"/>
      <c r="FT4" s="81"/>
      <c r="FU4" s="80" t="str">
        <f>IF(SUM(FP3:FT3)&lt;&gt;SUM(GroceryList274561481091112131516[TOTAL]),"Out of Balance","")</f>
        <v/>
      </c>
      <c r="FV4" s="80"/>
      <c r="FW4" s="80"/>
      <c r="FZ4" s="81"/>
      <c r="GA4" s="98"/>
      <c r="GB4" s="81" t="s">
        <v>80</v>
      </c>
      <c r="GC4" s="81"/>
      <c r="GD4" s="81"/>
      <c r="GE4" s="81"/>
      <c r="GF4" s="81"/>
      <c r="GG4" s="80" t="str">
        <f>IF(SUM(GB3:GF3)&lt;&gt;SUM(GroceryList274561481091112131517[TOTAL]),"Out of Balance","")</f>
        <v/>
      </c>
      <c r="GH4" s="80"/>
      <c r="GI4" s="80"/>
      <c r="GL4" s="81"/>
      <c r="GM4" s="98"/>
      <c r="GN4" s="81" t="s">
        <v>80</v>
      </c>
      <c r="GO4" s="81"/>
      <c r="GP4" s="81"/>
      <c r="GQ4" s="81"/>
      <c r="GR4" s="81"/>
      <c r="GS4" s="80" t="str">
        <f>IF(SUM(GN3:GR3)&lt;&gt;SUM(GroceryList27456148109111213151718[TOTAL]),"Out of Balance","")</f>
        <v/>
      </c>
      <c r="GT4" s="80"/>
      <c r="GU4" s="80"/>
    </row>
    <row r="5" spans="2:203" ht="30" customHeight="1" x14ac:dyDescent="0.2">
      <c r="B5" s="82" t="s">
        <v>81</v>
      </c>
      <c r="C5" s="82" t="s">
        <v>82</v>
      </c>
      <c r="D5" s="82" t="s">
        <v>83</v>
      </c>
      <c r="E5" s="82" t="s">
        <v>84</v>
      </c>
      <c r="F5" s="82" t="s">
        <v>85</v>
      </c>
      <c r="G5" s="82" t="s">
        <v>86</v>
      </c>
      <c r="H5" s="82" t="s">
        <v>87</v>
      </c>
      <c r="I5" s="97" t="s">
        <v>0</v>
      </c>
      <c r="J5" s="82" t="s">
        <v>88</v>
      </c>
      <c r="M5" s="82" t="s">
        <v>81</v>
      </c>
      <c r="N5" s="82" t="s">
        <v>82</v>
      </c>
      <c r="O5" s="82" t="s">
        <v>83</v>
      </c>
      <c r="P5" s="82" t="s">
        <v>84</v>
      </c>
      <c r="Q5" s="82" t="s">
        <v>85</v>
      </c>
      <c r="R5" s="82" t="s">
        <v>86</v>
      </c>
      <c r="S5" s="82" t="s">
        <v>87</v>
      </c>
      <c r="T5" s="97" t="s">
        <v>0</v>
      </c>
      <c r="U5" s="82" t="s">
        <v>88</v>
      </c>
      <c r="Y5" s="82" t="s">
        <v>81</v>
      </c>
      <c r="Z5" s="82" t="s">
        <v>82</v>
      </c>
      <c r="AA5" s="82" t="s">
        <v>83</v>
      </c>
      <c r="AB5" s="82" t="s">
        <v>84</v>
      </c>
      <c r="AC5" s="82" t="s">
        <v>85</v>
      </c>
      <c r="AD5" s="82" t="s">
        <v>86</v>
      </c>
      <c r="AE5" s="82" t="s">
        <v>87</v>
      </c>
      <c r="AF5" s="97" t="s">
        <v>0</v>
      </c>
      <c r="AG5" s="82" t="s">
        <v>88</v>
      </c>
      <c r="AM5" s="82" t="s">
        <v>81</v>
      </c>
      <c r="AN5" s="82" t="s">
        <v>82</v>
      </c>
      <c r="AO5" s="82" t="s">
        <v>83</v>
      </c>
      <c r="AP5" s="82" t="s">
        <v>84</v>
      </c>
      <c r="AQ5" s="82" t="s">
        <v>85</v>
      </c>
      <c r="AR5" s="82" t="s">
        <v>86</v>
      </c>
      <c r="AS5" s="82" t="s">
        <v>87</v>
      </c>
      <c r="AT5" s="97" t="s">
        <v>0</v>
      </c>
      <c r="AU5" s="82" t="s">
        <v>88</v>
      </c>
      <c r="AY5" s="82" t="s">
        <v>81</v>
      </c>
      <c r="AZ5" s="82" t="s">
        <v>82</v>
      </c>
      <c r="BA5" s="82" t="s">
        <v>83</v>
      </c>
      <c r="BB5" s="82" t="s">
        <v>84</v>
      </c>
      <c r="BC5" s="82" t="s">
        <v>85</v>
      </c>
      <c r="BD5" s="82" t="s">
        <v>86</v>
      </c>
      <c r="BE5" s="82" t="s">
        <v>87</v>
      </c>
      <c r="BF5" s="97" t="s">
        <v>0</v>
      </c>
      <c r="BG5" s="82" t="s">
        <v>88</v>
      </c>
      <c r="BJ5" s="82" t="s">
        <v>81</v>
      </c>
      <c r="BK5" s="82" t="s">
        <v>82</v>
      </c>
      <c r="BL5" s="82" t="s">
        <v>83</v>
      </c>
      <c r="BM5" s="82" t="s">
        <v>84</v>
      </c>
      <c r="BN5" s="82" t="s">
        <v>85</v>
      </c>
      <c r="BO5" s="82" t="s">
        <v>86</v>
      </c>
      <c r="BP5" s="82" t="s">
        <v>87</v>
      </c>
      <c r="BQ5" s="97" t="s">
        <v>0</v>
      </c>
      <c r="BR5" s="82" t="s">
        <v>168</v>
      </c>
      <c r="BS5" s="82" t="s">
        <v>167</v>
      </c>
      <c r="BV5" s="82" t="s">
        <v>81</v>
      </c>
      <c r="BW5" s="82" t="s">
        <v>82</v>
      </c>
      <c r="BX5" s="82" t="s">
        <v>83</v>
      </c>
      <c r="BY5" s="82" t="s">
        <v>84</v>
      </c>
      <c r="BZ5" s="82" t="s">
        <v>85</v>
      </c>
      <c r="CA5" s="82" t="s">
        <v>86</v>
      </c>
      <c r="CB5" s="82" t="s">
        <v>87</v>
      </c>
      <c r="CC5" s="97" t="s">
        <v>0</v>
      </c>
      <c r="CD5" s="82" t="s">
        <v>168</v>
      </c>
      <c r="CE5" s="82" t="s">
        <v>167</v>
      </c>
      <c r="CH5" s="82" t="s">
        <v>81</v>
      </c>
      <c r="CI5" s="82" t="s">
        <v>82</v>
      </c>
      <c r="CJ5" s="82" t="s">
        <v>83</v>
      </c>
      <c r="CK5" s="82" t="s">
        <v>84</v>
      </c>
      <c r="CL5" s="82" t="s">
        <v>85</v>
      </c>
      <c r="CM5" s="82" t="s">
        <v>86</v>
      </c>
      <c r="CN5" s="82" t="s">
        <v>87</v>
      </c>
      <c r="CO5" s="97" t="s">
        <v>0</v>
      </c>
      <c r="CP5" s="82" t="s">
        <v>168</v>
      </c>
      <c r="CQ5" s="82" t="s">
        <v>167</v>
      </c>
      <c r="CT5" s="82" t="s">
        <v>81</v>
      </c>
      <c r="CU5" s="82" t="s">
        <v>82</v>
      </c>
      <c r="CV5" s="82" t="s">
        <v>83</v>
      </c>
      <c r="CW5" s="82" t="s">
        <v>84</v>
      </c>
      <c r="CX5" s="82" t="s">
        <v>85</v>
      </c>
      <c r="CY5" s="82" t="s">
        <v>86</v>
      </c>
      <c r="CZ5" s="82" t="s">
        <v>87</v>
      </c>
      <c r="DA5" s="97" t="s">
        <v>0</v>
      </c>
      <c r="DB5" s="82" t="s">
        <v>168</v>
      </c>
      <c r="DC5" s="82" t="s">
        <v>167</v>
      </c>
      <c r="DF5" s="82" t="s">
        <v>81</v>
      </c>
      <c r="DG5" s="82" t="s">
        <v>82</v>
      </c>
      <c r="DH5" s="82" t="s">
        <v>83</v>
      </c>
      <c r="DI5" s="82" t="s">
        <v>84</v>
      </c>
      <c r="DJ5" s="82" t="s">
        <v>85</v>
      </c>
      <c r="DK5" s="82" t="s">
        <v>86</v>
      </c>
      <c r="DL5" s="82" t="s">
        <v>87</v>
      </c>
      <c r="DM5" s="97" t="s">
        <v>0</v>
      </c>
      <c r="DN5" s="82" t="s">
        <v>168</v>
      </c>
      <c r="DO5" s="82" t="s">
        <v>167</v>
      </c>
      <c r="DR5" s="82" t="s">
        <v>81</v>
      </c>
      <c r="DS5" s="82" t="s">
        <v>82</v>
      </c>
      <c r="DT5" s="82" t="s">
        <v>83</v>
      </c>
      <c r="DU5" s="82" t="s">
        <v>84</v>
      </c>
      <c r="DV5" s="82" t="s">
        <v>85</v>
      </c>
      <c r="DW5" s="82" t="s">
        <v>86</v>
      </c>
      <c r="DX5" s="82" t="s">
        <v>87</v>
      </c>
      <c r="DY5" s="97" t="s">
        <v>0</v>
      </c>
      <c r="DZ5" s="82" t="s">
        <v>168</v>
      </c>
      <c r="EA5" s="82" t="s">
        <v>167</v>
      </c>
      <c r="ED5" s="82" t="s">
        <v>81</v>
      </c>
      <c r="EE5" s="82" t="s">
        <v>82</v>
      </c>
      <c r="EF5" s="82" t="s">
        <v>83</v>
      </c>
      <c r="EG5" s="82" t="s">
        <v>84</v>
      </c>
      <c r="EH5" s="82" t="s">
        <v>85</v>
      </c>
      <c r="EI5" s="82" t="s">
        <v>86</v>
      </c>
      <c r="EJ5" s="82" t="s">
        <v>87</v>
      </c>
      <c r="EK5" s="97" t="s">
        <v>0</v>
      </c>
      <c r="EL5" s="82" t="s">
        <v>168</v>
      </c>
      <c r="EM5" s="82" t="s">
        <v>167</v>
      </c>
      <c r="EP5" s="82" t="s">
        <v>81</v>
      </c>
      <c r="EQ5" s="82" t="s">
        <v>82</v>
      </c>
      <c r="ER5" s="82" t="s">
        <v>83</v>
      </c>
      <c r="ES5" s="82" t="s">
        <v>84</v>
      </c>
      <c r="ET5" s="82" t="s">
        <v>85</v>
      </c>
      <c r="EU5" s="82" t="s">
        <v>86</v>
      </c>
      <c r="EV5" s="82" t="s">
        <v>87</v>
      </c>
      <c r="EW5" s="97" t="s">
        <v>0</v>
      </c>
      <c r="EX5" s="82" t="s">
        <v>168</v>
      </c>
      <c r="EY5" s="82" t="s">
        <v>167</v>
      </c>
      <c r="FB5" s="82" t="s">
        <v>81</v>
      </c>
      <c r="FC5" s="82" t="s">
        <v>82</v>
      </c>
      <c r="FD5" s="82" t="s">
        <v>83</v>
      </c>
      <c r="FE5" s="82" t="s">
        <v>84</v>
      </c>
      <c r="FF5" s="82" t="s">
        <v>85</v>
      </c>
      <c r="FG5" s="82" t="s">
        <v>86</v>
      </c>
      <c r="FH5" s="82" t="s">
        <v>87</v>
      </c>
      <c r="FI5" s="97" t="s">
        <v>0</v>
      </c>
      <c r="FJ5" s="82" t="s">
        <v>168</v>
      </c>
      <c r="FK5" s="82" t="s">
        <v>167</v>
      </c>
      <c r="FN5" s="82" t="s">
        <v>81</v>
      </c>
      <c r="FO5" s="82" t="s">
        <v>82</v>
      </c>
      <c r="FP5" s="82" t="s">
        <v>83</v>
      </c>
      <c r="FQ5" s="82" t="s">
        <v>84</v>
      </c>
      <c r="FR5" s="82" t="s">
        <v>85</v>
      </c>
      <c r="FS5" s="82" t="s">
        <v>86</v>
      </c>
      <c r="FT5" s="82" t="s">
        <v>87</v>
      </c>
      <c r="FU5" s="97" t="s">
        <v>0</v>
      </c>
      <c r="FV5" s="82" t="s">
        <v>168</v>
      </c>
      <c r="FW5" s="82" t="s">
        <v>167</v>
      </c>
      <c r="FZ5" s="82" t="s">
        <v>81</v>
      </c>
      <c r="GA5" s="82" t="s">
        <v>82</v>
      </c>
      <c r="GB5" s="82" t="s">
        <v>83</v>
      </c>
      <c r="GC5" s="82" t="s">
        <v>84</v>
      </c>
      <c r="GD5" s="82" t="s">
        <v>85</v>
      </c>
      <c r="GE5" s="82" t="s">
        <v>86</v>
      </c>
      <c r="GF5" s="82" t="s">
        <v>87</v>
      </c>
      <c r="GG5" s="97" t="s">
        <v>0</v>
      </c>
      <c r="GH5" s="82" t="s">
        <v>168</v>
      </c>
      <c r="GI5" s="82" t="s">
        <v>167</v>
      </c>
      <c r="GL5" s="82" t="s">
        <v>81</v>
      </c>
      <c r="GM5" s="82" t="s">
        <v>82</v>
      </c>
      <c r="GN5" s="82" t="s">
        <v>83</v>
      </c>
      <c r="GO5" s="82" t="s">
        <v>84</v>
      </c>
      <c r="GP5" s="82" t="s">
        <v>85</v>
      </c>
      <c r="GQ5" s="82" t="s">
        <v>86</v>
      </c>
      <c r="GR5" s="82" t="s">
        <v>87</v>
      </c>
      <c r="GS5" s="97" t="s">
        <v>0</v>
      </c>
      <c r="GT5" s="82" t="s">
        <v>168</v>
      </c>
      <c r="GU5" s="82" t="s">
        <v>167</v>
      </c>
    </row>
    <row r="6" spans="2:203" ht="30" customHeight="1" x14ac:dyDescent="0.2">
      <c r="B6" s="84" t="s">
        <v>130</v>
      </c>
      <c r="C6" s="99" t="s">
        <v>93</v>
      </c>
      <c r="D6" s="85" t="s">
        <v>134</v>
      </c>
      <c r="E6" s="85" t="s">
        <v>91</v>
      </c>
      <c r="F6" s="84">
        <v>1</v>
      </c>
      <c r="G6" s="83"/>
      <c r="H6" s="90">
        <v>13.29</v>
      </c>
      <c r="I6" s="90">
        <f>IFERROR(GroceryList[[#This Row],[QTY]]*GroceryList[[#This Row],[UNIT PRICE]],"")</f>
        <v>13.29</v>
      </c>
      <c r="J6" s="85"/>
      <c r="M6" s="84" t="s">
        <v>130</v>
      </c>
      <c r="N6" s="105" t="s">
        <v>93</v>
      </c>
      <c r="O6" s="85" t="s">
        <v>134</v>
      </c>
      <c r="P6" s="85" t="s">
        <v>91</v>
      </c>
      <c r="Q6" s="84">
        <v>1</v>
      </c>
      <c r="R6" s="83"/>
      <c r="S6" s="90">
        <v>13.99</v>
      </c>
      <c r="T6" s="90">
        <f>IFERROR(GroceryList2[[#This Row],[QTY]]*GroceryList2[[#This Row],[UNIT PRICE]],"")</f>
        <v>13.99</v>
      </c>
      <c r="U6" s="85"/>
      <c r="Y6" s="84" t="s">
        <v>130</v>
      </c>
      <c r="Z6" s="105" t="s">
        <v>93</v>
      </c>
      <c r="AA6" s="85" t="s">
        <v>134</v>
      </c>
      <c r="AB6" s="85" t="s">
        <v>91</v>
      </c>
      <c r="AC6" s="84">
        <v>0</v>
      </c>
      <c r="AD6" s="83"/>
      <c r="AE6" s="90">
        <v>13.99</v>
      </c>
      <c r="AF6" s="90">
        <f>IFERROR(GroceryList27[[#This Row],[QTY]]*GroceryList27[[#This Row],[UNIT PRICE]],"")</f>
        <v>0</v>
      </c>
      <c r="AG6" s="85"/>
      <c r="AM6" s="84" t="s">
        <v>130</v>
      </c>
      <c r="AN6" s="105" t="s">
        <v>93</v>
      </c>
      <c r="AO6" s="85" t="s">
        <v>134</v>
      </c>
      <c r="AP6" s="85" t="s">
        <v>91</v>
      </c>
      <c r="AQ6" s="84">
        <v>0</v>
      </c>
      <c r="AR6" s="83"/>
      <c r="AS6" s="90">
        <v>13.99</v>
      </c>
      <c r="AT6" s="90">
        <f>IFERROR(GroceryList274[[#This Row],[QTY]]*GroceryList274[[#This Row],[UNIT PRICE]],"")</f>
        <v>0</v>
      </c>
      <c r="AU6" s="85"/>
      <c r="AY6" s="84" t="s">
        <v>130</v>
      </c>
      <c r="AZ6" s="105" t="s">
        <v>93</v>
      </c>
      <c r="BA6" s="85" t="s">
        <v>134</v>
      </c>
      <c r="BB6" s="85" t="s">
        <v>91</v>
      </c>
      <c r="BC6" s="84">
        <v>1</v>
      </c>
      <c r="BD6" s="83"/>
      <c r="BE6" s="90">
        <v>20</v>
      </c>
      <c r="BF6" s="90">
        <f>IFERROR(GroceryList2745[[#This Row],[QTY]]*GroceryList2745[[#This Row],[UNIT PRICE]],"")</f>
        <v>20</v>
      </c>
      <c r="BG6" s="85"/>
      <c r="BJ6" s="84" t="s">
        <v>130</v>
      </c>
      <c r="BK6" s="105" t="s">
        <v>93</v>
      </c>
      <c r="BL6" s="85" t="s">
        <v>134</v>
      </c>
      <c r="BM6" s="85" t="s">
        <v>91</v>
      </c>
      <c r="BN6" s="84">
        <v>0</v>
      </c>
      <c r="BO6" s="83"/>
      <c r="BP6" s="90">
        <v>20</v>
      </c>
      <c r="BQ6" s="90">
        <f>IFERROR(GroceryList27456[[#This Row],[QTY]]*GroceryList27456[[#This Row],[UNIT PRICE]],"")</f>
        <v>0</v>
      </c>
      <c r="BR6" s="111" t="s">
        <v>130</v>
      </c>
      <c r="BS6" s="85"/>
      <c r="BV6" s="84" t="s">
        <v>130</v>
      </c>
      <c r="BW6" s="105" t="s">
        <v>93</v>
      </c>
      <c r="BX6" s="85" t="s">
        <v>134</v>
      </c>
      <c r="BY6" s="85" t="s">
        <v>91</v>
      </c>
      <c r="BZ6" s="84">
        <v>1</v>
      </c>
      <c r="CA6" s="83"/>
      <c r="CB6" s="90">
        <v>15.19</v>
      </c>
      <c r="CC6" s="90">
        <f>IFERROR(GroceryList2745614[[#This Row],[QTY]]*GroceryList2745614[[#This Row],[UNIT PRICE]],"")</f>
        <v>15.19</v>
      </c>
      <c r="CD6" s="111" t="s">
        <v>130</v>
      </c>
      <c r="CE6" s="85">
        <v>15.99</v>
      </c>
      <c r="CH6" s="84" t="s">
        <v>130</v>
      </c>
      <c r="CI6" s="105" t="s">
        <v>93</v>
      </c>
      <c r="CJ6" s="85" t="s">
        <v>134</v>
      </c>
      <c r="CK6" s="85" t="s">
        <v>91</v>
      </c>
      <c r="CL6" s="84">
        <v>2</v>
      </c>
      <c r="CM6" s="83"/>
      <c r="CN6" s="90">
        <v>12.79</v>
      </c>
      <c r="CO6" s="90">
        <f>IFERROR(GroceryList27456148[[#This Row],[QTY]]*GroceryList27456148[[#This Row],[UNIT PRICE]],"")</f>
        <v>25.58</v>
      </c>
      <c r="CP6" s="111" t="s">
        <v>130</v>
      </c>
      <c r="CQ6" s="85">
        <v>15.99</v>
      </c>
      <c r="CT6" s="84" t="s">
        <v>130</v>
      </c>
      <c r="CU6" s="105" t="s">
        <v>93</v>
      </c>
      <c r="CV6" s="85" t="s">
        <v>134</v>
      </c>
      <c r="CW6" s="85" t="s">
        <v>91</v>
      </c>
      <c r="CX6" s="84">
        <v>2</v>
      </c>
      <c r="CY6" s="83"/>
      <c r="CZ6" s="90">
        <v>12.79</v>
      </c>
      <c r="DA6" s="90">
        <f>IFERROR(GroceryList2745614810[[#This Row],[QTY]]*GroceryList2745614810[[#This Row],[UNIT PRICE]],"")</f>
        <v>25.58</v>
      </c>
      <c r="DB6" s="111" t="s">
        <v>130</v>
      </c>
      <c r="DC6" s="85">
        <v>15.99</v>
      </c>
      <c r="DF6" s="84" t="s">
        <v>130</v>
      </c>
      <c r="DG6" s="105" t="s">
        <v>93</v>
      </c>
      <c r="DH6" s="85" t="s">
        <v>134</v>
      </c>
      <c r="DI6" s="85" t="s">
        <v>91</v>
      </c>
      <c r="DJ6" s="84">
        <v>0</v>
      </c>
      <c r="DK6" s="83"/>
      <c r="DL6" s="90">
        <v>12.79</v>
      </c>
      <c r="DM6" s="90">
        <f>IFERROR(GroceryList27456148109[[#This Row],[QTY]]*GroceryList27456148109[[#This Row],[UNIT PRICE]],"")</f>
        <v>0</v>
      </c>
      <c r="DN6" s="111" t="s">
        <v>130</v>
      </c>
      <c r="DO6" s="85">
        <v>15.99</v>
      </c>
      <c r="DR6" s="84" t="s">
        <v>130</v>
      </c>
      <c r="DS6" s="105" t="s">
        <v>93</v>
      </c>
      <c r="DT6" s="85" t="s">
        <v>134</v>
      </c>
      <c r="DU6" s="85" t="s">
        <v>91</v>
      </c>
      <c r="DV6" s="84">
        <v>1</v>
      </c>
      <c r="DW6" s="83"/>
      <c r="DX6" s="90">
        <v>12.79</v>
      </c>
      <c r="DY6" s="90">
        <f>IFERROR(GroceryList2745614810911[[#This Row],[QTY]]*GroceryList2745614810911[[#This Row],[UNIT PRICE]],"")</f>
        <v>12.79</v>
      </c>
      <c r="DZ6" s="111" t="s">
        <v>130</v>
      </c>
      <c r="EA6" s="85">
        <v>15.99</v>
      </c>
      <c r="ED6" s="84" t="s">
        <v>130</v>
      </c>
      <c r="EE6" s="105" t="s">
        <v>93</v>
      </c>
      <c r="EF6" s="85" t="s">
        <v>134</v>
      </c>
      <c r="EG6" s="85" t="s">
        <v>91</v>
      </c>
      <c r="EH6" s="84">
        <v>1</v>
      </c>
      <c r="EI6" s="83"/>
      <c r="EJ6" s="90">
        <v>15.99</v>
      </c>
      <c r="EK6" s="90">
        <f>IFERROR(GroceryList274561481091112[[#This Row],[QTY]]*GroceryList274561481091112[[#This Row],[UNIT PRICE]],"")</f>
        <v>15.99</v>
      </c>
      <c r="EL6" s="111" t="s">
        <v>130</v>
      </c>
      <c r="EM6" s="85">
        <v>15.99</v>
      </c>
      <c r="EP6" s="84" t="s">
        <v>130</v>
      </c>
      <c r="EQ6" s="105" t="s">
        <v>93</v>
      </c>
      <c r="ER6" s="85" t="s">
        <v>134</v>
      </c>
      <c r="ES6" s="85" t="s">
        <v>91</v>
      </c>
      <c r="ET6" s="84">
        <v>0</v>
      </c>
      <c r="EU6" s="83"/>
      <c r="EV6" s="90">
        <v>15.99</v>
      </c>
      <c r="EW6" s="90">
        <f>IFERROR(GroceryList27456148109111213[[#This Row],[QTY]]*GroceryList27456148109111213[[#This Row],[UNIT PRICE]],"")</f>
        <v>0</v>
      </c>
      <c r="EX6" s="111" t="s">
        <v>130</v>
      </c>
      <c r="EY6" s="85">
        <v>15.99</v>
      </c>
      <c r="FB6" s="84" t="s">
        <v>130</v>
      </c>
      <c r="FC6" s="105" t="s">
        <v>93</v>
      </c>
      <c r="FD6" s="85" t="s">
        <v>134</v>
      </c>
      <c r="FE6" s="85" t="s">
        <v>91</v>
      </c>
      <c r="FF6" s="84">
        <v>2</v>
      </c>
      <c r="FG6" s="83"/>
      <c r="FH6" s="90">
        <v>13.59</v>
      </c>
      <c r="FI6" s="90">
        <f>IFERROR(GroceryList2745614810911121315[[#This Row],[QTY]]*GroceryList2745614810911121315[[#This Row],[UNIT PRICE]],"")</f>
        <v>27.18</v>
      </c>
      <c r="FJ6" s="111" t="s">
        <v>130</v>
      </c>
      <c r="FK6" s="85">
        <v>15.99</v>
      </c>
      <c r="FN6" s="84" t="s">
        <v>130</v>
      </c>
      <c r="FO6" s="105" t="s">
        <v>93</v>
      </c>
      <c r="FP6" s="85" t="s">
        <v>134</v>
      </c>
      <c r="FQ6" s="85" t="s">
        <v>91</v>
      </c>
      <c r="FR6" s="84">
        <v>0</v>
      </c>
      <c r="FS6" s="83"/>
      <c r="FT6" s="90">
        <v>15.99</v>
      </c>
      <c r="FU6" s="90">
        <f>IFERROR(GroceryList274561481091112131516[[#This Row],[QTY]]*GroceryList274561481091112131516[[#This Row],[UNIT PRICE]],"")</f>
        <v>0</v>
      </c>
      <c r="FV6" s="111" t="s">
        <v>130</v>
      </c>
      <c r="FW6" s="85">
        <v>15.99</v>
      </c>
      <c r="FZ6" s="84" t="s">
        <v>130</v>
      </c>
      <c r="GA6" s="105" t="s">
        <v>93</v>
      </c>
      <c r="GB6" s="85" t="s">
        <v>134</v>
      </c>
      <c r="GC6" s="85" t="s">
        <v>91</v>
      </c>
      <c r="GD6" s="84">
        <v>1</v>
      </c>
      <c r="GE6" s="83"/>
      <c r="GF6" s="90">
        <v>13.99</v>
      </c>
      <c r="GG6" s="90">
        <f>IFERROR(GroceryList274561481091112131517[[#This Row],[QTY]]*GroceryList274561481091112131517[[#This Row],[UNIT PRICE]],"")</f>
        <v>13.99</v>
      </c>
      <c r="GH6" s="111" t="s">
        <v>130</v>
      </c>
      <c r="GI6" s="85">
        <v>15.99</v>
      </c>
      <c r="GL6" s="84" t="s">
        <v>130</v>
      </c>
      <c r="GM6" s="105" t="s">
        <v>93</v>
      </c>
      <c r="GN6" s="85" t="s">
        <v>134</v>
      </c>
      <c r="GO6" s="85" t="s">
        <v>91</v>
      </c>
      <c r="GP6" s="84">
        <v>1</v>
      </c>
      <c r="GQ6" s="83"/>
      <c r="GR6" s="90">
        <v>13.99</v>
      </c>
      <c r="GS6" s="90">
        <f>IFERROR(GroceryList27456148109111213151718[[#This Row],[QTY]]*GroceryList27456148109111213151718[[#This Row],[UNIT PRICE]],"")</f>
        <v>13.99</v>
      </c>
      <c r="GT6" s="111" t="s">
        <v>130</v>
      </c>
      <c r="GU6" s="85">
        <v>15.99</v>
      </c>
    </row>
    <row r="7" spans="2:203" ht="30" customHeight="1" x14ac:dyDescent="0.2">
      <c r="B7" s="84"/>
      <c r="C7" s="102" t="s">
        <v>133</v>
      </c>
      <c r="D7" t="s">
        <v>134</v>
      </c>
      <c r="E7" t="s">
        <v>90</v>
      </c>
      <c r="F7" s="84">
        <v>0.5</v>
      </c>
      <c r="G7" s="83"/>
      <c r="H7" s="90">
        <v>108.29</v>
      </c>
      <c r="I7" s="90">
        <f>IFERROR(GroceryList[[#This Row],[QTY]]*GroceryList[[#This Row],[UNIT PRICE]],"")</f>
        <v>54.145000000000003</v>
      </c>
      <c r="J7"/>
      <c r="M7" s="84"/>
      <c r="N7" s="102" t="s">
        <v>133</v>
      </c>
      <c r="O7" t="s">
        <v>134</v>
      </c>
      <c r="P7" t="s">
        <v>90</v>
      </c>
      <c r="Q7" s="84"/>
      <c r="R7" s="83"/>
      <c r="S7" s="90">
        <v>108.29</v>
      </c>
      <c r="T7" s="90">
        <f>IFERROR(GroceryList2[[#This Row],[QTY]]*GroceryList2[[#This Row],[UNIT PRICE]],"")</f>
        <v>0</v>
      </c>
      <c r="U7"/>
      <c r="Y7" s="84" t="s">
        <v>130</v>
      </c>
      <c r="Z7" s="102" t="s">
        <v>133</v>
      </c>
      <c r="AA7" t="s">
        <v>134</v>
      </c>
      <c r="AB7" t="s">
        <v>90</v>
      </c>
      <c r="AC7" s="84">
        <v>0</v>
      </c>
      <c r="AD7" s="83"/>
      <c r="AE7" s="90">
        <v>108.29</v>
      </c>
      <c r="AF7" s="90">
        <f>IFERROR(GroceryList27[[#This Row],[QTY]]*GroceryList27[[#This Row],[UNIT PRICE]],"")</f>
        <v>0</v>
      </c>
      <c r="AG7"/>
      <c r="AM7" s="84" t="s">
        <v>130</v>
      </c>
      <c r="AN7" s="107" t="s">
        <v>133</v>
      </c>
      <c r="AO7" s="108" t="s">
        <v>134</v>
      </c>
      <c r="AP7" s="108" t="s">
        <v>90</v>
      </c>
      <c r="AQ7" s="84">
        <v>0</v>
      </c>
      <c r="AR7" s="83"/>
      <c r="AS7" s="109">
        <v>108.29</v>
      </c>
      <c r="AT7" s="109">
        <f>IFERROR(GroceryList274[[#This Row],[QTY]]*GroceryList274[[#This Row],[UNIT PRICE]],"")</f>
        <v>0</v>
      </c>
      <c r="AU7"/>
      <c r="AY7" s="84" t="s">
        <v>130</v>
      </c>
      <c r="AZ7" s="107" t="s">
        <v>133</v>
      </c>
      <c r="BA7" s="108" t="s">
        <v>134</v>
      </c>
      <c r="BB7" s="108" t="s">
        <v>90</v>
      </c>
      <c r="BC7" s="84">
        <v>0</v>
      </c>
      <c r="BD7" s="83"/>
      <c r="BE7" s="109">
        <v>108.29</v>
      </c>
      <c r="BF7" s="109">
        <f>IFERROR(GroceryList2745[[#This Row],[QTY]]*GroceryList2745[[#This Row],[UNIT PRICE]],"")</f>
        <v>0</v>
      </c>
      <c r="BG7"/>
      <c r="BJ7" s="84" t="s">
        <v>130</v>
      </c>
      <c r="BK7" s="107" t="s">
        <v>133</v>
      </c>
      <c r="BL7" s="108" t="s">
        <v>134</v>
      </c>
      <c r="BM7" s="108" t="s">
        <v>90</v>
      </c>
      <c r="BN7" s="84">
        <v>0</v>
      </c>
      <c r="BO7" s="83"/>
      <c r="BP7" s="109">
        <v>108.29</v>
      </c>
      <c r="BQ7" s="109">
        <f>IFERROR(GroceryList27456[[#This Row],[QTY]]*GroceryList27456[[#This Row],[UNIT PRICE]],"")</f>
        <v>0</v>
      </c>
      <c r="BR7" s="111" t="s">
        <v>169</v>
      </c>
      <c r="BS7"/>
      <c r="BV7" s="84" t="s">
        <v>130</v>
      </c>
      <c r="BW7" s="107" t="s">
        <v>133</v>
      </c>
      <c r="BX7" s="108" t="s">
        <v>134</v>
      </c>
      <c r="BY7" s="108" t="s">
        <v>90</v>
      </c>
      <c r="BZ7" s="84">
        <v>0</v>
      </c>
      <c r="CA7" s="83"/>
      <c r="CB7" s="109">
        <v>108.29</v>
      </c>
      <c r="CC7" s="109">
        <f>IFERROR(GroceryList2745614[[#This Row],[QTY]]*GroceryList2745614[[#This Row],[UNIT PRICE]],"")</f>
        <v>0</v>
      </c>
      <c r="CD7" s="111" t="s">
        <v>169</v>
      </c>
      <c r="CE7"/>
      <c r="CH7" s="84" t="s">
        <v>130</v>
      </c>
      <c r="CI7" s="107" t="s">
        <v>133</v>
      </c>
      <c r="CJ7" s="108" t="s">
        <v>134</v>
      </c>
      <c r="CK7" s="108" t="s">
        <v>90</v>
      </c>
      <c r="CL7" s="84">
        <v>1</v>
      </c>
      <c r="CM7" s="83"/>
      <c r="CN7" s="109">
        <v>110.38</v>
      </c>
      <c r="CO7" s="109">
        <f>IFERROR(GroceryList27456148[[#This Row],[QTY]]*GroceryList27456148[[#This Row],[UNIT PRICE]],"")</f>
        <v>110.38</v>
      </c>
      <c r="CP7" s="111" t="s">
        <v>169</v>
      </c>
      <c r="CQ7"/>
      <c r="CT7" s="84" t="s">
        <v>130</v>
      </c>
      <c r="CU7" s="107" t="s">
        <v>133</v>
      </c>
      <c r="CV7" s="108" t="s">
        <v>134</v>
      </c>
      <c r="CW7" s="108" t="s">
        <v>90</v>
      </c>
      <c r="CX7" s="84">
        <v>1</v>
      </c>
      <c r="CY7" s="83"/>
      <c r="CZ7" s="109">
        <v>42.39</v>
      </c>
      <c r="DA7" s="109">
        <f>IFERROR(GroceryList2745614810[[#This Row],[QTY]]*GroceryList2745614810[[#This Row],[UNIT PRICE]],"")</f>
        <v>42.39</v>
      </c>
      <c r="DB7" s="111" t="s">
        <v>169</v>
      </c>
      <c r="DC7">
        <v>52.99</v>
      </c>
      <c r="DF7" s="84" t="s">
        <v>130</v>
      </c>
      <c r="DG7" s="107" t="s">
        <v>133</v>
      </c>
      <c r="DH7" s="108" t="s">
        <v>134</v>
      </c>
      <c r="DI7" s="108" t="s">
        <v>90</v>
      </c>
      <c r="DJ7" s="84">
        <v>0</v>
      </c>
      <c r="DK7" s="83"/>
      <c r="DL7" s="109">
        <v>110.38</v>
      </c>
      <c r="DM7" s="109">
        <f>IFERROR(GroceryList27456148109[[#This Row],[QTY]]*GroceryList27456148109[[#This Row],[UNIT PRICE]],"")</f>
        <v>0</v>
      </c>
      <c r="DN7" s="111" t="s">
        <v>169</v>
      </c>
      <c r="DO7"/>
      <c r="DR7" s="84" t="s">
        <v>130</v>
      </c>
      <c r="DS7" s="107" t="s">
        <v>133</v>
      </c>
      <c r="DT7" s="108" t="s">
        <v>134</v>
      </c>
      <c r="DU7" s="108" t="s">
        <v>90</v>
      </c>
      <c r="DV7" s="84">
        <v>0</v>
      </c>
      <c r="DW7" s="83"/>
      <c r="DX7" s="109">
        <v>110.38</v>
      </c>
      <c r="DY7" s="109">
        <f>IFERROR(GroceryList2745614810911[[#This Row],[QTY]]*GroceryList2745614810911[[#This Row],[UNIT PRICE]],"")</f>
        <v>0</v>
      </c>
      <c r="DZ7" s="111" t="s">
        <v>169</v>
      </c>
      <c r="EA7"/>
      <c r="ED7" s="84" t="s">
        <v>130</v>
      </c>
      <c r="EE7" s="107" t="s">
        <v>133</v>
      </c>
      <c r="EF7" s="108" t="s">
        <v>134</v>
      </c>
      <c r="EG7" s="108" t="s">
        <v>90</v>
      </c>
      <c r="EH7" s="84">
        <v>1</v>
      </c>
      <c r="EI7" s="83"/>
      <c r="EJ7" s="109">
        <v>50.34</v>
      </c>
      <c r="EK7" s="109">
        <f>IFERROR(GroceryList274561481091112[[#This Row],[QTY]]*GroceryList274561481091112[[#This Row],[UNIT PRICE]],"")</f>
        <v>50.34</v>
      </c>
      <c r="EL7" s="111" t="s">
        <v>169</v>
      </c>
      <c r="EM7">
        <v>53</v>
      </c>
      <c r="EP7" s="84" t="s">
        <v>130</v>
      </c>
      <c r="EQ7" s="107" t="s">
        <v>133</v>
      </c>
      <c r="ER7" s="108" t="s">
        <v>134</v>
      </c>
      <c r="ES7" s="108" t="s">
        <v>90</v>
      </c>
      <c r="ET7" s="84">
        <v>0</v>
      </c>
      <c r="EU7" s="83"/>
      <c r="EV7" s="109">
        <v>50.34</v>
      </c>
      <c r="EW7" s="109">
        <f>IFERROR(GroceryList27456148109111213[[#This Row],[QTY]]*GroceryList27456148109111213[[#This Row],[UNIT PRICE]],"")</f>
        <v>0</v>
      </c>
      <c r="EX7" s="111" t="s">
        <v>169</v>
      </c>
      <c r="EY7">
        <v>53</v>
      </c>
      <c r="FB7" s="84" t="s">
        <v>130</v>
      </c>
      <c r="FC7" s="107" t="s">
        <v>133</v>
      </c>
      <c r="FD7" s="108" t="s">
        <v>134</v>
      </c>
      <c r="FE7" s="108" t="s">
        <v>90</v>
      </c>
      <c r="FF7" s="84">
        <v>0</v>
      </c>
      <c r="FG7" s="83"/>
      <c r="FH7" s="109">
        <v>50.34</v>
      </c>
      <c r="FI7" s="109">
        <f>IFERROR(GroceryList2745614810911121315[[#This Row],[QTY]]*GroceryList2745614810911121315[[#This Row],[UNIT PRICE]],"")</f>
        <v>0</v>
      </c>
      <c r="FJ7" s="111" t="s">
        <v>169</v>
      </c>
      <c r="FK7">
        <v>53</v>
      </c>
      <c r="FN7" s="84" t="s">
        <v>130</v>
      </c>
      <c r="FO7" s="107" t="s">
        <v>133</v>
      </c>
      <c r="FP7" s="108" t="s">
        <v>134</v>
      </c>
      <c r="FQ7" s="108" t="s">
        <v>90</v>
      </c>
      <c r="FR7" s="84">
        <v>0</v>
      </c>
      <c r="FS7" s="83"/>
      <c r="FT7" s="109">
        <v>50.34</v>
      </c>
      <c r="FU7" s="109">
        <f>IFERROR(GroceryList274561481091112131516[[#This Row],[QTY]]*GroceryList274561481091112131516[[#This Row],[UNIT PRICE]],"")</f>
        <v>0</v>
      </c>
      <c r="FV7" s="111" t="s">
        <v>169</v>
      </c>
      <c r="FW7">
        <v>53</v>
      </c>
      <c r="FZ7" s="84" t="s">
        <v>130</v>
      </c>
      <c r="GA7" s="107" t="s">
        <v>133</v>
      </c>
      <c r="GB7" s="108" t="s">
        <v>134</v>
      </c>
      <c r="GC7" s="108" t="s">
        <v>90</v>
      </c>
      <c r="GD7" s="84">
        <v>1</v>
      </c>
      <c r="GE7" s="83"/>
      <c r="GF7" s="109">
        <f>85.49+27.49</f>
        <v>112.97999999999999</v>
      </c>
      <c r="GG7" s="109">
        <f>IFERROR(GroceryList274561481091112131517[[#This Row],[QTY]]*GroceryList274561481091112131517[[#This Row],[UNIT PRICE]],"")</f>
        <v>112.97999999999999</v>
      </c>
      <c r="GH7" s="111" t="s">
        <v>169</v>
      </c>
      <c r="GI7">
        <v>53</v>
      </c>
      <c r="GL7" s="84" t="s">
        <v>130</v>
      </c>
      <c r="GM7" s="107" t="s">
        <v>133</v>
      </c>
      <c r="GN7" s="108" t="s">
        <v>134</v>
      </c>
      <c r="GO7" s="108" t="s">
        <v>90</v>
      </c>
      <c r="GP7" s="84">
        <v>1</v>
      </c>
      <c r="GQ7" s="83"/>
      <c r="GR7" s="109">
        <f>85.49+27.49</f>
        <v>112.97999999999999</v>
      </c>
      <c r="GS7" s="109">
        <f>IFERROR(GroceryList27456148109111213151718[[#This Row],[QTY]]*GroceryList27456148109111213151718[[#This Row],[UNIT PRICE]],"")</f>
        <v>112.97999999999999</v>
      </c>
      <c r="GT7" s="111" t="s">
        <v>169</v>
      </c>
      <c r="GU7">
        <v>53</v>
      </c>
    </row>
    <row r="8" spans="2:203" ht="30" customHeight="1" x14ac:dyDescent="0.2">
      <c r="B8" s="84"/>
      <c r="C8" s="102" t="s">
        <v>138</v>
      </c>
      <c r="D8" t="s">
        <v>134</v>
      </c>
      <c r="E8" t="s">
        <v>92</v>
      </c>
      <c r="F8" s="84">
        <v>1</v>
      </c>
      <c r="G8" s="83"/>
      <c r="H8" s="90">
        <v>15.06</v>
      </c>
      <c r="I8" s="90">
        <f>IFERROR(GroceryList[[#This Row],[QTY]]*GroceryList[[#This Row],[UNIT PRICE]],"")</f>
        <v>15.06</v>
      </c>
      <c r="J8"/>
      <c r="M8" s="84"/>
      <c r="N8" s="102" t="s">
        <v>138</v>
      </c>
      <c r="O8" t="s">
        <v>134</v>
      </c>
      <c r="P8" t="s">
        <v>92</v>
      </c>
      <c r="Q8" s="84"/>
      <c r="R8" s="83"/>
      <c r="S8" s="90">
        <v>15.06</v>
      </c>
      <c r="T8" s="90">
        <f>IFERROR(GroceryList2[[#This Row],[QTY]]*GroceryList2[[#This Row],[UNIT PRICE]],"")</f>
        <v>0</v>
      </c>
      <c r="U8"/>
      <c r="Y8" s="84"/>
      <c r="Z8" s="102" t="s">
        <v>138</v>
      </c>
      <c r="AA8" t="s">
        <v>134</v>
      </c>
      <c r="AB8" t="s">
        <v>92</v>
      </c>
      <c r="AC8" s="84"/>
      <c r="AD8" s="83"/>
      <c r="AE8" s="90">
        <v>15.06</v>
      </c>
      <c r="AF8" s="90">
        <f>IFERROR(GroceryList27[[#This Row],[QTY]]*GroceryList27[[#This Row],[UNIT PRICE]],"")</f>
        <v>0</v>
      </c>
      <c r="AG8"/>
      <c r="AM8" s="84"/>
      <c r="AN8" s="107" t="s">
        <v>138</v>
      </c>
      <c r="AO8" s="108" t="s">
        <v>134</v>
      </c>
      <c r="AP8" s="108" t="s">
        <v>92</v>
      </c>
      <c r="AQ8" s="84"/>
      <c r="AR8" s="83"/>
      <c r="AS8" s="109">
        <v>15.06</v>
      </c>
      <c r="AT8" s="109">
        <f>IFERROR(GroceryList274[[#This Row],[QTY]]*GroceryList274[[#This Row],[UNIT PRICE]],"")</f>
        <v>0</v>
      </c>
      <c r="AU8"/>
      <c r="AY8" s="84"/>
      <c r="AZ8" s="107" t="s">
        <v>138</v>
      </c>
      <c r="BA8" s="108" t="s">
        <v>134</v>
      </c>
      <c r="BB8" s="108" t="s">
        <v>92</v>
      </c>
      <c r="BC8" s="84">
        <v>0</v>
      </c>
      <c r="BD8" s="83"/>
      <c r="BE8" s="109">
        <v>15.06</v>
      </c>
      <c r="BF8" s="109">
        <f>IFERROR(GroceryList2745[[#This Row],[QTY]]*GroceryList2745[[#This Row],[UNIT PRICE]],"")</f>
        <v>0</v>
      </c>
      <c r="BG8"/>
      <c r="BJ8" s="84"/>
      <c r="BK8" s="107" t="s">
        <v>138</v>
      </c>
      <c r="BL8" s="108" t="s">
        <v>134</v>
      </c>
      <c r="BM8" s="108" t="s">
        <v>92</v>
      </c>
      <c r="BN8" s="84">
        <v>0</v>
      </c>
      <c r="BO8" s="83"/>
      <c r="BP8" s="109">
        <v>15.06</v>
      </c>
      <c r="BQ8" s="109">
        <f>IFERROR(GroceryList27456[[#This Row],[QTY]]*GroceryList27456[[#This Row],[UNIT PRICE]],"")</f>
        <v>0</v>
      </c>
      <c r="BR8" s="111" t="s">
        <v>169</v>
      </c>
      <c r="BS8"/>
      <c r="BV8" s="84"/>
      <c r="BW8" s="107" t="s">
        <v>138</v>
      </c>
      <c r="BX8" s="108" t="s">
        <v>134</v>
      </c>
      <c r="BY8" s="108" t="s">
        <v>92</v>
      </c>
      <c r="BZ8" s="84">
        <v>0</v>
      </c>
      <c r="CA8" s="83"/>
      <c r="CB8" s="109">
        <v>15.06</v>
      </c>
      <c r="CC8" s="109">
        <f>IFERROR(GroceryList2745614[[#This Row],[QTY]]*GroceryList2745614[[#This Row],[UNIT PRICE]],"")</f>
        <v>0</v>
      </c>
      <c r="CD8" s="111" t="s">
        <v>169</v>
      </c>
      <c r="CE8"/>
      <c r="CH8" s="84"/>
      <c r="CI8" s="111" t="s">
        <v>172</v>
      </c>
      <c r="CJ8" s="108" t="s">
        <v>134</v>
      </c>
      <c r="CK8" s="108" t="s">
        <v>92</v>
      </c>
      <c r="CL8" s="84">
        <v>3</v>
      </c>
      <c r="CM8" s="83"/>
      <c r="CN8" s="109">
        <v>4.92</v>
      </c>
      <c r="CO8" s="109">
        <f>IFERROR(GroceryList27456148[[#This Row],[QTY]]*GroceryList27456148[[#This Row],[UNIT PRICE]],"")</f>
        <v>14.76</v>
      </c>
      <c r="CP8" s="111" t="s">
        <v>169</v>
      </c>
      <c r="CQ8"/>
      <c r="CT8" s="84"/>
      <c r="CU8" s="111" t="s">
        <v>172</v>
      </c>
      <c r="CV8" s="108" t="s">
        <v>134</v>
      </c>
      <c r="CW8" s="108" t="s">
        <v>92</v>
      </c>
      <c r="CX8" s="84">
        <v>1</v>
      </c>
      <c r="CY8" s="83"/>
      <c r="CZ8" s="109">
        <f>7.18+18.38</f>
        <v>25.56</v>
      </c>
      <c r="DA8" s="109">
        <f>IFERROR(GroceryList2745614810[[#This Row],[QTY]]*GroceryList2745614810[[#This Row],[UNIT PRICE]],"")</f>
        <v>25.56</v>
      </c>
      <c r="DB8" s="111" t="s">
        <v>169</v>
      </c>
      <c r="DC8">
        <f>(4.49*2)+(11.49*2)</f>
        <v>31.96</v>
      </c>
      <c r="DF8" s="84"/>
      <c r="DG8" s="111" t="s">
        <v>172</v>
      </c>
      <c r="DH8" s="108" t="s">
        <v>134</v>
      </c>
      <c r="DI8" s="108" t="s">
        <v>92</v>
      </c>
      <c r="DJ8" s="84">
        <v>0</v>
      </c>
      <c r="DK8" s="83"/>
      <c r="DL8" s="109">
        <v>4.92</v>
      </c>
      <c r="DM8" s="109">
        <f>IFERROR(GroceryList27456148109[[#This Row],[QTY]]*GroceryList27456148109[[#This Row],[UNIT PRICE]],"")</f>
        <v>0</v>
      </c>
      <c r="DN8" s="111" t="s">
        <v>169</v>
      </c>
      <c r="DO8"/>
      <c r="DR8" s="84"/>
      <c r="DS8" s="111" t="s">
        <v>172</v>
      </c>
      <c r="DT8" s="108" t="s">
        <v>134</v>
      </c>
      <c r="DU8" s="108" t="s">
        <v>92</v>
      </c>
      <c r="DV8" s="84">
        <v>0</v>
      </c>
      <c r="DW8" s="83"/>
      <c r="DX8" s="109">
        <v>4.92</v>
      </c>
      <c r="DY8" s="109">
        <f>IFERROR(GroceryList2745614810911[[#This Row],[QTY]]*GroceryList2745614810911[[#This Row],[UNIT PRICE]],"")</f>
        <v>0</v>
      </c>
      <c r="DZ8" s="111" t="s">
        <v>169</v>
      </c>
      <c r="EA8"/>
      <c r="ED8" s="84"/>
      <c r="EE8" s="111" t="s">
        <v>172</v>
      </c>
      <c r="EF8" s="108" t="s">
        <v>134</v>
      </c>
      <c r="EG8" s="108" t="s">
        <v>92</v>
      </c>
      <c r="EH8" s="84">
        <v>0</v>
      </c>
      <c r="EI8" s="83"/>
      <c r="EJ8" s="109">
        <v>4.92</v>
      </c>
      <c r="EK8" s="109">
        <f>IFERROR(GroceryList274561481091112[[#This Row],[QTY]]*GroceryList274561481091112[[#This Row],[UNIT PRICE]],"")</f>
        <v>0</v>
      </c>
      <c r="EL8" s="111" t="s">
        <v>169</v>
      </c>
      <c r="EM8"/>
      <c r="EP8" s="84"/>
      <c r="EQ8" s="111" t="s">
        <v>172</v>
      </c>
      <c r="ER8" s="108" t="s">
        <v>134</v>
      </c>
      <c r="ES8" s="108" t="s">
        <v>92</v>
      </c>
      <c r="ET8" s="84">
        <v>0</v>
      </c>
      <c r="EU8" s="83"/>
      <c r="EV8" s="109">
        <v>4.92</v>
      </c>
      <c r="EW8" s="109">
        <f>IFERROR(GroceryList27456148109111213[[#This Row],[QTY]]*GroceryList27456148109111213[[#This Row],[UNIT PRICE]],"")</f>
        <v>0</v>
      </c>
      <c r="EX8" s="111" t="s">
        <v>169</v>
      </c>
      <c r="EY8"/>
      <c r="FB8" s="84"/>
      <c r="FC8" s="111" t="s">
        <v>172</v>
      </c>
      <c r="FD8" s="108" t="s">
        <v>134</v>
      </c>
      <c r="FE8" s="108" t="s">
        <v>92</v>
      </c>
      <c r="FF8" s="84">
        <v>0</v>
      </c>
      <c r="FG8" s="83"/>
      <c r="FH8" s="109">
        <v>4.92</v>
      </c>
      <c r="FI8" s="109">
        <f>IFERROR(GroceryList2745614810911121315[[#This Row],[QTY]]*GroceryList2745614810911121315[[#This Row],[UNIT PRICE]],"")</f>
        <v>0</v>
      </c>
      <c r="FJ8" s="111" t="s">
        <v>169</v>
      </c>
      <c r="FK8"/>
      <c r="FN8" s="84"/>
      <c r="FO8" s="111" t="s">
        <v>172</v>
      </c>
      <c r="FP8" s="108" t="s">
        <v>134</v>
      </c>
      <c r="FQ8" s="108" t="s">
        <v>92</v>
      </c>
      <c r="FR8" s="84">
        <v>0</v>
      </c>
      <c r="FS8" s="83"/>
      <c r="FT8" s="109">
        <v>4.92</v>
      </c>
      <c r="FU8" s="109">
        <f>IFERROR(GroceryList274561481091112131516[[#This Row],[QTY]]*GroceryList274561481091112131516[[#This Row],[UNIT PRICE]],"")</f>
        <v>0</v>
      </c>
      <c r="FV8" s="111" t="s">
        <v>169</v>
      </c>
      <c r="FW8"/>
      <c r="FZ8" s="84"/>
      <c r="GA8" s="111" t="s">
        <v>329</v>
      </c>
      <c r="GB8" s="108" t="s">
        <v>134</v>
      </c>
      <c r="GC8" s="108" t="s">
        <v>92</v>
      </c>
      <c r="GD8" s="84">
        <v>1</v>
      </c>
      <c r="GE8" s="83"/>
      <c r="GF8" s="109">
        <v>42.9</v>
      </c>
      <c r="GG8" s="109">
        <f>IFERROR(GroceryList274561481091112131517[[#This Row],[QTY]]*GroceryList274561481091112131517[[#This Row],[UNIT PRICE]],"")</f>
        <v>42.9</v>
      </c>
      <c r="GH8" s="111" t="s">
        <v>169</v>
      </c>
      <c r="GI8"/>
      <c r="GL8" s="84"/>
      <c r="GM8" s="111" t="s">
        <v>329</v>
      </c>
      <c r="GN8" s="108" t="s">
        <v>134</v>
      </c>
      <c r="GO8" s="108" t="s">
        <v>92</v>
      </c>
      <c r="GP8" s="84">
        <v>0</v>
      </c>
      <c r="GQ8" s="83"/>
      <c r="GR8" s="109">
        <v>42.9</v>
      </c>
      <c r="GS8" s="109">
        <f>IFERROR(GroceryList27456148109111213151718[[#This Row],[QTY]]*GroceryList27456148109111213151718[[#This Row],[UNIT PRICE]],"")</f>
        <v>0</v>
      </c>
      <c r="GT8" s="111" t="s">
        <v>169</v>
      </c>
      <c r="GU8"/>
    </row>
    <row r="9" spans="2:203" ht="30" customHeight="1" x14ac:dyDescent="0.2">
      <c r="B9" s="84"/>
      <c r="C9" s="99" t="s">
        <v>94</v>
      </c>
      <c r="D9" s="85"/>
      <c r="E9" s="85"/>
      <c r="F9" s="84"/>
      <c r="G9" s="83"/>
      <c r="H9" s="90"/>
      <c r="I9" s="90">
        <f>IFERROR(GroceryList[[#This Row],[QTY]]*GroceryList[[#This Row],[UNIT PRICE]],"")</f>
        <v>0</v>
      </c>
      <c r="J9" s="85"/>
      <c r="M9" s="84" t="s">
        <v>130</v>
      </c>
      <c r="N9" s="99" t="s">
        <v>94</v>
      </c>
      <c r="O9" s="85"/>
      <c r="P9" s="85" t="s">
        <v>91</v>
      </c>
      <c r="Q9" s="84">
        <v>2</v>
      </c>
      <c r="R9" s="83"/>
      <c r="S9" s="90">
        <v>11.49</v>
      </c>
      <c r="T9" s="90">
        <f>IFERROR(GroceryList2[[#This Row],[QTY]]*GroceryList2[[#This Row],[UNIT PRICE]],"")</f>
        <v>22.98</v>
      </c>
      <c r="U9" s="85"/>
      <c r="Y9" s="84"/>
      <c r="Z9" s="99" t="s">
        <v>94</v>
      </c>
      <c r="AA9" s="85"/>
      <c r="AB9" s="85" t="s">
        <v>91</v>
      </c>
      <c r="AC9" s="84"/>
      <c r="AD9" s="83"/>
      <c r="AE9" s="90">
        <v>11.49</v>
      </c>
      <c r="AF9" s="90">
        <f>IFERROR(GroceryList27[[#This Row],[QTY]]*GroceryList27[[#This Row],[UNIT PRICE]],"")</f>
        <v>0</v>
      </c>
      <c r="AG9" s="85"/>
      <c r="AM9" s="84"/>
      <c r="AN9" s="105" t="s">
        <v>94</v>
      </c>
      <c r="AO9" s="85"/>
      <c r="AP9" s="85" t="s">
        <v>91</v>
      </c>
      <c r="AQ9" s="84"/>
      <c r="AR9" s="83"/>
      <c r="AS9" s="109">
        <v>11.49</v>
      </c>
      <c r="AT9" s="109">
        <f>IFERROR(GroceryList274[[#This Row],[QTY]]*GroceryList274[[#This Row],[UNIT PRICE]],"")</f>
        <v>0</v>
      </c>
      <c r="AU9" s="85"/>
      <c r="AY9" s="84"/>
      <c r="AZ9" s="105" t="s">
        <v>94</v>
      </c>
      <c r="BA9" s="85"/>
      <c r="BB9" s="85" t="s">
        <v>91</v>
      </c>
      <c r="BC9" s="84">
        <v>0</v>
      </c>
      <c r="BD9" s="83"/>
      <c r="BE9" s="109">
        <v>11.49</v>
      </c>
      <c r="BF9" s="109">
        <f>IFERROR(GroceryList2745[[#This Row],[QTY]]*GroceryList2745[[#This Row],[UNIT PRICE]],"")</f>
        <v>0</v>
      </c>
      <c r="BG9" s="85"/>
      <c r="BJ9" s="84"/>
      <c r="BK9" s="105" t="s">
        <v>94</v>
      </c>
      <c r="BL9" s="85"/>
      <c r="BM9" s="85" t="s">
        <v>91</v>
      </c>
      <c r="BN9" s="84">
        <v>0</v>
      </c>
      <c r="BO9" s="83"/>
      <c r="BP9" s="109">
        <v>11.49</v>
      </c>
      <c r="BQ9" s="109">
        <f>IFERROR(GroceryList27456[[#This Row],[QTY]]*GroceryList27456[[#This Row],[UNIT PRICE]],"")</f>
        <v>0</v>
      </c>
      <c r="BR9" s="112" t="s">
        <v>169</v>
      </c>
      <c r="BS9" s="85"/>
      <c r="BV9" s="84"/>
      <c r="BW9" s="105" t="s">
        <v>94</v>
      </c>
      <c r="BX9" s="85"/>
      <c r="BY9" s="85" t="s">
        <v>91</v>
      </c>
      <c r="BZ9" s="84">
        <v>0</v>
      </c>
      <c r="CA9" s="83"/>
      <c r="CB9" s="109">
        <v>11.49</v>
      </c>
      <c r="CC9" s="109">
        <f>IFERROR(GroceryList2745614[[#This Row],[QTY]]*GroceryList2745614[[#This Row],[UNIT PRICE]],"")</f>
        <v>0</v>
      </c>
      <c r="CD9" s="112" t="s">
        <v>169</v>
      </c>
      <c r="CE9" s="85"/>
      <c r="CH9" s="84"/>
      <c r="CI9" s="105" t="s">
        <v>94</v>
      </c>
      <c r="CJ9" s="85"/>
      <c r="CK9" s="85" t="s">
        <v>91</v>
      </c>
      <c r="CL9" s="84">
        <v>0</v>
      </c>
      <c r="CM9" s="83"/>
      <c r="CN9" s="109">
        <v>11.49</v>
      </c>
      <c r="CO9" s="109">
        <f>IFERROR(GroceryList27456148[[#This Row],[QTY]]*GroceryList27456148[[#This Row],[UNIT PRICE]],"")</f>
        <v>0</v>
      </c>
      <c r="CP9" s="112" t="s">
        <v>169</v>
      </c>
      <c r="CQ9" s="85"/>
      <c r="CT9" s="84"/>
      <c r="CU9" s="105" t="s">
        <v>94</v>
      </c>
      <c r="CV9" s="85"/>
      <c r="CW9" s="85" t="s">
        <v>91</v>
      </c>
      <c r="CX9" s="84">
        <v>2</v>
      </c>
      <c r="CY9" s="83"/>
      <c r="CZ9" s="109">
        <f>18.38/2</f>
        <v>9.19</v>
      </c>
      <c r="DA9" s="109">
        <f>IFERROR(GroceryList2745614810[[#This Row],[QTY]]*GroceryList2745614810[[#This Row],[UNIT PRICE]],"")</f>
        <v>18.38</v>
      </c>
      <c r="DB9" s="112" t="s">
        <v>169</v>
      </c>
      <c r="DC9" s="85">
        <f>11.49</f>
        <v>11.49</v>
      </c>
      <c r="DF9" s="84"/>
      <c r="DG9" s="105" t="s">
        <v>94</v>
      </c>
      <c r="DH9" s="85"/>
      <c r="DI9" s="85" t="s">
        <v>91</v>
      </c>
      <c r="DJ9" s="84">
        <v>0</v>
      </c>
      <c r="DK9" s="83"/>
      <c r="DL9" s="109">
        <v>11.49</v>
      </c>
      <c r="DM9" s="109">
        <f>IFERROR(GroceryList27456148109[[#This Row],[QTY]]*GroceryList27456148109[[#This Row],[UNIT PRICE]],"")</f>
        <v>0</v>
      </c>
      <c r="DN9" s="112" t="s">
        <v>169</v>
      </c>
      <c r="DO9" s="85"/>
      <c r="DR9" s="84"/>
      <c r="DS9" s="105" t="s">
        <v>94</v>
      </c>
      <c r="DT9" s="85"/>
      <c r="DU9" s="85" t="s">
        <v>91</v>
      </c>
      <c r="DV9" s="84">
        <v>0</v>
      </c>
      <c r="DW9" s="83"/>
      <c r="DX9" s="109">
        <v>11.49</v>
      </c>
      <c r="DY9" s="109">
        <f>IFERROR(GroceryList2745614810911[[#This Row],[QTY]]*GroceryList2745614810911[[#This Row],[UNIT PRICE]],"")</f>
        <v>0</v>
      </c>
      <c r="DZ9" s="112" t="s">
        <v>169</v>
      </c>
      <c r="EA9" s="85"/>
      <c r="ED9" s="84"/>
      <c r="EE9" s="105" t="s">
        <v>94</v>
      </c>
      <c r="EF9" s="85"/>
      <c r="EG9" s="85" t="s">
        <v>91</v>
      </c>
      <c r="EH9" s="84">
        <v>1</v>
      </c>
      <c r="EI9" s="83"/>
      <c r="EJ9" s="109">
        <v>13.29</v>
      </c>
      <c r="EK9" s="109">
        <f>IFERROR(GroceryList274561481091112[[#This Row],[QTY]]*GroceryList274561481091112[[#This Row],[UNIT PRICE]],"")</f>
        <v>13.29</v>
      </c>
      <c r="EL9" s="112" t="s">
        <v>169</v>
      </c>
      <c r="EM9" s="85">
        <v>13.99</v>
      </c>
      <c r="EP9" s="84"/>
      <c r="EQ9" s="105" t="s">
        <v>94</v>
      </c>
      <c r="ER9" s="85"/>
      <c r="ES9" s="85" t="s">
        <v>91</v>
      </c>
      <c r="ET9" s="84">
        <v>0</v>
      </c>
      <c r="EU9" s="83"/>
      <c r="EV9" s="109">
        <v>11.49</v>
      </c>
      <c r="EW9" s="109">
        <f>IFERROR(GroceryList27456148109111213[[#This Row],[QTY]]*GroceryList27456148109111213[[#This Row],[UNIT PRICE]],"")</f>
        <v>0</v>
      </c>
      <c r="EX9" s="112" t="s">
        <v>169</v>
      </c>
      <c r="EY9" s="85"/>
      <c r="FB9" s="84"/>
      <c r="FC9" s="105" t="s">
        <v>94</v>
      </c>
      <c r="FD9" s="85"/>
      <c r="FE9" s="85" t="s">
        <v>91</v>
      </c>
      <c r="FF9" s="84">
        <v>0</v>
      </c>
      <c r="FG9" s="83"/>
      <c r="FH9" s="109">
        <v>11.49</v>
      </c>
      <c r="FI9" s="109">
        <f>IFERROR(GroceryList2745614810911121315[[#This Row],[QTY]]*GroceryList2745614810911121315[[#This Row],[UNIT PRICE]],"")</f>
        <v>0</v>
      </c>
      <c r="FJ9" s="112" t="s">
        <v>169</v>
      </c>
      <c r="FK9" s="85"/>
      <c r="FN9" s="84"/>
      <c r="FO9" s="105" t="s">
        <v>94</v>
      </c>
      <c r="FP9" s="85"/>
      <c r="FQ9" s="85" t="s">
        <v>91</v>
      </c>
      <c r="FR9" s="84">
        <v>0</v>
      </c>
      <c r="FS9" s="83"/>
      <c r="FT9" s="109">
        <v>11.49</v>
      </c>
      <c r="FU9" s="109">
        <f>IFERROR(GroceryList274561481091112131516[[#This Row],[QTY]]*GroceryList274561481091112131516[[#This Row],[UNIT PRICE]],"")</f>
        <v>0</v>
      </c>
      <c r="FV9" s="112" t="s">
        <v>169</v>
      </c>
      <c r="FW9" s="85"/>
      <c r="FZ9" s="84"/>
      <c r="GA9" s="105" t="s">
        <v>94</v>
      </c>
      <c r="GB9" s="85"/>
      <c r="GC9" s="85" t="s">
        <v>91</v>
      </c>
      <c r="GD9" s="84">
        <v>2</v>
      </c>
      <c r="GE9" s="83"/>
      <c r="GF9" s="109">
        <v>13.29</v>
      </c>
      <c r="GG9" s="109">
        <f>IFERROR(GroceryList274561481091112131517[[#This Row],[QTY]]*GroceryList274561481091112131517[[#This Row],[UNIT PRICE]],"")</f>
        <v>26.58</v>
      </c>
      <c r="GH9" s="112" t="s">
        <v>169</v>
      </c>
      <c r="GI9" s="85"/>
      <c r="GL9" s="84"/>
      <c r="GM9" s="105" t="s">
        <v>94</v>
      </c>
      <c r="GN9" s="85"/>
      <c r="GO9" s="85" t="s">
        <v>91</v>
      </c>
      <c r="GP9" s="84">
        <v>0</v>
      </c>
      <c r="GQ9" s="83"/>
      <c r="GR9" s="109">
        <v>13.29</v>
      </c>
      <c r="GS9" s="109">
        <f>IFERROR(GroceryList27456148109111213151718[[#This Row],[QTY]]*GroceryList27456148109111213151718[[#This Row],[UNIT PRICE]],"")</f>
        <v>0</v>
      </c>
      <c r="GT9" s="112" t="s">
        <v>169</v>
      </c>
      <c r="GU9" s="85"/>
    </row>
    <row r="10" spans="2:203" ht="30" customHeight="1" x14ac:dyDescent="0.2">
      <c r="B10" s="88"/>
      <c r="C10" s="99" t="s">
        <v>95</v>
      </c>
      <c r="D10" s="85" t="s">
        <v>134</v>
      </c>
      <c r="E10" s="85" t="s">
        <v>91</v>
      </c>
      <c r="F10" s="84">
        <v>1</v>
      </c>
      <c r="G10" s="83"/>
      <c r="H10" s="90">
        <v>15.67</v>
      </c>
      <c r="I10" s="90">
        <f>IFERROR(GroceryList[[#This Row],[QTY]]*GroceryList[[#This Row],[UNIT PRICE]],"")</f>
        <v>15.67</v>
      </c>
      <c r="J10" s="85"/>
      <c r="M10" s="88" t="s">
        <v>130</v>
      </c>
      <c r="N10" s="99" t="s">
        <v>95</v>
      </c>
      <c r="O10" s="85" t="s">
        <v>134</v>
      </c>
      <c r="P10" s="85" t="s">
        <v>91</v>
      </c>
      <c r="Q10" s="84">
        <v>1</v>
      </c>
      <c r="R10" s="83"/>
      <c r="S10" s="90">
        <v>31.99</v>
      </c>
      <c r="T10" s="90">
        <f>IFERROR(GroceryList2[[#This Row],[QTY]]*GroceryList2[[#This Row],[UNIT PRICE]],"")</f>
        <v>31.99</v>
      </c>
      <c r="U10" s="85"/>
      <c r="Y10" s="88" t="s">
        <v>130</v>
      </c>
      <c r="Z10" s="99" t="s">
        <v>95</v>
      </c>
      <c r="AA10" s="85" t="s">
        <v>134</v>
      </c>
      <c r="AB10" s="85" t="s">
        <v>91</v>
      </c>
      <c r="AC10" s="84">
        <v>0</v>
      </c>
      <c r="AD10" s="83"/>
      <c r="AE10" s="90">
        <v>31.99</v>
      </c>
      <c r="AF10" s="90">
        <f>IFERROR(GroceryList27[[#This Row],[QTY]]*GroceryList27[[#This Row],[UNIT PRICE]],"")</f>
        <v>0</v>
      </c>
      <c r="AG10" s="85"/>
      <c r="AM10" s="88" t="s">
        <v>130</v>
      </c>
      <c r="AN10" s="105" t="s">
        <v>95</v>
      </c>
      <c r="AO10" s="85" t="s">
        <v>134</v>
      </c>
      <c r="AP10" s="85" t="s">
        <v>91</v>
      </c>
      <c r="AQ10" s="84">
        <v>1</v>
      </c>
      <c r="AR10" s="83"/>
      <c r="AS10" s="109">
        <v>31.99</v>
      </c>
      <c r="AT10" s="109">
        <f>IFERROR(GroceryList274[[#This Row],[QTY]]*GroceryList274[[#This Row],[UNIT PRICE]],"")</f>
        <v>31.99</v>
      </c>
      <c r="AU10" s="85"/>
      <c r="AY10" s="88" t="s">
        <v>130</v>
      </c>
      <c r="AZ10" s="105" t="s">
        <v>95</v>
      </c>
      <c r="BA10" s="85" t="s">
        <v>134</v>
      </c>
      <c r="BB10" s="85" t="s">
        <v>91</v>
      </c>
      <c r="BC10" s="84">
        <v>0</v>
      </c>
      <c r="BD10" s="83"/>
      <c r="BE10" s="109">
        <v>31.99</v>
      </c>
      <c r="BF10" s="109">
        <f>IFERROR(GroceryList2745[[#This Row],[QTY]]*GroceryList2745[[#This Row],[UNIT PRICE]],"")</f>
        <v>0</v>
      </c>
      <c r="BG10" s="85"/>
      <c r="BJ10" s="88" t="s">
        <v>130</v>
      </c>
      <c r="BK10" s="105" t="s">
        <v>95</v>
      </c>
      <c r="BL10" s="85" t="s">
        <v>134</v>
      </c>
      <c r="BM10" s="85" t="s">
        <v>91</v>
      </c>
      <c r="BN10" s="84">
        <v>0</v>
      </c>
      <c r="BO10" s="83"/>
      <c r="BP10" s="109">
        <v>23</v>
      </c>
      <c r="BQ10" s="109">
        <f>IFERROR(GroceryList27456[[#This Row],[QTY]]*GroceryList27456[[#This Row],[UNIT PRICE]],"")</f>
        <v>0</v>
      </c>
      <c r="BR10" s="112" t="s">
        <v>130</v>
      </c>
      <c r="BS10" s="85"/>
      <c r="BV10" s="88" t="s">
        <v>130</v>
      </c>
      <c r="BW10" s="105" t="s">
        <v>95</v>
      </c>
      <c r="BX10" s="85" t="s">
        <v>134</v>
      </c>
      <c r="BY10" s="85" t="s">
        <v>91</v>
      </c>
      <c r="BZ10" s="84">
        <v>1</v>
      </c>
      <c r="CA10" s="83"/>
      <c r="CB10" s="109">
        <v>23</v>
      </c>
      <c r="CC10" s="109">
        <f>IFERROR(GroceryList2745614[[#This Row],[QTY]]*GroceryList2745614[[#This Row],[UNIT PRICE]],"")</f>
        <v>23</v>
      </c>
      <c r="CD10" s="112" t="s">
        <v>130</v>
      </c>
      <c r="CE10" s="85"/>
      <c r="CH10" s="88" t="s">
        <v>130</v>
      </c>
      <c r="CI10" s="105" t="s">
        <v>95</v>
      </c>
      <c r="CJ10" s="85" t="s">
        <v>134</v>
      </c>
      <c r="CK10" s="85" t="s">
        <v>91</v>
      </c>
      <c r="CL10" s="84">
        <v>1</v>
      </c>
      <c r="CM10" s="83"/>
      <c r="CN10" s="109">
        <v>23.19</v>
      </c>
      <c r="CO10" s="109">
        <f>IFERROR(GroceryList27456148[[#This Row],[QTY]]*GroceryList27456148[[#This Row],[UNIT PRICE]],"")</f>
        <v>23.19</v>
      </c>
      <c r="CP10" s="112" t="s">
        <v>130</v>
      </c>
      <c r="CQ10" s="85">
        <v>28.99</v>
      </c>
      <c r="CT10" s="88" t="s">
        <v>130</v>
      </c>
      <c r="CU10" s="105" t="s">
        <v>95</v>
      </c>
      <c r="CV10" s="85" t="s">
        <v>134</v>
      </c>
      <c r="CW10" s="85" t="s">
        <v>91</v>
      </c>
      <c r="CX10" s="84">
        <v>0</v>
      </c>
      <c r="CY10" s="83"/>
      <c r="CZ10" s="109">
        <v>23.19</v>
      </c>
      <c r="DA10" s="109">
        <f>IFERROR(GroceryList2745614810[[#This Row],[QTY]]*GroceryList2745614810[[#This Row],[UNIT PRICE]],"")</f>
        <v>0</v>
      </c>
      <c r="DB10" s="112" t="s">
        <v>130</v>
      </c>
      <c r="DC10" s="85">
        <v>28.99</v>
      </c>
      <c r="DF10" s="88" t="s">
        <v>130</v>
      </c>
      <c r="DG10" s="105" t="s">
        <v>95</v>
      </c>
      <c r="DH10" s="85" t="s">
        <v>134</v>
      </c>
      <c r="DI10" s="85" t="s">
        <v>91</v>
      </c>
      <c r="DJ10" s="84">
        <v>0</v>
      </c>
      <c r="DK10" s="83"/>
      <c r="DL10" s="109">
        <v>23.19</v>
      </c>
      <c r="DM10" s="109">
        <f>IFERROR(GroceryList27456148109[[#This Row],[QTY]]*GroceryList27456148109[[#This Row],[UNIT PRICE]],"")</f>
        <v>0</v>
      </c>
      <c r="DN10" s="112" t="s">
        <v>130</v>
      </c>
      <c r="DO10" s="85">
        <v>28.99</v>
      </c>
      <c r="DR10" s="88" t="s">
        <v>130</v>
      </c>
      <c r="DS10" s="105" t="s">
        <v>95</v>
      </c>
      <c r="DT10" s="85" t="s">
        <v>134</v>
      </c>
      <c r="DU10" s="85" t="s">
        <v>91</v>
      </c>
      <c r="DV10" s="84">
        <v>1</v>
      </c>
      <c r="DW10" s="83"/>
      <c r="DX10" s="109">
        <v>23.19</v>
      </c>
      <c r="DY10" s="109">
        <f>IFERROR(GroceryList2745614810911[[#This Row],[QTY]]*GroceryList2745614810911[[#This Row],[UNIT PRICE]],"")</f>
        <v>23.19</v>
      </c>
      <c r="DZ10" s="112" t="s">
        <v>130</v>
      </c>
      <c r="EA10" s="85">
        <v>28.99</v>
      </c>
      <c r="ED10" s="88" t="s">
        <v>130</v>
      </c>
      <c r="EE10" s="105" t="s">
        <v>95</v>
      </c>
      <c r="EF10" s="85" t="s">
        <v>134</v>
      </c>
      <c r="EG10" s="85" t="s">
        <v>91</v>
      </c>
      <c r="EH10" s="84">
        <v>1</v>
      </c>
      <c r="EI10" s="83"/>
      <c r="EJ10" s="109">
        <v>11.49</v>
      </c>
      <c r="EK10" s="109">
        <f>IFERROR(GroceryList274561481091112[[#This Row],[QTY]]*GroceryList274561481091112[[#This Row],[UNIT PRICE]],"")</f>
        <v>11.49</v>
      </c>
      <c r="EL10" s="112" t="s">
        <v>130</v>
      </c>
      <c r="EM10" s="85">
        <v>28.99</v>
      </c>
      <c r="EP10" s="88" t="s">
        <v>130</v>
      </c>
      <c r="EQ10" s="105" t="s">
        <v>95</v>
      </c>
      <c r="ER10" s="85" t="s">
        <v>134</v>
      </c>
      <c r="ES10" s="85" t="s">
        <v>91</v>
      </c>
      <c r="ET10" s="84">
        <v>0</v>
      </c>
      <c r="EU10" s="83"/>
      <c r="EV10" s="109">
        <v>23.19</v>
      </c>
      <c r="EW10" s="109">
        <f>IFERROR(GroceryList27456148109111213[[#This Row],[QTY]]*GroceryList27456148109111213[[#This Row],[UNIT PRICE]],"")</f>
        <v>0</v>
      </c>
      <c r="EX10" s="112" t="s">
        <v>130</v>
      </c>
      <c r="EY10" s="85">
        <v>28.99</v>
      </c>
      <c r="FB10" s="88" t="s">
        <v>130</v>
      </c>
      <c r="FC10" s="105" t="s">
        <v>95</v>
      </c>
      <c r="FD10" s="85" t="s">
        <v>134</v>
      </c>
      <c r="FE10" s="85" t="s">
        <v>91</v>
      </c>
      <c r="FF10" s="84">
        <v>1</v>
      </c>
      <c r="FG10" s="83"/>
      <c r="FH10" s="109">
        <v>14.44</v>
      </c>
      <c r="FI10" s="109">
        <f>IFERROR(GroceryList2745614810911121315[[#This Row],[QTY]]*GroceryList2745614810911121315[[#This Row],[UNIT PRICE]],"")</f>
        <v>14.44</v>
      </c>
      <c r="FJ10" s="112" t="s">
        <v>130</v>
      </c>
      <c r="FK10" s="85">
        <v>17</v>
      </c>
      <c r="FN10" s="88" t="s">
        <v>130</v>
      </c>
      <c r="FO10" s="105" t="s">
        <v>95</v>
      </c>
      <c r="FP10" s="85" t="s">
        <v>134</v>
      </c>
      <c r="FQ10" s="85" t="s">
        <v>91</v>
      </c>
      <c r="FR10" s="84">
        <v>0</v>
      </c>
      <c r="FS10" s="83"/>
      <c r="FT10" s="109">
        <v>23.19</v>
      </c>
      <c r="FU10" s="109">
        <f>IFERROR(GroceryList274561481091112131516[[#This Row],[QTY]]*GroceryList274561481091112131516[[#This Row],[UNIT PRICE]],"")</f>
        <v>0</v>
      </c>
      <c r="FV10" s="112" t="s">
        <v>130</v>
      </c>
      <c r="FW10" s="85">
        <v>28.99</v>
      </c>
      <c r="FZ10" s="88" t="s">
        <v>130</v>
      </c>
      <c r="GA10" s="105" t="s">
        <v>95</v>
      </c>
      <c r="GB10" s="85" t="s">
        <v>134</v>
      </c>
      <c r="GC10" s="85" t="s">
        <v>91</v>
      </c>
      <c r="GD10" s="84">
        <v>1</v>
      </c>
      <c r="GE10" s="83"/>
      <c r="GF10" s="109">
        <v>12.99</v>
      </c>
      <c r="GG10" s="109">
        <f>IFERROR(GroceryList274561481091112131517[[#This Row],[QTY]]*GroceryList274561481091112131517[[#This Row],[UNIT PRICE]],"")</f>
        <v>12.99</v>
      </c>
      <c r="GH10" s="112" t="s">
        <v>130</v>
      </c>
      <c r="GI10" s="85">
        <v>17</v>
      </c>
      <c r="GL10" s="88" t="s">
        <v>130</v>
      </c>
      <c r="GM10" s="105" t="s">
        <v>95</v>
      </c>
      <c r="GN10" s="85" t="s">
        <v>134</v>
      </c>
      <c r="GO10" s="85" t="s">
        <v>91</v>
      </c>
      <c r="GP10" s="84">
        <v>1</v>
      </c>
      <c r="GQ10" s="83"/>
      <c r="GR10" s="109">
        <v>12.99</v>
      </c>
      <c r="GS10" s="109">
        <f>IFERROR(GroceryList27456148109111213151718[[#This Row],[QTY]]*GroceryList27456148109111213151718[[#This Row],[UNIT PRICE]],"")</f>
        <v>12.99</v>
      </c>
      <c r="GT10" s="112" t="s">
        <v>130</v>
      </c>
      <c r="GU10" s="85">
        <v>17</v>
      </c>
    </row>
    <row r="11" spans="2:203" ht="30" customHeight="1" x14ac:dyDescent="0.2">
      <c r="B11" s="88" t="s">
        <v>130</v>
      </c>
      <c r="C11" s="99" t="s">
        <v>96</v>
      </c>
      <c r="D11" s="85"/>
      <c r="E11" s="85" t="s">
        <v>91</v>
      </c>
      <c r="F11" s="84">
        <v>2</v>
      </c>
      <c r="G11" s="83"/>
      <c r="H11" s="90">
        <v>12</v>
      </c>
      <c r="I11" s="90">
        <f>IFERROR(GroceryList[[#This Row],[QTY]]*GroceryList[[#This Row],[UNIT PRICE]],"")</f>
        <v>24</v>
      </c>
      <c r="J11" s="85"/>
      <c r="M11" s="88" t="s">
        <v>130</v>
      </c>
      <c r="N11" s="99" t="s">
        <v>96</v>
      </c>
      <c r="O11" s="85"/>
      <c r="P11" s="85" t="s">
        <v>91</v>
      </c>
      <c r="Q11" s="84">
        <v>1</v>
      </c>
      <c r="R11" s="83">
        <v>1</v>
      </c>
      <c r="S11" s="90">
        <v>15.49</v>
      </c>
      <c r="T11" s="90">
        <f>IFERROR(GroceryList2[[#This Row],[QTY]]*GroceryList2[[#This Row],[UNIT PRICE]],"")</f>
        <v>15.49</v>
      </c>
      <c r="U11" s="85"/>
      <c r="Y11" s="88" t="s">
        <v>130</v>
      </c>
      <c r="Z11" s="99" t="s">
        <v>96</v>
      </c>
      <c r="AA11" s="85"/>
      <c r="AB11" s="85" t="s">
        <v>91</v>
      </c>
      <c r="AC11" s="84">
        <v>2</v>
      </c>
      <c r="AD11" s="83">
        <v>1</v>
      </c>
      <c r="AE11" s="90">
        <v>15.49</v>
      </c>
      <c r="AF11" s="90">
        <f>IFERROR(GroceryList27[[#This Row],[QTY]]*GroceryList27[[#This Row],[UNIT PRICE]],"")</f>
        <v>30.98</v>
      </c>
      <c r="AG11" s="85"/>
      <c r="AM11" s="88" t="s">
        <v>130</v>
      </c>
      <c r="AN11" s="105" t="s">
        <v>96</v>
      </c>
      <c r="AO11" s="85"/>
      <c r="AP11" s="85" t="s">
        <v>91</v>
      </c>
      <c r="AQ11" s="84">
        <v>2</v>
      </c>
      <c r="AR11" s="83">
        <v>1</v>
      </c>
      <c r="AS11" s="109">
        <v>15.49</v>
      </c>
      <c r="AT11" s="109">
        <f>IFERROR(GroceryList274[[#This Row],[QTY]]*GroceryList274[[#This Row],[UNIT PRICE]],"")</f>
        <v>30.98</v>
      </c>
      <c r="AU11" s="85"/>
      <c r="AY11" s="88" t="s">
        <v>130</v>
      </c>
      <c r="AZ11" s="105" t="s">
        <v>96</v>
      </c>
      <c r="BA11" s="85"/>
      <c r="BB11" s="85" t="s">
        <v>91</v>
      </c>
      <c r="BC11" s="84">
        <v>2</v>
      </c>
      <c r="BD11" s="83">
        <v>1</v>
      </c>
      <c r="BE11" s="109">
        <v>15.49</v>
      </c>
      <c r="BF11" s="109">
        <f>IFERROR(GroceryList2745[[#This Row],[QTY]]*GroceryList2745[[#This Row],[UNIT PRICE]],"")</f>
        <v>30.98</v>
      </c>
      <c r="BG11" s="85"/>
      <c r="BJ11" s="88" t="s">
        <v>130</v>
      </c>
      <c r="BK11" s="105" t="s">
        <v>96</v>
      </c>
      <c r="BL11" s="85"/>
      <c r="BM11" s="85" t="s">
        <v>91</v>
      </c>
      <c r="BN11" s="84">
        <v>1</v>
      </c>
      <c r="BO11" s="83">
        <v>1</v>
      </c>
      <c r="BP11" s="109">
        <v>15.49</v>
      </c>
      <c r="BQ11" s="109">
        <f>IFERROR(GroceryList27456[[#This Row],[QTY]]*GroceryList27456[[#This Row],[UNIT PRICE]],"")</f>
        <v>15.49</v>
      </c>
      <c r="BR11" s="112" t="s">
        <v>130</v>
      </c>
      <c r="BS11" s="85"/>
      <c r="BV11" s="88" t="s">
        <v>130</v>
      </c>
      <c r="BW11" s="105" t="s">
        <v>96</v>
      </c>
      <c r="BX11" s="85"/>
      <c r="BY11" s="85" t="s">
        <v>91</v>
      </c>
      <c r="BZ11" s="84">
        <v>2</v>
      </c>
      <c r="CA11" s="83">
        <v>1</v>
      </c>
      <c r="CB11" s="109">
        <v>14.47</v>
      </c>
      <c r="CC11" s="109">
        <f>IFERROR(GroceryList2745614[[#This Row],[QTY]]*GroceryList2745614[[#This Row],[UNIT PRICE]],"")</f>
        <v>28.94</v>
      </c>
      <c r="CD11" s="112" t="s">
        <v>130</v>
      </c>
      <c r="CE11" s="85">
        <v>15.49</v>
      </c>
      <c r="CH11" s="88" t="s">
        <v>130</v>
      </c>
      <c r="CI11" s="105" t="s">
        <v>96</v>
      </c>
      <c r="CJ11" s="85"/>
      <c r="CK11" s="85" t="s">
        <v>91</v>
      </c>
      <c r="CL11" s="84">
        <v>2</v>
      </c>
      <c r="CM11" s="83">
        <v>1</v>
      </c>
      <c r="CN11" s="109">
        <v>12.39</v>
      </c>
      <c r="CO11" s="109">
        <f>IFERROR(GroceryList27456148[[#This Row],[QTY]]*GroceryList27456148[[#This Row],[UNIT PRICE]],"")</f>
        <v>24.78</v>
      </c>
      <c r="CP11" s="112" t="s">
        <v>130</v>
      </c>
      <c r="CQ11" s="85">
        <v>15.49</v>
      </c>
      <c r="CT11" s="88" t="s">
        <v>130</v>
      </c>
      <c r="CU11" s="105" t="s">
        <v>96</v>
      </c>
      <c r="CV11" s="85"/>
      <c r="CW11" s="85" t="s">
        <v>91</v>
      </c>
      <c r="CX11" s="84">
        <v>0</v>
      </c>
      <c r="CY11" s="83">
        <v>1</v>
      </c>
      <c r="CZ11" s="109">
        <v>12.39</v>
      </c>
      <c r="DA11" s="109">
        <f>IFERROR(GroceryList2745614810[[#This Row],[QTY]]*GroceryList2745614810[[#This Row],[UNIT PRICE]],"")</f>
        <v>0</v>
      </c>
      <c r="DB11" s="112" t="s">
        <v>130</v>
      </c>
      <c r="DC11" s="85">
        <v>15.49</v>
      </c>
      <c r="DF11" s="88" t="s">
        <v>130</v>
      </c>
      <c r="DG11" s="105" t="s">
        <v>96</v>
      </c>
      <c r="DH11" s="85"/>
      <c r="DI11" s="85" t="s">
        <v>91</v>
      </c>
      <c r="DJ11" s="84">
        <v>0</v>
      </c>
      <c r="DK11" s="83">
        <v>1</v>
      </c>
      <c r="DL11" s="109">
        <v>12.39</v>
      </c>
      <c r="DM11" s="109">
        <f>IFERROR(GroceryList27456148109[[#This Row],[QTY]]*GroceryList27456148109[[#This Row],[UNIT PRICE]],"")</f>
        <v>0</v>
      </c>
      <c r="DN11" s="112" t="s">
        <v>130</v>
      </c>
      <c r="DO11" s="85">
        <v>15.49</v>
      </c>
      <c r="DR11" s="88" t="s">
        <v>130</v>
      </c>
      <c r="DS11" s="105" t="s">
        <v>96</v>
      </c>
      <c r="DT11" s="85"/>
      <c r="DU11" s="85" t="s">
        <v>91</v>
      </c>
      <c r="DV11" s="84">
        <v>2</v>
      </c>
      <c r="DW11" s="83">
        <v>1</v>
      </c>
      <c r="DX11" s="109">
        <v>12.39</v>
      </c>
      <c r="DY11" s="109">
        <f>IFERROR(GroceryList2745614810911[[#This Row],[QTY]]*GroceryList2745614810911[[#This Row],[UNIT PRICE]],"")</f>
        <v>24.78</v>
      </c>
      <c r="DZ11" s="112" t="s">
        <v>130</v>
      </c>
      <c r="EA11" s="85">
        <v>15.49</v>
      </c>
      <c r="ED11" s="88" t="s">
        <v>130</v>
      </c>
      <c r="EE11" s="105" t="s">
        <v>96</v>
      </c>
      <c r="EF11" s="85"/>
      <c r="EG11" s="85" t="s">
        <v>91</v>
      </c>
      <c r="EH11" s="84">
        <v>1</v>
      </c>
      <c r="EI11" s="83">
        <v>1</v>
      </c>
      <c r="EJ11" s="109">
        <f>14.72+18.52</f>
        <v>33.24</v>
      </c>
      <c r="EK11" s="109">
        <f>IFERROR(GroceryList274561481091112[[#This Row],[QTY]]*GroceryList274561481091112[[#This Row],[UNIT PRICE]],"")</f>
        <v>33.24</v>
      </c>
      <c r="EL11" s="112" t="s">
        <v>130</v>
      </c>
      <c r="EM11" s="85">
        <v>15.49</v>
      </c>
      <c r="EP11" s="88" t="s">
        <v>130</v>
      </c>
      <c r="EQ11" s="105" t="s">
        <v>96</v>
      </c>
      <c r="ER11" s="85"/>
      <c r="ES11" s="85" t="s">
        <v>91</v>
      </c>
      <c r="ET11" s="84">
        <v>0</v>
      </c>
      <c r="EU11" s="83">
        <v>1</v>
      </c>
      <c r="EV11" s="109">
        <f>14.72+18.52</f>
        <v>33.24</v>
      </c>
      <c r="EW11" s="109">
        <f>IFERROR(GroceryList27456148109111213[[#This Row],[QTY]]*GroceryList27456148109111213[[#This Row],[UNIT PRICE]],"")</f>
        <v>0</v>
      </c>
      <c r="EX11" s="112" t="s">
        <v>130</v>
      </c>
      <c r="EY11" s="85">
        <v>15.49</v>
      </c>
      <c r="FB11" s="88" t="s">
        <v>130</v>
      </c>
      <c r="FC11" s="105" t="s">
        <v>96</v>
      </c>
      <c r="FD11" s="85"/>
      <c r="FE11" s="85" t="s">
        <v>91</v>
      </c>
      <c r="FF11" s="84">
        <v>1</v>
      </c>
      <c r="FG11" s="83">
        <v>1</v>
      </c>
      <c r="FH11" s="109">
        <f>13.17+10.49</f>
        <v>23.66</v>
      </c>
      <c r="FI11" s="109">
        <f>IFERROR(GroceryList2745614810911121315[[#This Row],[QTY]]*GroceryList2745614810911121315[[#This Row],[UNIT PRICE]],"")</f>
        <v>23.66</v>
      </c>
      <c r="FJ11" s="112" t="s">
        <v>130</v>
      </c>
      <c r="FK11" s="85" t="s">
        <v>226</v>
      </c>
      <c r="FN11" s="88" t="s">
        <v>130</v>
      </c>
      <c r="FO11" s="105" t="s">
        <v>96</v>
      </c>
      <c r="FP11" s="85"/>
      <c r="FQ11" s="85" t="s">
        <v>91</v>
      </c>
      <c r="FR11" s="84">
        <v>0</v>
      </c>
      <c r="FS11" s="83">
        <v>1</v>
      </c>
      <c r="FT11" s="109">
        <f>14.72+18.52</f>
        <v>33.24</v>
      </c>
      <c r="FU11" s="109">
        <f>IFERROR(GroceryList274561481091112131516[[#This Row],[QTY]]*GroceryList274561481091112131516[[#This Row],[UNIT PRICE]],"")</f>
        <v>0</v>
      </c>
      <c r="FV11" s="112" t="s">
        <v>130</v>
      </c>
      <c r="FW11" s="85">
        <v>15.49</v>
      </c>
      <c r="FZ11" s="88" t="s">
        <v>130</v>
      </c>
      <c r="GA11" s="105" t="s">
        <v>96</v>
      </c>
      <c r="GB11" s="85"/>
      <c r="GC11" s="85" t="s">
        <v>91</v>
      </c>
      <c r="GD11" s="84">
        <v>1</v>
      </c>
      <c r="GE11" s="83">
        <v>1</v>
      </c>
      <c r="GF11" s="109">
        <f>14.72+19.98</f>
        <v>34.700000000000003</v>
      </c>
      <c r="GG11" s="109">
        <f>IFERROR(GroceryList274561481091112131517[[#This Row],[QTY]]*GroceryList274561481091112131517[[#This Row],[UNIT PRICE]],"")</f>
        <v>34.700000000000003</v>
      </c>
      <c r="GH11" s="112" t="s">
        <v>130</v>
      </c>
      <c r="GI11" s="85" t="s">
        <v>226</v>
      </c>
      <c r="GL11" s="88" t="s">
        <v>130</v>
      </c>
      <c r="GM11" s="105" t="s">
        <v>96</v>
      </c>
      <c r="GN11" s="85"/>
      <c r="GO11" s="85" t="s">
        <v>91</v>
      </c>
      <c r="GP11" s="84">
        <v>1</v>
      </c>
      <c r="GQ11" s="83">
        <v>1</v>
      </c>
      <c r="GR11" s="109">
        <f>14.72+19.98</f>
        <v>34.700000000000003</v>
      </c>
      <c r="GS11" s="109">
        <f>IFERROR(GroceryList27456148109111213151718[[#This Row],[QTY]]*GroceryList27456148109111213151718[[#This Row],[UNIT PRICE]],"")</f>
        <v>34.700000000000003</v>
      </c>
      <c r="GT11" s="112" t="s">
        <v>130</v>
      </c>
      <c r="GU11" s="85" t="s">
        <v>226</v>
      </c>
    </row>
    <row r="12" spans="2:203" ht="30" customHeight="1" x14ac:dyDescent="0.2">
      <c r="B12" s="84"/>
      <c r="C12" s="102" t="s">
        <v>143</v>
      </c>
      <c r="D12" t="s">
        <v>134</v>
      </c>
      <c r="E12" t="s">
        <v>91</v>
      </c>
      <c r="F12" s="84">
        <v>2</v>
      </c>
      <c r="G12" s="83"/>
      <c r="H12" s="90">
        <v>15</v>
      </c>
      <c r="I12" s="90">
        <f>IFERROR(GroceryList[[#This Row],[QTY]]*GroceryList[[#This Row],[UNIT PRICE]],"")</f>
        <v>30</v>
      </c>
      <c r="J12"/>
      <c r="M12" s="84" t="s">
        <v>130</v>
      </c>
      <c r="N12" s="102" t="s">
        <v>143</v>
      </c>
      <c r="O12" t="s">
        <v>134</v>
      </c>
      <c r="P12" t="s">
        <v>91</v>
      </c>
      <c r="Q12" s="84">
        <v>1</v>
      </c>
      <c r="R12" s="83">
        <v>1</v>
      </c>
      <c r="S12" s="90">
        <v>14.29</v>
      </c>
      <c r="T12" s="90">
        <f>IFERROR(GroceryList2[[#This Row],[QTY]]*GroceryList2[[#This Row],[UNIT PRICE]],"")</f>
        <v>14.29</v>
      </c>
      <c r="U12"/>
      <c r="Y12" s="84" t="s">
        <v>130</v>
      </c>
      <c r="Z12" s="102" t="s">
        <v>143</v>
      </c>
      <c r="AA12" t="s">
        <v>134</v>
      </c>
      <c r="AB12" t="s">
        <v>91</v>
      </c>
      <c r="AC12" s="84">
        <v>0</v>
      </c>
      <c r="AD12" s="83">
        <v>1</v>
      </c>
      <c r="AE12" s="90">
        <v>14.29</v>
      </c>
      <c r="AF12" s="90">
        <f>IFERROR(GroceryList27[[#This Row],[QTY]]*GroceryList27[[#This Row],[UNIT PRICE]],"")</f>
        <v>0</v>
      </c>
      <c r="AG12"/>
      <c r="AM12" s="84" t="s">
        <v>130</v>
      </c>
      <c r="AN12" s="107" t="s">
        <v>143</v>
      </c>
      <c r="AO12" s="108" t="s">
        <v>134</v>
      </c>
      <c r="AP12" s="108" t="s">
        <v>91</v>
      </c>
      <c r="AQ12" s="84">
        <v>0</v>
      </c>
      <c r="AR12" s="83">
        <v>1</v>
      </c>
      <c r="AS12" s="109">
        <v>14.29</v>
      </c>
      <c r="AT12" s="109">
        <f>IFERROR(GroceryList274[[#This Row],[QTY]]*GroceryList274[[#This Row],[UNIT PRICE]],"")</f>
        <v>0</v>
      </c>
      <c r="AU12"/>
      <c r="AY12" s="84" t="s">
        <v>130</v>
      </c>
      <c r="AZ12" s="107" t="s">
        <v>143</v>
      </c>
      <c r="BA12" s="108" t="s">
        <v>134</v>
      </c>
      <c r="BB12" s="108" t="s">
        <v>91</v>
      </c>
      <c r="BC12" s="84">
        <v>0</v>
      </c>
      <c r="BD12" s="83">
        <v>1</v>
      </c>
      <c r="BE12" s="109">
        <v>14.29</v>
      </c>
      <c r="BF12" s="109">
        <f>IFERROR(GroceryList2745[[#This Row],[QTY]]*GroceryList2745[[#This Row],[UNIT PRICE]],"")</f>
        <v>0</v>
      </c>
      <c r="BG12"/>
      <c r="BJ12" s="84" t="s">
        <v>130</v>
      </c>
      <c r="BK12" s="107" t="s">
        <v>143</v>
      </c>
      <c r="BL12" s="108" t="s">
        <v>134</v>
      </c>
      <c r="BM12" s="108" t="s">
        <v>91</v>
      </c>
      <c r="BN12" s="84">
        <v>1</v>
      </c>
      <c r="BO12" s="83">
        <v>1</v>
      </c>
      <c r="BP12" s="109">
        <v>20</v>
      </c>
      <c r="BQ12" s="109">
        <f>IFERROR(GroceryList27456[[#This Row],[QTY]]*GroceryList27456[[#This Row],[UNIT PRICE]],"")</f>
        <v>20</v>
      </c>
      <c r="BR12" s="111" t="s">
        <v>130</v>
      </c>
      <c r="BS12"/>
      <c r="BV12" s="84" t="s">
        <v>130</v>
      </c>
      <c r="BW12" s="107" t="s">
        <v>143</v>
      </c>
      <c r="BX12" s="108" t="s">
        <v>134</v>
      </c>
      <c r="BY12" s="108" t="s">
        <v>91</v>
      </c>
      <c r="BZ12" s="84">
        <v>1</v>
      </c>
      <c r="CA12" s="83">
        <v>1</v>
      </c>
      <c r="CB12" s="109">
        <v>14.72</v>
      </c>
      <c r="CC12" s="109">
        <f>IFERROR(GroceryList2745614[[#This Row],[QTY]]*GroceryList2745614[[#This Row],[UNIT PRICE]],"")</f>
        <v>14.72</v>
      </c>
      <c r="CD12" s="111" t="s">
        <v>130</v>
      </c>
      <c r="CE12"/>
      <c r="CH12" s="84" t="s">
        <v>130</v>
      </c>
      <c r="CI12" s="111" t="s">
        <v>175</v>
      </c>
      <c r="CJ12" s="108" t="s">
        <v>134</v>
      </c>
      <c r="CK12" s="108" t="s">
        <v>91</v>
      </c>
      <c r="CL12" s="84">
        <v>1</v>
      </c>
      <c r="CM12" s="83">
        <v>1</v>
      </c>
      <c r="CN12" s="109">
        <v>15.19</v>
      </c>
      <c r="CO12" s="109">
        <f>IFERROR(GroceryList27456148[[#This Row],[QTY]]*GroceryList27456148[[#This Row],[UNIT PRICE]],"")</f>
        <v>15.19</v>
      </c>
      <c r="CP12" s="111" t="s">
        <v>130</v>
      </c>
      <c r="CQ12"/>
      <c r="CT12" s="84" t="s">
        <v>130</v>
      </c>
      <c r="CU12" s="111" t="s">
        <v>183</v>
      </c>
      <c r="CV12" s="108" t="s">
        <v>134</v>
      </c>
      <c r="CW12" s="108" t="s">
        <v>91</v>
      </c>
      <c r="CX12" s="84">
        <v>1</v>
      </c>
      <c r="CY12" s="83">
        <v>1</v>
      </c>
      <c r="CZ12" s="109">
        <v>15.19</v>
      </c>
      <c r="DA12" s="109">
        <f>IFERROR(GroceryList2745614810[[#This Row],[QTY]]*GroceryList2745614810[[#This Row],[UNIT PRICE]],"")</f>
        <v>15.19</v>
      </c>
      <c r="DB12" s="111" t="s">
        <v>130</v>
      </c>
      <c r="DC12">
        <v>18.989999999999998</v>
      </c>
      <c r="DF12" s="84" t="s">
        <v>130</v>
      </c>
      <c r="DG12" s="111" t="s">
        <v>175</v>
      </c>
      <c r="DH12" s="108" t="s">
        <v>134</v>
      </c>
      <c r="DI12" s="108" t="s">
        <v>91</v>
      </c>
      <c r="DJ12" s="84">
        <v>0</v>
      </c>
      <c r="DK12" s="83">
        <v>1</v>
      </c>
      <c r="DL12" s="109">
        <v>15.19</v>
      </c>
      <c r="DM12" s="109">
        <f>IFERROR(GroceryList27456148109[[#This Row],[QTY]]*GroceryList27456148109[[#This Row],[UNIT PRICE]],"")</f>
        <v>0</v>
      </c>
      <c r="DN12" s="111" t="s">
        <v>130</v>
      </c>
      <c r="DO12"/>
      <c r="DR12" s="84" t="s">
        <v>130</v>
      </c>
      <c r="DS12" s="111" t="s">
        <v>175</v>
      </c>
      <c r="DT12" s="108" t="s">
        <v>134</v>
      </c>
      <c r="DU12" s="108" t="s">
        <v>91</v>
      </c>
      <c r="DV12" s="84">
        <v>0</v>
      </c>
      <c r="DW12" s="83">
        <v>1</v>
      </c>
      <c r="DX12" s="109">
        <v>15.19</v>
      </c>
      <c r="DY12" s="109">
        <f>IFERROR(GroceryList2745614810911[[#This Row],[QTY]]*GroceryList2745614810911[[#This Row],[UNIT PRICE]],"")</f>
        <v>0</v>
      </c>
      <c r="DZ12" s="111" t="s">
        <v>130</v>
      </c>
      <c r="EA12"/>
      <c r="ED12" s="84" t="s">
        <v>130</v>
      </c>
      <c r="EE12" s="111" t="s">
        <v>175</v>
      </c>
      <c r="EF12" s="108" t="s">
        <v>134</v>
      </c>
      <c r="EG12" s="108" t="s">
        <v>91</v>
      </c>
      <c r="EH12" s="84">
        <v>1</v>
      </c>
      <c r="EI12" s="83">
        <v>1</v>
      </c>
      <c r="EJ12" s="109">
        <f>18.04</f>
        <v>18.04</v>
      </c>
      <c r="EK12" s="109">
        <f>IFERROR(GroceryList274561481091112[[#This Row],[QTY]]*GroceryList274561481091112[[#This Row],[UNIT PRICE]],"")</f>
        <v>18.04</v>
      </c>
      <c r="EL12" s="111" t="s">
        <v>130</v>
      </c>
      <c r="EM12"/>
      <c r="EP12" s="84" t="s">
        <v>130</v>
      </c>
      <c r="EQ12" s="111" t="s">
        <v>175</v>
      </c>
      <c r="ER12" s="108" t="s">
        <v>134</v>
      </c>
      <c r="ES12" s="108" t="s">
        <v>91</v>
      </c>
      <c r="ET12" s="84">
        <v>0</v>
      </c>
      <c r="EU12" s="83">
        <v>1</v>
      </c>
      <c r="EV12" s="109">
        <f>18.04</f>
        <v>18.04</v>
      </c>
      <c r="EW12" s="109">
        <f>IFERROR(GroceryList27456148109111213[[#This Row],[QTY]]*GroceryList27456148109111213[[#This Row],[UNIT PRICE]],"")</f>
        <v>0</v>
      </c>
      <c r="EX12" s="111" t="s">
        <v>130</v>
      </c>
      <c r="EY12"/>
      <c r="FB12" s="84" t="s">
        <v>130</v>
      </c>
      <c r="FC12" s="111" t="s">
        <v>175</v>
      </c>
      <c r="FD12" s="108" t="s">
        <v>134</v>
      </c>
      <c r="FE12" s="108" t="s">
        <v>91</v>
      </c>
      <c r="FF12" s="84">
        <v>1</v>
      </c>
      <c r="FG12" s="83">
        <v>1</v>
      </c>
      <c r="FH12" s="109">
        <v>11.88</v>
      </c>
      <c r="FI12" s="109">
        <f>IFERROR(GroceryList2745614810911121315[[#This Row],[QTY]]*GroceryList2745614810911121315[[#This Row],[UNIT PRICE]],"")</f>
        <v>11.88</v>
      </c>
      <c r="FJ12" s="111" t="s">
        <v>130</v>
      </c>
      <c r="FK12"/>
      <c r="FN12" s="84" t="s">
        <v>130</v>
      </c>
      <c r="FO12" s="111" t="s">
        <v>175</v>
      </c>
      <c r="FP12" s="108" t="s">
        <v>134</v>
      </c>
      <c r="FQ12" s="108" t="s">
        <v>91</v>
      </c>
      <c r="FR12" s="84">
        <v>0</v>
      </c>
      <c r="FS12" s="83">
        <v>1</v>
      </c>
      <c r="FT12" s="109">
        <f>18.04</f>
        <v>18.04</v>
      </c>
      <c r="FU12" s="109">
        <f>IFERROR(GroceryList274561481091112131516[[#This Row],[QTY]]*GroceryList274561481091112131516[[#This Row],[UNIT PRICE]],"")</f>
        <v>0</v>
      </c>
      <c r="FV12" s="111" t="s">
        <v>130</v>
      </c>
      <c r="FW12"/>
      <c r="FZ12" s="84" t="s">
        <v>130</v>
      </c>
      <c r="GA12" s="111" t="s">
        <v>175</v>
      </c>
      <c r="GB12" s="108" t="s">
        <v>134</v>
      </c>
      <c r="GC12" s="108" t="s">
        <v>91</v>
      </c>
      <c r="GD12" s="84">
        <v>1</v>
      </c>
      <c r="GE12" s="83">
        <v>1</v>
      </c>
      <c r="GF12" s="109">
        <v>6.29</v>
      </c>
      <c r="GG12" s="109">
        <f>IFERROR(GroceryList274561481091112131517[[#This Row],[QTY]]*GroceryList274561481091112131517[[#This Row],[UNIT PRICE]],"")</f>
        <v>6.29</v>
      </c>
      <c r="GH12" s="111" t="s">
        <v>130</v>
      </c>
      <c r="GI12"/>
      <c r="GL12" s="84" t="s">
        <v>130</v>
      </c>
      <c r="GM12" s="111" t="s">
        <v>175</v>
      </c>
      <c r="GN12" s="108" t="s">
        <v>134</v>
      </c>
      <c r="GO12" s="108" t="s">
        <v>91</v>
      </c>
      <c r="GP12" s="84">
        <v>1</v>
      </c>
      <c r="GQ12" s="83">
        <v>1</v>
      </c>
      <c r="GR12" s="109">
        <v>6.29</v>
      </c>
      <c r="GS12" s="109">
        <f>IFERROR(GroceryList27456148109111213151718[[#This Row],[QTY]]*GroceryList27456148109111213151718[[#This Row],[UNIT PRICE]],"")</f>
        <v>6.29</v>
      </c>
      <c r="GT12" s="111" t="s">
        <v>130</v>
      </c>
      <c r="GU12"/>
    </row>
    <row r="13" spans="2:203" ht="30" customHeight="1" x14ac:dyDescent="0.2">
      <c r="B13" s="84"/>
      <c r="C13" s="99" t="s">
        <v>97</v>
      </c>
      <c r="D13" s="85" t="s">
        <v>134</v>
      </c>
      <c r="E13" s="85" t="s">
        <v>91</v>
      </c>
      <c r="F13" s="84">
        <v>1</v>
      </c>
      <c r="G13" s="83"/>
      <c r="H13" s="90">
        <v>22.79</v>
      </c>
      <c r="I13" s="90">
        <f>IFERROR(GroceryList[[#This Row],[QTY]]*GroceryList[[#This Row],[UNIT PRICE]],"")</f>
        <v>22.79</v>
      </c>
      <c r="J13" s="85"/>
      <c r="M13" s="84"/>
      <c r="N13" s="99" t="s">
        <v>97</v>
      </c>
      <c r="O13" s="85" t="s">
        <v>134</v>
      </c>
      <c r="P13" s="85" t="s">
        <v>91</v>
      </c>
      <c r="Q13" s="84"/>
      <c r="R13" s="83"/>
      <c r="S13" s="90">
        <v>22.79</v>
      </c>
      <c r="T13" s="90">
        <f>IFERROR(GroceryList2[[#This Row],[QTY]]*GroceryList2[[#This Row],[UNIT PRICE]],"")</f>
        <v>0</v>
      </c>
      <c r="U13" s="85"/>
      <c r="Y13" s="84" t="s">
        <v>130</v>
      </c>
      <c r="Z13" s="99" t="s">
        <v>97</v>
      </c>
      <c r="AA13" s="85" t="s">
        <v>134</v>
      </c>
      <c r="AB13" s="85" t="s">
        <v>91</v>
      </c>
      <c r="AC13" s="84">
        <v>0</v>
      </c>
      <c r="AD13" s="83"/>
      <c r="AE13" s="90">
        <v>22.79</v>
      </c>
      <c r="AF13" s="90">
        <f>IFERROR(GroceryList27[[#This Row],[QTY]]*GroceryList27[[#This Row],[UNIT PRICE]],"")</f>
        <v>0</v>
      </c>
      <c r="AG13" s="85"/>
      <c r="AM13" s="84" t="s">
        <v>130</v>
      </c>
      <c r="AN13" s="105" t="s">
        <v>97</v>
      </c>
      <c r="AO13" s="85" t="s">
        <v>134</v>
      </c>
      <c r="AP13" s="85" t="s">
        <v>91</v>
      </c>
      <c r="AQ13" s="84">
        <v>1</v>
      </c>
      <c r="AR13" s="83"/>
      <c r="AS13" s="109">
        <v>22.79</v>
      </c>
      <c r="AT13" s="109">
        <f>IFERROR(GroceryList274[[#This Row],[QTY]]*GroceryList274[[#This Row],[UNIT PRICE]],"")</f>
        <v>22.79</v>
      </c>
      <c r="AU13" s="85"/>
      <c r="AY13" s="84" t="s">
        <v>130</v>
      </c>
      <c r="AZ13" s="105" t="s">
        <v>97</v>
      </c>
      <c r="BA13" s="85" t="s">
        <v>134</v>
      </c>
      <c r="BB13" s="85" t="s">
        <v>91</v>
      </c>
      <c r="BC13" s="84">
        <v>1</v>
      </c>
      <c r="BD13" s="83"/>
      <c r="BE13" s="109">
        <v>23.99</v>
      </c>
      <c r="BF13" s="109">
        <f>IFERROR(GroceryList2745[[#This Row],[QTY]]*GroceryList2745[[#This Row],[UNIT PRICE]],"")</f>
        <v>23.99</v>
      </c>
      <c r="BG13" s="85"/>
      <c r="BJ13" s="84" t="s">
        <v>130</v>
      </c>
      <c r="BK13" s="105" t="s">
        <v>97</v>
      </c>
      <c r="BL13" s="85" t="s">
        <v>134</v>
      </c>
      <c r="BM13" s="85" t="s">
        <v>91</v>
      </c>
      <c r="BN13" s="84">
        <v>0</v>
      </c>
      <c r="BO13" s="83"/>
      <c r="BP13" s="109">
        <v>23.99</v>
      </c>
      <c r="BQ13" s="109">
        <f>IFERROR(GroceryList27456[[#This Row],[QTY]]*GroceryList27456[[#This Row],[UNIT PRICE]],"")</f>
        <v>0</v>
      </c>
      <c r="BR13" s="112" t="s">
        <v>130</v>
      </c>
      <c r="BS13" s="85"/>
      <c r="BV13" s="84" t="s">
        <v>130</v>
      </c>
      <c r="BW13" s="105" t="s">
        <v>97</v>
      </c>
      <c r="BX13" s="85" t="s">
        <v>134</v>
      </c>
      <c r="BY13" s="85" t="s">
        <v>91</v>
      </c>
      <c r="BZ13" s="84">
        <v>1</v>
      </c>
      <c r="CA13" s="83"/>
      <c r="CB13" s="109">
        <v>22.79</v>
      </c>
      <c r="CC13" s="109">
        <f>IFERROR(GroceryList2745614[[#This Row],[QTY]]*GroceryList2745614[[#This Row],[UNIT PRICE]],"")</f>
        <v>22.79</v>
      </c>
      <c r="CD13" s="112" t="s">
        <v>130</v>
      </c>
      <c r="CE13" s="85">
        <v>23.99</v>
      </c>
      <c r="CH13" s="84" t="s">
        <v>130</v>
      </c>
      <c r="CI13" s="105" t="s">
        <v>97</v>
      </c>
      <c r="CJ13" s="85" t="s">
        <v>134</v>
      </c>
      <c r="CK13" s="85" t="s">
        <v>91</v>
      </c>
      <c r="CL13" s="84">
        <v>0</v>
      </c>
      <c r="CM13" s="83"/>
      <c r="CN13" s="109">
        <v>22.79</v>
      </c>
      <c r="CO13" s="109">
        <f>IFERROR(GroceryList27456148[[#This Row],[QTY]]*GroceryList27456148[[#This Row],[UNIT PRICE]],"")</f>
        <v>0</v>
      </c>
      <c r="CP13" s="112" t="s">
        <v>130</v>
      </c>
      <c r="CQ13" s="85">
        <v>23.99</v>
      </c>
      <c r="CT13" s="84" t="s">
        <v>130</v>
      </c>
      <c r="CU13" s="105" t="s">
        <v>97</v>
      </c>
      <c r="CV13" s="85" t="s">
        <v>134</v>
      </c>
      <c r="CW13" s="85" t="s">
        <v>91</v>
      </c>
      <c r="CX13" s="84">
        <v>1</v>
      </c>
      <c r="CY13" s="83"/>
      <c r="CZ13" s="109">
        <v>19.190000000000001</v>
      </c>
      <c r="DA13" s="109">
        <f>IFERROR(GroceryList2745614810[[#This Row],[QTY]]*GroceryList2745614810[[#This Row],[UNIT PRICE]],"")</f>
        <v>19.190000000000001</v>
      </c>
      <c r="DB13" s="112" t="s">
        <v>130</v>
      </c>
      <c r="DC13" s="85">
        <v>23.99</v>
      </c>
      <c r="DF13" s="84" t="s">
        <v>130</v>
      </c>
      <c r="DG13" s="105" t="s">
        <v>97</v>
      </c>
      <c r="DH13" s="85" t="s">
        <v>134</v>
      </c>
      <c r="DI13" s="85" t="s">
        <v>91</v>
      </c>
      <c r="DJ13" s="84">
        <v>0</v>
      </c>
      <c r="DK13" s="83"/>
      <c r="DL13" s="109">
        <v>22.79</v>
      </c>
      <c r="DM13" s="109">
        <f>IFERROR(GroceryList27456148109[[#This Row],[QTY]]*GroceryList27456148109[[#This Row],[UNIT PRICE]],"")</f>
        <v>0</v>
      </c>
      <c r="DN13" s="112" t="s">
        <v>130</v>
      </c>
      <c r="DO13" s="85">
        <v>23.99</v>
      </c>
      <c r="DR13" s="84" t="s">
        <v>130</v>
      </c>
      <c r="DS13" s="105" t="s">
        <v>97</v>
      </c>
      <c r="DT13" s="85" t="s">
        <v>134</v>
      </c>
      <c r="DU13" s="85" t="s">
        <v>91</v>
      </c>
      <c r="DV13" s="84">
        <v>1</v>
      </c>
      <c r="DW13" s="83"/>
      <c r="DX13" s="109">
        <v>22.79</v>
      </c>
      <c r="DY13" s="109">
        <f>IFERROR(GroceryList2745614810911[[#This Row],[QTY]]*GroceryList2745614810911[[#This Row],[UNIT PRICE]],"")</f>
        <v>22.79</v>
      </c>
      <c r="DZ13" s="112" t="s">
        <v>130</v>
      </c>
      <c r="EA13" s="85">
        <v>23.99</v>
      </c>
      <c r="ED13" s="84" t="s">
        <v>130</v>
      </c>
      <c r="EE13" s="105" t="s">
        <v>97</v>
      </c>
      <c r="EF13" s="85" t="s">
        <v>134</v>
      </c>
      <c r="EG13" s="85" t="s">
        <v>91</v>
      </c>
      <c r="EH13" s="84">
        <v>1</v>
      </c>
      <c r="EI13" s="83"/>
      <c r="EJ13" s="109">
        <v>20.49</v>
      </c>
      <c r="EK13" s="109">
        <f>IFERROR(GroceryList274561481091112[[#This Row],[QTY]]*GroceryList274561481091112[[#This Row],[UNIT PRICE]],"")</f>
        <v>20.49</v>
      </c>
      <c r="EL13" s="112" t="s">
        <v>130</v>
      </c>
      <c r="EM13" s="85">
        <v>23.99</v>
      </c>
      <c r="EP13" s="84" t="s">
        <v>130</v>
      </c>
      <c r="EQ13" s="105" t="s">
        <v>97</v>
      </c>
      <c r="ER13" s="85" t="s">
        <v>134</v>
      </c>
      <c r="ES13" s="85" t="s">
        <v>91</v>
      </c>
      <c r="ET13" s="84">
        <v>0</v>
      </c>
      <c r="EU13" s="83"/>
      <c r="EV13" s="109">
        <v>20.49</v>
      </c>
      <c r="EW13" s="109">
        <f>IFERROR(GroceryList27456148109111213[[#This Row],[QTY]]*GroceryList27456148109111213[[#This Row],[UNIT PRICE]],"")</f>
        <v>0</v>
      </c>
      <c r="EX13" s="112" t="s">
        <v>130</v>
      </c>
      <c r="EY13" s="85">
        <v>23.99</v>
      </c>
      <c r="FB13" s="84" t="s">
        <v>130</v>
      </c>
      <c r="FC13" s="105" t="s">
        <v>97</v>
      </c>
      <c r="FD13" s="85" t="s">
        <v>134</v>
      </c>
      <c r="FE13" s="85" t="s">
        <v>91</v>
      </c>
      <c r="FF13" s="84">
        <v>0</v>
      </c>
      <c r="FG13" s="83"/>
      <c r="FH13" s="109">
        <v>20.49</v>
      </c>
      <c r="FI13" s="109">
        <f>IFERROR(GroceryList2745614810911121315[[#This Row],[QTY]]*GroceryList2745614810911121315[[#This Row],[UNIT PRICE]],"")</f>
        <v>0</v>
      </c>
      <c r="FJ13" s="112" t="s">
        <v>130</v>
      </c>
      <c r="FK13" s="85">
        <v>23.99</v>
      </c>
      <c r="FN13" s="84" t="s">
        <v>130</v>
      </c>
      <c r="FO13" s="105" t="s">
        <v>97</v>
      </c>
      <c r="FP13" s="85" t="s">
        <v>134</v>
      </c>
      <c r="FQ13" s="85" t="s">
        <v>91</v>
      </c>
      <c r="FR13" s="84">
        <v>0</v>
      </c>
      <c r="FS13" s="83"/>
      <c r="FT13" s="109">
        <v>20.49</v>
      </c>
      <c r="FU13" s="109">
        <f>IFERROR(GroceryList274561481091112131516[[#This Row],[QTY]]*GroceryList274561481091112131516[[#This Row],[UNIT PRICE]],"")</f>
        <v>0</v>
      </c>
      <c r="FV13" s="112" t="s">
        <v>130</v>
      </c>
      <c r="FW13" s="85">
        <v>23.99</v>
      </c>
      <c r="FZ13" s="84" t="s">
        <v>130</v>
      </c>
      <c r="GA13" s="105" t="s">
        <v>97</v>
      </c>
      <c r="GB13" s="85" t="s">
        <v>134</v>
      </c>
      <c r="GC13" s="85" t="s">
        <v>91</v>
      </c>
      <c r="GD13" s="84">
        <v>1</v>
      </c>
      <c r="GE13" s="83"/>
      <c r="GF13" s="109">
        <v>19.989999999999998</v>
      </c>
      <c r="GG13" s="109">
        <f>IFERROR(GroceryList274561481091112131517[[#This Row],[QTY]]*GroceryList274561481091112131517[[#This Row],[UNIT PRICE]],"")</f>
        <v>19.989999999999998</v>
      </c>
      <c r="GH13" s="112" t="s">
        <v>130</v>
      </c>
      <c r="GI13" s="85">
        <v>22.99</v>
      </c>
      <c r="GL13" s="84" t="s">
        <v>130</v>
      </c>
      <c r="GM13" s="105" t="s">
        <v>97</v>
      </c>
      <c r="GN13" s="85" t="s">
        <v>134</v>
      </c>
      <c r="GO13" s="85" t="s">
        <v>91</v>
      </c>
      <c r="GP13" s="84">
        <v>1</v>
      </c>
      <c r="GQ13" s="83"/>
      <c r="GR13" s="109">
        <v>19.989999999999998</v>
      </c>
      <c r="GS13" s="109">
        <f>IFERROR(GroceryList27456148109111213151718[[#This Row],[QTY]]*GroceryList27456148109111213151718[[#This Row],[UNIT PRICE]],"")</f>
        <v>19.989999999999998</v>
      </c>
      <c r="GT13" s="112" t="s">
        <v>130</v>
      </c>
      <c r="GU13" s="85">
        <v>22.99</v>
      </c>
    </row>
    <row r="14" spans="2:203" ht="30" customHeight="1" x14ac:dyDescent="0.2">
      <c r="B14" s="84"/>
      <c r="C14" s="102" t="s">
        <v>144</v>
      </c>
      <c r="D14" t="s">
        <v>134</v>
      </c>
      <c r="E14" t="s">
        <v>91</v>
      </c>
      <c r="F14" s="84">
        <v>0.5</v>
      </c>
      <c r="G14" s="83"/>
      <c r="H14" s="90">
        <v>50.33</v>
      </c>
      <c r="I14" s="90">
        <f>IFERROR(GroceryList[[#This Row],[QTY]]*GroceryList[[#This Row],[UNIT PRICE]],"")</f>
        <v>25.164999999999999</v>
      </c>
      <c r="J14"/>
      <c r="M14" s="84"/>
      <c r="N14" s="102" t="s">
        <v>144</v>
      </c>
      <c r="O14" t="s">
        <v>134</v>
      </c>
      <c r="P14" t="s">
        <v>91</v>
      </c>
      <c r="Q14" s="84"/>
      <c r="R14" s="83"/>
      <c r="S14" s="90">
        <v>50.33</v>
      </c>
      <c r="T14" s="90">
        <f>IFERROR(GroceryList2[[#This Row],[QTY]]*GroceryList2[[#This Row],[UNIT PRICE]],"")</f>
        <v>0</v>
      </c>
      <c r="U14"/>
      <c r="Y14" s="84"/>
      <c r="Z14" s="102" t="s">
        <v>144</v>
      </c>
      <c r="AA14" t="s">
        <v>134</v>
      </c>
      <c r="AB14" t="s">
        <v>91</v>
      </c>
      <c r="AC14" s="84"/>
      <c r="AD14" s="83"/>
      <c r="AE14" s="90">
        <v>50.33</v>
      </c>
      <c r="AF14" s="90">
        <f>IFERROR(GroceryList27[[#This Row],[QTY]]*GroceryList27[[#This Row],[UNIT PRICE]],"")</f>
        <v>0</v>
      </c>
      <c r="AG14"/>
      <c r="AM14" s="84"/>
      <c r="AN14" s="107" t="s">
        <v>144</v>
      </c>
      <c r="AO14" s="108" t="s">
        <v>134</v>
      </c>
      <c r="AP14" s="108" t="s">
        <v>91</v>
      </c>
      <c r="AQ14" s="84"/>
      <c r="AR14" s="83"/>
      <c r="AS14" s="109">
        <v>50.33</v>
      </c>
      <c r="AT14" s="109">
        <f>IFERROR(GroceryList274[[#This Row],[QTY]]*GroceryList274[[#This Row],[UNIT PRICE]],"")</f>
        <v>0</v>
      </c>
      <c r="AU14"/>
      <c r="AY14" s="84"/>
      <c r="AZ14" s="107" t="s">
        <v>144</v>
      </c>
      <c r="BA14" s="108" t="s">
        <v>134</v>
      </c>
      <c r="BB14" s="108" t="s">
        <v>91</v>
      </c>
      <c r="BC14" s="84">
        <v>0</v>
      </c>
      <c r="BD14" s="83"/>
      <c r="BE14" s="109">
        <v>50.33</v>
      </c>
      <c r="BF14" s="109">
        <f>IFERROR(GroceryList2745[[#This Row],[QTY]]*GroceryList2745[[#This Row],[UNIT PRICE]],"")</f>
        <v>0</v>
      </c>
      <c r="BG14"/>
      <c r="BJ14" s="84"/>
      <c r="BK14" s="107" t="s">
        <v>144</v>
      </c>
      <c r="BL14" s="108" t="s">
        <v>134</v>
      </c>
      <c r="BM14" s="108" t="s">
        <v>91</v>
      </c>
      <c r="BN14" s="84">
        <v>0</v>
      </c>
      <c r="BO14" s="83"/>
      <c r="BP14" s="109">
        <v>50.33</v>
      </c>
      <c r="BQ14" s="109">
        <f>IFERROR(GroceryList27456[[#This Row],[QTY]]*GroceryList27456[[#This Row],[UNIT PRICE]],"")</f>
        <v>0</v>
      </c>
      <c r="BR14" s="111" t="s">
        <v>169</v>
      </c>
      <c r="BS14"/>
      <c r="BV14" s="84"/>
      <c r="BW14" s="107" t="s">
        <v>144</v>
      </c>
      <c r="BX14" s="108" t="s">
        <v>134</v>
      </c>
      <c r="BY14" s="108" t="s">
        <v>91</v>
      </c>
      <c r="BZ14" s="84">
        <v>0</v>
      </c>
      <c r="CA14" s="83"/>
      <c r="CB14" s="109">
        <v>50.33</v>
      </c>
      <c r="CC14" s="109">
        <f>IFERROR(GroceryList2745614[[#This Row],[QTY]]*GroceryList2745614[[#This Row],[UNIT PRICE]],"")</f>
        <v>0</v>
      </c>
      <c r="CD14" s="111" t="s">
        <v>169</v>
      </c>
      <c r="CE14"/>
      <c r="CH14" s="84"/>
      <c r="CI14" s="107" t="s">
        <v>144</v>
      </c>
      <c r="CJ14" s="108" t="s">
        <v>134</v>
      </c>
      <c r="CK14" s="108" t="s">
        <v>91</v>
      </c>
      <c r="CL14" s="84">
        <v>0</v>
      </c>
      <c r="CM14" s="83"/>
      <c r="CN14" s="109">
        <v>50.33</v>
      </c>
      <c r="CO14" s="109">
        <f>IFERROR(GroceryList27456148[[#This Row],[QTY]]*GroceryList27456148[[#This Row],[UNIT PRICE]],"")</f>
        <v>0</v>
      </c>
      <c r="CP14" s="111" t="s">
        <v>169</v>
      </c>
      <c r="CQ14"/>
      <c r="CT14" s="84"/>
      <c r="CU14" s="107" t="s">
        <v>144</v>
      </c>
      <c r="CV14" s="108" t="s">
        <v>134</v>
      </c>
      <c r="CW14" s="108" t="s">
        <v>91</v>
      </c>
      <c r="CX14" s="84">
        <v>0</v>
      </c>
      <c r="CY14" s="83"/>
      <c r="CZ14" s="109">
        <v>50.33</v>
      </c>
      <c r="DA14" s="109">
        <f>IFERROR(GroceryList2745614810[[#This Row],[QTY]]*GroceryList2745614810[[#This Row],[UNIT PRICE]],"")</f>
        <v>0</v>
      </c>
      <c r="DB14" s="111" t="s">
        <v>169</v>
      </c>
      <c r="DC14"/>
      <c r="DF14" s="84"/>
      <c r="DG14" s="107" t="s">
        <v>144</v>
      </c>
      <c r="DH14" s="108" t="s">
        <v>134</v>
      </c>
      <c r="DI14" s="108" t="s">
        <v>91</v>
      </c>
      <c r="DJ14" s="84">
        <v>0</v>
      </c>
      <c r="DK14" s="83"/>
      <c r="DL14" s="109">
        <v>50.33</v>
      </c>
      <c r="DM14" s="109">
        <f>IFERROR(GroceryList27456148109[[#This Row],[QTY]]*GroceryList27456148109[[#This Row],[UNIT PRICE]],"")</f>
        <v>0</v>
      </c>
      <c r="DN14" s="111" t="s">
        <v>169</v>
      </c>
      <c r="DO14"/>
      <c r="DR14" s="84"/>
      <c r="DS14" s="107" t="s">
        <v>144</v>
      </c>
      <c r="DT14" s="108" t="s">
        <v>134</v>
      </c>
      <c r="DU14" s="108" t="s">
        <v>91</v>
      </c>
      <c r="DV14" s="84">
        <v>0</v>
      </c>
      <c r="DW14" s="83"/>
      <c r="DX14" s="109">
        <v>50.33</v>
      </c>
      <c r="DY14" s="109">
        <f>IFERROR(GroceryList2745614810911[[#This Row],[QTY]]*GroceryList2745614810911[[#This Row],[UNIT PRICE]],"")</f>
        <v>0</v>
      </c>
      <c r="DZ14" s="111" t="s">
        <v>169</v>
      </c>
      <c r="EA14"/>
      <c r="ED14" s="84"/>
      <c r="EE14" s="107" t="s">
        <v>144</v>
      </c>
      <c r="EF14" s="108" t="s">
        <v>134</v>
      </c>
      <c r="EG14" s="108" t="s">
        <v>91</v>
      </c>
      <c r="EH14" s="84">
        <v>0</v>
      </c>
      <c r="EI14" s="83"/>
      <c r="EJ14" s="109">
        <v>50.33</v>
      </c>
      <c r="EK14" s="109">
        <f>IFERROR(GroceryList274561481091112[[#This Row],[QTY]]*GroceryList274561481091112[[#This Row],[UNIT PRICE]],"")</f>
        <v>0</v>
      </c>
      <c r="EL14" s="111" t="s">
        <v>169</v>
      </c>
      <c r="EM14"/>
      <c r="EP14" s="84"/>
      <c r="EQ14" s="107" t="s">
        <v>144</v>
      </c>
      <c r="ER14" s="108" t="s">
        <v>134</v>
      </c>
      <c r="ES14" s="108" t="s">
        <v>91</v>
      </c>
      <c r="ET14" s="84">
        <v>0</v>
      </c>
      <c r="EU14" s="83"/>
      <c r="EV14" s="109">
        <v>50.33</v>
      </c>
      <c r="EW14" s="109">
        <f>IFERROR(GroceryList27456148109111213[[#This Row],[QTY]]*GroceryList27456148109111213[[#This Row],[UNIT PRICE]],"")</f>
        <v>0</v>
      </c>
      <c r="EX14" s="111" t="s">
        <v>169</v>
      </c>
      <c r="EY14"/>
      <c r="FB14" s="84"/>
      <c r="FC14" s="107" t="s">
        <v>144</v>
      </c>
      <c r="FD14" s="108" t="s">
        <v>134</v>
      </c>
      <c r="FE14" s="108" t="s">
        <v>91</v>
      </c>
      <c r="FF14" s="84">
        <v>0</v>
      </c>
      <c r="FG14" s="83"/>
      <c r="FH14" s="109">
        <v>50.33</v>
      </c>
      <c r="FI14" s="109">
        <f>IFERROR(GroceryList2745614810911121315[[#This Row],[QTY]]*GroceryList2745614810911121315[[#This Row],[UNIT PRICE]],"")</f>
        <v>0</v>
      </c>
      <c r="FJ14" s="111" t="s">
        <v>169</v>
      </c>
      <c r="FK14"/>
      <c r="FN14" s="84"/>
      <c r="FO14" s="107" t="s">
        <v>144</v>
      </c>
      <c r="FP14" s="108" t="s">
        <v>134</v>
      </c>
      <c r="FQ14" s="108" t="s">
        <v>91</v>
      </c>
      <c r="FR14" s="84">
        <v>0</v>
      </c>
      <c r="FS14" s="83"/>
      <c r="FT14" s="109">
        <v>50.33</v>
      </c>
      <c r="FU14" s="109">
        <f>IFERROR(GroceryList274561481091112131516[[#This Row],[QTY]]*GroceryList274561481091112131516[[#This Row],[UNIT PRICE]],"")</f>
        <v>0</v>
      </c>
      <c r="FV14" s="111" t="s">
        <v>169</v>
      </c>
      <c r="FW14"/>
      <c r="FZ14" s="84"/>
      <c r="GA14" s="107" t="s">
        <v>144</v>
      </c>
      <c r="GB14" s="108" t="s">
        <v>134</v>
      </c>
      <c r="GC14" s="108" t="s">
        <v>91</v>
      </c>
      <c r="GD14" s="84">
        <v>1</v>
      </c>
      <c r="GE14" s="83"/>
      <c r="GF14" s="109">
        <v>25.64</v>
      </c>
      <c r="GG14" s="109">
        <f>IFERROR(GroceryList274561481091112131517[[#This Row],[QTY]]*GroceryList274561481091112131517[[#This Row],[UNIT PRICE]],"")</f>
        <v>25.64</v>
      </c>
      <c r="GH14" s="111" t="s">
        <v>169</v>
      </c>
      <c r="GI14">
        <v>27</v>
      </c>
      <c r="GL14" s="84"/>
      <c r="GM14" s="107" t="s">
        <v>144</v>
      </c>
      <c r="GN14" s="108" t="s">
        <v>134</v>
      </c>
      <c r="GO14" s="108" t="s">
        <v>91</v>
      </c>
      <c r="GP14" s="84"/>
      <c r="GQ14" s="83"/>
      <c r="GR14" s="109">
        <v>25.64</v>
      </c>
      <c r="GS14" s="109">
        <f>IFERROR(GroceryList27456148109111213151718[[#This Row],[QTY]]*GroceryList27456148109111213151718[[#This Row],[UNIT PRICE]],"")</f>
        <v>0</v>
      </c>
      <c r="GT14" s="111" t="s">
        <v>169</v>
      </c>
      <c r="GU14">
        <v>27</v>
      </c>
    </row>
    <row r="15" spans="2:203" ht="30" hidden="1" customHeight="1" x14ac:dyDescent="0.2">
      <c r="B15" s="84"/>
      <c r="C15" s="102" t="s">
        <v>145</v>
      </c>
      <c r="D15" t="s">
        <v>134</v>
      </c>
      <c r="E15" t="s">
        <v>91</v>
      </c>
      <c r="F15" s="84">
        <v>1</v>
      </c>
      <c r="G15" s="83"/>
      <c r="H15" s="90">
        <v>31.82</v>
      </c>
      <c r="I15" s="90">
        <f>IFERROR(GroceryList[[#This Row],[QTY]]*GroceryList[[#This Row],[UNIT PRICE]],"")</f>
        <v>31.82</v>
      </c>
      <c r="J15"/>
      <c r="M15" s="84"/>
      <c r="N15" s="102" t="s">
        <v>145</v>
      </c>
      <c r="O15" t="s">
        <v>134</v>
      </c>
      <c r="P15" t="s">
        <v>91</v>
      </c>
      <c r="Q15" s="84"/>
      <c r="R15" s="83"/>
      <c r="S15" s="90">
        <v>31.82</v>
      </c>
      <c r="T15" s="90">
        <f>IFERROR(GroceryList2[[#This Row],[QTY]]*GroceryList2[[#This Row],[UNIT PRICE]],"")</f>
        <v>0</v>
      </c>
      <c r="U15"/>
      <c r="Y15" s="84"/>
      <c r="Z15" s="102" t="s">
        <v>145</v>
      </c>
      <c r="AA15" t="s">
        <v>134</v>
      </c>
      <c r="AB15" t="s">
        <v>91</v>
      </c>
      <c r="AC15" s="84"/>
      <c r="AD15" s="83"/>
      <c r="AE15" s="90">
        <v>31.82</v>
      </c>
      <c r="AF15" s="90">
        <f>IFERROR(GroceryList27[[#This Row],[QTY]]*GroceryList27[[#This Row],[UNIT PRICE]],"")</f>
        <v>0</v>
      </c>
      <c r="AG15"/>
      <c r="AM15" s="84"/>
      <c r="AN15" s="107" t="s">
        <v>145</v>
      </c>
      <c r="AO15" s="108" t="s">
        <v>134</v>
      </c>
      <c r="AP15" s="108" t="s">
        <v>91</v>
      </c>
      <c r="AQ15" s="84"/>
      <c r="AR15" s="83"/>
      <c r="AS15" s="109">
        <v>31.82</v>
      </c>
      <c r="AT15" s="109">
        <f>IFERROR(GroceryList274[[#This Row],[QTY]]*GroceryList274[[#This Row],[UNIT PRICE]],"")</f>
        <v>0</v>
      </c>
      <c r="AU15"/>
      <c r="AY15" s="84"/>
      <c r="AZ15" s="107" t="s">
        <v>145</v>
      </c>
      <c r="BA15" s="108" t="s">
        <v>134</v>
      </c>
      <c r="BB15" s="108" t="s">
        <v>91</v>
      </c>
      <c r="BC15" s="84">
        <v>0</v>
      </c>
      <c r="BD15" s="83"/>
      <c r="BE15" s="109">
        <v>31.82</v>
      </c>
      <c r="BF15" s="109">
        <f>IFERROR(GroceryList2745[[#This Row],[QTY]]*GroceryList2745[[#This Row],[UNIT PRICE]],"")</f>
        <v>0</v>
      </c>
      <c r="BG15"/>
      <c r="BJ15" s="84"/>
      <c r="BK15" s="107" t="s">
        <v>145</v>
      </c>
      <c r="BL15" s="108" t="s">
        <v>134</v>
      </c>
      <c r="BM15" s="108" t="s">
        <v>91</v>
      </c>
      <c r="BN15" s="84">
        <v>0</v>
      </c>
      <c r="BO15" s="83"/>
      <c r="BP15" s="109">
        <v>31.82</v>
      </c>
      <c r="BQ15" s="109">
        <f>IFERROR(GroceryList27456[[#This Row],[QTY]]*GroceryList27456[[#This Row],[UNIT PRICE]],"")</f>
        <v>0</v>
      </c>
      <c r="BR15" s="111" t="s">
        <v>169</v>
      </c>
      <c r="BS15"/>
      <c r="BV15" s="84"/>
      <c r="BW15" s="107" t="s">
        <v>145</v>
      </c>
      <c r="BX15" s="108" t="s">
        <v>134</v>
      </c>
      <c r="BY15" s="108" t="s">
        <v>91</v>
      </c>
      <c r="BZ15" s="84">
        <v>0</v>
      </c>
      <c r="CA15" s="83"/>
      <c r="CB15" s="109">
        <v>31.82</v>
      </c>
      <c r="CC15" s="109">
        <f>IFERROR(GroceryList2745614[[#This Row],[QTY]]*GroceryList2745614[[#This Row],[UNIT PRICE]],"")</f>
        <v>0</v>
      </c>
      <c r="CD15" s="111" t="s">
        <v>169</v>
      </c>
      <c r="CE15"/>
      <c r="CH15" s="84"/>
      <c r="CI15" s="107" t="s">
        <v>145</v>
      </c>
      <c r="CJ15" s="108" t="s">
        <v>134</v>
      </c>
      <c r="CK15" s="108" t="s">
        <v>91</v>
      </c>
      <c r="CL15" s="84">
        <v>0</v>
      </c>
      <c r="CM15" s="83"/>
      <c r="CN15" s="109">
        <v>31.82</v>
      </c>
      <c r="CO15" s="109">
        <f>IFERROR(GroceryList27456148[[#This Row],[QTY]]*GroceryList27456148[[#This Row],[UNIT PRICE]],"")</f>
        <v>0</v>
      </c>
      <c r="CP15" s="111" t="s">
        <v>169</v>
      </c>
      <c r="CQ15"/>
      <c r="CT15" s="84"/>
      <c r="CU15" s="107" t="s">
        <v>145</v>
      </c>
      <c r="CV15" s="108" t="s">
        <v>134</v>
      </c>
      <c r="CW15" s="108" t="s">
        <v>91</v>
      </c>
      <c r="CX15" s="84">
        <v>0</v>
      </c>
      <c r="CY15" s="83"/>
      <c r="CZ15" s="109">
        <v>31.82</v>
      </c>
      <c r="DA15" s="109">
        <f>IFERROR(GroceryList2745614810[[#This Row],[QTY]]*GroceryList2745614810[[#This Row],[UNIT PRICE]],"")</f>
        <v>0</v>
      </c>
      <c r="DB15" s="111" t="s">
        <v>169</v>
      </c>
      <c r="DC15"/>
      <c r="DF15" s="84"/>
      <c r="DG15" s="107" t="s">
        <v>145</v>
      </c>
      <c r="DH15" s="108" t="s">
        <v>134</v>
      </c>
      <c r="DI15" s="108" t="s">
        <v>91</v>
      </c>
      <c r="DJ15" s="84">
        <v>0</v>
      </c>
      <c r="DK15" s="83"/>
      <c r="DL15" s="109">
        <v>31.82</v>
      </c>
      <c r="DM15" s="109">
        <f>IFERROR(GroceryList27456148109[[#This Row],[QTY]]*GroceryList27456148109[[#This Row],[UNIT PRICE]],"")</f>
        <v>0</v>
      </c>
      <c r="DN15" s="111" t="s">
        <v>169</v>
      </c>
      <c r="DO15"/>
      <c r="DR15" s="84"/>
      <c r="DS15" s="107" t="s">
        <v>145</v>
      </c>
      <c r="DT15" s="108" t="s">
        <v>134</v>
      </c>
      <c r="DU15" s="108" t="s">
        <v>91</v>
      </c>
      <c r="DV15" s="84">
        <v>0</v>
      </c>
      <c r="DW15" s="83"/>
      <c r="DX15" s="109">
        <v>31.82</v>
      </c>
      <c r="DY15" s="109">
        <f>IFERROR(GroceryList2745614810911[[#This Row],[QTY]]*GroceryList2745614810911[[#This Row],[UNIT PRICE]],"")</f>
        <v>0</v>
      </c>
      <c r="DZ15" s="111" t="s">
        <v>169</v>
      </c>
      <c r="EA15"/>
      <c r="ED15" s="84"/>
      <c r="EE15" s="107" t="s">
        <v>145</v>
      </c>
      <c r="EF15" s="108" t="s">
        <v>134</v>
      </c>
      <c r="EG15" s="108" t="s">
        <v>91</v>
      </c>
      <c r="EH15" s="84">
        <v>0</v>
      </c>
      <c r="EI15" s="83"/>
      <c r="EJ15" s="109">
        <v>31.82</v>
      </c>
      <c r="EK15" s="109">
        <f>IFERROR(GroceryList274561481091112[[#This Row],[QTY]]*GroceryList274561481091112[[#This Row],[UNIT PRICE]],"")</f>
        <v>0</v>
      </c>
      <c r="EL15" s="111" t="s">
        <v>169</v>
      </c>
      <c r="EM15"/>
      <c r="EP15" s="84"/>
      <c r="EQ15" s="107" t="s">
        <v>145</v>
      </c>
      <c r="ER15" s="108" t="s">
        <v>134</v>
      </c>
      <c r="ES15" s="108" t="s">
        <v>91</v>
      </c>
      <c r="ET15" s="84">
        <v>0</v>
      </c>
      <c r="EU15" s="83"/>
      <c r="EV15" s="109">
        <v>31.82</v>
      </c>
      <c r="EW15" s="109">
        <f>IFERROR(GroceryList27456148109111213[[#This Row],[QTY]]*GroceryList27456148109111213[[#This Row],[UNIT PRICE]],"")</f>
        <v>0</v>
      </c>
      <c r="EX15" s="111" t="s">
        <v>169</v>
      </c>
      <c r="EY15"/>
      <c r="FB15" s="84"/>
      <c r="FC15" s="107" t="s">
        <v>145</v>
      </c>
      <c r="FD15" s="108" t="s">
        <v>134</v>
      </c>
      <c r="FE15" s="108" t="s">
        <v>91</v>
      </c>
      <c r="FF15" s="84">
        <v>0</v>
      </c>
      <c r="FG15" s="83"/>
      <c r="FH15" s="109">
        <v>31.82</v>
      </c>
      <c r="FI15" s="109">
        <f>IFERROR(GroceryList2745614810911121315[[#This Row],[QTY]]*GroceryList2745614810911121315[[#This Row],[UNIT PRICE]],"")</f>
        <v>0</v>
      </c>
      <c r="FJ15" s="111" t="s">
        <v>169</v>
      </c>
      <c r="FK15"/>
      <c r="FN15" s="84"/>
      <c r="FO15" s="107" t="s">
        <v>145</v>
      </c>
      <c r="FP15" s="108" t="s">
        <v>134</v>
      </c>
      <c r="FQ15" s="108" t="s">
        <v>91</v>
      </c>
      <c r="FR15" s="84">
        <v>0</v>
      </c>
      <c r="FS15" s="83"/>
      <c r="FT15" s="109">
        <v>31.82</v>
      </c>
      <c r="FU15" s="109">
        <f>IFERROR(GroceryList274561481091112131516[[#This Row],[QTY]]*GroceryList274561481091112131516[[#This Row],[UNIT PRICE]],"")</f>
        <v>0</v>
      </c>
      <c r="FV15" s="111" t="s">
        <v>169</v>
      </c>
      <c r="FW15"/>
      <c r="FZ15" s="84"/>
      <c r="GA15" s="107" t="s">
        <v>145</v>
      </c>
      <c r="GB15" s="108" t="s">
        <v>134</v>
      </c>
      <c r="GC15" s="108" t="s">
        <v>91</v>
      </c>
      <c r="GD15" s="84">
        <v>0</v>
      </c>
      <c r="GE15" s="83"/>
      <c r="GF15" s="109">
        <v>31.82</v>
      </c>
      <c r="GG15" s="109">
        <f>IFERROR(GroceryList274561481091112131517[[#This Row],[QTY]]*GroceryList274561481091112131517[[#This Row],[UNIT PRICE]],"")</f>
        <v>0</v>
      </c>
      <c r="GH15" s="111" t="s">
        <v>169</v>
      </c>
      <c r="GI15"/>
      <c r="GL15" s="84"/>
      <c r="GM15" s="107" t="s">
        <v>145</v>
      </c>
      <c r="GN15" s="108" t="s">
        <v>134</v>
      </c>
      <c r="GO15" s="108" t="s">
        <v>91</v>
      </c>
      <c r="GP15" s="84">
        <v>1</v>
      </c>
      <c r="GQ15" s="83"/>
      <c r="GR15" s="109">
        <v>31.82</v>
      </c>
      <c r="GS15" s="109">
        <f>IFERROR(GroceryList27456148109111213151718[[#This Row],[QTY]]*GroceryList27456148109111213151718[[#This Row],[UNIT PRICE]],"")</f>
        <v>31.82</v>
      </c>
      <c r="GT15" s="111" t="s">
        <v>169</v>
      </c>
      <c r="GU15"/>
    </row>
    <row r="16" spans="2:203" ht="30" customHeight="1" x14ac:dyDescent="0.2">
      <c r="B16" s="84"/>
      <c r="C16" s="102" t="s">
        <v>146</v>
      </c>
      <c r="D16" t="s">
        <v>134</v>
      </c>
      <c r="E16" t="s">
        <v>91</v>
      </c>
      <c r="F16" s="84">
        <v>1</v>
      </c>
      <c r="G16" s="83"/>
      <c r="H16" s="90">
        <v>22.32</v>
      </c>
      <c r="I16" s="90">
        <f>IFERROR(GroceryList[[#This Row],[QTY]]*GroceryList[[#This Row],[UNIT PRICE]],"")</f>
        <v>22.32</v>
      </c>
      <c r="J16"/>
      <c r="M16" s="84"/>
      <c r="N16" s="102" t="s">
        <v>146</v>
      </c>
      <c r="O16" t="s">
        <v>134</v>
      </c>
      <c r="P16" t="s">
        <v>91</v>
      </c>
      <c r="Q16" s="84"/>
      <c r="R16" s="83"/>
      <c r="S16" s="90">
        <v>22.32</v>
      </c>
      <c r="T16" s="90">
        <f>IFERROR(GroceryList2[[#This Row],[QTY]]*GroceryList2[[#This Row],[UNIT PRICE]],"")</f>
        <v>0</v>
      </c>
      <c r="U16"/>
      <c r="Y16" s="84"/>
      <c r="Z16" s="102" t="s">
        <v>146</v>
      </c>
      <c r="AA16" t="s">
        <v>134</v>
      </c>
      <c r="AB16" t="s">
        <v>91</v>
      </c>
      <c r="AC16" s="84"/>
      <c r="AD16" s="83"/>
      <c r="AE16" s="90">
        <v>22.32</v>
      </c>
      <c r="AF16" s="90">
        <f>IFERROR(GroceryList27[[#This Row],[QTY]]*GroceryList27[[#This Row],[UNIT PRICE]],"")</f>
        <v>0</v>
      </c>
      <c r="AG16"/>
      <c r="AM16" s="84"/>
      <c r="AN16" s="107" t="s">
        <v>146</v>
      </c>
      <c r="AO16" s="108" t="s">
        <v>134</v>
      </c>
      <c r="AP16" s="108" t="s">
        <v>91</v>
      </c>
      <c r="AQ16" s="84"/>
      <c r="AR16" s="83"/>
      <c r="AS16" s="109">
        <v>22.32</v>
      </c>
      <c r="AT16" s="109">
        <f>IFERROR(GroceryList274[[#This Row],[QTY]]*GroceryList274[[#This Row],[UNIT PRICE]],"")</f>
        <v>0</v>
      </c>
      <c r="AU16"/>
      <c r="AY16" s="84" t="s">
        <v>130</v>
      </c>
      <c r="AZ16" s="107" t="s">
        <v>136</v>
      </c>
      <c r="BA16" s="108" t="s">
        <v>134</v>
      </c>
      <c r="BB16" s="108" t="s">
        <v>92</v>
      </c>
      <c r="BC16" s="84">
        <v>2</v>
      </c>
      <c r="BD16" s="83"/>
      <c r="BE16" s="109">
        <v>24.7</v>
      </c>
      <c r="BF16" s="109">
        <f>IFERROR(GroceryList2745[[#This Row],[QTY]]*GroceryList2745[[#This Row],[UNIT PRICE]],"")</f>
        <v>49.4</v>
      </c>
      <c r="BG16"/>
      <c r="BJ16" s="84" t="s">
        <v>130</v>
      </c>
      <c r="BK16" s="107" t="s">
        <v>136</v>
      </c>
      <c r="BL16" s="108" t="s">
        <v>134</v>
      </c>
      <c r="BM16" s="108" t="s">
        <v>92</v>
      </c>
      <c r="BN16" s="84">
        <v>2</v>
      </c>
      <c r="BO16" s="83"/>
      <c r="BP16" s="109">
        <v>25</v>
      </c>
      <c r="BQ16" s="109">
        <f>IFERROR(GroceryList27456[[#This Row],[QTY]]*GroceryList27456[[#This Row],[UNIT PRICE]],"")</f>
        <v>50</v>
      </c>
      <c r="BR16" s="111" t="s">
        <v>130</v>
      </c>
      <c r="BS16"/>
      <c r="BV16" s="84" t="s">
        <v>130</v>
      </c>
      <c r="BW16" s="107" t="s">
        <v>136</v>
      </c>
      <c r="BX16" s="108" t="s">
        <v>134</v>
      </c>
      <c r="BY16" s="108" t="s">
        <v>92</v>
      </c>
      <c r="BZ16" s="84">
        <v>2</v>
      </c>
      <c r="CA16" s="83"/>
      <c r="CB16" s="109">
        <v>26.59</v>
      </c>
      <c r="CC16" s="109">
        <f>IFERROR(GroceryList2745614[[#This Row],[QTY]]*GroceryList2745614[[#This Row],[UNIT PRICE]],"")</f>
        <v>53.18</v>
      </c>
      <c r="CD16" s="111" t="s">
        <v>130</v>
      </c>
      <c r="CE16">
        <v>27.99</v>
      </c>
      <c r="CH16" s="84" t="s">
        <v>130</v>
      </c>
      <c r="CI16" s="107" t="s">
        <v>136</v>
      </c>
      <c r="CJ16" s="108" t="s">
        <v>134</v>
      </c>
      <c r="CK16" s="108" t="s">
        <v>92</v>
      </c>
      <c r="CL16" s="84">
        <v>2</v>
      </c>
      <c r="CM16" s="83"/>
      <c r="CN16" s="109">
        <v>22.39</v>
      </c>
      <c r="CO16" s="109">
        <f>IFERROR(GroceryList27456148[[#This Row],[QTY]]*GroceryList27456148[[#This Row],[UNIT PRICE]],"")</f>
        <v>44.78</v>
      </c>
      <c r="CP16" s="111" t="s">
        <v>130</v>
      </c>
      <c r="CQ16">
        <v>27.99</v>
      </c>
      <c r="CT16" s="84" t="s">
        <v>130</v>
      </c>
      <c r="CU16" s="107" t="s">
        <v>136</v>
      </c>
      <c r="CV16" s="108" t="s">
        <v>134</v>
      </c>
      <c r="CW16" s="108" t="s">
        <v>92</v>
      </c>
      <c r="CX16" s="84">
        <v>1</v>
      </c>
      <c r="CY16" s="83"/>
      <c r="CZ16" s="109">
        <v>22.39</v>
      </c>
      <c r="DA16" s="109">
        <f>IFERROR(GroceryList2745614810[[#This Row],[QTY]]*GroceryList2745614810[[#This Row],[UNIT PRICE]],"")</f>
        <v>22.39</v>
      </c>
      <c r="DB16" s="111" t="s">
        <v>130</v>
      </c>
      <c r="DC16">
        <v>27.99</v>
      </c>
      <c r="DF16" s="84" t="s">
        <v>130</v>
      </c>
      <c r="DG16" s="107" t="s">
        <v>136</v>
      </c>
      <c r="DH16" s="108" t="s">
        <v>134</v>
      </c>
      <c r="DI16" s="108" t="s">
        <v>92</v>
      </c>
      <c r="DJ16" s="84">
        <v>0</v>
      </c>
      <c r="DK16" s="83"/>
      <c r="DL16" s="109">
        <v>22.39</v>
      </c>
      <c r="DM16" s="109">
        <f>IFERROR(GroceryList27456148109[[#This Row],[QTY]]*GroceryList27456148109[[#This Row],[UNIT PRICE]],"")</f>
        <v>0</v>
      </c>
      <c r="DN16" s="111" t="s">
        <v>130</v>
      </c>
      <c r="DO16">
        <v>27.99</v>
      </c>
      <c r="DR16" s="84" t="s">
        <v>130</v>
      </c>
      <c r="DS16" s="107" t="s">
        <v>136</v>
      </c>
      <c r="DT16" s="108" t="s">
        <v>134</v>
      </c>
      <c r="DU16" s="108" t="s">
        <v>92</v>
      </c>
      <c r="DV16" s="84">
        <v>2</v>
      </c>
      <c r="DW16" s="83"/>
      <c r="DX16" s="109">
        <v>22.39</v>
      </c>
      <c r="DY16" s="109">
        <f>IFERROR(GroceryList2745614810911[[#This Row],[QTY]]*GroceryList2745614810911[[#This Row],[UNIT PRICE]],"")</f>
        <v>44.78</v>
      </c>
      <c r="DZ16" s="111" t="s">
        <v>130</v>
      </c>
      <c r="EA16">
        <v>27.99</v>
      </c>
      <c r="ED16" s="84" t="s">
        <v>130</v>
      </c>
      <c r="EE16" s="107" t="s">
        <v>136</v>
      </c>
      <c r="EF16" s="108" t="s">
        <v>134</v>
      </c>
      <c r="EG16" s="108" t="s">
        <v>92</v>
      </c>
      <c r="EH16" s="84">
        <v>1</v>
      </c>
      <c r="EI16" s="83"/>
      <c r="EJ16" s="109">
        <f>23.27+26.59+16.14</f>
        <v>66</v>
      </c>
      <c r="EK16" s="109">
        <f>IFERROR(GroceryList274561481091112[[#This Row],[QTY]]*GroceryList274561481091112[[#This Row],[UNIT PRICE]],"")</f>
        <v>66</v>
      </c>
      <c r="EL16" s="111" t="s">
        <v>130</v>
      </c>
      <c r="EM16">
        <v>27.99</v>
      </c>
      <c r="EP16" s="84" t="s">
        <v>130</v>
      </c>
      <c r="EQ16" s="107" t="s">
        <v>136</v>
      </c>
      <c r="ER16" s="108" t="s">
        <v>134</v>
      </c>
      <c r="ES16" s="108" t="s">
        <v>92</v>
      </c>
      <c r="ET16" s="84">
        <v>0</v>
      </c>
      <c r="EU16" s="83"/>
      <c r="EV16" s="109">
        <f>23.27+26.59+16.14</f>
        <v>66</v>
      </c>
      <c r="EW16" s="109">
        <f>IFERROR(GroceryList27456148109111213[[#This Row],[QTY]]*GroceryList27456148109111213[[#This Row],[UNIT PRICE]],"")</f>
        <v>0</v>
      </c>
      <c r="EX16" s="111" t="s">
        <v>130</v>
      </c>
      <c r="EY16">
        <v>27.99</v>
      </c>
      <c r="FB16" s="84" t="s">
        <v>130</v>
      </c>
      <c r="FC16" s="107" t="s">
        <v>136</v>
      </c>
      <c r="FD16" s="108" t="s">
        <v>134</v>
      </c>
      <c r="FE16" s="108" t="s">
        <v>92</v>
      </c>
      <c r="FF16" s="84">
        <v>1</v>
      </c>
      <c r="FG16" s="83"/>
      <c r="FH16" s="109">
        <f>20.39+23.79</f>
        <v>44.18</v>
      </c>
      <c r="FI16" s="109">
        <f>IFERROR(GroceryList2745614810911121315[[#This Row],[QTY]]*GroceryList2745614810911121315[[#This Row],[UNIT PRICE]],"")</f>
        <v>44.18</v>
      </c>
      <c r="FJ16" s="111" t="s">
        <v>130</v>
      </c>
      <c r="FK16">
        <v>27.99</v>
      </c>
      <c r="FN16" s="84" t="s">
        <v>130</v>
      </c>
      <c r="FO16" s="107" t="s">
        <v>136</v>
      </c>
      <c r="FP16" s="108" t="s">
        <v>134</v>
      </c>
      <c r="FQ16" s="108" t="s">
        <v>92</v>
      </c>
      <c r="FR16" s="84">
        <v>0</v>
      </c>
      <c r="FS16" s="83"/>
      <c r="FT16" s="109">
        <f>26.59</f>
        <v>26.59</v>
      </c>
      <c r="FU16" s="109">
        <f>IFERROR(GroceryList274561481091112131516[[#This Row],[QTY]]*GroceryList274561481091112131516[[#This Row],[UNIT PRICE]],"")</f>
        <v>0</v>
      </c>
      <c r="FV16" s="111" t="s">
        <v>130</v>
      </c>
      <c r="FW16">
        <v>27.99</v>
      </c>
      <c r="FZ16" s="84" t="s">
        <v>130</v>
      </c>
      <c r="GA16" s="107" t="s">
        <v>136</v>
      </c>
      <c r="GB16" s="108" t="s">
        <v>134</v>
      </c>
      <c r="GC16" s="108" t="s">
        <v>92</v>
      </c>
      <c r="GD16" s="84">
        <v>1</v>
      </c>
      <c r="GE16" s="83"/>
      <c r="GF16" s="109">
        <f>20.99+22.79</f>
        <v>43.78</v>
      </c>
      <c r="GG16" s="109">
        <f>IFERROR(GroceryList274561481091112131517[[#This Row],[QTY]]*GroceryList274561481091112131517[[#This Row],[UNIT PRICE]],"")</f>
        <v>43.78</v>
      </c>
      <c r="GH16" s="111" t="s">
        <v>130</v>
      </c>
      <c r="GI16">
        <v>27.99</v>
      </c>
      <c r="GL16" s="84" t="s">
        <v>130</v>
      </c>
      <c r="GM16" s="107" t="s">
        <v>136</v>
      </c>
      <c r="GN16" s="108" t="s">
        <v>134</v>
      </c>
      <c r="GO16" s="108" t="s">
        <v>92</v>
      </c>
      <c r="GP16" s="84">
        <v>1</v>
      </c>
      <c r="GQ16" s="83"/>
      <c r="GR16" s="109">
        <f>20.99+22.79</f>
        <v>43.78</v>
      </c>
      <c r="GS16" s="109">
        <f>IFERROR(GroceryList27456148109111213151718[[#This Row],[QTY]]*GroceryList27456148109111213151718[[#This Row],[UNIT PRICE]],"")</f>
        <v>43.78</v>
      </c>
      <c r="GT16" s="111" t="s">
        <v>130</v>
      </c>
      <c r="GU16">
        <v>27.99</v>
      </c>
    </row>
    <row r="17" spans="2:203" ht="30" customHeight="1" x14ac:dyDescent="0.2">
      <c r="B17" s="84"/>
      <c r="C17" s="102" t="s">
        <v>139</v>
      </c>
      <c r="D17" t="s">
        <v>134</v>
      </c>
      <c r="E17" t="s">
        <v>91</v>
      </c>
      <c r="F17" s="84">
        <v>1</v>
      </c>
      <c r="G17" s="83"/>
      <c r="H17" s="90"/>
      <c r="I17" s="90">
        <f>IFERROR(GroceryList[[#This Row],[QTY]]*GroceryList[[#This Row],[UNIT PRICE]],"")</f>
        <v>0</v>
      </c>
      <c r="J17"/>
      <c r="M17" s="84"/>
      <c r="N17" s="102" t="s">
        <v>139</v>
      </c>
      <c r="O17" t="s">
        <v>134</v>
      </c>
      <c r="P17" t="s">
        <v>91</v>
      </c>
      <c r="Q17" s="84"/>
      <c r="R17" s="83"/>
      <c r="S17" s="90"/>
      <c r="T17" s="90">
        <f>IFERROR(GroceryList2[[#This Row],[QTY]]*GroceryList2[[#This Row],[UNIT PRICE]],"")</f>
        <v>0</v>
      </c>
      <c r="U17"/>
      <c r="Y17" s="84"/>
      <c r="Z17" s="102" t="s">
        <v>139</v>
      </c>
      <c r="AA17" t="s">
        <v>134</v>
      </c>
      <c r="AB17" t="s">
        <v>91</v>
      </c>
      <c r="AC17" s="84"/>
      <c r="AD17" s="83"/>
      <c r="AE17" s="90"/>
      <c r="AF17" s="90">
        <f>IFERROR(GroceryList27[[#This Row],[QTY]]*GroceryList27[[#This Row],[UNIT PRICE]],"")</f>
        <v>0</v>
      </c>
      <c r="AG17"/>
      <c r="AM17" s="84"/>
      <c r="AN17" s="107" t="s">
        <v>139</v>
      </c>
      <c r="AO17" s="108" t="s">
        <v>134</v>
      </c>
      <c r="AP17" s="108" t="s">
        <v>91</v>
      </c>
      <c r="AQ17" s="84"/>
      <c r="AR17" s="83"/>
      <c r="AS17" s="109"/>
      <c r="AT17" s="109">
        <f>IFERROR(GroceryList274[[#This Row],[QTY]]*GroceryList274[[#This Row],[UNIT PRICE]],"")</f>
        <v>0</v>
      </c>
      <c r="AU17"/>
      <c r="AY17" s="84"/>
      <c r="AZ17" s="107" t="s">
        <v>146</v>
      </c>
      <c r="BA17" s="108" t="s">
        <v>134</v>
      </c>
      <c r="BB17" s="108" t="s">
        <v>91</v>
      </c>
      <c r="BC17" s="84">
        <v>0</v>
      </c>
      <c r="BD17" s="83"/>
      <c r="BE17" s="109">
        <v>22.32</v>
      </c>
      <c r="BF17" s="109">
        <f>IFERROR(GroceryList2745[[#This Row],[QTY]]*GroceryList2745[[#This Row],[UNIT PRICE]],"")</f>
        <v>0</v>
      </c>
      <c r="BG17"/>
      <c r="BJ17" s="84"/>
      <c r="BK17" s="107" t="s">
        <v>146</v>
      </c>
      <c r="BL17" s="108" t="s">
        <v>134</v>
      </c>
      <c r="BM17" s="108" t="s">
        <v>91</v>
      </c>
      <c r="BN17" s="84">
        <v>0</v>
      </c>
      <c r="BO17" s="83"/>
      <c r="BP17" s="109">
        <v>22.32</v>
      </c>
      <c r="BQ17" s="109">
        <f>IFERROR(GroceryList27456[[#This Row],[QTY]]*GroceryList27456[[#This Row],[UNIT PRICE]],"")</f>
        <v>0</v>
      </c>
      <c r="BR17" s="111" t="s">
        <v>169</v>
      </c>
      <c r="BS17"/>
      <c r="BV17" s="84"/>
      <c r="BW17" s="107" t="s">
        <v>146</v>
      </c>
      <c r="BX17" s="108" t="s">
        <v>134</v>
      </c>
      <c r="BY17" s="108" t="s">
        <v>91</v>
      </c>
      <c r="BZ17" s="84">
        <v>0</v>
      </c>
      <c r="CA17" s="83"/>
      <c r="CB17" s="109">
        <v>22.32</v>
      </c>
      <c r="CC17" s="109">
        <f>IFERROR(GroceryList2745614[[#This Row],[QTY]]*GroceryList2745614[[#This Row],[UNIT PRICE]],"")</f>
        <v>0</v>
      </c>
      <c r="CD17" s="111" t="s">
        <v>169</v>
      </c>
      <c r="CE17"/>
      <c r="CH17" s="84"/>
      <c r="CI17" s="107" t="s">
        <v>146</v>
      </c>
      <c r="CJ17" s="108" t="s">
        <v>134</v>
      </c>
      <c r="CK17" s="108" t="s">
        <v>91</v>
      </c>
      <c r="CL17" s="84">
        <v>1</v>
      </c>
      <c r="CM17" s="83"/>
      <c r="CN17" s="109">
        <v>24.79</v>
      </c>
      <c r="CO17" s="109">
        <f>IFERROR(GroceryList27456148[[#This Row],[QTY]]*GroceryList27456148[[#This Row],[UNIT PRICE]],"")</f>
        <v>24.79</v>
      </c>
      <c r="CP17" s="111" t="s">
        <v>169</v>
      </c>
      <c r="CQ17">
        <v>30.99</v>
      </c>
      <c r="CT17" s="84"/>
      <c r="CU17" s="107" t="s">
        <v>146</v>
      </c>
      <c r="CV17" s="108" t="s">
        <v>134</v>
      </c>
      <c r="CW17" s="108" t="s">
        <v>91</v>
      </c>
      <c r="CX17" s="84">
        <v>1</v>
      </c>
      <c r="CY17" s="83"/>
      <c r="CZ17" s="109">
        <v>4.79</v>
      </c>
      <c r="DA17" s="109">
        <f>IFERROR(GroceryList2745614810[[#This Row],[QTY]]*GroceryList2745614810[[#This Row],[UNIT PRICE]],"")</f>
        <v>4.79</v>
      </c>
      <c r="DB17" s="111" t="s">
        <v>169</v>
      </c>
      <c r="DC17">
        <v>5.99</v>
      </c>
      <c r="DF17" s="84"/>
      <c r="DG17" s="107" t="s">
        <v>146</v>
      </c>
      <c r="DH17" s="108" t="s">
        <v>134</v>
      </c>
      <c r="DI17" s="108" t="s">
        <v>91</v>
      </c>
      <c r="DJ17" s="84">
        <v>0</v>
      </c>
      <c r="DK17" s="83"/>
      <c r="DL17" s="109">
        <v>24.79</v>
      </c>
      <c r="DM17" s="109">
        <f>IFERROR(GroceryList27456148109[[#This Row],[QTY]]*GroceryList27456148109[[#This Row],[UNIT PRICE]],"")</f>
        <v>0</v>
      </c>
      <c r="DN17" s="111" t="s">
        <v>169</v>
      </c>
      <c r="DO17">
        <v>30.99</v>
      </c>
      <c r="DR17" s="84"/>
      <c r="DS17" s="107" t="s">
        <v>146</v>
      </c>
      <c r="DT17" s="108" t="s">
        <v>134</v>
      </c>
      <c r="DU17" s="108" t="s">
        <v>91</v>
      </c>
      <c r="DV17" s="84">
        <v>0</v>
      </c>
      <c r="DW17" s="83"/>
      <c r="DX17" s="109">
        <v>24.79</v>
      </c>
      <c r="DY17" s="109">
        <f>IFERROR(GroceryList2745614810911[[#This Row],[QTY]]*GroceryList2745614810911[[#This Row],[UNIT PRICE]],"")</f>
        <v>0</v>
      </c>
      <c r="DZ17" s="111" t="s">
        <v>169</v>
      </c>
      <c r="EA17">
        <v>30.99</v>
      </c>
      <c r="ED17" s="84"/>
      <c r="EE17" s="107" t="s">
        <v>146</v>
      </c>
      <c r="EF17" s="108" t="s">
        <v>134</v>
      </c>
      <c r="EG17" s="108" t="s">
        <v>91</v>
      </c>
      <c r="EH17" s="84">
        <v>1</v>
      </c>
      <c r="EI17" s="83"/>
      <c r="EJ17" s="109">
        <v>36.090000000000003</v>
      </c>
      <c r="EK17" s="109">
        <f>IFERROR(GroceryList274561481091112[[#This Row],[QTY]]*GroceryList274561481091112[[#This Row],[UNIT PRICE]],"")</f>
        <v>36.090000000000003</v>
      </c>
      <c r="EL17" s="111" t="s">
        <v>169</v>
      </c>
      <c r="EM17">
        <v>38</v>
      </c>
      <c r="EP17" s="84"/>
      <c r="EQ17" s="107" t="s">
        <v>146</v>
      </c>
      <c r="ER17" s="108" t="s">
        <v>134</v>
      </c>
      <c r="ES17" s="108" t="s">
        <v>91</v>
      </c>
      <c r="ET17" s="84">
        <v>0</v>
      </c>
      <c r="EU17" s="83"/>
      <c r="EV17" s="109">
        <v>24.79</v>
      </c>
      <c r="EW17" s="109">
        <f>IFERROR(GroceryList27456148109111213[[#This Row],[QTY]]*GroceryList27456148109111213[[#This Row],[UNIT PRICE]],"")</f>
        <v>0</v>
      </c>
      <c r="EX17" s="111" t="s">
        <v>169</v>
      </c>
      <c r="EY17">
        <v>30.99</v>
      </c>
      <c r="FB17" s="84"/>
      <c r="FC17" s="107" t="s">
        <v>146</v>
      </c>
      <c r="FD17" s="108" t="s">
        <v>134</v>
      </c>
      <c r="FE17" s="108" t="s">
        <v>91</v>
      </c>
      <c r="FF17" s="84">
        <v>0</v>
      </c>
      <c r="FG17" s="83"/>
      <c r="FH17" s="109">
        <v>24.79</v>
      </c>
      <c r="FI17" s="109">
        <f>IFERROR(GroceryList2745614810911121315[[#This Row],[QTY]]*GroceryList2745614810911121315[[#This Row],[UNIT PRICE]],"")</f>
        <v>0</v>
      </c>
      <c r="FJ17" s="111" t="s">
        <v>169</v>
      </c>
      <c r="FK17">
        <v>30.99</v>
      </c>
      <c r="FN17" s="84"/>
      <c r="FO17" s="107" t="s">
        <v>146</v>
      </c>
      <c r="FP17" s="108" t="s">
        <v>134</v>
      </c>
      <c r="FQ17" s="108" t="s">
        <v>91</v>
      </c>
      <c r="FR17" s="84">
        <v>0</v>
      </c>
      <c r="FS17" s="83"/>
      <c r="FT17" s="109">
        <v>24.79</v>
      </c>
      <c r="FU17" s="109">
        <f>IFERROR(GroceryList274561481091112131516[[#This Row],[QTY]]*GroceryList274561481091112131516[[#This Row],[UNIT PRICE]],"")</f>
        <v>0</v>
      </c>
      <c r="FV17" s="111" t="s">
        <v>169</v>
      </c>
      <c r="FW17">
        <v>30.99</v>
      </c>
      <c r="FZ17" s="84"/>
      <c r="GA17" s="107" t="s">
        <v>146</v>
      </c>
      <c r="GB17" s="108" t="s">
        <v>134</v>
      </c>
      <c r="GC17" s="108" t="s">
        <v>91</v>
      </c>
      <c r="GD17" s="84">
        <v>1</v>
      </c>
      <c r="GE17" s="83"/>
      <c r="GF17" s="109">
        <v>29.44</v>
      </c>
      <c r="GG17" s="109">
        <f>IFERROR(GroceryList274561481091112131517[[#This Row],[QTY]]*GroceryList274561481091112131517[[#This Row],[UNIT PRICE]],"")</f>
        <v>29.44</v>
      </c>
      <c r="GH17" s="111" t="s">
        <v>169</v>
      </c>
      <c r="GI17">
        <v>30.99</v>
      </c>
      <c r="GL17" s="84"/>
      <c r="GM17" s="107" t="s">
        <v>146</v>
      </c>
      <c r="GN17" s="108" t="s">
        <v>134</v>
      </c>
      <c r="GO17" s="108" t="s">
        <v>91</v>
      </c>
      <c r="GP17" s="84">
        <v>1</v>
      </c>
      <c r="GQ17" s="83"/>
      <c r="GR17" s="109">
        <v>29.44</v>
      </c>
      <c r="GS17" s="109">
        <f>IFERROR(GroceryList27456148109111213151718[[#This Row],[QTY]]*GroceryList27456148109111213151718[[#This Row],[UNIT PRICE]],"")</f>
        <v>29.44</v>
      </c>
      <c r="GT17" s="111" t="s">
        <v>169</v>
      </c>
      <c r="GU17">
        <v>30.99</v>
      </c>
    </row>
    <row r="18" spans="2:203" ht="30" customHeight="1" x14ac:dyDescent="0.2">
      <c r="B18" s="84"/>
      <c r="C18" s="99" t="s">
        <v>98</v>
      </c>
      <c r="D18" s="85"/>
      <c r="E18" s="85"/>
      <c r="F18" s="84"/>
      <c r="G18" s="83"/>
      <c r="H18" s="90"/>
      <c r="I18" s="90">
        <f>IFERROR(GroceryList[[#This Row],[QTY]]*GroceryList[[#This Row],[UNIT PRICE]],"")</f>
        <v>0</v>
      </c>
      <c r="J18" s="85"/>
      <c r="M18" s="84"/>
      <c r="N18" s="99" t="s">
        <v>98</v>
      </c>
      <c r="O18" s="85"/>
      <c r="P18" s="85"/>
      <c r="Q18" s="84"/>
      <c r="R18" s="83"/>
      <c r="S18" s="90"/>
      <c r="T18" s="90">
        <f>IFERROR(GroceryList2[[#This Row],[QTY]]*GroceryList2[[#This Row],[UNIT PRICE]],"")</f>
        <v>0</v>
      </c>
      <c r="U18" s="85"/>
      <c r="Y18" s="84"/>
      <c r="Z18" s="99" t="s">
        <v>98</v>
      </c>
      <c r="AA18" s="85"/>
      <c r="AB18" s="85"/>
      <c r="AC18" s="84"/>
      <c r="AD18" s="83"/>
      <c r="AE18" s="90"/>
      <c r="AF18" s="90">
        <f>IFERROR(GroceryList27[[#This Row],[QTY]]*GroceryList27[[#This Row],[UNIT PRICE]],"")</f>
        <v>0</v>
      </c>
      <c r="AG18" s="85"/>
      <c r="AM18" s="84" t="s">
        <v>130</v>
      </c>
      <c r="AN18" s="105" t="s">
        <v>98</v>
      </c>
      <c r="AO18" s="85"/>
      <c r="AP18" s="85" t="s">
        <v>90</v>
      </c>
      <c r="AQ18" s="84">
        <v>0</v>
      </c>
      <c r="AR18" s="83"/>
      <c r="AS18" s="109">
        <v>45</v>
      </c>
      <c r="AT18" s="109">
        <f>IFERROR(GroceryList274[[#This Row],[QTY]]*GroceryList274[[#This Row],[UNIT PRICE]],"")</f>
        <v>0</v>
      </c>
      <c r="AU18" s="85"/>
      <c r="AY18" s="84"/>
      <c r="AZ18" s="107" t="s">
        <v>139</v>
      </c>
      <c r="BA18" s="108" t="s">
        <v>134</v>
      </c>
      <c r="BB18" s="108" t="s">
        <v>91</v>
      </c>
      <c r="BC18" s="84">
        <v>0</v>
      </c>
      <c r="BD18" s="83"/>
      <c r="BE18" s="109"/>
      <c r="BF18" s="109">
        <f>IFERROR(GroceryList2745[[#This Row],[QTY]]*GroceryList2745[[#This Row],[UNIT PRICE]],"")</f>
        <v>0</v>
      </c>
      <c r="BG18"/>
      <c r="BJ18" s="84"/>
      <c r="BK18" s="107" t="s">
        <v>139</v>
      </c>
      <c r="BL18" s="108" t="s">
        <v>134</v>
      </c>
      <c r="BM18" s="108" t="s">
        <v>91</v>
      </c>
      <c r="BN18" s="84">
        <v>0</v>
      </c>
      <c r="BO18" s="83"/>
      <c r="BP18" s="109"/>
      <c r="BQ18" s="109">
        <f>IFERROR(GroceryList27456[[#This Row],[QTY]]*GroceryList27456[[#This Row],[UNIT PRICE]],"")</f>
        <v>0</v>
      </c>
      <c r="BR18" s="111" t="s">
        <v>169</v>
      </c>
      <c r="BS18"/>
      <c r="BV18" s="84"/>
      <c r="BW18" s="107" t="s">
        <v>139</v>
      </c>
      <c r="BX18" s="108" t="s">
        <v>134</v>
      </c>
      <c r="BY18" s="108" t="s">
        <v>91</v>
      </c>
      <c r="BZ18" s="84">
        <v>0</v>
      </c>
      <c r="CA18" s="83"/>
      <c r="CB18" s="109"/>
      <c r="CC18" s="109">
        <f>IFERROR(GroceryList2745614[[#This Row],[QTY]]*GroceryList2745614[[#This Row],[UNIT PRICE]],"")</f>
        <v>0</v>
      </c>
      <c r="CD18" s="111" t="s">
        <v>169</v>
      </c>
      <c r="CE18"/>
      <c r="CH18" s="84"/>
      <c r="CI18" s="111" t="s">
        <v>173</v>
      </c>
      <c r="CJ18" s="108" t="s">
        <v>134</v>
      </c>
      <c r="CK18" s="113" t="s">
        <v>91</v>
      </c>
      <c r="CL18" s="84">
        <v>1</v>
      </c>
      <c r="CM18" s="83"/>
      <c r="CN18" s="109">
        <v>8.49</v>
      </c>
      <c r="CO18" s="109">
        <f>IFERROR(GroceryList27456148[[#This Row],[QTY]]*GroceryList27456148[[#This Row],[UNIT PRICE]],"")</f>
        <v>8.49</v>
      </c>
      <c r="CP18" s="111" t="s">
        <v>169</v>
      </c>
      <c r="CQ18">
        <v>10.99</v>
      </c>
      <c r="CT18" s="84"/>
      <c r="CU18" s="111" t="s">
        <v>173</v>
      </c>
      <c r="CV18" s="108" t="s">
        <v>134</v>
      </c>
      <c r="CW18" s="113" t="s">
        <v>91</v>
      </c>
      <c r="CX18" s="84">
        <v>1</v>
      </c>
      <c r="CY18" s="83"/>
      <c r="CZ18" s="109">
        <v>2.15</v>
      </c>
      <c r="DA18" s="109">
        <f>IFERROR(GroceryList2745614810[[#This Row],[QTY]]*GroceryList2745614810[[#This Row],[UNIT PRICE]],"")</f>
        <v>2.15</v>
      </c>
      <c r="DB18" s="111" t="s">
        <v>169</v>
      </c>
      <c r="DC18">
        <v>2.69</v>
      </c>
      <c r="DF18" s="84"/>
      <c r="DG18" s="111" t="s">
        <v>173</v>
      </c>
      <c r="DH18" s="108" t="s">
        <v>134</v>
      </c>
      <c r="DI18" s="113" t="s">
        <v>91</v>
      </c>
      <c r="DJ18" s="84">
        <v>0</v>
      </c>
      <c r="DK18" s="83"/>
      <c r="DL18" s="109">
        <v>8.49</v>
      </c>
      <c r="DM18" s="109">
        <f>IFERROR(GroceryList27456148109[[#This Row],[QTY]]*GroceryList27456148109[[#This Row],[UNIT PRICE]],"")</f>
        <v>0</v>
      </c>
      <c r="DN18" s="111" t="s">
        <v>169</v>
      </c>
      <c r="DO18">
        <v>10.99</v>
      </c>
      <c r="DR18" s="84"/>
      <c r="DS18" s="111" t="s">
        <v>173</v>
      </c>
      <c r="DT18" s="108" t="s">
        <v>134</v>
      </c>
      <c r="DU18" s="113" t="s">
        <v>91</v>
      </c>
      <c r="DV18" s="84">
        <v>0</v>
      </c>
      <c r="DW18" s="83"/>
      <c r="DX18" s="109">
        <v>8.49</v>
      </c>
      <c r="DY18" s="109">
        <f>IFERROR(GroceryList2745614810911[[#This Row],[QTY]]*GroceryList2745614810911[[#This Row],[UNIT PRICE]],"")</f>
        <v>0</v>
      </c>
      <c r="DZ18" s="111" t="s">
        <v>169</v>
      </c>
      <c r="EA18">
        <v>10.99</v>
      </c>
      <c r="ED18" s="84"/>
      <c r="EE18" s="111" t="s">
        <v>173</v>
      </c>
      <c r="EF18" s="108" t="s">
        <v>134</v>
      </c>
      <c r="EG18" s="113" t="s">
        <v>91</v>
      </c>
      <c r="EH18" s="84">
        <v>0</v>
      </c>
      <c r="EI18" s="83"/>
      <c r="EJ18" s="109">
        <v>8.49</v>
      </c>
      <c r="EK18" s="109">
        <f>IFERROR(GroceryList274561481091112[[#This Row],[QTY]]*GroceryList274561481091112[[#This Row],[UNIT PRICE]],"")</f>
        <v>0</v>
      </c>
      <c r="EL18" s="111" t="s">
        <v>169</v>
      </c>
      <c r="EM18">
        <v>10.99</v>
      </c>
      <c r="EP18" s="84"/>
      <c r="EQ18" s="111" t="s">
        <v>173</v>
      </c>
      <c r="ER18" s="108" t="s">
        <v>134</v>
      </c>
      <c r="ES18" s="113" t="s">
        <v>91</v>
      </c>
      <c r="ET18" s="84">
        <v>0</v>
      </c>
      <c r="EU18" s="83"/>
      <c r="EV18" s="109">
        <v>8.49</v>
      </c>
      <c r="EW18" s="109">
        <f>IFERROR(GroceryList27456148109111213[[#This Row],[QTY]]*GroceryList27456148109111213[[#This Row],[UNIT PRICE]],"")</f>
        <v>0</v>
      </c>
      <c r="EX18" s="111" t="s">
        <v>169</v>
      </c>
      <c r="EY18">
        <v>10.99</v>
      </c>
      <c r="FB18" s="84"/>
      <c r="FC18" s="111" t="s">
        <v>173</v>
      </c>
      <c r="FD18" s="108" t="s">
        <v>134</v>
      </c>
      <c r="FE18" s="113" t="s">
        <v>91</v>
      </c>
      <c r="FF18" s="84">
        <v>0</v>
      </c>
      <c r="FG18" s="83"/>
      <c r="FH18" s="109">
        <v>8.49</v>
      </c>
      <c r="FI18" s="109">
        <f>IFERROR(GroceryList2745614810911121315[[#This Row],[QTY]]*GroceryList2745614810911121315[[#This Row],[UNIT PRICE]],"")</f>
        <v>0</v>
      </c>
      <c r="FJ18" s="111" t="s">
        <v>169</v>
      </c>
      <c r="FK18">
        <v>10.99</v>
      </c>
      <c r="FN18" s="84"/>
      <c r="FO18" s="111" t="s">
        <v>173</v>
      </c>
      <c r="FP18" s="108" t="s">
        <v>134</v>
      </c>
      <c r="FQ18" s="113" t="s">
        <v>91</v>
      </c>
      <c r="FR18" s="84">
        <v>0</v>
      </c>
      <c r="FS18" s="83"/>
      <c r="FT18" s="109">
        <v>8.49</v>
      </c>
      <c r="FU18" s="109">
        <f>IFERROR(GroceryList274561481091112131516[[#This Row],[QTY]]*GroceryList274561481091112131516[[#This Row],[UNIT PRICE]],"")</f>
        <v>0</v>
      </c>
      <c r="FV18" s="111" t="s">
        <v>169</v>
      </c>
      <c r="FW18">
        <v>10.99</v>
      </c>
      <c r="FZ18" s="84"/>
      <c r="GA18" s="111" t="s">
        <v>173</v>
      </c>
      <c r="GB18" s="108" t="s">
        <v>134</v>
      </c>
      <c r="GC18" s="113" t="s">
        <v>91</v>
      </c>
      <c r="GD18" s="84">
        <v>1</v>
      </c>
      <c r="GE18" s="83"/>
      <c r="GF18" s="109">
        <f>22.15+13.99</f>
        <v>36.14</v>
      </c>
      <c r="GG18" s="109">
        <f>IFERROR(GroceryList274561481091112131517[[#This Row],[QTY]]*GroceryList274561481091112131517[[#This Row],[UNIT PRICE]],"")</f>
        <v>36.14</v>
      </c>
      <c r="GH18" s="111" t="s">
        <v>169</v>
      </c>
      <c r="GI18">
        <v>10.99</v>
      </c>
      <c r="GL18" s="84"/>
      <c r="GM18" s="111" t="s">
        <v>173</v>
      </c>
      <c r="GN18" s="108" t="s">
        <v>134</v>
      </c>
      <c r="GO18" s="113" t="s">
        <v>91</v>
      </c>
      <c r="GP18" s="84">
        <v>1</v>
      </c>
      <c r="GQ18" s="83"/>
      <c r="GR18" s="109">
        <f>22.15+13.99</f>
        <v>36.14</v>
      </c>
      <c r="GS18" s="109">
        <f>IFERROR(GroceryList27456148109111213151718[[#This Row],[QTY]]*GroceryList27456148109111213151718[[#This Row],[UNIT PRICE]],"")</f>
        <v>36.14</v>
      </c>
      <c r="GT18" s="111" t="s">
        <v>169</v>
      </c>
      <c r="GU18">
        <v>10.99</v>
      </c>
    </row>
    <row r="19" spans="2:203" ht="30" customHeight="1" x14ac:dyDescent="0.2">
      <c r="B19" s="84"/>
      <c r="C19" s="102" t="s">
        <v>135</v>
      </c>
      <c r="D19" t="s">
        <v>134</v>
      </c>
      <c r="E19" t="s">
        <v>92</v>
      </c>
      <c r="F19" s="84">
        <v>1</v>
      </c>
      <c r="G19" s="83"/>
      <c r="H19" s="90">
        <v>16.63</v>
      </c>
      <c r="I19" s="90">
        <f>IFERROR(GroceryList[[#This Row],[QTY]]*GroceryList[[#This Row],[UNIT PRICE]],"")</f>
        <v>16.63</v>
      </c>
      <c r="J19"/>
      <c r="M19" s="84"/>
      <c r="N19" s="102" t="s">
        <v>135</v>
      </c>
      <c r="O19" t="s">
        <v>134</v>
      </c>
      <c r="P19" t="s">
        <v>92</v>
      </c>
      <c r="Q19" s="84"/>
      <c r="R19" s="83"/>
      <c r="S19" s="90">
        <v>16.63</v>
      </c>
      <c r="T19" s="90">
        <f>IFERROR(GroceryList2[[#This Row],[QTY]]*GroceryList2[[#This Row],[UNIT PRICE]],"")</f>
        <v>0</v>
      </c>
      <c r="U19"/>
      <c r="Y19" s="84"/>
      <c r="Z19" s="102" t="s">
        <v>135</v>
      </c>
      <c r="AA19" t="s">
        <v>134</v>
      </c>
      <c r="AB19" t="s">
        <v>92</v>
      </c>
      <c r="AC19" s="84"/>
      <c r="AD19" s="83"/>
      <c r="AE19" s="90">
        <v>16.63</v>
      </c>
      <c r="AF19" s="90">
        <f>IFERROR(GroceryList27[[#This Row],[QTY]]*GroceryList27[[#This Row],[UNIT PRICE]],"")</f>
        <v>0</v>
      </c>
      <c r="AG19"/>
      <c r="AM19" s="84"/>
      <c r="AN19" s="107" t="s">
        <v>135</v>
      </c>
      <c r="AO19" s="108" t="s">
        <v>134</v>
      </c>
      <c r="AP19" s="108" t="s">
        <v>92</v>
      </c>
      <c r="AQ19" s="84"/>
      <c r="AR19" s="83"/>
      <c r="AS19" s="109">
        <v>16.63</v>
      </c>
      <c r="AT19" s="109">
        <f>IFERROR(GroceryList274[[#This Row],[QTY]]*GroceryList274[[#This Row],[UNIT PRICE]],"")</f>
        <v>0</v>
      </c>
      <c r="AU19"/>
      <c r="AY19" s="84" t="s">
        <v>130</v>
      </c>
      <c r="AZ19" s="105" t="s">
        <v>98</v>
      </c>
      <c r="BA19" s="85"/>
      <c r="BB19" s="85" t="s">
        <v>90</v>
      </c>
      <c r="BC19" s="84">
        <v>0</v>
      </c>
      <c r="BD19" s="83"/>
      <c r="BE19" s="109">
        <v>45</v>
      </c>
      <c r="BF19" s="109">
        <f>IFERROR(GroceryList2745[[#This Row],[QTY]]*GroceryList2745[[#This Row],[UNIT PRICE]],"")</f>
        <v>0</v>
      </c>
      <c r="BG19" s="85"/>
      <c r="BJ19" s="84" t="s">
        <v>130</v>
      </c>
      <c r="BK19" s="105" t="s">
        <v>98</v>
      </c>
      <c r="BL19" s="85"/>
      <c r="BM19" s="85" t="s">
        <v>90</v>
      </c>
      <c r="BN19" s="84">
        <v>0</v>
      </c>
      <c r="BO19" s="83"/>
      <c r="BP19" s="109">
        <v>45</v>
      </c>
      <c r="BQ19" s="109">
        <f>IFERROR(GroceryList27456[[#This Row],[QTY]]*GroceryList27456[[#This Row],[UNIT PRICE]],"")</f>
        <v>0</v>
      </c>
      <c r="BR19" s="112" t="s">
        <v>169</v>
      </c>
      <c r="BS19" s="85"/>
      <c r="BV19" s="84" t="s">
        <v>130</v>
      </c>
      <c r="BW19" s="105" t="s">
        <v>98</v>
      </c>
      <c r="BX19" s="85"/>
      <c r="BY19" s="85" t="s">
        <v>90</v>
      </c>
      <c r="BZ19" s="84">
        <v>0</v>
      </c>
      <c r="CA19" s="83"/>
      <c r="CB19" s="109">
        <v>45</v>
      </c>
      <c r="CC19" s="109">
        <f>IFERROR(GroceryList2745614[[#This Row],[QTY]]*GroceryList2745614[[#This Row],[UNIT PRICE]],"")</f>
        <v>0</v>
      </c>
      <c r="CD19" s="112" t="s">
        <v>169</v>
      </c>
      <c r="CE19" s="85"/>
      <c r="CH19" s="84" t="s">
        <v>130</v>
      </c>
      <c r="CI19" s="105" t="s">
        <v>98</v>
      </c>
      <c r="CJ19" s="85"/>
      <c r="CK19" s="85" t="s">
        <v>90</v>
      </c>
      <c r="CL19" s="84">
        <v>0</v>
      </c>
      <c r="CM19" s="83"/>
      <c r="CN19" s="109">
        <v>45</v>
      </c>
      <c r="CO19" s="109">
        <f>IFERROR(GroceryList27456148[[#This Row],[QTY]]*GroceryList27456148[[#This Row],[UNIT PRICE]],"")</f>
        <v>0</v>
      </c>
      <c r="CP19" s="112" t="s">
        <v>169</v>
      </c>
      <c r="CQ19" s="85"/>
      <c r="CT19" s="84" t="s">
        <v>130</v>
      </c>
      <c r="CU19" s="105" t="s">
        <v>98</v>
      </c>
      <c r="CV19" s="85"/>
      <c r="CW19" s="85" t="s">
        <v>90</v>
      </c>
      <c r="CX19" s="84">
        <v>1</v>
      </c>
      <c r="CY19" s="83"/>
      <c r="CZ19" s="109">
        <v>23.19</v>
      </c>
      <c r="DA19" s="109">
        <f>IFERROR(GroceryList2745614810[[#This Row],[QTY]]*GroceryList2745614810[[#This Row],[UNIT PRICE]],"")</f>
        <v>23.19</v>
      </c>
      <c r="DB19" s="112" t="s">
        <v>169</v>
      </c>
      <c r="DC19" s="85">
        <v>28.99</v>
      </c>
      <c r="DF19" s="84" t="s">
        <v>130</v>
      </c>
      <c r="DG19" s="105" t="s">
        <v>98</v>
      </c>
      <c r="DH19" s="85"/>
      <c r="DI19" s="85" t="s">
        <v>90</v>
      </c>
      <c r="DJ19" s="84">
        <v>0</v>
      </c>
      <c r="DK19" s="83"/>
      <c r="DL19" s="109">
        <v>45</v>
      </c>
      <c r="DM19" s="109">
        <f>IFERROR(GroceryList27456148109[[#This Row],[QTY]]*GroceryList27456148109[[#This Row],[UNIT PRICE]],"")</f>
        <v>0</v>
      </c>
      <c r="DN19" s="112" t="s">
        <v>169</v>
      </c>
      <c r="DO19" s="85"/>
      <c r="DR19" s="84" t="s">
        <v>130</v>
      </c>
      <c r="DS19" s="105" t="s">
        <v>98</v>
      </c>
      <c r="DT19" s="85"/>
      <c r="DU19" s="85" t="s">
        <v>90</v>
      </c>
      <c r="DV19" s="84">
        <v>0</v>
      </c>
      <c r="DW19" s="83"/>
      <c r="DX19" s="109">
        <v>45</v>
      </c>
      <c r="DY19" s="109">
        <f>IFERROR(GroceryList2745614810911[[#This Row],[QTY]]*GroceryList2745614810911[[#This Row],[UNIT PRICE]],"")</f>
        <v>0</v>
      </c>
      <c r="DZ19" s="112" t="s">
        <v>169</v>
      </c>
      <c r="EA19" s="85"/>
      <c r="ED19" s="84" t="s">
        <v>130</v>
      </c>
      <c r="EE19" s="105" t="s">
        <v>98</v>
      </c>
      <c r="EF19" s="85"/>
      <c r="EG19" s="85" t="s">
        <v>90</v>
      </c>
      <c r="EH19" s="84">
        <v>0</v>
      </c>
      <c r="EI19" s="83"/>
      <c r="EJ19" s="109">
        <v>45</v>
      </c>
      <c r="EK19" s="109">
        <f>IFERROR(GroceryList274561481091112[[#This Row],[QTY]]*GroceryList274561481091112[[#This Row],[UNIT PRICE]],"")</f>
        <v>0</v>
      </c>
      <c r="EL19" s="112" t="s">
        <v>169</v>
      </c>
      <c r="EM19" s="85"/>
      <c r="EP19" s="84" t="s">
        <v>130</v>
      </c>
      <c r="EQ19" s="105" t="s">
        <v>98</v>
      </c>
      <c r="ER19" s="85"/>
      <c r="ES19" s="85" t="s">
        <v>90</v>
      </c>
      <c r="ET19" s="84">
        <v>0</v>
      </c>
      <c r="EU19" s="83"/>
      <c r="EV19" s="109">
        <v>45</v>
      </c>
      <c r="EW19" s="109">
        <f>IFERROR(GroceryList27456148109111213[[#This Row],[QTY]]*GroceryList27456148109111213[[#This Row],[UNIT PRICE]],"")</f>
        <v>0</v>
      </c>
      <c r="EX19" s="112" t="s">
        <v>169</v>
      </c>
      <c r="EY19" s="85"/>
      <c r="FB19" s="84" t="s">
        <v>130</v>
      </c>
      <c r="FC19" s="105" t="s">
        <v>98</v>
      </c>
      <c r="FD19" s="85"/>
      <c r="FE19" s="85" t="s">
        <v>90</v>
      </c>
      <c r="FF19" s="84">
        <v>0</v>
      </c>
      <c r="FG19" s="83"/>
      <c r="FH19" s="109">
        <v>45</v>
      </c>
      <c r="FI19" s="109">
        <f>IFERROR(GroceryList2745614810911121315[[#This Row],[QTY]]*GroceryList2745614810911121315[[#This Row],[UNIT PRICE]],"")</f>
        <v>0</v>
      </c>
      <c r="FJ19" s="112" t="s">
        <v>169</v>
      </c>
      <c r="FK19" s="85"/>
      <c r="FN19" s="84" t="s">
        <v>130</v>
      </c>
      <c r="FO19" s="105" t="s">
        <v>98</v>
      </c>
      <c r="FP19" s="85"/>
      <c r="FQ19" s="85" t="s">
        <v>90</v>
      </c>
      <c r="FR19" s="84">
        <v>0</v>
      </c>
      <c r="FS19" s="83"/>
      <c r="FT19" s="109">
        <v>45</v>
      </c>
      <c r="FU19" s="109">
        <f>IFERROR(GroceryList274561481091112131516[[#This Row],[QTY]]*GroceryList274561481091112131516[[#This Row],[UNIT PRICE]],"")</f>
        <v>0</v>
      </c>
      <c r="FV19" s="112" t="s">
        <v>169</v>
      </c>
      <c r="FW19" s="85"/>
      <c r="FZ19" s="84" t="s">
        <v>130</v>
      </c>
      <c r="GA19" s="105" t="s">
        <v>337</v>
      </c>
      <c r="GB19" s="85"/>
      <c r="GC19" s="85" t="s">
        <v>90</v>
      </c>
      <c r="GD19" s="84">
        <v>2</v>
      </c>
      <c r="GE19" s="83"/>
      <c r="GF19" s="109">
        <v>27.54</v>
      </c>
      <c r="GG19" s="109">
        <f>IFERROR(GroceryList274561481091112131517[[#This Row],[QTY]]*GroceryList274561481091112131517[[#This Row],[UNIT PRICE]],"")</f>
        <v>55.08</v>
      </c>
      <c r="GH19" s="112" t="s">
        <v>169</v>
      </c>
      <c r="GI19" s="85">
        <v>29</v>
      </c>
      <c r="GL19" s="84" t="s">
        <v>130</v>
      </c>
      <c r="GM19" s="105" t="s">
        <v>337</v>
      </c>
      <c r="GN19" s="85"/>
      <c r="GO19" s="85" t="s">
        <v>90</v>
      </c>
      <c r="GP19" s="84">
        <v>2</v>
      </c>
      <c r="GQ19" s="83"/>
      <c r="GR19" s="109">
        <v>27.54</v>
      </c>
      <c r="GS19" s="109">
        <f>IFERROR(GroceryList27456148109111213151718[[#This Row],[QTY]]*GroceryList27456148109111213151718[[#This Row],[UNIT PRICE]],"")</f>
        <v>55.08</v>
      </c>
      <c r="GT19" s="112" t="s">
        <v>169</v>
      </c>
      <c r="GU19" s="85">
        <v>29</v>
      </c>
    </row>
    <row r="20" spans="2:203" ht="30" hidden="1" customHeight="1" x14ac:dyDescent="0.2">
      <c r="B20" s="84"/>
      <c r="C20" s="99" t="s">
        <v>99</v>
      </c>
      <c r="D20" s="85" t="s">
        <v>134</v>
      </c>
      <c r="E20" s="85" t="s">
        <v>92</v>
      </c>
      <c r="F20" s="87">
        <v>1</v>
      </c>
      <c r="G20" s="83"/>
      <c r="H20" s="103">
        <v>51.5</v>
      </c>
      <c r="I20" s="90">
        <f>IFERROR(GroceryList[[#This Row],[QTY]]*GroceryList[[#This Row],[UNIT PRICE]],"")</f>
        <v>51.5</v>
      </c>
      <c r="J20" s="85"/>
      <c r="M20" s="84"/>
      <c r="N20" s="99" t="s">
        <v>99</v>
      </c>
      <c r="O20" s="85" t="s">
        <v>134</v>
      </c>
      <c r="P20" s="85" t="s">
        <v>92</v>
      </c>
      <c r="Q20" s="87"/>
      <c r="R20" s="83"/>
      <c r="S20" s="103">
        <v>51.5</v>
      </c>
      <c r="T20" s="90">
        <f>IFERROR(GroceryList2[[#This Row],[QTY]]*GroceryList2[[#This Row],[UNIT PRICE]],"")</f>
        <v>0</v>
      </c>
      <c r="U20" s="85"/>
      <c r="Y20" s="84"/>
      <c r="Z20" s="99" t="s">
        <v>99</v>
      </c>
      <c r="AA20" s="85" t="s">
        <v>134</v>
      </c>
      <c r="AB20" s="85" t="s">
        <v>92</v>
      </c>
      <c r="AC20" s="87"/>
      <c r="AD20" s="83"/>
      <c r="AE20" s="103">
        <v>51.5</v>
      </c>
      <c r="AF20" s="90">
        <f>IFERROR(GroceryList27[[#This Row],[QTY]]*GroceryList27[[#This Row],[UNIT PRICE]],"")</f>
        <v>0</v>
      </c>
      <c r="AG20" s="85"/>
      <c r="AM20" s="84"/>
      <c r="AN20" s="105" t="s">
        <v>99</v>
      </c>
      <c r="AO20" s="85" t="s">
        <v>134</v>
      </c>
      <c r="AP20" s="85" t="s">
        <v>92</v>
      </c>
      <c r="AQ20" s="87"/>
      <c r="AR20" s="83"/>
      <c r="AS20" s="103">
        <v>51.5</v>
      </c>
      <c r="AT20" s="109">
        <f>IFERROR(GroceryList274[[#This Row],[QTY]]*GroceryList274[[#This Row],[UNIT PRICE]],"")</f>
        <v>0</v>
      </c>
      <c r="AU20" s="85"/>
      <c r="AY20" s="84"/>
      <c r="AZ20" s="107" t="s">
        <v>135</v>
      </c>
      <c r="BA20" s="108" t="s">
        <v>134</v>
      </c>
      <c r="BB20" s="108" t="s">
        <v>92</v>
      </c>
      <c r="BC20" s="84">
        <v>0</v>
      </c>
      <c r="BD20" s="83"/>
      <c r="BE20" s="109">
        <v>16.63</v>
      </c>
      <c r="BF20" s="109">
        <f>IFERROR(GroceryList2745[[#This Row],[QTY]]*GroceryList2745[[#This Row],[UNIT PRICE]],"")</f>
        <v>0</v>
      </c>
      <c r="BG20"/>
      <c r="BJ20" s="84"/>
      <c r="BK20" s="107" t="s">
        <v>135</v>
      </c>
      <c r="BL20" s="108" t="s">
        <v>134</v>
      </c>
      <c r="BM20" s="108" t="s">
        <v>92</v>
      </c>
      <c r="BN20" s="84">
        <v>0</v>
      </c>
      <c r="BO20" s="83"/>
      <c r="BP20" s="109">
        <v>16.63</v>
      </c>
      <c r="BQ20" s="109">
        <f>IFERROR(GroceryList27456[[#This Row],[QTY]]*GroceryList27456[[#This Row],[UNIT PRICE]],"")</f>
        <v>0</v>
      </c>
      <c r="BR20" s="111" t="s">
        <v>169</v>
      </c>
      <c r="BS20"/>
      <c r="BV20" s="84"/>
      <c r="BW20" s="107" t="s">
        <v>135</v>
      </c>
      <c r="BX20" s="108" t="s">
        <v>134</v>
      </c>
      <c r="BY20" s="108" t="s">
        <v>92</v>
      </c>
      <c r="BZ20" s="84">
        <v>0</v>
      </c>
      <c r="CA20" s="83"/>
      <c r="CB20" s="109">
        <v>16.63</v>
      </c>
      <c r="CC20" s="109">
        <f>IFERROR(GroceryList2745614[[#This Row],[QTY]]*GroceryList2745614[[#This Row],[UNIT PRICE]],"")</f>
        <v>0</v>
      </c>
      <c r="CD20" s="111" t="s">
        <v>169</v>
      </c>
      <c r="CE20"/>
      <c r="CH20" s="84"/>
      <c r="CI20" s="111" t="s">
        <v>174</v>
      </c>
      <c r="CJ20" s="108" t="s">
        <v>134</v>
      </c>
      <c r="CK20" s="108" t="s">
        <v>92</v>
      </c>
      <c r="CL20" s="84">
        <v>1</v>
      </c>
      <c r="CM20" s="83"/>
      <c r="CN20" s="109">
        <v>15.99</v>
      </c>
      <c r="CO20" s="109">
        <f>IFERROR(GroceryList27456148[[#This Row],[QTY]]*GroceryList27456148[[#This Row],[UNIT PRICE]],"")</f>
        <v>15.99</v>
      </c>
      <c r="CP20" s="111" t="s">
        <v>169</v>
      </c>
      <c r="CQ20">
        <v>18.989999999999998</v>
      </c>
      <c r="CT20" s="84"/>
      <c r="CU20" s="111" t="s">
        <v>174</v>
      </c>
      <c r="CV20" s="108" t="s">
        <v>134</v>
      </c>
      <c r="CW20" s="108" t="s">
        <v>92</v>
      </c>
      <c r="CX20" s="84">
        <v>0</v>
      </c>
      <c r="CY20" s="83"/>
      <c r="CZ20" s="109">
        <v>15.99</v>
      </c>
      <c r="DA20" s="109">
        <f>IFERROR(GroceryList2745614810[[#This Row],[QTY]]*GroceryList2745614810[[#This Row],[UNIT PRICE]],"")</f>
        <v>0</v>
      </c>
      <c r="DB20" s="111" t="s">
        <v>169</v>
      </c>
      <c r="DC20">
        <v>18.989999999999998</v>
      </c>
      <c r="DF20" s="84"/>
      <c r="DG20" s="111" t="s">
        <v>174</v>
      </c>
      <c r="DH20" s="108" t="s">
        <v>134</v>
      </c>
      <c r="DI20" s="108" t="s">
        <v>92</v>
      </c>
      <c r="DJ20" s="84">
        <v>0</v>
      </c>
      <c r="DK20" s="83"/>
      <c r="DL20" s="109">
        <v>15.99</v>
      </c>
      <c r="DM20" s="109">
        <f>IFERROR(GroceryList27456148109[[#This Row],[QTY]]*GroceryList27456148109[[#This Row],[UNIT PRICE]],"")</f>
        <v>0</v>
      </c>
      <c r="DN20" s="111" t="s">
        <v>169</v>
      </c>
      <c r="DO20">
        <v>18.989999999999998</v>
      </c>
      <c r="DR20" s="84"/>
      <c r="DS20" s="111" t="s">
        <v>174</v>
      </c>
      <c r="DT20" s="108" t="s">
        <v>134</v>
      </c>
      <c r="DU20" s="108" t="s">
        <v>92</v>
      </c>
      <c r="DV20" s="84">
        <v>0</v>
      </c>
      <c r="DW20" s="83"/>
      <c r="DX20" s="109">
        <v>15.99</v>
      </c>
      <c r="DY20" s="109">
        <f>IFERROR(GroceryList2745614810911[[#This Row],[QTY]]*GroceryList2745614810911[[#This Row],[UNIT PRICE]],"")</f>
        <v>0</v>
      </c>
      <c r="DZ20" s="111" t="s">
        <v>169</v>
      </c>
      <c r="EA20">
        <v>18.989999999999998</v>
      </c>
      <c r="ED20" s="84"/>
      <c r="EE20" s="111" t="s">
        <v>174</v>
      </c>
      <c r="EF20" s="108" t="s">
        <v>134</v>
      </c>
      <c r="EG20" s="108" t="s">
        <v>92</v>
      </c>
      <c r="EH20" s="84">
        <v>1</v>
      </c>
      <c r="EI20" s="83"/>
      <c r="EJ20" s="109">
        <v>18.989999999999998</v>
      </c>
      <c r="EK20" s="109">
        <f>IFERROR(GroceryList274561481091112[[#This Row],[QTY]]*GroceryList274561481091112[[#This Row],[UNIT PRICE]],"")</f>
        <v>18.989999999999998</v>
      </c>
      <c r="EL20" s="111" t="s">
        <v>169</v>
      </c>
      <c r="EM20">
        <v>18.989999999999998</v>
      </c>
      <c r="EP20" s="84"/>
      <c r="EQ20" s="111" t="s">
        <v>174</v>
      </c>
      <c r="ER20" s="108" t="s">
        <v>134</v>
      </c>
      <c r="ES20" s="108" t="s">
        <v>92</v>
      </c>
      <c r="ET20" s="84">
        <v>0</v>
      </c>
      <c r="EU20" s="83"/>
      <c r="EV20" s="109">
        <v>18.989999999999998</v>
      </c>
      <c r="EW20" s="109">
        <f>IFERROR(GroceryList27456148109111213[[#This Row],[QTY]]*GroceryList27456148109111213[[#This Row],[UNIT PRICE]],"")</f>
        <v>0</v>
      </c>
      <c r="EX20" s="111" t="s">
        <v>169</v>
      </c>
      <c r="EY20">
        <v>18.989999999999998</v>
      </c>
      <c r="FB20" s="84"/>
      <c r="FC20" s="111" t="s">
        <v>174</v>
      </c>
      <c r="FD20" s="108" t="s">
        <v>134</v>
      </c>
      <c r="FE20" s="108" t="s">
        <v>92</v>
      </c>
      <c r="FF20" s="84">
        <v>0</v>
      </c>
      <c r="FG20" s="83"/>
      <c r="FH20" s="109">
        <v>18.989999999999998</v>
      </c>
      <c r="FI20" s="109">
        <f>IFERROR(GroceryList2745614810911121315[[#This Row],[QTY]]*GroceryList2745614810911121315[[#This Row],[UNIT PRICE]],"")</f>
        <v>0</v>
      </c>
      <c r="FJ20" s="111" t="s">
        <v>169</v>
      </c>
      <c r="FK20">
        <v>18.989999999999998</v>
      </c>
      <c r="FN20" s="84"/>
      <c r="FO20" s="111" t="s">
        <v>174</v>
      </c>
      <c r="FP20" s="108" t="s">
        <v>134</v>
      </c>
      <c r="FQ20" s="108" t="s">
        <v>92</v>
      </c>
      <c r="FR20" s="84">
        <v>0</v>
      </c>
      <c r="FS20" s="83"/>
      <c r="FT20" s="109">
        <v>18.989999999999998</v>
      </c>
      <c r="FU20" s="109">
        <f>IFERROR(GroceryList274561481091112131516[[#This Row],[QTY]]*GroceryList274561481091112131516[[#This Row],[UNIT PRICE]],"")</f>
        <v>0</v>
      </c>
      <c r="FV20" s="111" t="s">
        <v>169</v>
      </c>
      <c r="FW20">
        <v>18.989999999999998</v>
      </c>
      <c r="FZ20" s="84"/>
      <c r="GA20" s="111" t="s">
        <v>174</v>
      </c>
      <c r="GB20" s="108" t="s">
        <v>134</v>
      </c>
      <c r="GC20" s="108" t="s">
        <v>92</v>
      </c>
      <c r="GD20" s="84">
        <v>0</v>
      </c>
      <c r="GE20" s="83"/>
      <c r="GF20" s="109">
        <v>18.989999999999998</v>
      </c>
      <c r="GG20" s="109">
        <f>IFERROR(GroceryList274561481091112131517[[#This Row],[QTY]]*GroceryList274561481091112131517[[#This Row],[UNIT PRICE]],"")</f>
        <v>0</v>
      </c>
      <c r="GH20" s="111" t="s">
        <v>169</v>
      </c>
      <c r="GI20">
        <v>18.989999999999998</v>
      </c>
      <c r="GL20" s="84"/>
      <c r="GM20" s="111" t="s">
        <v>174</v>
      </c>
      <c r="GN20" s="108" t="s">
        <v>134</v>
      </c>
      <c r="GO20" s="108" t="s">
        <v>92</v>
      </c>
      <c r="GP20" s="84">
        <v>1</v>
      </c>
      <c r="GQ20" s="83"/>
      <c r="GR20" s="109">
        <v>18.989999999999998</v>
      </c>
      <c r="GS20" s="109">
        <f>IFERROR(GroceryList27456148109111213151718[[#This Row],[QTY]]*GroceryList27456148109111213151718[[#This Row],[UNIT PRICE]],"")</f>
        <v>18.989999999999998</v>
      </c>
      <c r="GT20" s="111" t="s">
        <v>169</v>
      </c>
      <c r="GU20">
        <v>18.989999999999998</v>
      </c>
    </row>
    <row r="21" spans="2:203" ht="30" hidden="1" customHeight="1" x14ac:dyDescent="0.2">
      <c r="B21" s="84"/>
      <c r="C21" s="102" t="s">
        <v>140</v>
      </c>
      <c r="D21" t="s">
        <v>134</v>
      </c>
      <c r="E21" t="s">
        <v>89</v>
      </c>
      <c r="F21" s="87">
        <v>0.5</v>
      </c>
      <c r="G21" s="83"/>
      <c r="H21" s="84">
        <v>31.34</v>
      </c>
      <c r="I21" s="90">
        <f>IFERROR(GroceryList[[#This Row],[QTY]]*GroceryList[[#This Row],[UNIT PRICE]],"")</f>
        <v>15.67</v>
      </c>
      <c r="J21"/>
      <c r="M21" s="84"/>
      <c r="N21" s="102" t="s">
        <v>140</v>
      </c>
      <c r="O21" t="s">
        <v>134</v>
      </c>
      <c r="P21" t="s">
        <v>89</v>
      </c>
      <c r="Q21" s="87"/>
      <c r="R21" s="83"/>
      <c r="S21" s="84">
        <v>31.34</v>
      </c>
      <c r="T21" s="90">
        <f>IFERROR(GroceryList2[[#This Row],[QTY]]*GroceryList2[[#This Row],[UNIT PRICE]],"")</f>
        <v>0</v>
      </c>
      <c r="U21"/>
      <c r="Y21" s="84"/>
      <c r="Z21" s="102" t="s">
        <v>140</v>
      </c>
      <c r="AA21" t="s">
        <v>134</v>
      </c>
      <c r="AB21" t="s">
        <v>89</v>
      </c>
      <c r="AC21" s="87"/>
      <c r="AD21" s="83"/>
      <c r="AE21" s="84">
        <v>31.34</v>
      </c>
      <c r="AF21" s="90">
        <f>IFERROR(GroceryList27[[#This Row],[QTY]]*GroceryList27[[#This Row],[UNIT PRICE]],"")</f>
        <v>0</v>
      </c>
      <c r="AG21"/>
      <c r="AM21" s="84"/>
      <c r="AN21" s="107" t="s">
        <v>140</v>
      </c>
      <c r="AO21" s="108" t="s">
        <v>134</v>
      </c>
      <c r="AP21" s="108" t="s">
        <v>89</v>
      </c>
      <c r="AQ21" s="87"/>
      <c r="AR21" s="83"/>
      <c r="AS21" s="84">
        <v>31.34</v>
      </c>
      <c r="AT21" s="109">
        <f>IFERROR(GroceryList274[[#This Row],[QTY]]*GroceryList274[[#This Row],[UNIT PRICE]],"")</f>
        <v>0</v>
      </c>
      <c r="AU21"/>
      <c r="AY21" s="84"/>
      <c r="AZ21" s="105" t="s">
        <v>99</v>
      </c>
      <c r="BA21" s="85" t="s">
        <v>134</v>
      </c>
      <c r="BB21" s="85" t="s">
        <v>92</v>
      </c>
      <c r="BC21" s="84">
        <v>0</v>
      </c>
      <c r="BD21" s="83"/>
      <c r="BE21" s="103">
        <v>51.5</v>
      </c>
      <c r="BF21" s="109">
        <f>IFERROR(GroceryList2745[[#This Row],[QTY]]*GroceryList2745[[#This Row],[UNIT PRICE]],"")</f>
        <v>0</v>
      </c>
      <c r="BG21" s="85"/>
      <c r="BJ21" s="84"/>
      <c r="BK21" s="105" t="s">
        <v>99</v>
      </c>
      <c r="BL21" s="85" t="s">
        <v>134</v>
      </c>
      <c r="BM21" s="85" t="s">
        <v>92</v>
      </c>
      <c r="BN21" s="84">
        <v>0</v>
      </c>
      <c r="BO21" s="83"/>
      <c r="BP21" s="103">
        <v>51.5</v>
      </c>
      <c r="BQ21" s="109">
        <f>IFERROR(GroceryList27456[[#This Row],[QTY]]*GroceryList27456[[#This Row],[UNIT PRICE]],"")</f>
        <v>0</v>
      </c>
      <c r="BR21" s="112" t="s">
        <v>169</v>
      </c>
      <c r="BS21" s="85"/>
      <c r="BV21" s="84"/>
      <c r="BW21" s="105" t="s">
        <v>99</v>
      </c>
      <c r="BX21" s="85" t="s">
        <v>134</v>
      </c>
      <c r="BY21" s="85" t="s">
        <v>92</v>
      </c>
      <c r="BZ21" s="84">
        <v>0</v>
      </c>
      <c r="CA21" s="83"/>
      <c r="CB21" s="103">
        <v>51.5</v>
      </c>
      <c r="CC21" s="109">
        <f>IFERROR(GroceryList2745614[[#This Row],[QTY]]*GroceryList2745614[[#This Row],[UNIT PRICE]],"")</f>
        <v>0</v>
      </c>
      <c r="CD21" s="112" t="s">
        <v>169</v>
      </c>
      <c r="CE21" s="85"/>
      <c r="CH21" s="84"/>
      <c r="CI21" s="105" t="s">
        <v>99</v>
      </c>
      <c r="CJ21" s="85" t="s">
        <v>134</v>
      </c>
      <c r="CK21" s="85" t="s">
        <v>92</v>
      </c>
      <c r="CL21" s="84">
        <v>0</v>
      </c>
      <c r="CM21" s="83"/>
      <c r="CN21" s="103">
        <v>51.5</v>
      </c>
      <c r="CO21" s="109">
        <f>IFERROR(GroceryList27456148[[#This Row],[QTY]]*GroceryList27456148[[#This Row],[UNIT PRICE]],"")</f>
        <v>0</v>
      </c>
      <c r="CP21" s="112" t="s">
        <v>169</v>
      </c>
      <c r="CQ21" s="85"/>
      <c r="CT21" s="84"/>
      <c r="CU21" s="105" t="s">
        <v>99</v>
      </c>
      <c r="CV21" s="85" t="s">
        <v>134</v>
      </c>
      <c r="CW21" s="85" t="s">
        <v>92</v>
      </c>
      <c r="CX21" s="84">
        <v>0</v>
      </c>
      <c r="CY21" s="83"/>
      <c r="CZ21" s="103">
        <v>51.5</v>
      </c>
      <c r="DA21" s="109">
        <f>IFERROR(GroceryList2745614810[[#This Row],[QTY]]*GroceryList2745614810[[#This Row],[UNIT PRICE]],"")</f>
        <v>0</v>
      </c>
      <c r="DB21" s="112" t="s">
        <v>169</v>
      </c>
      <c r="DC21" s="85"/>
      <c r="DF21" s="84"/>
      <c r="DG21" s="105" t="s">
        <v>99</v>
      </c>
      <c r="DH21" s="85" t="s">
        <v>134</v>
      </c>
      <c r="DI21" s="85" t="s">
        <v>92</v>
      </c>
      <c r="DJ21" s="84">
        <v>0</v>
      </c>
      <c r="DK21" s="83"/>
      <c r="DL21" s="103">
        <v>51.5</v>
      </c>
      <c r="DM21" s="109">
        <f>IFERROR(GroceryList27456148109[[#This Row],[QTY]]*GroceryList27456148109[[#This Row],[UNIT PRICE]],"")</f>
        <v>0</v>
      </c>
      <c r="DN21" s="112" t="s">
        <v>169</v>
      </c>
      <c r="DO21" s="85"/>
      <c r="DR21" s="84"/>
      <c r="DS21" s="105" t="s">
        <v>99</v>
      </c>
      <c r="DT21" s="85" t="s">
        <v>134</v>
      </c>
      <c r="DU21" s="85" t="s">
        <v>92</v>
      </c>
      <c r="DV21" s="84">
        <v>0</v>
      </c>
      <c r="DW21" s="83"/>
      <c r="DX21" s="103">
        <v>51.5</v>
      </c>
      <c r="DY21" s="109">
        <f>IFERROR(GroceryList2745614810911[[#This Row],[QTY]]*GroceryList2745614810911[[#This Row],[UNIT PRICE]],"")</f>
        <v>0</v>
      </c>
      <c r="DZ21" s="112" t="s">
        <v>169</v>
      </c>
      <c r="EA21" s="85"/>
      <c r="ED21" s="84"/>
      <c r="EE21" s="105" t="s">
        <v>218</v>
      </c>
      <c r="EF21" s="85" t="s">
        <v>134</v>
      </c>
      <c r="EG21" s="85" t="s">
        <v>92</v>
      </c>
      <c r="EH21" s="84">
        <v>1</v>
      </c>
      <c r="EI21" s="83"/>
      <c r="EJ21" s="103">
        <v>8.07</v>
      </c>
      <c r="EK21" s="109">
        <f>IFERROR(GroceryList274561481091112[[#This Row],[QTY]]*GroceryList274561481091112[[#This Row],[UNIT PRICE]],"")</f>
        <v>8.07</v>
      </c>
      <c r="EL21" s="112" t="s">
        <v>169</v>
      </c>
      <c r="EM21" s="85">
        <v>8.49</v>
      </c>
      <c r="EP21" s="84"/>
      <c r="EQ21" s="105" t="s">
        <v>218</v>
      </c>
      <c r="ER21" s="85" t="s">
        <v>134</v>
      </c>
      <c r="ES21" s="85" t="s">
        <v>92</v>
      </c>
      <c r="ET21" s="84">
        <v>0</v>
      </c>
      <c r="EU21" s="83"/>
      <c r="EV21" s="103">
        <v>8.07</v>
      </c>
      <c r="EW21" s="109">
        <f>IFERROR(GroceryList27456148109111213[[#This Row],[QTY]]*GroceryList27456148109111213[[#This Row],[UNIT PRICE]],"")</f>
        <v>0</v>
      </c>
      <c r="EX21" s="112" t="s">
        <v>169</v>
      </c>
      <c r="EY21" s="85">
        <v>8.49</v>
      </c>
      <c r="FB21" s="84"/>
      <c r="FC21" s="105" t="s">
        <v>218</v>
      </c>
      <c r="FD21" s="85" t="s">
        <v>134</v>
      </c>
      <c r="FE21" s="85" t="s">
        <v>92</v>
      </c>
      <c r="FF21" s="84">
        <v>0</v>
      </c>
      <c r="FG21" s="83"/>
      <c r="FH21" s="103">
        <v>8.07</v>
      </c>
      <c r="FI21" s="109">
        <f>IFERROR(GroceryList2745614810911121315[[#This Row],[QTY]]*GroceryList2745614810911121315[[#This Row],[UNIT PRICE]],"")</f>
        <v>0</v>
      </c>
      <c r="FJ21" s="112" t="s">
        <v>169</v>
      </c>
      <c r="FK21" s="85">
        <v>8.49</v>
      </c>
      <c r="FN21" s="84"/>
      <c r="FO21" s="105" t="s">
        <v>218</v>
      </c>
      <c r="FP21" s="85" t="s">
        <v>134</v>
      </c>
      <c r="FQ21" s="85" t="s">
        <v>92</v>
      </c>
      <c r="FR21" s="84">
        <v>0</v>
      </c>
      <c r="FS21" s="83"/>
      <c r="FT21" s="103">
        <v>8.07</v>
      </c>
      <c r="FU21" s="109">
        <f>IFERROR(GroceryList274561481091112131516[[#This Row],[QTY]]*GroceryList274561481091112131516[[#This Row],[UNIT PRICE]],"")</f>
        <v>0</v>
      </c>
      <c r="FV21" s="112" t="s">
        <v>169</v>
      </c>
      <c r="FW21" s="85">
        <v>8.49</v>
      </c>
      <c r="FZ21" s="84"/>
      <c r="GA21" s="105" t="s">
        <v>218</v>
      </c>
      <c r="GB21" s="85" t="s">
        <v>134</v>
      </c>
      <c r="GC21" s="85" t="s">
        <v>92</v>
      </c>
      <c r="GD21" s="84">
        <v>0</v>
      </c>
      <c r="GE21" s="83"/>
      <c r="GF21" s="103">
        <v>8.07</v>
      </c>
      <c r="GG21" s="109">
        <f>IFERROR(GroceryList274561481091112131517[[#This Row],[QTY]]*GroceryList274561481091112131517[[#This Row],[UNIT PRICE]],"")</f>
        <v>0</v>
      </c>
      <c r="GH21" s="112" t="s">
        <v>169</v>
      </c>
      <c r="GI21" s="85">
        <v>8.49</v>
      </c>
      <c r="GL21" s="84"/>
      <c r="GM21" s="105" t="s">
        <v>218</v>
      </c>
      <c r="GN21" s="85" t="s">
        <v>134</v>
      </c>
      <c r="GO21" s="85" t="s">
        <v>92</v>
      </c>
      <c r="GP21" s="84">
        <v>0</v>
      </c>
      <c r="GQ21" s="83"/>
      <c r="GR21" s="103">
        <v>8.07</v>
      </c>
      <c r="GS21" s="109">
        <f>IFERROR(GroceryList27456148109111213151718[[#This Row],[QTY]]*GroceryList27456148109111213151718[[#This Row],[UNIT PRICE]],"")</f>
        <v>0</v>
      </c>
      <c r="GT21" s="112" t="s">
        <v>169</v>
      </c>
      <c r="GU21" s="85">
        <v>8.49</v>
      </c>
    </row>
    <row r="22" spans="2:203" ht="30" customHeight="1" x14ac:dyDescent="0.2">
      <c r="B22" s="84"/>
      <c r="C22" s="99" t="s">
        <v>100</v>
      </c>
      <c r="D22" s="85"/>
      <c r="E22" s="85"/>
      <c r="F22" s="84"/>
      <c r="G22" s="83"/>
      <c r="H22" s="90"/>
      <c r="I22" s="90">
        <f>IFERROR(GroceryList[[#This Row],[QTY]]*GroceryList[[#This Row],[UNIT PRICE]],"")</f>
        <v>0</v>
      </c>
      <c r="J22" s="85"/>
      <c r="M22" s="84"/>
      <c r="N22" s="99" t="s">
        <v>100</v>
      </c>
      <c r="O22" s="85"/>
      <c r="P22" s="85"/>
      <c r="Q22" s="84"/>
      <c r="R22" s="83"/>
      <c r="S22" s="90"/>
      <c r="T22" s="90">
        <f>IFERROR(GroceryList2[[#This Row],[QTY]]*GroceryList2[[#This Row],[UNIT PRICE]],"")</f>
        <v>0</v>
      </c>
      <c r="U22" s="85"/>
      <c r="Y22" s="84" t="s">
        <v>130</v>
      </c>
      <c r="Z22" s="99" t="s">
        <v>100</v>
      </c>
      <c r="AA22" s="85"/>
      <c r="AB22" s="85"/>
      <c r="AC22" s="84"/>
      <c r="AD22" s="83"/>
      <c r="AE22" s="90"/>
      <c r="AF22" s="90">
        <f>IFERROR(GroceryList27[[#This Row],[QTY]]*GroceryList27[[#This Row],[UNIT PRICE]],"")</f>
        <v>0</v>
      </c>
      <c r="AG22" s="85"/>
      <c r="AM22" s="84" t="s">
        <v>130</v>
      </c>
      <c r="AN22" s="105" t="s">
        <v>100</v>
      </c>
      <c r="AO22" s="85"/>
      <c r="AP22" s="85" t="s">
        <v>92</v>
      </c>
      <c r="AQ22" s="84">
        <v>0</v>
      </c>
      <c r="AR22" s="83"/>
      <c r="AS22" s="109"/>
      <c r="AT22" s="109">
        <f>IFERROR(GroceryList274[[#This Row],[QTY]]*GroceryList274[[#This Row],[UNIT PRICE]],"")</f>
        <v>0</v>
      </c>
      <c r="AU22" s="85"/>
      <c r="AY22" s="84"/>
      <c r="AZ22" s="107" t="s">
        <v>140</v>
      </c>
      <c r="BA22" s="108" t="s">
        <v>134</v>
      </c>
      <c r="BB22" s="108" t="s">
        <v>89</v>
      </c>
      <c r="BC22" s="84">
        <v>0</v>
      </c>
      <c r="BD22" s="83"/>
      <c r="BE22" s="84">
        <v>31.34</v>
      </c>
      <c r="BF22" s="109">
        <f>IFERROR(GroceryList2745[[#This Row],[QTY]]*GroceryList2745[[#This Row],[UNIT PRICE]],"")</f>
        <v>0</v>
      </c>
      <c r="BG22"/>
      <c r="BJ22" s="84"/>
      <c r="BK22" s="107" t="s">
        <v>140</v>
      </c>
      <c r="BL22" s="108" t="s">
        <v>134</v>
      </c>
      <c r="BM22" s="108" t="s">
        <v>89</v>
      </c>
      <c r="BN22" s="84">
        <v>0</v>
      </c>
      <c r="BO22" s="83"/>
      <c r="BP22" s="84">
        <v>31.34</v>
      </c>
      <c r="BQ22" s="109">
        <f>IFERROR(GroceryList27456[[#This Row],[QTY]]*GroceryList27456[[#This Row],[UNIT PRICE]],"")</f>
        <v>0</v>
      </c>
      <c r="BR22" s="111" t="s">
        <v>169</v>
      </c>
      <c r="BS22"/>
      <c r="BV22" s="84"/>
      <c r="BW22" s="107" t="s">
        <v>140</v>
      </c>
      <c r="BX22" s="108" t="s">
        <v>134</v>
      </c>
      <c r="BY22" s="108" t="s">
        <v>89</v>
      </c>
      <c r="BZ22" s="84">
        <v>0</v>
      </c>
      <c r="CA22" s="83"/>
      <c r="CB22" s="84">
        <v>31.34</v>
      </c>
      <c r="CC22" s="109">
        <f>IFERROR(GroceryList2745614[[#This Row],[QTY]]*GroceryList2745614[[#This Row],[UNIT PRICE]],"")</f>
        <v>0</v>
      </c>
      <c r="CD22" s="111" t="s">
        <v>169</v>
      </c>
      <c r="CE22"/>
      <c r="CH22" s="84"/>
      <c r="CI22" s="111" t="s">
        <v>140</v>
      </c>
      <c r="CJ22" s="108" t="s">
        <v>134</v>
      </c>
      <c r="CK22" s="108" t="s">
        <v>89</v>
      </c>
      <c r="CL22" s="84">
        <v>0</v>
      </c>
      <c r="CM22" s="83"/>
      <c r="CN22" s="84">
        <v>31.34</v>
      </c>
      <c r="CO22" s="109">
        <f>IFERROR(GroceryList27456148[[#This Row],[QTY]]*GroceryList27456148[[#This Row],[UNIT PRICE]],"")</f>
        <v>0</v>
      </c>
      <c r="CP22" s="111" t="s">
        <v>169</v>
      </c>
      <c r="CQ22"/>
      <c r="CT22" s="84"/>
      <c r="CU22" s="111" t="s">
        <v>140</v>
      </c>
      <c r="CV22" s="108" t="s">
        <v>134</v>
      </c>
      <c r="CW22" s="108" t="s">
        <v>89</v>
      </c>
      <c r="CX22" s="84">
        <v>0</v>
      </c>
      <c r="CY22" s="83"/>
      <c r="CZ22" s="84">
        <v>31.34</v>
      </c>
      <c r="DA22" s="109">
        <f>IFERROR(GroceryList2745614810[[#This Row],[QTY]]*GroceryList2745614810[[#This Row],[UNIT PRICE]],"")</f>
        <v>0</v>
      </c>
      <c r="DB22" s="111" t="s">
        <v>169</v>
      </c>
      <c r="DC22"/>
      <c r="DF22" s="84"/>
      <c r="DG22" s="111" t="s">
        <v>140</v>
      </c>
      <c r="DH22" s="108" t="s">
        <v>134</v>
      </c>
      <c r="DI22" s="108" t="s">
        <v>89</v>
      </c>
      <c r="DJ22" s="84">
        <v>0</v>
      </c>
      <c r="DK22" s="83"/>
      <c r="DL22" s="84">
        <v>31.34</v>
      </c>
      <c r="DM22" s="109">
        <f>IFERROR(GroceryList27456148109[[#This Row],[QTY]]*GroceryList27456148109[[#This Row],[UNIT PRICE]],"")</f>
        <v>0</v>
      </c>
      <c r="DN22" s="111" t="s">
        <v>169</v>
      </c>
      <c r="DO22"/>
      <c r="DR22" s="84"/>
      <c r="DS22" s="111" t="s">
        <v>140</v>
      </c>
      <c r="DT22" s="108" t="s">
        <v>134</v>
      </c>
      <c r="DU22" s="108" t="s">
        <v>89</v>
      </c>
      <c r="DV22" s="84">
        <v>0</v>
      </c>
      <c r="DW22" s="83"/>
      <c r="DX22" s="84">
        <v>31.34</v>
      </c>
      <c r="DY22" s="109">
        <f>IFERROR(GroceryList2745614810911[[#This Row],[QTY]]*GroceryList2745614810911[[#This Row],[UNIT PRICE]],"")</f>
        <v>0</v>
      </c>
      <c r="DZ22" s="111" t="s">
        <v>169</v>
      </c>
      <c r="EA22"/>
      <c r="ED22" s="84"/>
      <c r="EE22" s="111" t="s">
        <v>140</v>
      </c>
      <c r="EF22" s="108" t="s">
        <v>134</v>
      </c>
      <c r="EG22" s="108" t="s">
        <v>89</v>
      </c>
      <c r="EH22" s="84">
        <v>0</v>
      </c>
      <c r="EI22" s="83"/>
      <c r="EJ22" s="84">
        <v>31.34</v>
      </c>
      <c r="EK22" s="109">
        <f>IFERROR(GroceryList274561481091112[[#This Row],[QTY]]*GroceryList274561481091112[[#This Row],[UNIT PRICE]],"")</f>
        <v>0</v>
      </c>
      <c r="EL22" s="111" t="s">
        <v>169</v>
      </c>
      <c r="EM22"/>
      <c r="EP22" s="84"/>
      <c r="EQ22" s="111" t="s">
        <v>140</v>
      </c>
      <c r="ER22" s="108" t="s">
        <v>134</v>
      </c>
      <c r="ES22" s="108" t="s">
        <v>89</v>
      </c>
      <c r="ET22" s="84">
        <v>0</v>
      </c>
      <c r="EU22" s="83"/>
      <c r="EV22" s="84">
        <v>31.34</v>
      </c>
      <c r="EW22" s="109">
        <f>IFERROR(GroceryList27456148109111213[[#This Row],[QTY]]*GroceryList27456148109111213[[#This Row],[UNIT PRICE]],"")</f>
        <v>0</v>
      </c>
      <c r="EX22" s="111" t="s">
        <v>169</v>
      </c>
      <c r="EY22"/>
      <c r="FB22" s="84"/>
      <c r="FC22" s="111" t="s">
        <v>140</v>
      </c>
      <c r="FD22" s="108" t="s">
        <v>134</v>
      </c>
      <c r="FE22" s="108" t="s">
        <v>89</v>
      </c>
      <c r="FF22" s="84">
        <v>0</v>
      </c>
      <c r="FG22" s="83"/>
      <c r="FH22" s="84">
        <v>31.34</v>
      </c>
      <c r="FI22" s="109">
        <f>IFERROR(GroceryList2745614810911121315[[#This Row],[QTY]]*GroceryList2745614810911121315[[#This Row],[UNIT PRICE]],"")</f>
        <v>0</v>
      </c>
      <c r="FJ22" s="111" t="s">
        <v>169</v>
      </c>
      <c r="FK22"/>
      <c r="FN22" s="84"/>
      <c r="FO22" s="111" t="s">
        <v>140</v>
      </c>
      <c r="FP22" s="108" t="s">
        <v>134</v>
      </c>
      <c r="FQ22" s="108" t="s">
        <v>89</v>
      </c>
      <c r="FR22" s="84">
        <v>0</v>
      </c>
      <c r="FS22" s="83"/>
      <c r="FT22" s="84">
        <v>31.34</v>
      </c>
      <c r="FU22" s="109">
        <f>IFERROR(GroceryList274561481091112131516[[#This Row],[QTY]]*GroceryList274561481091112131516[[#This Row],[UNIT PRICE]],"")</f>
        <v>0</v>
      </c>
      <c r="FV22" s="111" t="s">
        <v>169</v>
      </c>
      <c r="FW22"/>
      <c r="FZ22" s="84"/>
      <c r="GA22" s="111" t="s">
        <v>334</v>
      </c>
      <c r="GB22" s="108" t="s">
        <v>134</v>
      </c>
      <c r="GC22" s="108" t="s">
        <v>89</v>
      </c>
      <c r="GD22" s="84">
        <v>1</v>
      </c>
      <c r="GE22" s="83"/>
      <c r="GF22" s="84">
        <v>25</v>
      </c>
      <c r="GG22" s="109">
        <f>IFERROR(GroceryList274561481091112131517[[#This Row],[QTY]]*GroceryList274561481091112131517[[#This Row],[UNIT PRICE]],"")</f>
        <v>25</v>
      </c>
      <c r="GH22" s="111" t="s">
        <v>169</v>
      </c>
      <c r="GI22"/>
      <c r="GL22" s="84"/>
      <c r="GM22" s="111" t="s">
        <v>334</v>
      </c>
      <c r="GN22" s="108" t="s">
        <v>134</v>
      </c>
      <c r="GO22" s="108" t="s">
        <v>89</v>
      </c>
      <c r="GP22" s="84">
        <v>1</v>
      </c>
      <c r="GQ22" s="83"/>
      <c r="GR22" s="84">
        <v>25</v>
      </c>
      <c r="GS22" s="109">
        <f>IFERROR(GroceryList27456148109111213151718[[#This Row],[QTY]]*GroceryList27456148109111213151718[[#This Row],[UNIT PRICE]],"")</f>
        <v>25</v>
      </c>
      <c r="GT22" s="111" t="s">
        <v>169</v>
      </c>
      <c r="GU22"/>
    </row>
    <row r="23" spans="2:203" ht="30" customHeight="1" x14ac:dyDescent="0.2">
      <c r="B23" s="84"/>
      <c r="C23" s="102" t="s">
        <v>136</v>
      </c>
      <c r="D23" t="s">
        <v>134</v>
      </c>
      <c r="E23" t="s">
        <v>92</v>
      </c>
      <c r="F23" s="84">
        <v>1</v>
      </c>
      <c r="G23" s="83"/>
      <c r="H23" s="90">
        <v>45.6</v>
      </c>
      <c r="I23" s="90">
        <f>IFERROR(GroceryList[[#This Row],[QTY]]*GroceryList[[#This Row],[UNIT PRICE]],"")</f>
        <v>45.6</v>
      </c>
      <c r="J23"/>
      <c r="M23" s="84"/>
      <c r="N23" s="102" t="s">
        <v>136</v>
      </c>
      <c r="O23" t="s">
        <v>134</v>
      </c>
      <c r="P23" t="s">
        <v>92</v>
      </c>
      <c r="Q23" s="84"/>
      <c r="R23" s="83"/>
      <c r="S23" s="90">
        <v>45.6</v>
      </c>
      <c r="T23" s="90">
        <f>IFERROR(GroceryList2[[#This Row],[QTY]]*GroceryList2[[#This Row],[UNIT PRICE]],"")</f>
        <v>0</v>
      </c>
      <c r="U23"/>
      <c r="Y23" s="84" t="s">
        <v>130</v>
      </c>
      <c r="Z23" s="102" t="s">
        <v>136</v>
      </c>
      <c r="AA23" t="s">
        <v>134</v>
      </c>
      <c r="AB23" t="s">
        <v>92</v>
      </c>
      <c r="AC23" s="84">
        <v>0</v>
      </c>
      <c r="AD23" s="83"/>
      <c r="AE23" s="90">
        <v>45.6</v>
      </c>
      <c r="AF23" s="90">
        <f>IFERROR(GroceryList27[[#This Row],[QTY]]*GroceryList27[[#This Row],[UNIT PRICE]],"")</f>
        <v>0</v>
      </c>
      <c r="AG23"/>
      <c r="AM23" s="84" t="s">
        <v>130</v>
      </c>
      <c r="AN23" s="107" t="s">
        <v>136</v>
      </c>
      <c r="AO23" s="108" t="s">
        <v>134</v>
      </c>
      <c r="AP23" s="108" t="s">
        <v>92</v>
      </c>
      <c r="AQ23" s="84">
        <v>0</v>
      </c>
      <c r="AR23" s="83"/>
      <c r="AS23" s="109">
        <v>45.6</v>
      </c>
      <c r="AT23" s="109">
        <f>IFERROR(GroceryList274[[#This Row],[QTY]]*GroceryList274[[#This Row],[UNIT PRICE]],"")</f>
        <v>0</v>
      </c>
      <c r="AU23"/>
      <c r="AY23" s="84" t="s">
        <v>130</v>
      </c>
      <c r="AZ23" s="105" t="s">
        <v>100</v>
      </c>
      <c r="BA23" s="85"/>
      <c r="BB23" s="85" t="s">
        <v>92</v>
      </c>
      <c r="BC23" s="84">
        <v>0</v>
      </c>
      <c r="BD23" s="83"/>
      <c r="BE23" s="109"/>
      <c r="BF23" s="109">
        <f>IFERROR(GroceryList2745[[#This Row],[QTY]]*GroceryList2745[[#This Row],[UNIT PRICE]],"")</f>
        <v>0</v>
      </c>
      <c r="BG23" s="85"/>
      <c r="BJ23" s="84" t="s">
        <v>130</v>
      </c>
      <c r="BK23" s="105" t="s">
        <v>100</v>
      </c>
      <c r="BL23" s="85"/>
      <c r="BM23" s="85" t="s">
        <v>92</v>
      </c>
      <c r="BN23" s="84">
        <v>0</v>
      </c>
      <c r="BO23" s="83"/>
      <c r="BP23" s="109"/>
      <c r="BQ23" s="109">
        <f>IFERROR(GroceryList27456[[#This Row],[QTY]]*GroceryList27456[[#This Row],[UNIT PRICE]],"")</f>
        <v>0</v>
      </c>
      <c r="BR23" s="112" t="s">
        <v>130</v>
      </c>
      <c r="BS23" s="85"/>
      <c r="BV23" s="84" t="s">
        <v>130</v>
      </c>
      <c r="BW23" s="105" t="s">
        <v>100</v>
      </c>
      <c r="BX23" s="85"/>
      <c r="BY23" s="85" t="s">
        <v>92</v>
      </c>
      <c r="BZ23" s="84">
        <v>2</v>
      </c>
      <c r="CA23" s="83"/>
      <c r="CB23" s="109">
        <v>12.99</v>
      </c>
      <c r="CC23" s="109">
        <f>IFERROR(GroceryList2745614[[#This Row],[QTY]]*GroceryList2745614[[#This Row],[UNIT PRICE]],"")</f>
        <v>25.98</v>
      </c>
      <c r="CD23" s="112" t="s">
        <v>130</v>
      </c>
      <c r="CE23" s="85">
        <v>18.989999999999998</v>
      </c>
      <c r="CH23" s="84" t="s">
        <v>130</v>
      </c>
      <c r="CI23" s="105" t="s">
        <v>100</v>
      </c>
      <c r="CJ23" s="85"/>
      <c r="CK23" s="85" t="s">
        <v>92</v>
      </c>
      <c r="CL23" s="84">
        <v>2</v>
      </c>
      <c r="CM23" s="83"/>
      <c r="CN23" s="109">
        <v>12.99</v>
      </c>
      <c r="CO23" s="109">
        <f>IFERROR(GroceryList27456148[[#This Row],[QTY]]*GroceryList27456148[[#This Row],[UNIT PRICE]],"")</f>
        <v>25.98</v>
      </c>
      <c r="CP23" s="112" t="s">
        <v>130</v>
      </c>
      <c r="CQ23" s="85">
        <v>18.989999999999998</v>
      </c>
      <c r="CT23" s="84" t="s">
        <v>130</v>
      </c>
      <c r="CU23" s="105" t="s">
        <v>100</v>
      </c>
      <c r="CV23" s="85"/>
      <c r="CW23" s="85" t="s">
        <v>92</v>
      </c>
      <c r="CX23" s="84">
        <v>0</v>
      </c>
      <c r="CY23" s="83"/>
      <c r="CZ23" s="109">
        <v>12.99</v>
      </c>
      <c r="DA23" s="109">
        <f>IFERROR(GroceryList2745614810[[#This Row],[QTY]]*GroceryList2745614810[[#This Row],[UNIT PRICE]],"")</f>
        <v>0</v>
      </c>
      <c r="DB23" s="112" t="s">
        <v>130</v>
      </c>
      <c r="DC23" s="85">
        <v>18.989999999999998</v>
      </c>
      <c r="DF23" s="84" t="s">
        <v>130</v>
      </c>
      <c r="DG23" s="105" t="s">
        <v>100</v>
      </c>
      <c r="DH23" s="85"/>
      <c r="DI23" s="85" t="s">
        <v>92</v>
      </c>
      <c r="DJ23" s="84">
        <v>0</v>
      </c>
      <c r="DK23" s="83"/>
      <c r="DL23" s="109">
        <v>12.99</v>
      </c>
      <c r="DM23" s="109">
        <f>IFERROR(GroceryList27456148109[[#This Row],[QTY]]*GroceryList27456148109[[#This Row],[UNIT PRICE]],"")</f>
        <v>0</v>
      </c>
      <c r="DN23" s="112" t="s">
        <v>130</v>
      </c>
      <c r="DO23" s="85">
        <v>18.989999999999998</v>
      </c>
      <c r="DR23" s="84" t="s">
        <v>130</v>
      </c>
      <c r="DS23" s="105" t="s">
        <v>100</v>
      </c>
      <c r="DT23" s="85"/>
      <c r="DU23" s="85" t="s">
        <v>92</v>
      </c>
      <c r="DV23" s="84">
        <v>2</v>
      </c>
      <c r="DW23" s="83"/>
      <c r="DX23" s="109">
        <v>12.99</v>
      </c>
      <c r="DY23" s="109">
        <f>IFERROR(GroceryList2745614810911[[#This Row],[QTY]]*GroceryList2745614810911[[#This Row],[UNIT PRICE]],"")</f>
        <v>25.98</v>
      </c>
      <c r="DZ23" s="112" t="s">
        <v>130</v>
      </c>
      <c r="EA23" s="85">
        <v>18.989999999999998</v>
      </c>
      <c r="ED23" s="84" t="s">
        <v>130</v>
      </c>
      <c r="EE23" s="105" t="s">
        <v>100</v>
      </c>
      <c r="EF23" s="85"/>
      <c r="EG23" s="85" t="s">
        <v>92</v>
      </c>
      <c r="EH23" s="84">
        <v>0</v>
      </c>
      <c r="EI23" s="83"/>
      <c r="EJ23" s="109">
        <v>12.99</v>
      </c>
      <c r="EK23" s="109">
        <f>IFERROR(GroceryList274561481091112[[#This Row],[QTY]]*GroceryList274561481091112[[#This Row],[UNIT PRICE]],"")</f>
        <v>0</v>
      </c>
      <c r="EL23" s="112" t="s">
        <v>130</v>
      </c>
      <c r="EM23" s="85">
        <v>18.989999999999998</v>
      </c>
      <c r="EP23" s="84" t="s">
        <v>130</v>
      </c>
      <c r="EQ23" s="105" t="s">
        <v>100</v>
      </c>
      <c r="ER23" s="85"/>
      <c r="ES23" s="85" t="s">
        <v>92</v>
      </c>
      <c r="ET23" s="84">
        <v>0</v>
      </c>
      <c r="EU23" s="83"/>
      <c r="EV23" s="109">
        <v>12.99</v>
      </c>
      <c r="EW23" s="109">
        <f>IFERROR(GroceryList27456148109111213[[#This Row],[QTY]]*GroceryList27456148109111213[[#This Row],[UNIT PRICE]],"")</f>
        <v>0</v>
      </c>
      <c r="EX23" s="112" t="s">
        <v>130</v>
      </c>
      <c r="EY23" s="85">
        <v>18.989999999999998</v>
      </c>
      <c r="FB23" s="84" t="s">
        <v>130</v>
      </c>
      <c r="FC23" s="105" t="s">
        <v>100</v>
      </c>
      <c r="FD23" s="85"/>
      <c r="FE23" s="85" t="s">
        <v>92</v>
      </c>
      <c r="FF23" s="84">
        <v>0</v>
      </c>
      <c r="FG23" s="83"/>
      <c r="FH23" s="109">
        <v>12.99</v>
      </c>
      <c r="FI23" s="109">
        <f>IFERROR(GroceryList2745614810911121315[[#This Row],[QTY]]*GroceryList2745614810911121315[[#This Row],[UNIT PRICE]],"")</f>
        <v>0</v>
      </c>
      <c r="FJ23" s="112" t="s">
        <v>130</v>
      </c>
      <c r="FK23" s="85">
        <v>18.989999999999998</v>
      </c>
      <c r="FN23" s="84" t="s">
        <v>130</v>
      </c>
      <c r="FO23" s="105" t="s">
        <v>100</v>
      </c>
      <c r="FP23" s="85"/>
      <c r="FQ23" s="85" t="s">
        <v>92</v>
      </c>
      <c r="FR23" s="84">
        <v>0</v>
      </c>
      <c r="FS23" s="83"/>
      <c r="FT23" s="109">
        <v>12.99</v>
      </c>
      <c r="FU23" s="109">
        <f>IFERROR(GroceryList274561481091112131516[[#This Row],[QTY]]*GroceryList274561481091112131516[[#This Row],[UNIT PRICE]],"")</f>
        <v>0</v>
      </c>
      <c r="FV23" s="112" t="s">
        <v>130</v>
      </c>
      <c r="FW23" s="85">
        <v>18.989999999999998</v>
      </c>
      <c r="FZ23" s="84" t="s">
        <v>130</v>
      </c>
      <c r="GA23" s="105" t="s">
        <v>100</v>
      </c>
      <c r="GB23" s="85"/>
      <c r="GC23" s="85" t="s">
        <v>92</v>
      </c>
      <c r="GD23" s="84">
        <v>1</v>
      </c>
      <c r="GE23" s="83"/>
      <c r="GF23" s="109">
        <v>16.989999999999998</v>
      </c>
      <c r="GG23" s="109">
        <f>IFERROR(GroceryList274561481091112131517[[#This Row],[QTY]]*GroceryList274561481091112131517[[#This Row],[UNIT PRICE]],"")</f>
        <v>16.989999999999998</v>
      </c>
      <c r="GH23" s="112" t="s">
        <v>130</v>
      </c>
      <c r="GI23" s="85">
        <v>18.989999999999998</v>
      </c>
      <c r="GL23" s="84" t="s">
        <v>130</v>
      </c>
      <c r="GM23" s="105" t="s">
        <v>100</v>
      </c>
      <c r="GN23" s="85"/>
      <c r="GO23" s="85" t="s">
        <v>92</v>
      </c>
      <c r="GP23" s="84">
        <v>1</v>
      </c>
      <c r="GQ23" s="83"/>
      <c r="GR23" s="109">
        <v>16.989999999999998</v>
      </c>
      <c r="GS23" s="109">
        <f>IFERROR(GroceryList27456148109111213151718[[#This Row],[QTY]]*GroceryList27456148109111213151718[[#This Row],[UNIT PRICE]],"")</f>
        <v>16.989999999999998</v>
      </c>
      <c r="GT23" s="112" t="s">
        <v>130</v>
      </c>
      <c r="GU23" s="85">
        <v>18.989999999999998</v>
      </c>
    </row>
    <row r="24" spans="2:203" ht="30" customHeight="1" x14ac:dyDescent="0.2">
      <c r="B24" s="84"/>
      <c r="C24" s="102" t="s">
        <v>137</v>
      </c>
      <c r="D24" t="s">
        <v>134</v>
      </c>
      <c r="E24" t="s">
        <v>92</v>
      </c>
      <c r="F24" s="84">
        <v>1</v>
      </c>
      <c r="G24" s="83"/>
      <c r="H24" s="90">
        <v>27.55</v>
      </c>
      <c r="I24" s="90">
        <f>IFERROR(GroceryList[[#This Row],[QTY]]*GroceryList[[#This Row],[UNIT PRICE]],"")</f>
        <v>27.55</v>
      </c>
      <c r="J24"/>
      <c r="M24" s="84"/>
      <c r="N24" s="102" t="s">
        <v>137</v>
      </c>
      <c r="O24" t="s">
        <v>134</v>
      </c>
      <c r="P24" t="s">
        <v>92</v>
      </c>
      <c r="Q24" s="84"/>
      <c r="R24" s="83"/>
      <c r="S24" s="90">
        <v>27.55</v>
      </c>
      <c r="T24" s="90">
        <f>IFERROR(GroceryList2[[#This Row],[QTY]]*GroceryList2[[#This Row],[UNIT PRICE]],"")</f>
        <v>0</v>
      </c>
      <c r="U24"/>
      <c r="Y24" s="84"/>
      <c r="Z24" s="102" t="s">
        <v>137</v>
      </c>
      <c r="AA24" t="s">
        <v>134</v>
      </c>
      <c r="AB24" t="s">
        <v>92</v>
      </c>
      <c r="AC24" s="84"/>
      <c r="AD24" s="83"/>
      <c r="AE24" s="90">
        <v>27.55</v>
      </c>
      <c r="AF24" s="90">
        <f>IFERROR(GroceryList27[[#This Row],[QTY]]*GroceryList27[[#This Row],[UNIT PRICE]],"")</f>
        <v>0</v>
      </c>
      <c r="AG24"/>
      <c r="AM24" s="84"/>
      <c r="AN24" s="107" t="s">
        <v>137</v>
      </c>
      <c r="AO24" s="108" t="s">
        <v>134</v>
      </c>
      <c r="AP24" s="108" t="s">
        <v>92</v>
      </c>
      <c r="AQ24" s="84"/>
      <c r="AR24" s="83"/>
      <c r="AS24" s="109">
        <v>27.55</v>
      </c>
      <c r="AT24" s="109">
        <f>IFERROR(GroceryList274[[#This Row],[QTY]]*GroceryList274[[#This Row],[UNIT PRICE]],"")</f>
        <v>0</v>
      </c>
      <c r="AU24"/>
      <c r="AY24" s="87" t="s">
        <v>130</v>
      </c>
      <c r="AZ24" s="105" t="s">
        <v>111</v>
      </c>
      <c r="BA24" s="110" t="s">
        <v>150</v>
      </c>
      <c r="BB24" s="110" t="s">
        <v>92</v>
      </c>
      <c r="BC24" s="84">
        <v>1</v>
      </c>
      <c r="BE24" s="109">
        <v>39</v>
      </c>
      <c r="BF24" s="109">
        <f>IFERROR(GroceryList2745[[#This Row],[QTY]]*GroceryList2745[[#This Row],[UNIT PRICE]],"")</f>
        <v>39</v>
      </c>
      <c r="BG24" s="89"/>
      <c r="BJ24" s="87" t="s">
        <v>130</v>
      </c>
      <c r="BK24" s="105" t="s">
        <v>111</v>
      </c>
      <c r="BL24" s="110" t="s">
        <v>150</v>
      </c>
      <c r="BM24" s="110" t="s">
        <v>92</v>
      </c>
      <c r="BN24" s="84">
        <v>0</v>
      </c>
      <c r="BP24" s="109">
        <v>39</v>
      </c>
      <c r="BQ24" s="109">
        <f>IFERROR(GroceryList27456[[#This Row],[QTY]]*GroceryList27456[[#This Row],[UNIT PRICE]],"")</f>
        <v>0</v>
      </c>
      <c r="BR24" s="105" t="s">
        <v>130</v>
      </c>
      <c r="BS24" s="89"/>
      <c r="BV24" s="87" t="s">
        <v>130</v>
      </c>
      <c r="BW24" s="105" t="s">
        <v>111</v>
      </c>
      <c r="BX24" s="110" t="s">
        <v>150</v>
      </c>
      <c r="BY24" s="110" t="s">
        <v>92</v>
      </c>
      <c r="BZ24" s="84">
        <v>1</v>
      </c>
      <c r="CB24" s="109">
        <v>40</v>
      </c>
      <c r="CC24" s="109">
        <f>IFERROR(GroceryList2745614[[#This Row],[QTY]]*GroceryList2745614[[#This Row],[UNIT PRICE]],"")</f>
        <v>40</v>
      </c>
      <c r="CD24" s="105" t="s">
        <v>130</v>
      </c>
      <c r="CE24" s="89"/>
      <c r="CH24" s="87" t="s">
        <v>130</v>
      </c>
      <c r="CI24" s="105" t="s">
        <v>111</v>
      </c>
      <c r="CJ24" s="110" t="s">
        <v>150</v>
      </c>
      <c r="CK24" s="110" t="s">
        <v>92</v>
      </c>
      <c r="CL24" s="84">
        <v>1</v>
      </c>
      <c r="CN24" s="109">
        <v>40</v>
      </c>
      <c r="CO24" s="109">
        <f>IFERROR(GroceryList27456148[[#This Row],[QTY]]*GroceryList27456148[[#This Row],[UNIT PRICE]],"")</f>
        <v>40</v>
      </c>
      <c r="CP24" s="105" t="s">
        <v>130</v>
      </c>
      <c r="CQ24" s="89"/>
      <c r="CT24" s="87" t="s">
        <v>130</v>
      </c>
      <c r="CU24" s="105" t="s">
        <v>111</v>
      </c>
      <c r="CV24" s="110" t="s">
        <v>150</v>
      </c>
      <c r="CW24" s="110" t="s">
        <v>92</v>
      </c>
      <c r="CX24" s="84">
        <v>0</v>
      </c>
      <c r="CZ24" s="109">
        <v>40</v>
      </c>
      <c r="DA24" s="109">
        <f>IFERROR(GroceryList2745614810[[#This Row],[QTY]]*GroceryList2745614810[[#This Row],[UNIT PRICE]],"")</f>
        <v>0</v>
      </c>
      <c r="DB24" s="105" t="s">
        <v>130</v>
      </c>
      <c r="DC24" s="89"/>
      <c r="DF24" s="87" t="s">
        <v>130</v>
      </c>
      <c r="DG24" s="105" t="s">
        <v>111</v>
      </c>
      <c r="DH24" s="110" t="s">
        <v>150</v>
      </c>
      <c r="DI24" s="110" t="s">
        <v>92</v>
      </c>
      <c r="DJ24" s="84">
        <v>1</v>
      </c>
      <c r="DL24" s="109">
        <v>40</v>
      </c>
      <c r="DM24" s="109">
        <f>IFERROR(GroceryList27456148109[[#This Row],[QTY]]*GroceryList27456148109[[#This Row],[UNIT PRICE]],"")</f>
        <v>40</v>
      </c>
      <c r="DN24" s="105" t="s">
        <v>130</v>
      </c>
      <c r="DO24" s="89"/>
      <c r="DR24" s="87" t="s">
        <v>130</v>
      </c>
      <c r="DS24" s="105" t="s">
        <v>111</v>
      </c>
      <c r="DT24" s="110" t="s">
        <v>150</v>
      </c>
      <c r="DU24" s="110" t="s">
        <v>92</v>
      </c>
      <c r="DV24" s="84">
        <v>1</v>
      </c>
      <c r="DX24" s="109">
        <v>40</v>
      </c>
      <c r="DY24" s="109">
        <f>IFERROR(GroceryList2745614810911[[#This Row],[QTY]]*GroceryList2745614810911[[#This Row],[UNIT PRICE]],"")</f>
        <v>40</v>
      </c>
      <c r="DZ24" s="105" t="s">
        <v>130</v>
      </c>
      <c r="EA24" s="89"/>
      <c r="ED24" s="87" t="s">
        <v>130</v>
      </c>
      <c r="EE24" s="105" t="s">
        <v>111</v>
      </c>
      <c r="EF24" s="110" t="s">
        <v>150</v>
      </c>
      <c r="EG24" s="110" t="s">
        <v>92</v>
      </c>
      <c r="EH24" s="84">
        <v>1</v>
      </c>
      <c r="EJ24" s="109">
        <v>40</v>
      </c>
      <c r="EK24" s="109">
        <f>IFERROR(GroceryList274561481091112[[#This Row],[QTY]]*GroceryList274561481091112[[#This Row],[UNIT PRICE]],"")</f>
        <v>40</v>
      </c>
      <c r="EL24" s="105" t="s">
        <v>130</v>
      </c>
      <c r="EM24" s="89"/>
      <c r="EP24" s="87" t="s">
        <v>130</v>
      </c>
      <c r="EQ24" s="105" t="s">
        <v>111</v>
      </c>
      <c r="ER24" s="110" t="s">
        <v>150</v>
      </c>
      <c r="ES24" s="110" t="s">
        <v>92</v>
      </c>
      <c r="ET24" s="84">
        <v>1</v>
      </c>
      <c r="EV24" s="109">
        <v>40</v>
      </c>
      <c r="EW24" s="109">
        <f>IFERROR(GroceryList27456148109111213[[#This Row],[QTY]]*GroceryList27456148109111213[[#This Row],[UNIT PRICE]],"")</f>
        <v>40</v>
      </c>
      <c r="EX24" s="105" t="s">
        <v>130</v>
      </c>
      <c r="EY24" s="89"/>
      <c r="FB24" s="87" t="s">
        <v>130</v>
      </c>
      <c r="FC24" s="105" t="s">
        <v>111</v>
      </c>
      <c r="FD24" s="110" t="s">
        <v>150</v>
      </c>
      <c r="FE24" s="110" t="s">
        <v>92</v>
      </c>
      <c r="FF24" s="84">
        <v>0</v>
      </c>
      <c r="FH24" s="109">
        <v>40</v>
      </c>
      <c r="FI24" s="109">
        <f>IFERROR(GroceryList2745614810911121315[[#This Row],[QTY]]*GroceryList2745614810911121315[[#This Row],[UNIT PRICE]],"")</f>
        <v>0</v>
      </c>
      <c r="FJ24" s="105" t="s">
        <v>130</v>
      </c>
      <c r="FK24" s="89"/>
      <c r="FN24" s="87" t="s">
        <v>130</v>
      </c>
      <c r="FO24" s="105" t="s">
        <v>111</v>
      </c>
      <c r="FP24" s="110" t="s">
        <v>150</v>
      </c>
      <c r="FQ24" s="110" t="s">
        <v>92</v>
      </c>
      <c r="FR24" s="84">
        <v>1</v>
      </c>
      <c r="FT24" s="109">
        <v>40</v>
      </c>
      <c r="FU24" s="109">
        <f>IFERROR(GroceryList274561481091112131516[[#This Row],[QTY]]*GroceryList274561481091112131516[[#This Row],[UNIT PRICE]],"")</f>
        <v>40</v>
      </c>
      <c r="FV24" s="105" t="s">
        <v>130</v>
      </c>
      <c r="FW24" s="89"/>
      <c r="FZ24" s="87" t="s">
        <v>130</v>
      </c>
      <c r="GA24" s="105" t="s">
        <v>111</v>
      </c>
      <c r="GB24" s="110" t="s">
        <v>150</v>
      </c>
      <c r="GC24" s="110" t="s">
        <v>92</v>
      </c>
      <c r="GD24" s="84">
        <v>1</v>
      </c>
      <c r="GF24" s="109">
        <v>47</v>
      </c>
      <c r="GG24" s="109">
        <f>IFERROR(GroceryList274561481091112131517[[#This Row],[QTY]]*GroceryList274561481091112131517[[#This Row],[UNIT PRICE]],"")</f>
        <v>47</v>
      </c>
      <c r="GH24" s="105" t="s">
        <v>130</v>
      </c>
      <c r="GI24" s="89"/>
      <c r="GL24" s="87" t="s">
        <v>130</v>
      </c>
      <c r="GM24" s="105" t="s">
        <v>111</v>
      </c>
      <c r="GN24" s="110" t="s">
        <v>150</v>
      </c>
      <c r="GO24" s="110" t="s">
        <v>92</v>
      </c>
      <c r="GP24" s="84">
        <v>1</v>
      </c>
      <c r="GR24" s="109">
        <v>47</v>
      </c>
      <c r="GS24" s="109">
        <f>IFERROR(GroceryList27456148109111213151718[[#This Row],[QTY]]*GroceryList27456148109111213151718[[#This Row],[UNIT PRICE]],"")</f>
        <v>47</v>
      </c>
      <c r="GT24" s="105" t="s">
        <v>130</v>
      </c>
      <c r="GU24" s="89"/>
    </row>
    <row r="25" spans="2:203" ht="30" customHeight="1" x14ac:dyDescent="0.2">
      <c r="B25" s="84"/>
      <c r="C25" s="99" t="s">
        <v>101</v>
      </c>
      <c r="D25" s="85"/>
      <c r="E25" s="85"/>
      <c r="F25" s="84"/>
      <c r="G25" s="83"/>
      <c r="H25" s="90"/>
      <c r="I25" s="90">
        <f>IFERROR(GroceryList[[#This Row],[QTY]]*GroceryList[[#This Row],[UNIT PRICE]],"")</f>
        <v>0</v>
      </c>
      <c r="J25" s="85"/>
      <c r="M25" s="84"/>
      <c r="N25" s="99" t="s">
        <v>101</v>
      </c>
      <c r="O25" s="85"/>
      <c r="P25" s="85"/>
      <c r="Q25" s="84"/>
      <c r="R25" s="83"/>
      <c r="S25" s="90"/>
      <c r="T25" s="90">
        <f>IFERROR(GroceryList2[[#This Row],[QTY]]*GroceryList2[[#This Row],[UNIT PRICE]],"")</f>
        <v>0</v>
      </c>
      <c r="U25" s="85"/>
      <c r="Y25" s="84"/>
      <c r="Z25" s="99" t="s">
        <v>101</v>
      </c>
      <c r="AA25" s="85"/>
      <c r="AB25" s="85"/>
      <c r="AC25" s="84"/>
      <c r="AD25" s="83"/>
      <c r="AE25" s="90"/>
      <c r="AF25" s="90">
        <f>IFERROR(GroceryList27[[#This Row],[QTY]]*GroceryList27[[#This Row],[UNIT PRICE]],"")</f>
        <v>0</v>
      </c>
      <c r="AG25" s="85"/>
      <c r="AM25" s="84"/>
      <c r="AN25" s="105" t="s">
        <v>101</v>
      </c>
      <c r="AO25" s="85"/>
      <c r="AP25" s="85"/>
      <c r="AQ25" s="84"/>
      <c r="AR25" s="83"/>
      <c r="AS25" s="109"/>
      <c r="AT25" s="109">
        <f>IFERROR(GroceryList274[[#This Row],[QTY]]*GroceryList274[[#This Row],[UNIT PRICE]],"")</f>
        <v>0</v>
      </c>
      <c r="AU25" s="85"/>
      <c r="AY25" s="84"/>
      <c r="AZ25" s="107" t="s">
        <v>137</v>
      </c>
      <c r="BA25" s="108" t="s">
        <v>134</v>
      </c>
      <c r="BB25" s="108" t="s">
        <v>92</v>
      </c>
      <c r="BC25" s="84">
        <v>0</v>
      </c>
      <c r="BD25" s="83"/>
      <c r="BE25" s="109">
        <v>27.55</v>
      </c>
      <c r="BF25" s="109">
        <f>IFERROR(GroceryList2745[[#This Row],[QTY]]*GroceryList2745[[#This Row],[UNIT PRICE]],"")</f>
        <v>0</v>
      </c>
      <c r="BG25"/>
      <c r="BJ25" s="84"/>
      <c r="BK25" s="107" t="s">
        <v>137</v>
      </c>
      <c r="BL25" s="108" t="s">
        <v>134</v>
      </c>
      <c r="BM25" s="108" t="s">
        <v>92</v>
      </c>
      <c r="BN25" s="84">
        <v>0</v>
      </c>
      <c r="BO25" s="83"/>
      <c r="BP25" s="109">
        <v>27.55</v>
      </c>
      <c r="BQ25" s="109">
        <f>IFERROR(GroceryList27456[[#This Row],[QTY]]*GroceryList27456[[#This Row],[UNIT PRICE]],"")</f>
        <v>0</v>
      </c>
      <c r="BR25" s="111" t="s">
        <v>169</v>
      </c>
      <c r="BS25"/>
      <c r="BV25" s="84"/>
      <c r="BW25" s="107" t="s">
        <v>137</v>
      </c>
      <c r="BX25" s="108" t="s">
        <v>134</v>
      </c>
      <c r="BY25" s="108" t="s">
        <v>92</v>
      </c>
      <c r="BZ25" s="84">
        <v>0</v>
      </c>
      <c r="CA25" s="83"/>
      <c r="CB25" s="109">
        <v>27.55</v>
      </c>
      <c r="CC25" s="109">
        <f>IFERROR(GroceryList2745614[[#This Row],[QTY]]*GroceryList2745614[[#This Row],[UNIT PRICE]],"")</f>
        <v>0</v>
      </c>
      <c r="CD25" s="111" t="s">
        <v>169</v>
      </c>
      <c r="CE25"/>
      <c r="CH25" s="84"/>
      <c r="CI25" s="107" t="s">
        <v>137</v>
      </c>
      <c r="CJ25" s="108" t="s">
        <v>134</v>
      </c>
      <c r="CK25" s="108" t="s">
        <v>92</v>
      </c>
      <c r="CL25" s="84">
        <v>0</v>
      </c>
      <c r="CM25" s="83"/>
      <c r="CN25" s="109">
        <v>27.55</v>
      </c>
      <c r="CO25" s="109">
        <f>IFERROR(GroceryList27456148[[#This Row],[QTY]]*GroceryList27456148[[#This Row],[UNIT PRICE]],"")</f>
        <v>0</v>
      </c>
      <c r="CP25" s="111" t="s">
        <v>169</v>
      </c>
      <c r="CQ25"/>
      <c r="CT25" s="84"/>
      <c r="CU25" s="107" t="s">
        <v>137</v>
      </c>
      <c r="CV25" s="108" t="s">
        <v>134</v>
      </c>
      <c r="CW25" s="108" t="s">
        <v>92</v>
      </c>
      <c r="CX25" s="84">
        <v>0</v>
      </c>
      <c r="CY25" s="83"/>
      <c r="CZ25" s="109">
        <v>27.55</v>
      </c>
      <c r="DA25" s="109">
        <f>IFERROR(GroceryList2745614810[[#This Row],[QTY]]*GroceryList2745614810[[#This Row],[UNIT PRICE]],"")</f>
        <v>0</v>
      </c>
      <c r="DB25" s="111" t="s">
        <v>169</v>
      </c>
      <c r="DC25"/>
      <c r="DF25" s="84"/>
      <c r="DG25" s="107" t="s">
        <v>137</v>
      </c>
      <c r="DH25" s="108" t="s">
        <v>134</v>
      </c>
      <c r="DI25" s="108" t="s">
        <v>92</v>
      </c>
      <c r="DJ25" s="84">
        <v>0</v>
      </c>
      <c r="DK25" s="83"/>
      <c r="DL25" s="109">
        <v>27.55</v>
      </c>
      <c r="DM25" s="109">
        <f>IFERROR(GroceryList27456148109[[#This Row],[QTY]]*GroceryList27456148109[[#This Row],[UNIT PRICE]],"")</f>
        <v>0</v>
      </c>
      <c r="DN25" s="111" t="s">
        <v>169</v>
      </c>
      <c r="DO25"/>
      <c r="DR25" s="84"/>
      <c r="DS25" s="107" t="s">
        <v>137</v>
      </c>
      <c r="DT25" s="108" t="s">
        <v>134</v>
      </c>
      <c r="DU25" s="108" t="s">
        <v>92</v>
      </c>
      <c r="DV25" s="84">
        <v>0</v>
      </c>
      <c r="DW25" s="83"/>
      <c r="DX25" s="109">
        <v>27.55</v>
      </c>
      <c r="DY25" s="109">
        <f>IFERROR(GroceryList2745614810911[[#This Row],[QTY]]*GroceryList2745614810911[[#This Row],[UNIT PRICE]],"")</f>
        <v>0</v>
      </c>
      <c r="DZ25" s="111" t="s">
        <v>169</v>
      </c>
      <c r="EA25"/>
      <c r="ED25" s="84"/>
      <c r="EE25" s="107" t="s">
        <v>137</v>
      </c>
      <c r="EF25" s="108" t="s">
        <v>134</v>
      </c>
      <c r="EG25" s="108" t="s">
        <v>92</v>
      </c>
      <c r="EH25" s="84">
        <v>0</v>
      </c>
      <c r="EI25" s="83"/>
      <c r="EJ25" s="109">
        <v>27.55</v>
      </c>
      <c r="EK25" s="109">
        <f>IFERROR(GroceryList274561481091112[[#This Row],[QTY]]*GroceryList274561481091112[[#This Row],[UNIT PRICE]],"")</f>
        <v>0</v>
      </c>
      <c r="EL25" s="111" t="s">
        <v>169</v>
      </c>
      <c r="EM25"/>
      <c r="EP25" s="84"/>
      <c r="EQ25" s="107" t="s">
        <v>137</v>
      </c>
      <c r="ER25" s="108" t="s">
        <v>134</v>
      </c>
      <c r="ES25" s="108" t="s">
        <v>92</v>
      </c>
      <c r="ET25" s="84">
        <v>0</v>
      </c>
      <c r="EU25" s="83"/>
      <c r="EV25" s="109">
        <v>27.55</v>
      </c>
      <c r="EW25" s="109">
        <f>IFERROR(GroceryList27456148109111213[[#This Row],[QTY]]*GroceryList27456148109111213[[#This Row],[UNIT PRICE]],"")</f>
        <v>0</v>
      </c>
      <c r="EX25" s="111" t="s">
        <v>169</v>
      </c>
      <c r="EY25"/>
      <c r="FB25" s="84"/>
      <c r="FC25" s="111" t="s">
        <v>225</v>
      </c>
      <c r="FD25" s="108" t="s">
        <v>134</v>
      </c>
      <c r="FE25" s="108" t="s">
        <v>91</v>
      </c>
      <c r="FF25" s="84">
        <v>1</v>
      </c>
      <c r="FG25" s="83"/>
      <c r="FH25" s="109">
        <v>17.84</v>
      </c>
      <c r="FI25" s="109">
        <f>IFERROR(GroceryList2745614810911121315[[#This Row],[QTY]]*GroceryList2745614810911121315[[#This Row],[UNIT PRICE]],"")</f>
        <v>17.84</v>
      </c>
      <c r="FJ25" s="111" t="s">
        <v>169</v>
      </c>
      <c r="FK25">
        <v>21</v>
      </c>
      <c r="FN25" s="84"/>
      <c r="FO25" s="107" t="s">
        <v>137</v>
      </c>
      <c r="FP25" s="108" t="s">
        <v>134</v>
      </c>
      <c r="FQ25" s="108" t="s">
        <v>92</v>
      </c>
      <c r="FR25" s="84">
        <v>0</v>
      </c>
      <c r="FS25" s="83"/>
      <c r="FT25" s="109">
        <v>27.55</v>
      </c>
      <c r="FU25" s="109">
        <f>IFERROR(GroceryList274561481091112131516[[#This Row],[QTY]]*GroceryList274561481091112131516[[#This Row],[UNIT PRICE]],"")</f>
        <v>0</v>
      </c>
      <c r="FV25" s="111" t="s">
        <v>169</v>
      </c>
      <c r="FW25"/>
      <c r="FZ25" s="84"/>
      <c r="GA25" s="111" t="s">
        <v>335</v>
      </c>
      <c r="GB25" s="108" t="s">
        <v>134</v>
      </c>
      <c r="GC25" s="108" t="s">
        <v>91</v>
      </c>
      <c r="GD25" s="84">
        <v>1</v>
      </c>
      <c r="GE25" s="83"/>
      <c r="GF25" s="109">
        <v>26.59</v>
      </c>
      <c r="GG25" s="109">
        <f>IFERROR(GroceryList274561481091112131517[[#This Row],[QTY]]*GroceryList274561481091112131517[[#This Row],[UNIT PRICE]],"")</f>
        <v>26.59</v>
      </c>
      <c r="GH25" s="111" t="s">
        <v>169</v>
      </c>
      <c r="GI25">
        <v>21</v>
      </c>
      <c r="GL25" s="84"/>
      <c r="GM25" s="111" t="s">
        <v>335</v>
      </c>
      <c r="GN25" s="108" t="s">
        <v>134</v>
      </c>
      <c r="GO25" s="108" t="s">
        <v>91</v>
      </c>
      <c r="GP25" s="84">
        <v>1</v>
      </c>
      <c r="GQ25" s="83"/>
      <c r="GR25" s="109">
        <v>26.59</v>
      </c>
      <c r="GS25" s="109">
        <f>IFERROR(GroceryList27456148109111213151718[[#This Row],[QTY]]*GroceryList27456148109111213151718[[#This Row],[UNIT PRICE]],"")</f>
        <v>26.59</v>
      </c>
      <c r="GT25" s="111" t="s">
        <v>169</v>
      </c>
      <c r="GU25">
        <v>21</v>
      </c>
    </row>
    <row r="26" spans="2:203" ht="30" hidden="1" customHeight="1" x14ac:dyDescent="0.2">
      <c r="B26" s="84"/>
      <c r="C26" s="99" t="s">
        <v>102</v>
      </c>
      <c r="D26" s="85" t="s">
        <v>134</v>
      </c>
      <c r="E26" s="85" t="s">
        <v>90</v>
      </c>
      <c r="F26" s="84">
        <v>1</v>
      </c>
      <c r="G26" s="83"/>
      <c r="H26" s="90">
        <v>29.44</v>
      </c>
      <c r="I26" s="90">
        <f>IFERROR(GroceryList[[#This Row],[QTY]]*GroceryList[[#This Row],[UNIT PRICE]],"")</f>
        <v>29.44</v>
      </c>
      <c r="J26" s="85"/>
      <c r="M26" s="84"/>
      <c r="N26" s="99" t="s">
        <v>102</v>
      </c>
      <c r="O26" s="85" t="s">
        <v>134</v>
      </c>
      <c r="P26" s="85" t="s">
        <v>90</v>
      </c>
      <c r="Q26" s="84"/>
      <c r="R26" s="83"/>
      <c r="S26" s="90">
        <v>29.44</v>
      </c>
      <c r="T26" s="90">
        <f>IFERROR(GroceryList2[[#This Row],[QTY]]*GroceryList2[[#This Row],[UNIT PRICE]],"")</f>
        <v>0</v>
      </c>
      <c r="U26" s="85"/>
      <c r="Y26" s="84"/>
      <c r="Z26" s="99" t="s">
        <v>102</v>
      </c>
      <c r="AA26" s="85" t="s">
        <v>134</v>
      </c>
      <c r="AB26" s="85" t="s">
        <v>90</v>
      </c>
      <c r="AC26" s="84"/>
      <c r="AD26" s="83"/>
      <c r="AE26" s="90">
        <v>29.44</v>
      </c>
      <c r="AF26" s="90">
        <f>IFERROR(GroceryList27[[#This Row],[QTY]]*GroceryList27[[#This Row],[UNIT PRICE]],"")</f>
        <v>0</v>
      </c>
      <c r="AG26" s="85"/>
      <c r="AM26" s="84"/>
      <c r="AN26" s="105" t="s">
        <v>102</v>
      </c>
      <c r="AO26" s="85" t="s">
        <v>134</v>
      </c>
      <c r="AP26" s="85" t="s">
        <v>90</v>
      </c>
      <c r="AQ26" s="84"/>
      <c r="AR26" s="83"/>
      <c r="AS26" s="109">
        <v>29.44</v>
      </c>
      <c r="AT26" s="109">
        <f>IFERROR(GroceryList274[[#This Row],[QTY]]*GroceryList274[[#This Row],[UNIT PRICE]],"")</f>
        <v>0</v>
      </c>
      <c r="AU26" s="85"/>
      <c r="AY26" s="84"/>
      <c r="AZ26" s="105" t="s">
        <v>101</v>
      </c>
      <c r="BA26" s="85"/>
      <c r="BB26" s="85"/>
      <c r="BC26" s="84">
        <v>0</v>
      </c>
      <c r="BD26" s="83"/>
      <c r="BE26" s="109"/>
      <c r="BF26" s="109">
        <f>IFERROR(GroceryList2745[[#This Row],[QTY]]*GroceryList2745[[#This Row],[UNIT PRICE]],"")</f>
        <v>0</v>
      </c>
      <c r="BG26" s="85"/>
      <c r="BJ26" s="84"/>
      <c r="BK26" s="105" t="s">
        <v>101</v>
      </c>
      <c r="BL26" s="85"/>
      <c r="BM26" s="85"/>
      <c r="BN26" s="84">
        <v>0</v>
      </c>
      <c r="BO26" s="83"/>
      <c r="BP26" s="109"/>
      <c r="BQ26" s="109">
        <f>IFERROR(GroceryList27456[[#This Row],[QTY]]*GroceryList27456[[#This Row],[UNIT PRICE]],"")</f>
        <v>0</v>
      </c>
      <c r="BR26" s="112" t="s">
        <v>169</v>
      </c>
      <c r="BS26" s="85"/>
      <c r="BV26" s="84"/>
      <c r="BW26" s="105" t="s">
        <v>101</v>
      </c>
      <c r="BX26" s="85"/>
      <c r="BY26" s="85"/>
      <c r="BZ26" s="84">
        <v>0</v>
      </c>
      <c r="CA26" s="83"/>
      <c r="CB26" s="109"/>
      <c r="CC26" s="109">
        <f>IFERROR(GroceryList2745614[[#This Row],[QTY]]*GroceryList2745614[[#This Row],[UNIT PRICE]],"")</f>
        <v>0</v>
      </c>
      <c r="CD26" s="112" t="s">
        <v>169</v>
      </c>
      <c r="CE26" s="85"/>
      <c r="CH26" s="84"/>
      <c r="CI26" s="105" t="s">
        <v>101</v>
      </c>
      <c r="CJ26" s="85"/>
      <c r="CK26" s="85"/>
      <c r="CL26" s="84">
        <v>0</v>
      </c>
      <c r="CM26" s="83"/>
      <c r="CN26" s="109"/>
      <c r="CO26" s="109">
        <f>IFERROR(GroceryList27456148[[#This Row],[QTY]]*GroceryList27456148[[#This Row],[UNIT PRICE]],"")</f>
        <v>0</v>
      </c>
      <c r="CP26" s="112" t="s">
        <v>169</v>
      </c>
      <c r="CQ26" s="85"/>
      <c r="CT26" s="84"/>
      <c r="CU26" s="105" t="s">
        <v>101</v>
      </c>
      <c r="CV26" s="85"/>
      <c r="CW26" s="85"/>
      <c r="CX26" s="84">
        <v>0</v>
      </c>
      <c r="CY26" s="83"/>
      <c r="CZ26" s="109"/>
      <c r="DA26" s="109">
        <f>IFERROR(GroceryList2745614810[[#This Row],[QTY]]*GroceryList2745614810[[#This Row],[UNIT PRICE]],"")</f>
        <v>0</v>
      </c>
      <c r="DB26" s="112" t="s">
        <v>169</v>
      </c>
      <c r="DC26" s="85"/>
      <c r="DF26" s="84"/>
      <c r="DG26" s="105" t="s">
        <v>101</v>
      </c>
      <c r="DH26" s="85"/>
      <c r="DI26" s="85"/>
      <c r="DJ26" s="84">
        <v>0</v>
      </c>
      <c r="DK26" s="83"/>
      <c r="DL26" s="109"/>
      <c r="DM26" s="109">
        <f>IFERROR(GroceryList27456148109[[#This Row],[QTY]]*GroceryList27456148109[[#This Row],[UNIT PRICE]],"")</f>
        <v>0</v>
      </c>
      <c r="DN26" s="112" t="s">
        <v>169</v>
      </c>
      <c r="DO26" s="85"/>
      <c r="DR26" s="84"/>
      <c r="DS26" s="105" t="s">
        <v>101</v>
      </c>
      <c r="DT26" s="85"/>
      <c r="DU26" s="85"/>
      <c r="DV26" s="84">
        <v>0</v>
      </c>
      <c r="DW26" s="83"/>
      <c r="DX26" s="109"/>
      <c r="DY26" s="109">
        <f>IFERROR(GroceryList2745614810911[[#This Row],[QTY]]*GroceryList2745614810911[[#This Row],[UNIT PRICE]],"")</f>
        <v>0</v>
      </c>
      <c r="DZ26" s="112" t="s">
        <v>169</v>
      </c>
      <c r="EA26" s="85"/>
      <c r="ED26" s="84"/>
      <c r="EE26" s="105" t="s">
        <v>216</v>
      </c>
      <c r="EF26" s="85" t="s">
        <v>134</v>
      </c>
      <c r="EG26" s="85" t="s">
        <v>92</v>
      </c>
      <c r="EH26" s="84">
        <v>1</v>
      </c>
      <c r="EI26" s="83"/>
      <c r="EJ26" s="109">
        <v>10.44</v>
      </c>
      <c r="EK26" s="109">
        <f>IFERROR(GroceryList274561481091112[[#This Row],[QTY]]*GroceryList274561481091112[[#This Row],[UNIT PRICE]],"")</f>
        <v>10.44</v>
      </c>
      <c r="EL26" s="112" t="s">
        <v>169</v>
      </c>
      <c r="EM26" s="85" t="s">
        <v>217</v>
      </c>
      <c r="EP26" s="84"/>
      <c r="EQ26" s="105" t="s">
        <v>216</v>
      </c>
      <c r="ER26" s="85" t="s">
        <v>134</v>
      </c>
      <c r="ES26" s="85" t="s">
        <v>92</v>
      </c>
      <c r="ET26" s="84">
        <v>0</v>
      </c>
      <c r="EU26" s="83"/>
      <c r="EV26" s="109">
        <v>10.44</v>
      </c>
      <c r="EW26" s="109">
        <f>IFERROR(GroceryList27456148109111213[[#This Row],[QTY]]*GroceryList27456148109111213[[#This Row],[UNIT PRICE]],"")</f>
        <v>0</v>
      </c>
      <c r="EX26" s="112" t="s">
        <v>169</v>
      </c>
      <c r="EY26" s="85" t="s">
        <v>217</v>
      </c>
      <c r="FB26" s="84"/>
      <c r="FC26" s="105" t="s">
        <v>216</v>
      </c>
      <c r="FD26" s="85" t="s">
        <v>134</v>
      </c>
      <c r="FE26" s="85" t="s">
        <v>92</v>
      </c>
      <c r="FF26" s="84">
        <v>0</v>
      </c>
      <c r="FG26" s="83"/>
      <c r="FH26" s="109">
        <v>10.44</v>
      </c>
      <c r="FI26" s="109">
        <f>IFERROR(GroceryList2745614810911121315[[#This Row],[QTY]]*GroceryList2745614810911121315[[#This Row],[UNIT PRICE]],"")</f>
        <v>0</v>
      </c>
      <c r="FJ26" s="112" t="s">
        <v>169</v>
      </c>
      <c r="FK26" s="85" t="s">
        <v>217</v>
      </c>
      <c r="FN26" s="84"/>
      <c r="FO26" s="105" t="s">
        <v>216</v>
      </c>
      <c r="FP26" s="85" t="s">
        <v>134</v>
      </c>
      <c r="FQ26" s="85" t="s">
        <v>92</v>
      </c>
      <c r="FR26" s="84">
        <v>0</v>
      </c>
      <c r="FS26" s="83"/>
      <c r="FT26" s="109">
        <v>10.44</v>
      </c>
      <c r="FU26" s="109">
        <f>IFERROR(GroceryList274561481091112131516[[#This Row],[QTY]]*GroceryList274561481091112131516[[#This Row],[UNIT PRICE]],"")</f>
        <v>0</v>
      </c>
      <c r="FV26" s="112" t="s">
        <v>169</v>
      </c>
      <c r="FW26" s="85" t="s">
        <v>217</v>
      </c>
      <c r="FZ26" s="84"/>
      <c r="GA26" s="105" t="s">
        <v>216</v>
      </c>
      <c r="GB26" s="85" t="s">
        <v>134</v>
      </c>
      <c r="GC26" s="85" t="s">
        <v>92</v>
      </c>
      <c r="GD26" s="84">
        <v>0</v>
      </c>
      <c r="GE26" s="83"/>
      <c r="GF26" s="109">
        <v>10.44</v>
      </c>
      <c r="GG26" s="109">
        <f>IFERROR(GroceryList274561481091112131517[[#This Row],[QTY]]*GroceryList274561481091112131517[[#This Row],[UNIT PRICE]],"")</f>
        <v>0</v>
      </c>
      <c r="GH26" s="112" t="s">
        <v>169</v>
      </c>
      <c r="GI26" s="85" t="s">
        <v>217</v>
      </c>
      <c r="GL26" s="84"/>
      <c r="GM26" s="105" t="s">
        <v>216</v>
      </c>
      <c r="GN26" s="85" t="s">
        <v>134</v>
      </c>
      <c r="GO26" s="85" t="s">
        <v>92</v>
      </c>
      <c r="GP26" s="84">
        <v>0</v>
      </c>
      <c r="GQ26" s="83"/>
      <c r="GR26" s="109">
        <v>10.44</v>
      </c>
      <c r="GS26" s="109">
        <f>IFERROR(GroceryList27456148109111213151718[[#This Row],[QTY]]*GroceryList27456148109111213151718[[#This Row],[UNIT PRICE]],"")</f>
        <v>0</v>
      </c>
      <c r="GT26" s="112" t="s">
        <v>169</v>
      </c>
      <c r="GU26" s="85" t="s">
        <v>217</v>
      </c>
    </row>
    <row r="27" spans="2:203" ht="30" hidden="1" customHeight="1" x14ac:dyDescent="0.2">
      <c r="B27" s="84"/>
      <c r="C27" s="99" t="s">
        <v>103</v>
      </c>
      <c r="D27" s="85"/>
      <c r="E27" s="85"/>
      <c r="F27" s="84"/>
      <c r="G27" s="83"/>
      <c r="H27" s="90"/>
      <c r="I27" s="90">
        <f>IFERROR(GroceryList[[#This Row],[QTY]]*GroceryList[[#This Row],[UNIT PRICE]],"")</f>
        <v>0</v>
      </c>
      <c r="J27" s="85"/>
      <c r="M27" s="84"/>
      <c r="N27" s="99" t="s">
        <v>103</v>
      </c>
      <c r="O27" s="85"/>
      <c r="P27" s="85"/>
      <c r="Q27" s="84"/>
      <c r="R27" s="83"/>
      <c r="S27" s="90"/>
      <c r="T27" s="90">
        <f>IFERROR(GroceryList2[[#This Row],[QTY]]*GroceryList2[[#This Row],[UNIT PRICE]],"")</f>
        <v>0</v>
      </c>
      <c r="U27" s="85"/>
      <c r="Y27" s="84"/>
      <c r="Z27" s="99" t="s">
        <v>103</v>
      </c>
      <c r="AA27" s="85"/>
      <c r="AB27" s="85"/>
      <c r="AC27" s="84"/>
      <c r="AD27" s="83"/>
      <c r="AE27" s="90"/>
      <c r="AF27" s="90">
        <f>IFERROR(GroceryList27[[#This Row],[QTY]]*GroceryList27[[#This Row],[UNIT PRICE]],"")</f>
        <v>0</v>
      </c>
      <c r="AG27" s="85"/>
      <c r="AM27" s="84"/>
      <c r="AN27" s="105" t="s">
        <v>103</v>
      </c>
      <c r="AO27" s="85"/>
      <c r="AP27" s="85"/>
      <c r="AQ27" s="84"/>
      <c r="AR27" s="83"/>
      <c r="AS27" s="109"/>
      <c r="AT27" s="109">
        <f>IFERROR(GroceryList274[[#This Row],[QTY]]*GroceryList274[[#This Row],[UNIT PRICE]],"")</f>
        <v>0</v>
      </c>
      <c r="AU27" s="85"/>
      <c r="AY27" s="84"/>
      <c r="AZ27" s="105" t="s">
        <v>102</v>
      </c>
      <c r="BA27" s="85" t="s">
        <v>134</v>
      </c>
      <c r="BB27" s="85" t="s">
        <v>90</v>
      </c>
      <c r="BC27" s="84">
        <v>0</v>
      </c>
      <c r="BD27" s="83"/>
      <c r="BE27" s="109">
        <v>29.44</v>
      </c>
      <c r="BF27" s="109">
        <f>IFERROR(GroceryList2745[[#This Row],[QTY]]*GroceryList2745[[#This Row],[UNIT PRICE]],"")</f>
        <v>0</v>
      </c>
      <c r="BG27" s="85"/>
      <c r="BJ27" s="84"/>
      <c r="BK27" s="105" t="s">
        <v>102</v>
      </c>
      <c r="BL27" s="85" t="s">
        <v>134</v>
      </c>
      <c r="BM27" s="85" t="s">
        <v>90</v>
      </c>
      <c r="BN27" s="84">
        <v>0</v>
      </c>
      <c r="BO27" s="83"/>
      <c r="BP27" s="109">
        <v>29.44</v>
      </c>
      <c r="BQ27" s="109">
        <f>IFERROR(GroceryList27456[[#This Row],[QTY]]*GroceryList27456[[#This Row],[UNIT PRICE]],"")</f>
        <v>0</v>
      </c>
      <c r="BR27" s="112" t="s">
        <v>169</v>
      </c>
      <c r="BS27" s="85"/>
      <c r="BV27" s="84"/>
      <c r="BW27" s="105" t="s">
        <v>102</v>
      </c>
      <c r="BX27" s="85" t="s">
        <v>134</v>
      </c>
      <c r="BY27" s="85" t="s">
        <v>90</v>
      </c>
      <c r="BZ27" s="84">
        <v>0</v>
      </c>
      <c r="CA27" s="83"/>
      <c r="CB27" s="109">
        <v>29.44</v>
      </c>
      <c r="CC27" s="109">
        <f>IFERROR(GroceryList2745614[[#This Row],[QTY]]*GroceryList2745614[[#This Row],[UNIT PRICE]],"")</f>
        <v>0</v>
      </c>
      <c r="CD27" s="112" t="s">
        <v>169</v>
      </c>
      <c r="CE27" s="85"/>
      <c r="CH27" s="84"/>
      <c r="CI27" s="105" t="s">
        <v>102</v>
      </c>
      <c r="CJ27" s="85" t="s">
        <v>134</v>
      </c>
      <c r="CK27" s="85" t="s">
        <v>90</v>
      </c>
      <c r="CL27" s="84">
        <v>0</v>
      </c>
      <c r="CM27" s="83"/>
      <c r="CN27" s="109">
        <v>29.44</v>
      </c>
      <c r="CO27" s="109">
        <f>IFERROR(GroceryList27456148[[#This Row],[QTY]]*GroceryList27456148[[#This Row],[UNIT PRICE]],"")</f>
        <v>0</v>
      </c>
      <c r="CP27" s="112" t="s">
        <v>169</v>
      </c>
      <c r="CQ27" s="85"/>
      <c r="CT27" s="84"/>
      <c r="CU27" s="105" t="s">
        <v>180</v>
      </c>
      <c r="CV27" s="85" t="s">
        <v>134</v>
      </c>
      <c r="CW27" s="85" t="s">
        <v>90</v>
      </c>
      <c r="CX27" s="84">
        <v>1</v>
      </c>
      <c r="CY27" s="83"/>
      <c r="CZ27" s="109">
        <v>4.49</v>
      </c>
      <c r="DA27" s="109">
        <f>IFERROR(GroceryList2745614810[[#This Row],[QTY]]*GroceryList2745614810[[#This Row],[UNIT PRICE]],"")</f>
        <v>4.49</v>
      </c>
      <c r="DB27" s="112" t="s">
        <v>169</v>
      </c>
      <c r="DC27" s="85">
        <v>4.99</v>
      </c>
      <c r="DF27" s="84"/>
      <c r="DG27" s="105" t="s">
        <v>102</v>
      </c>
      <c r="DH27" s="85" t="s">
        <v>134</v>
      </c>
      <c r="DI27" s="85" t="s">
        <v>90</v>
      </c>
      <c r="DJ27" s="84">
        <v>0</v>
      </c>
      <c r="DK27" s="83"/>
      <c r="DL27" s="109">
        <v>29.44</v>
      </c>
      <c r="DM27" s="109">
        <f>IFERROR(GroceryList27456148109[[#This Row],[QTY]]*GroceryList27456148109[[#This Row],[UNIT PRICE]],"")</f>
        <v>0</v>
      </c>
      <c r="DN27" s="112" t="s">
        <v>169</v>
      </c>
      <c r="DO27" s="85"/>
      <c r="DR27" s="84"/>
      <c r="DS27" s="105" t="s">
        <v>102</v>
      </c>
      <c r="DT27" s="85" t="s">
        <v>134</v>
      </c>
      <c r="DU27" s="85" t="s">
        <v>90</v>
      </c>
      <c r="DV27" s="84">
        <v>0</v>
      </c>
      <c r="DW27" s="83"/>
      <c r="DX27" s="109">
        <v>29.44</v>
      </c>
      <c r="DY27" s="109">
        <f>IFERROR(GroceryList2745614810911[[#This Row],[QTY]]*GroceryList2745614810911[[#This Row],[UNIT PRICE]],"")</f>
        <v>0</v>
      </c>
      <c r="DZ27" s="112" t="s">
        <v>169</v>
      </c>
      <c r="EA27" s="85"/>
      <c r="ED27" s="84"/>
      <c r="EE27" s="105" t="s">
        <v>221</v>
      </c>
      <c r="EF27" s="85" t="s">
        <v>134</v>
      </c>
      <c r="EG27" s="85" t="s">
        <v>90</v>
      </c>
      <c r="EH27" s="84">
        <v>1</v>
      </c>
      <c r="EI27" s="83"/>
      <c r="EJ27" s="109">
        <v>18.04</v>
      </c>
      <c r="EK27" s="109">
        <f>IFERROR(GroceryList274561481091112[[#This Row],[QTY]]*GroceryList274561481091112[[#This Row],[UNIT PRICE]],"")</f>
        <v>18.04</v>
      </c>
      <c r="EL27" s="112" t="s">
        <v>169</v>
      </c>
      <c r="EM27" s="85">
        <v>19</v>
      </c>
      <c r="EP27" s="84"/>
      <c r="EQ27" s="105" t="s">
        <v>221</v>
      </c>
      <c r="ER27" s="85" t="s">
        <v>134</v>
      </c>
      <c r="ES27" s="85" t="s">
        <v>90</v>
      </c>
      <c r="ET27" s="84">
        <v>0</v>
      </c>
      <c r="EU27" s="83"/>
      <c r="EV27" s="109">
        <v>18.04</v>
      </c>
      <c r="EW27" s="109">
        <f>IFERROR(GroceryList27456148109111213[[#This Row],[QTY]]*GroceryList27456148109111213[[#This Row],[UNIT PRICE]],"")</f>
        <v>0</v>
      </c>
      <c r="EX27" s="112" t="s">
        <v>169</v>
      </c>
      <c r="EY27" s="85">
        <v>19</v>
      </c>
      <c r="FB27" s="84"/>
      <c r="FC27" s="105" t="s">
        <v>221</v>
      </c>
      <c r="FD27" s="85" t="s">
        <v>134</v>
      </c>
      <c r="FE27" s="85" t="s">
        <v>90</v>
      </c>
      <c r="FF27" s="84">
        <v>1</v>
      </c>
      <c r="FG27" s="83"/>
      <c r="FH27" s="109">
        <v>16.14</v>
      </c>
      <c r="FI27" s="109">
        <f>IFERROR(GroceryList2745614810911121315[[#This Row],[QTY]]*GroceryList2745614810911121315[[#This Row],[UNIT PRICE]],"")</f>
        <v>16.14</v>
      </c>
      <c r="FJ27" s="112" t="s">
        <v>169</v>
      </c>
      <c r="FK27" s="85">
        <v>19</v>
      </c>
      <c r="FN27" s="84"/>
      <c r="FO27" s="105" t="s">
        <v>221</v>
      </c>
      <c r="FP27" s="85" t="s">
        <v>134</v>
      </c>
      <c r="FQ27" s="85" t="s">
        <v>90</v>
      </c>
      <c r="FR27" s="84">
        <v>0</v>
      </c>
      <c r="FS27" s="83"/>
      <c r="FT27" s="109">
        <v>18.04</v>
      </c>
      <c r="FU27" s="109">
        <f>IFERROR(GroceryList274561481091112131516[[#This Row],[QTY]]*GroceryList274561481091112131516[[#This Row],[UNIT PRICE]],"")</f>
        <v>0</v>
      </c>
      <c r="FV27" s="112" t="s">
        <v>169</v>
      </c>
      <c r="FW27" s="85">
        <v>19</v>
      </c>
      <c r="FZ27" s="84"/>
      <c r="GA27" s="105" t="s">
        <v>221</v>
      </c>
      <c r="GB27" s="85" t="s">
        <v>134</v>
      </c>
      <c r="GC27" s="85" t="s">
        <v>90</v>
      </c>
      <c r="GD27" s="84">
        <v>0</v>
      </c>
      <c r="GE27" s="83"/>
      <c r="GF27" s="109">
        <v>16.14</v>
      </c>
      <c r="GG27" s="109">
        <f>IFERROR(GroceryList274561481091112131517[[#This Row],[QTY]]*GroceryList274561481091112131517[[#This Row],[UNIT PRICE]],"")</f>
        <v>0</v>
      </c>
      <c r="GH27" s="112" t="s">
        <v>169</v>
      </c>
      <c r="GI27" s="85">
        <v>19</v>
      </c>
      <c r="GL27" s="84"/>
      <c r="GM27" s="105" t="s">
        <v>221</v>
      </c>
      <c r="GN27" s="85" t="s">
        <v>134</v>
      </c>
      <c r="GO27" s="85" t="s">
        <v>90</v>
      </c>
      <c r="GP27" s="84">
        <v>1</v>
      </c>
      <c r="GQ27" s="83"/>
      <c r="GR27" s="109">
        <v>16.14</v>
      </c>
      <c r="GS27" s="109">
        <f>IFERROR(GroceryList27456148109111213151718[[#This Row],[QTY]]*GroceryList27456148109111213151718[[#This Row],[UNIT PRICE]],"")</f>
        <v>16.14</v>
      </c>
      <c r="GT27" s="112" t="s">
        <v>169</v>
      </c>
      <c r="GU27" s="85">
        <v>19</v>
      </c>
    </row>
    <row r="28" spans="2:203" ht="30" customHeight="1" x14ac:dyDescent="0.2">
      <c r="B28" s="84"/>
      <c r="C28" s="102" t="s">
        <v>147</v>
      </c>
      <c r="D28" t="s">
        <v>134</v>
      </c>
      <c r="E28" t="s">
        <v>92</v>
      </c>
      <c r="F28" s="84">
        <v>1</v>
      </c>
      <c r="G28" s="83"/>
      <c r="H28" s="90">
        <v>13.49</v>
      </c>
      <c r="I28" s="90">
        <f>IFERROR(GroceryList[[#This Row],[QTY]]*GroceryList[[#This Row],[UNIT PRICE]],"")</f>
        <v>13.49</v>
      </c>
      <c r="J28"/>
      <c r="M28" s="84"/>
      <c r="N28" s="102" t="s">
        <v>147</v>
      </c>
      <c r="O28" t="s">
        <v>134</v>
      </c>
      <c r="P28" t="s">
        <v>92</v>
      </c>
      <c r="Q28" s="84"/>
      <c r="R28" s="83"/>
      <c r="S28" s="90">
        <v>13.49</v>
      </c>
      <c r="T28" s="90">
        <f>IFERROR(GroceryList2[[#This Row],[QTY]]*GroceryList2[[#This Row],[UNIT PRICE]],"")</f>
        <v>0</v>
      </c>
      <c r="U28"/>
      <c r="Y28" s="84"/>
      <c r="Z28" s="102" t="s">
        <v>147</v>
      </c>
      <c r="AA28" t="s">
        <v>134</v>
      </c>
      <c r="AB28" t="s">
        <v>92</v>
      </c>
      <c r="AC28" s="84"/>
      <c r="AD28" s="83"/>
      <c r="AE28" s="90">
        <v>13.49</v>
      </c>
      <c r="AF28" s="90">
        <f>IFERROR(GroceryList27[[#This Row],[QTY]]*GroceryList27[[#This Row],[UNIT PRICE]],"")</f>
        <v>0</v>
      </c>
      <c r="AG28"/>
      <c r="AM28" s="84"/>
      <c r="AN28" s="107" t="s">
        <v>147</v>
      </c>
      <c r="AO28" s="108" t="s">
        <v>134</v>
      </c>
      <c r="AP28" s="108" t="s">
        <v>92</v>
      </c>
      <c r="AQ28" s="84"/>
      <c r="AR28" s="83"/>
      <c r="AS28" s="109">
        <v>13.49</v>
      </c>
      <c r="AT28" s="109">
        <f>IFERROR(GroceryList274[[#This Row],[QTY]]*GroceryList274[[#This Row],[UNIT PRICE]],"")</f>
        <v>0</v>
      </c>
      <c r="AU28"/>
      <c r="AY28" s="84"/>
      <c r="AZ28" s="105" t="s">
        <v>103</v>
      </c>
      <c r="BA28" s="85"/>
      <c r="BB28" s="85"/>
      <c r="BC28" s="84">
        <v>0</v>
      </c>
      <c r="BD28" s="83"/>
      <c r="BE28" s="109"/>
      <c r="BF28" s="109">
        <f>IFERROR(GroceryList2745[[#This Row],[QTY]]*GroceryList2745[[#This Row],[UNIT PRICE]],"")</f>
        <v>0</v>
      </c>
      <c r="BG28" s="85"/>
      <c r="BJ28" s="84"/>
      <c r="BK28" s="105" t="s">
        <v>103</v>
      </c>
      <c r="BL28" s="85"/>
      <c r="BM28" s="85"/>
      <c r="BN28" s="84">
        <v>0</v>
      </c>
      <c r="BO28" s="83"/>
      <c r="BP28" s="109"/>
      <c r="BQ28" s="109">
        <f>IFERROR(GroceryList27456[[#This Row],[QTY]]*GroceryList27456[[#This Row],[UNIT PRICE]],"")</f>
        <v>0</v>
      </c>
      <c r="BR28" s="112" t="s">
        <v>169</v>
      </c>
      <c r="BS28" s="85"/>
      <c r="BV28" s="84"/>
      <c r="BW28" s="105" t="s">
        <v>103</v>
      </c>
      <c r="BX28" s="85"/>
      <c r="BY28" s="85"/>
      <c r="BZ28" s="84">
        <v>0</v>
      </c>
      <c r="CA28" s="83"/>
      <c r="CB28" s="109"/>
      <c r="CC28" s="109">
        <f>IFERROR(GroceryList2745614[[#This Row],[QTY]]*GroceryList2745614[[#This Row],[UNIT PRICE]],"")</f>
        <v>0</v>
      </c>
      <c r="CD28" s="112" t="s">
        <v>169</v>
      </c>
      <c r="CE28" s="85"/>
      <c r="CH28" s="84"/>
      <c r="CI28" s="105" t="s">
        <v>103</v>
      </c>
      <c r="CJ28" s="85"/>
      <c r="CK28" s="85"/>
      <c r="CL28" s="84">
        <v>0</v>
      </c>
      <c r="CM28" s="83"/>
      <c r="CN28" s="109"/>
      <c r="CO28" s="109">
        <f>IFERROR(GroceryList27456148[[#This Row],[QTY]]*GroceryList27456148[[#This Row],[UNIT PRICE]],"")</f>
        <v>0</v>
      </c>
      <c r="CP28" s="112" t="s">
        <v>169</v>
      </c>
      <c r="CQ28" s="85"/>
      <c r="CT28" s="84"/>
      <c r="CU28" s="105" t="s">
        <v>181</v>
      </c>
      <c r="CV28" s="85"/>
      <c r="CW28" s="85"/>
      <c r="CX28" s="84">
        <v>1</v>
      </c>
      <c r="CY28" s="83"/>
      <c r="CZ28" s="109">
        <v>22.39</v>
      </c>
      <c r="DA28" s="109">
        <f>IFERROR(GroceryList2745614810[[#This Row],[QTY]]*GroceryList2745614810[[#This Row],[UNIT PRICE]],"")</f>
        <v>22.39</v>
      </c>
      <c r="DB28" s="112" t="s">
        <v>169</v>
      </c>
      <c r="DC28" s="85">
        <v>27.99</v>
      </c>
      <c r="DF28" s="84"/>
      <c r="DG28" s="105" t="s">
        <v>103</v>
      </c>
      <c r="DH28" s="85"/>
      <c r="DI28" s="85"/>
      <c r="DJ28" s="84">
        <v>0</v>
      </c>
      <c r="DK28" s="83"/>
      <c r="DL28" s="109"/>
      <c r="DM28" s="109">
        <f>IFERROR(GroceryList27456148109[[#This Row],[QTY]]*GroceryList27456148109[[#This Row],[UNIT PRICE]],"")</f>
        <v>0</v>
      </c>
      <c r="DN28" s="112" t="s">
        <v>169</v>
      </c>
      <c r="DO28" s="85"/>
      <c r="DR28" s="84"/>
      <c r="DS28" s="105" t="s">
        <v>103</v>
      </c>
      <c r="DT28" s="85"/>
      <c r="DU28" s="85"/>
      <c r="DV28" s="84">
        <v>0</v>
      </c>
      <c r="DW28" s="83"/>
      <c r="DX28" s="109"/>
      <c r="DY28" s="109">
        <f>IFERROR(GroceryList2745614810911[[#This Row],[QTY]]*GroceryList2745614810911[[#This Row],[UNIT PRICE]],"")</f>
        <v>0</v>
      </c>
      <c r="DZ28" s="112" t="s">
        <v>169</v>
      </c>
      <c r="EA28" s="85"/>
      <c r="ED28" s="84"/>
      <c r="EE28" s="105" t="s">
        <v>215</v>
      </c>
      <c r="EF28" s="85" t="s">
        <v>134</v>
      </c>
      <c r="EG28" s="85" t="s">
        <v>92</v>
      </c>
      <c r="EH28" s="84">
        <v>1</v>
      </c>
      <c r="EI28" s="83"/>
      <c r="EJ28" s="109">
        <v>34.19</v>
      </c>
      <c r="EK28" s="109">
        <f>IFERROR(GroceryList274561481091112[[#This Row],[QTY]]*GroceryList274561481091112[[#This Row],[UNIT PRICE]],"")</f>
        <v>34.19</v>
      </c>
      <c r="EL28" s="112" t="s">
        <v>169</v>
      </c>
      <c r="EM28" s="85">
        <v>36</v>
      </c>
      <c r="EP28" s="84"/>
      <c r="EQ28" s="105" t="s">
        <v>215</v>
      </c>
      <c r="ER28" s="85" t="s">
        <v>134</v>
      </c>
      <c r="ES28" s="85" t="s">
        <v>92</v>
      </c>
      <c r="ET28" s="84">
        <v>0</v>
      </c>
      <c r="EU28" s="83"/>
      <c r="EV28" s="109">
        <v>34.19</v>
      </c>
      <c r="EW28" s="109">
        <f>IFERROR(GroceryList27456148109111213[[#This Row],[QTY]]*GroceryList27456148109111213[[#This Row],[UNIT PRICE]],"")</f>
        <v>0</v>
      </c>
      <c r="EX28" s="112" t="s">
        <v>169</v>
      </c>
      <c r="EY28" s="85">
        <v>36</v>
      </c>
      <c r="FB28" s="84"/>
      <c r="FC28" s="105" t="s">
        <v>215</v>
      </c>
      <c r="FD28" s="85" t="s">
        <v>134</v>
      </c>
      <c r="FE28" s="85" t="s">
        <v>92</v>
      </c>
      <c r="FF28" s="84">
        <v>0</v>
      </c>
      <c r="FG28" s="83"/>
      <c r="FH28" s="109">
        <v>34.19</v>
      </c>
      <c r="FI28" s="109">
        <f>IFERROR(GroceryList2745614810911121315[[#This Row],[QTY]]*GroceryList2745614810911121315[[#This Row],[UNIT PRICE]],"")</f>
        <v>0</v>
      </c>
      <c r="FJ28" s="112" t="s">
        <v>169</v>
      </c>
      <c r="FK28" s="85">
        <v>36</v>
      </c>
      <c r="FN28" s="84"/>
      <c r="FO28" s="105" t="s">
        <v>215</v>
      </c>
      <c r="FP28" s="85" t="s">
        <v>134</v>
      </c>
      <c r="FQ28" s="85" t="s">
        <v>92</v>
      </c>
      <c r="FR28" s="84">
        <v>0</v>
      </c>
      <c r="FS28" s="83"/>
      <c r="FT28" s="109">
        <v>34.19</v>
      </c>
      <c r="FU28" s="109">
        <f>IFERROR(GroceryList274561481091112131516[[#This Row],[QTY]]*GroceryList274561481091112131516[[#This Row],[UNIT PRICE]],"")</f>
        <v>0</v>
      </c>
      <c r="FV28" s="112" t="s">
        <v>169</v>
      </c>
      <c r="FW28" s="85">
        <v>36</v>
      </c>
      <c r="FZ28" s="84"/>
      <c r="GA28" s="105" t="s">
        <v>338</v>
      </c>
      <c r="GB28" s="85" t="s">
        <v>134</v>
      </c>
      <c r="GC28" s="85" t="s">
        <v>92</v>
      </c>
      <c r="GD28" s="84">
        <v>2</v>
      </c>
      <c r="GE28" s="83"/>
      <c r="GF28" s="109">
        <v>8.99</v>
      </c>
      <c r="GG28" s="109">
        <f>IFERROR(GroceryList274561481091112131517[[#This Row],[QTY]]*GroceryList274561481091112131517[[#This Row],[UNIT PRICE]],"")</f>
        <v>17.98</v>
      </c>
      <c r="GH28" s="112" t="s">
        <v>169</v>
      </c>
      <c r="GI28" s="85">
        <v>10.29</v>
      </c>
      <c r="GL28" s="84"/>
      <c r="GM28" s="105" t="s">
        <v>338</v>
      </c>
      <c r="GN28" s="85" t="s">
        <v>134</v>
      </c>
      <c r="GO28" s="85" t="s">
        <v>92</v>
      </c>
      <c r="GP28" s="84">
        <v>2</v>
      </c>
      <c r="GQ28" s="83"/>
      <c r="GR28" s="109">
        <v>8.99</v>
      </c>
      <c r="GS28" s="109">
        <f>IFERROR(GroceryList27456148109111213151718[[#This Row],[QTY]]*GroceryList27456148109111213151718[[#This Row],[UNIT PRICE]],"")</f>
        <v>17.98</v>
      </c>
      <c r="GT28" s="112" t="s">
        <v>169</v>
      </c>
      <c r="GU28" s="85">
        <v>10.29</v>
      </c>
    </row>
    <row r="29" spans="2:203" ht="30" hidden="1" customHeight="1" x14ac:dyDescent="0.2">
      <c r="B29" s="84"/>
      <c r="C29" s="99" t="s">
        <v>104</v>
      </c>
      <c r="D29" s="85"/>
      <c r="E29" s="85"/>
      <c r="F29" s="84"/>
      <c r="G29" s="83"/>
      <c r="H29" s="90"/>
      <c r="I29" s="90">
        <f>IFERROR(GroceryList[[#This Row],[QTY]]*GroceryList[[#This Row],[UNIT PRICE]],"")</f>
        <v>0</v>
      </c>
      <c r="J29" s="85"/>
      <c r="M29" s="84"/>
      <c r="N29" s="99" t="s">
        <v>104</v>
      </c>
      <c r="O29" s="85"/>
      <c r="P29" s="85"/>
      <c r="Q29" s="84"/>
      <c r="R29" s="83"/>
      <c r="S29" s="90"/>
      <c r="T29" s="90">
        <f>IFERROR(GroceryList2[[#This Row],[QTY]]*GroceryList2[[#This Row],[UNIT PRICE]],"")</f>
        <v>0</v>
      </c>
      <c r="U29" s="85"/>
      <c r="Y29" s="84"/>
      <c r="Z29" s="99" t="s">
        <v>104</v>
      </c>
      <c r="AA29" s="85"/>
      <c r="AB29" s="85"/>
      <c r="AC29" s="84"/>
      <c r="AD29" s="83"/>
      <c r="AE29" s="90"/>
      <c r="AF29" s="90">
        <f>IFERROR(GroceryList27[[#This Row],[QTY]]*GroceryList27[[#This Row],[UNIT PRICE]],"")</f>
        <v>0</v>
      </c>
      <c r="AG29" s="85"/>
      <c r="AM29" s="84"/>
      <c r="AN29" s="105" t="s">
        <v>104</v>
      </c>
      <c r="AO29" s="85"/>
      <c r="AP29" s="85"/>
      <c r="AQ29" s="84"/>
      <c r="AR29" s="83"/>
      <c r="AS29" s="109"/>
      <c r="AT29" s="109">
        <f>IFERROR(GroceryList274[[#This Row],[QTY]]*GroceryList274[[#This Row],[UNIT PRICE]],"")</f>
        <v>0</v>
      </c>
      <c r="AU29" s="85"/>
      <c r="AY29" s="84"/>
      <c r="AZ29" s="107" t="s">
        <v>147</v>
      </c>
      <c r="BA29" s="108" t="s">
        <v>134</v>
      </c>
      <c r="BB29" s="108" t="s">
        <v>92</v>
      </c>
      <c r="BC29" s="84">
        <v>0</v>
      </c>
      <c r="BD29" s="83"/>
      <c r="BE29" s="109">
        <v>13.49</v>
      </c>
      <c r="BF29" s="109">
        <f>IFERROR(GroceryList2745[[#This Row],[QTY]]*GroceryList2745[[#This Row],[UNIT PRICE]],"")</f>
        <v>0</v>
      </c>
      <c r="BG29"/>
      <c r="BJ29" s="84"/>
      <c r="BK29" s="107" t="s">
        <v>147</v>
      </c>
      <c r="BL29" s="108" t="s">
        <v>134</v>
      </c>
      <c r="BM29" s="108" t="s">
        <v>92</v>
      </c>
      <c r="BN29" s="84">
        <v>0</v>
      </c>
      <c r="BO29" s="83"/>
      <c r="BP29" s="109">
        <v>13.49</v>
      </c>
      <c r="BQ29" s="109">
        <f>IFERROR(GroceryList27456[[#This Row],[QTY]]*GroceryList27456[[#This Row],[UNIT PRICE]],"")</f>
        <v>0</v>
      </c>
      <c r="BR29" s="111" t="s">
        <v>169</v>
      </c>
      <c r="BS29"/>
      <c r="BV29" s="84"/>
      <c r="BW29" s="107" t="s">
        <v>147</v>
      </c>
      <c r="BX29" s="108" t="s">
        <v>134</v>
      </c>
      <c r="BY29" s="108" t="s">
        <v>92</v>
      </c>
      <c r="BZ29" s="84">
        <v>0</v>
      </c>
      <c r="CA29" s="83"/>
      <c r="CB29" s="109">
        <v>13.49</v>
      </c>
      <c r="CC29" s="109">
        <f>IFERROR(GroceryList2745614[[#This Row],[QTY]]*GroceryList2745614[[#This Row],[UNIT PRICE]],"")</f>
        <v>0</v>
      </c>
      <c r="CD29" s="111" t="s">
        <v>169</v>
      </c>
      <c r="CE29"/>
      <c r="CH29" s="84"/>
      <c r="CI29" s="107" t="s">
        <v>147</v>
      </c>
      <c r="CJ29" s="108" t="s">
        <v>134</v>
      </c>
      <c r="CK29" s="108" t="s">
        <v>92</v>
      </c>
      <c r="CL29" s="84">
        <v>0</v>
      </c>
      <c r="CM29" s="83"/>
      <c r="CN29" s="109">
        <v>13.49</v>
      </c>
      <c r="CO29" s="109">
        <f>IFERROR(GroceryList27456148[[#This Row],[QTY]]*GroceryList27456148[[#This Row],[UNIT PRICE]],"")</f>
        <v>0</v>
      </c>
      <c r="CP29" s="111" t="s">
        <v>169</v>
      </c>
      <c r="CQ29"/>
      <c r="CT29" s="84"/>
      <c r="CU29" s="107" t="s">
        <v>147</v>
      </c>
      <c r="CV29" s="108" t="s">
        <v>134</v>
      </c>
      <c r="CW29" s="108" t="s">
        <v>92</v>
      </c>
      <c r="CX29" s="84">
        <v>1</v>
      </c>
      <c r="CY29" s="83"/>
      <c r="CZ29" s="109">
        <v>15.49</v>
      </c>
      <c r="DA29" s="109">
        <f>IFERROR(GroceryList2745614810[[#This Row],[QTY]]*GroceryList2745614810[[#This Row],[UNIT PRICE]],"")</f>
        <v>15.49</v>
      </c>
      <c r="DB29" s="111" t="s">
        <v>169</v>
      </c>
      <c r="DC29">
        <v>16.989999999999998</v>
      </c>
      <c r="DF29" s="84"/>
      <c r="DG29" s="107" t="s">
        <v>147</v>
      </c>
      <c r="DH29" s="108" t="s">
        <v>134</v>
      </c>
      <c r="DI29" s="108" t="s">
        <v>92</v>
      </c>
      <c r="DJ29" s="84">
        <v>0</v>
      </c>
      <c r="DK29" s="83"/>
      <c r="DL29" s="109">
        <v>13.49</v>
      </c>
      <c r="DM29" s="109">
        <f>IFERROR(GroceryList27456148109[[#This Row],[QTY]]*GroceryList27456148109[[#This Row],[UNIT PRICE]],"")</f>
        <v>0</v>
      </c>
      <c r="DN29" s="111" t="s">
        <v>169</v>
      </c>
      <c r="DO29"/>
      <c r="DR29" s="84"/>
      <c r="DS29" s="107" t="s">
        <v>147</v>
      </c>
      <c r="DT29" s="108" t="s">
        <v>134</v>
      </c>
      <c r="DU29" s="108" t="s">
        <v>92</v>
      </c>
      <c r="DV29" s="84">
        <v>0</v>
      </c>
      <c r="DW29" s="83"/>
      <c r="DX29" s="109">
        <v>13.49</v>
      </c>
      <c r="DY29" s="109">
        <f>IFERROR(GroceryList2745614810911[[#This Row],[QTY]]*GroceryList2745614810911[[#This Row],[UNIT PRICE]],"")</f>
        <v>0</v>
      </c>
      <c r="DZ29" s="111" t="s">
        <v>169</v>
      </c>
      <c r="EA29"/>
      <c r="ED29" s="84"/>
      <c r="EE29" s="107" t="s">
        <v>147</v>
      </c>
      <c r="EF29" s="108" t="s">
        <v>134</v>
      </c>
      <c r="EG29" s="108" t="s">
        <v>92</v>
      </c>
      <c r="EH29" s="84">
        <v>0</v>
      </c>
      <c r="EI29" s="83"/>
      <c r="EJ29" s="109">
        <v>13.49</v>
      </c>
      <c r="EK29" s="109">
        <f>IFERROR(GroceryList274561481091112[[#This Row],[QTY]]*GroceryList274561481091112[[#This Row],[UNIT PRICE]],"")</f>
        <v>0</v>
      </c>
      <c r="EL29" s="111" t="s">
        <v>169</v>
      </c>
      <c r="EM29"/>
      <c r="EP29" s="84"/>
      <c r="EQ29" s="107" t="s">
        <v>147</v>
      </c>
      <c r="ER29" s="108" t="s">
        <v>134</v>
      </c>
      <c r="ES29" s="108" t="s">
        <v>92</v>
      </c>
      <c r="ET29" s="84">
        <v>0</v>
      </c>
      <c r="EU29" s="83"/>
      <c r="EV29" s="109">
        <v>13.49</v>
      </c>
      <c r="EW29" s="109">
        <f>IFERROR(GroceryList27456148109111213[[#This Row],[QTY]]*GroceryList27456148109111213[[#This Row],[UNIT PRICE]],"")</f>
        <v>0</v>
      </c>
      <c r="EX29" s="111" t="s">
        <v>169</v>
      </c>
      <c r="EY29"/>
      <c r="FB29" s="84"/>
      <c r="FC29" s="107" t="s">
        <v>147</v>
      </c>
      <c r="FD29" s="108" t="s">
        <v>134</v>
      </c>
      <c r="FE29" s="108" t="s">
        <v>92</v>
      </c>
      <c r="FF29" s="84">
        <v>0</v>
      </c>
      <c r="FG29" s="83"/>
      <c r="FH29" s="109">
        <v>13.49</v>
      </c>
      <c r="FI29" s="109">
        <f>IFERROR(GroceryList2745614810911121315[[#This Row],[QTY]]*GroceryList2745614810911121315[[#This Row],[UNIT PRICE]],"")</f>
        <v>0</v>
      </c>
      <c r="FJ29" s="111" t="s">
        <v>169</v>
      </c>
      <c r="FK29"/>
      <c r="FN29" s="84"/>
      <c r="FO29" s="107" t="s">
        <v>147</v>
      </c>
      <c r="FP29" s="108" t="s">
        <v>134</v>
      </c>
      <c r="FQ29" s="108" t="s">
        <v>92</v>
      </c>
      <c r="FR29" s="84">
        <v>0</v>
      </c>
      <c r="FS29" s="83"/>
      <c r="FT29" s="109">
        <v>13.49</v>
      </c>
      <c r="FU29" s="109">
        <f>IFERROR(GroceryList274561481091112131516[[#This Row],[QTY]]*GroceryList274561481091112131516[[#This Row],[UNIT PRICE]],"")</f>
        <v>0</v>
      </c>
      <c r="FV29" s="111" t="s">
        <v>169</v>
      </c>
      <c r="FW29"/>
      <c r="FZ29" s="84"/>
      <c r="GA29" s="107" t="s">
        <v>147</v>
      </c>
      <c r="GB29" s="108" t="s">
        <v>134</v>
      </c>
      <c r="GC29" s="108" t="s">
        <v>92</v>
      </c>
      <c r="GD29" s="84">
        <v>0</v>
      </c>
      <c r="GE29" s="83"/>
      <c r="GF29" s="109">
        <v>13.49</v>
      </c>
      <c r="GG29" s="109">
        <f>IFERROR(GroceryList274561481091112131517[[#This Row],[QTY]]*GroceryList274561481091112131517[[#This Row],[UNIT PRICE]],"")</f>
        <v>0</v>
      </c>
      <c r="GH29" s="111" t="s">
        <v>169</v>
      </c>
      <c r="GI29"/>
      <c r="GL29" s="84"/>
      <c r="GM29" s="107" t="s">
        <v>147</v>
      </c>
      <c r="GN29" s="108" t="s">
        <v>134</v>
      </c>
      <c r="GO29" s="108" t="s">
        <v>92</v>
      </c>
      <c r="GP29" s="84">
        <v>0</v>
      </c>
      <c r="GQ29" s="83"/>
      <c r="GR29" s="109">
        <v>13.49</v>
      </c>
      <c r="GS29" s="109">
        <f>IFERROR(GroceryList27456148109111213151718[[#This Row],[QTY]]*GroceryList27456148109111213151718[[#This Row],[UNIT PRICE]],"")</f>
        <v>0</v>
      </c>
      <c r="GT29" s="111" t="s">
        <v>169</v>
      </c>
      <c r="GU29"/>
    </row>
    <row r="30" spans="2:203" ht="30" hidden="1" customHeight="1" x14ac:dyDescent="0.2">
      <c r="B30" s="84"/>
      <c r="C30" s="99" t="s">
        <v>105</v>
      </c>
      <c r="D30" s="85"/>
      <c r="E30" s="85"/>
      <c r="F30" s="84"/>
      <c r="G30" s="83"/>
      <c r="H30" s="90"/>
      <c r="I30" s="90">
        <f>IFERROR(GroceryList[[#This Row],[QTY]]*GroceryList[[#This Row],[UNIT PRICE]],"")</f>
        <v>0</v>
      </c>
      <c r="J30" s="85"/>
      <c r="M30" s="84"/>
      <c r="N30" s="99" t="s">
        <v>105</v>
      </c>
      <c r="O30" s="85"/>
      <c r="P30" s="85"/>
      <c r="Q30" s="84"/>
      <c r="R30" s="83"/>
      <c r="S30" s="90"/>
      <c r="T30" s="90">
        <f>IFERROR(GroceryList2[[#This Row],[QTY]]*GroceryList2[[#This Row],[UNIT PRICE]],"")</f>
        <v>0</v>
      </c>
      <c r="U30" s="85"/>
      <c r="Y30" s="84"/>
      <c r="Z30" s="99" t="s">
        <v>105</v>
      </c>
      <c r="AA30" s="85"/>
      <c r="AB30" s="85"/>
      <c r="AC30" s="84"/>
      <c r="AD30" s="83"/>
      <c r="AE30" s="90"/>
      <c r="AF30" s="90">
        <f>IFERROR(GroceryList27[[#This Row],[QTY]]*GroceryList27[[#This Row],[UNIT PRICE]],"")</f>
        <v>0</v>
      </c>
      <c r="AG30" s="85"/>
      <c r="AM30" s="84"/>
      <c r="AN30" s="105" t="s">
        <v>105</v>
      </c>
      <c r="AO30" s="85"/>
      <c r="AP30" s="85"/>
      <c r="AQ30" s="84"/>
      <c r="AR30" s="83"/>
      <c r="AS30" s="109"/>
      <c r="AT30" s="109">
        <f>IFERROR(GroceryList274[[#This Row],[QTY]]*GroceryList274[[#This Row],[UNIT PRICE]],"")</f>
        <v>0</v>
      </c>
      <c r="AU30" s="85"/>
      <c r="AY30" s="84"/>
      <c r="AZ30" s="105" t="s">
        <v>104</v>
      </c>
      <c r="BA30" s="85"/>
      <c r="BB30" s="85"/>
      <c r="BC30" s="84">
        <v>0</v>
      </c>
      <c r="BD30" s="83"/>
      <c r="BE30" s="109"/>
      <c r="BF30" s="109">
        <f>IFERROR(GroceryList2745[[#This Row],[QTY]]*GroceryList2745[[#This Row],[UNIT PRICE]],"")</f>
        <v>0</v>
      </c>
      <c r="BG30" s="85"/>
      <c r="BJ30" s="84"/>
      <c r="BK30" s="105" t="s">
        <v>104</v>
      </c>
      <c r="BL30" s="85"/>
      <c r="BM30" s="85"/>
      <c r="BN30" s="84">
        <v>0</v>
      </c>
      <c r="BO30" s="83"/>
      <c r="BP30" s="109"/>
      <c r="BQ30" s="109">
        <f>IFERROR(GroceryList27456[[#This Row],[QTY]]*GroceryList27456[[#This Row],[UNIT PRICE]],"")</f>
        <v>0</v>
      </c>
      <c r="BR30" s="112" t="s">
        <v>169</v>
      </c>
      <c r="BS30" s="85"/>
      <c r="BV30" s="84"/>
      <c r="BW30" s="105" t="s">
        <v>104</v>
      </c>
      <c r="BX30" s="85"/>
      <c r="BY30" s="85"/>
      <c r="BZ30" s="84">
        <v>0</v>
      </c>
      <c r="CA30" s="83"/>
      <c r="CB30" s="109"/>
      <c r="CC30" s="109">
        <f>IFERROR(GroceryList2745614[[#This Row],[QTY]]*GroceryList2745614[[#This Row],[UNIT PRICE]],"")</f>
        <v>0</v>
      </c>
      <c r="CD30" s="112" t="s">
        <v>169</v>
      </c>
      <c r="CE30" s="85"/>
      <c r="CH30" s="84"/>
      <c r="CI30" s="105" t="s">
        <v>176</v>
      </c>
      <c r="CJ30" s="85" t="s">
        <v>134</v>
      </c>
      <c r="CK30" s="85" t="s">
        <v>92</v>
      </c>
      <c r="CL30" s="84">
        <v>1</v>
      </c>
      <c r="CM30" s="83"/>
      <c r="CN30" s="109">
        <v>17.03</v>
      </c>
      <c r="CO30" s="109">
        <f>IFERROR(GroceryList27456148[[#This Row],[QTY]]*GroceryList27456148[[#This Row],[UNIT PRICE]],"")</f>
        <v>17.03</v>
      </c>
      <c r="CP30" s="112" t="s">
        <v>169</v>
      </c>
      <c r="CQ30" s="85">
        <v>21.29</v>
      </c>
      <c r="CT30" s="84"/>
      <c r="CU30" s="105" t="s">
        <v>176</v>
      </c>
      <c r="CV30" s="85" t="s">
        <v>134</v>
      </c>
      <c r="CW30" s="85" t="s">
        <v>92</v>
      </c>
      <c r="CX30" s="84">
        <v>0</v>
      </c>
      <c r="CY30" s="83"/>
      <c r="CZ30" s="109">
        <v>17.03</v>
      </c>
      <c r="DA30" s="109">
        <f>IFERROR(GroceryList2745614810[[#This Row],[QTY]]*GroceryList2745614810[[#This Row],[UNIT PRICE]],"")</f>
        <v>0</v>
      </c>
      <c r="DB30" s="112" t="s">
        <v>169</v>
      </c>
      <c r="DC30" s="85">
        <v>21.29</v>
      </c>
      <c r="DF30" s="84"/>
      <c r="DG30" s="105" t="s">
        <v>176</v>
      </c>
      <c r="DH30" s="85" t="s">
        <v>134</v>
      </c>
      <c r="DI30" s="85" t="s">
        <v>92</v>
      </c>
      <c r="DJ30" s="84">
        <v>0</v>
      </c>
      <c r="DK30" s="83"/>
      <c r="DL30" s="109">
        <v>17.03</v>
      </c>
      <c r="DM30" s="109">
        <f>IFERROR(GroceryList27456148109[[#This Row],[QTY]]*GroceryList27456148109[[#This Row],[UNIT PRICE]],"")</f>
        <v>0</v>
      </c>
      <c r="DN30" s="112" t="s">
        <v>169</v>
      </c>
      <c r="DO30" s="85">
        <v>21.29</v>
      </c>
      <c r="DR30" s="84"/>
      <c r="DS30" s="105" t="s">
        <v>176</v>
      </c>
      <c r="DT30" s="85" t="s">
        <v>134</v>
      </c>
      <c r="DU30" s="85" t="s">
        <v>92</v>
      </c>
      <c r="DV30" s="84">
        <v>0</v>
      </c>
      <c r="DW30" s="83"/>
      <c r="DX30" s="109">
        <v>17.03</v>
      </c>
      <c r="DY30" s="109">
        <f>IFERROR(GroceryList2745614810911[[#This Row],[QTY]]*GroceryList2745614810911[[#This Row],[UNIT PRICE]],"")</f>
        <v>0</v>
      </c>
      <c r="DZ30" s="112" t="s">
        <v>169</v>
      </c>
      <c r="EA30" s="85">
        <v>21.29</v>
      </c>
      <c r="ED30" s="84"/>
      <c r="EE30" s="105" t="s">
        <v>176</v>
      </c>
      <c r="EF30" s="85" t="s">
        <v>134</v>
      </c>
      <c r="EG30" s="85" t="s">
        <v>92</v>
      </c>
      <c r="EH30" s="84">
        <v>0</v>
      </c>
      <c r="EI30" s="83"/>
      <c r="EJ30" s="109">
        <v>17.03</v>
      </c>
      <c r="EK30" s="109">
        <f>IFERROR(GroceryList274561481091112[[#This Row],[QTY]]*GroceryList274561481091112[[#This Row],[UNIT PRICE]],"")</f>
        <v>0</v>
      </c>
      <c r="EL30" s="112" t="s">
        <v>169</v>
      </c>
      <c r="EM30" s="85">
        <v>21.29</v>
      </c>
      <c r="EP30" s="84"/>
      <c r="EQ30" s="105" t="s">
        <v>176</v>
      </c>
      <c r="ER30" s="85" t="s">
        <v>134</v>
      </c>
      <c r="ES30" s="85" t="s">
        <v>92</v>
      </c>
      <c r="ET30" s="84">
        <v>0</v>
      </c>
      <c r="EU30" s="83"/>
      <c r="EV30" s="109">
        <v>17.03</v>
      </c>
      <c r="EW30" s="109">
        <f>IFERROR(GroceryList27456148109111213[[#This Row],[QTY]]*GroceryList27456148109111213[[#This Row],[UNIT PRICE]],"")</f>
        <v>0</v>
      </c>
      <c r="EX30" s="112" t="s">
        <v>169</v>
      </c>
      <c r="EY30" s="85">
        <v>21.29</v>
      </c>
      <c r="FB30" s="84"/>
      <c r="FC30" s="105" t="s">
        <v>176</v>
      </c>
      <c r="FD30" s="85" t="s">
        <v>134</v>
      </c>
      <c r="FE30" s="85" t="s">
        <v>92</v>
      </c>
      <c r="FF30" s="84">
        <v>1</v>
      </c>
      <c r="FG30" s="83"/>
      <c r="FH30" s="109">
        <v>18.27</v>
      </c>
      <c r="FI30" s="109">
        <f>IFERROR(GroceryList2745614810911121315[[#This Row],[QTY]]*GroceryList2745614810911121315[[#This Row],[UNIT PRICE]],"")</f>
        <v>18.27</v>
      </c>
      <c r="FJ30" s="112" t="s">
        <v>169</v>
      </c>
      <c r="FK30" s="85">
        <v>21.49</v>
      </c>
      <c r="FN30" s="84"/>
      <c r="FO30" s="105" t="s">
        <v>176</v>
      </c>
      <c r="FP30" s="85" t="s">
        <v>134</v>
      </c>
      <c r="FQ30" s="85" t="s">
        <v>92</v>
      </c>
      <c r="FR30" s="84">
        <v>0</v>
      </c>
      <c r="FS30" s="83"/>
      <c r="FT30" s="109">
        <v>17.03</v>
      </c>
      <c r="FU30" s="109">
        <f>IFERROR(GroceryList274561481091112131516[[#This Row],[QTY]]*GroceryList274561481091112131516[[#This Row],[UNIT PRICE]],"")</f>
        <v>0</v>
      </c>
      <c r="FV30" s="112" t="s">
        <v>169</v>
      </c>
      <c r="FW30" s="85">
        <v>21.29</v>
      </c>
      <c r="FZ30" s="84"/>
      <c r="GA30" s="105" t="s">
        <v>176</v>
      </c>
      <c r="GB30" s="85" t="s">
        <v>134</v>
      </c>
      <c r="GC30" s="85" t="s">
        <v>92</v>
      </c>
      <c r="GD30" s="84">
        <v>0</v>
      </c>
      <c r="GE30" s="83"/>
      <c r="GF30" s="109">
        <v>18.27</v>
      </c>
      <c r="GG30" s="109">
        <f>IFERROR(GroceryList274561481091112131517[[#This Row],[QTY]]*GroceryList274561481091112131517[[#This Row],[UNIT PRICE]],"")</f>
        <v>0</v>
      </c>
      <c r="GH30" s="112" t="s">
        <v>169</v>
      </c>
      <c r="GI30" s="85">
        <v>21.49</v>
      </c>
      <c r="GL30" s="84"/>
      <c r="GM30" s="105" t="s">
        <v>176</v>
      </c>
      <c r="GN30" s="85" t="s">
        <v>134</v>
      </c>
      <c r="GO30" s="85" t="s">
        <v>92</v>
      </c>
      <c r="GP30" s="84">
        <v>0</v>
      </c>
      <c r="GQ30" s="83"/>
      <c r="GR30" s="109">
        <v>18.27</v>
      </c>
      <c r="GS30" s="109">
        <f>IFERROR(GroceryList27456148109111213151718[[#This Row],[QTY]]*GroceryList27456148109111213151718[[#This Row],[UNIT PRICE]],"")</f>
        <v>0</v>
      </c>
      <c r="GT30" s="112" t="s">
        <v>169</v>
      </c>
      <c r="GU30" s="85">
        <v>21.49</v>
      </c>
    </row>
    <row r="31" spans="2:203" ht="30" hidden="1" customHeight="1" x14ac:dyDescent="0.2">
      <c r="B31" s="84"/>
      <c r="C31" s="99" t="s">
        <v>106</v>
      </c>
      <c r="D31" s="85" t="s">
        <v>134</v>
      </c>
      <c r="E31" s="85" t="s">
        <v>92</v>
      </c>
      <c r="F31" s="84">
        <v>1</v>
      </c>
      <c r="G31" s="83"/>
      <c r="H31" s="90">
        <v>28.49</v>
      </c>
      <c r="I31" s="90">
        <f>IFERROR(GroceryList[[#This Row],[QTY]]*GroceryList[[#This Row],[UNIT PRICE]],"")</f>
        <v>28.49</v>
      </c>
      <c r="J31" s="85"/>
      <c r="M31" s="84"/>
      <c r="N31" s="99" t="s">
        <v>106</v>
      </c>
      <c r="O31" s="85" t="s">
        <v>134</v>
      </c>
      <c r="P31" s="85" t="s">
        <v>92</v>
      </c>
      <c r="Q31" s="84"/>
      <c r="R31" s="83"/>
      <c r="S31" s="90">
        <v>28.49</v>
      </c>
      <c r="T31" s="90">
        <f>IFERROR(GroceryList2[[#This Row],[QTY]]*GroceryList2[[#This Row],[UNIT PRICE]],"")</f>
        <v>0</v>
      </c>
      <c r="U31" s="85"/>
      <c r="Y31" s="84"/>
      <c r="Z31" s="99" t="s">
        <v>106</v>
      </c>
      <c r="AA31" s="85" t="s">
        <v>134</v>
      </c>
      <c r="AB31" s="85" t="s">
        <v>92</v>
      </c>
      <c r="AC31" s="84"/>
      <c r="AD31" s="83"/>
      <c r="AE31" s="90">
        <v>28.49</v>
      </c>
      <c r="AF31" s="90">
        <f>IFERROR(GroceryList27[[#This Row],[QTY]]*GroceryList27[[#This Row],[UNIT PRICE]],"")</f>
        <v>0</v>
      </c>
      <c r="AG31" s="85"/>
      <c r="AM31" s="84"/>
      <c r="AN31" s="105" t="s">
        <v>106</v>
      </c>
      <c r="AO31" s="85" t="s">
        <v>134</v>
      </c>
      <c r="AP31" s="85" t="s">
        <v>92</v>
      </c>
      <c r="AQ31" s="84"/>
      <c r="AR31" s="83"/>
      <c r="AS31" s="109">
        <v>28.49</v>
      </c>
      <c r="AT31" s="109">
        <f>IFERROR(GroceryList274[[#This Row],[QTY]]*GroceryList274[[#This Row],[UNIT PRICE]],"")</f>
        <v>0</v>
      </c>
      <c r="AU31" s="85"/>
      <c r="AY31" s="84"/>
      <c r="AZ31" s="105" t="s">
        <v>105</v>
      </c>
      <c r="BA31" s="85"/>
      <c r="BB31" s="85"/>
      <c r="BC31" s="84">
        <v>0</v>
      </c>
      <c r="BD31" s="83"/>
      <c r="BE31" s="109"/>
      <c r="BF31" s="109">
        <f>IFERROR(GroceryList2745[[#This Row],[QTY]]*GroceryList2745[[#This Row],[UNIT PRICE]],"")</f>
        <v>0</v>
      </c>
      <c r="BG31" s="85"/>
      <c r="BJ31" s="84"/>
      <c r="BK31" s="105" t="s">
        <v>105</v>
      </c>
      <c r="BL31" s="85"/>
      <c r="BM31" s="85"/>
      <c r="BN31" s="84">
        <v>0</v>
      </c>
      <c r="BO31" s="83"/>
      <c r="BP31" s="109"/>
      <c r="BQ31" s="109">
        <f>IFERROR(GroceryList27456[[#This Row],[QTY]]*GroceryList27456[[#This Row],[UNIT PRICE]],"")</f>
        <v>0</v>
      </c>
      <c r="BR31" s="112" t="s">
        <v>169</v>
      </c>
      <c r="BS31" s="85"/>
      <c r="BV31" s="84"/>
      <c r="BW31" s="105" t="s">
        <v>105</v>
      </c>
      <c r="BX31" s="85"/>
      <c r="BY31" s="85"/>
      <c r="BZ31" s="84">
        <v>0</v>
      </c>
      <c r="CA31" s="83"/>
      <c r="CB31" s="109"/>
      <c r="CC31" s="109">
        <f>IFERROR(GroceryList2745614[[#This Row],[QTY]]*GroceryList2745614[[#This Row],[UNIT PRICE]],"")</f>
        <v>0</v>
      </c>
      <c r="CD31" s="112" t="s">
        <v>169</v>
      </c>
      <c r="CE31" s="85"/>
      <c r="CH31" s="84"/>
      <c r="CI31" s="105" t="s">
        <v>105</v>
      </c>
      <c r="CJ31" s="85"/>
      <c r="CK31" s="85"/>
      <c r="CL31" s="84">
        <v>0</v>
      </c>
      <c r="CM31" s="83"/>
      <c r="CN31" s="109"/>
      <c r="CO31" s="109">
        <f>IFERROR(GroceryList27456148[[#This Row],[QTY]]*GroceryList27456148[[#This Row],[UNIT PRICE]],"")</f>
        <v>0</v>
      </c>
      <c r="CP31" s="112" t="s">
        <v>169</v>
      </c>
      <c r="CQ31" s="85"/>
      <c r="CT31" s="84"/>
      <c r="CU31" s="105" t="s">
        <v>179</v>
      </c>
      <c r="CV31" s="85"/>
      <c r="CW31" s="85"/>
      <c r="CX31" s="84">
        <v>1</v>
      </c>
      <c r="CY31" s="83"/>
      <c r="CZ31" s="109">
        <v>42.99</v>
      </c>
      <c r="DA31" s="109">
        <f>IFERROR(GroceryList2745614810[[#This Row],[QTY]]*GroceryList2745614810[[#This Row],[UNIT PRICE]],"")</f>
        <v>42.99</v>
      </c>
      <c r="DB31" s="112" t="s">
        <v>169</v>
      </c>
      <c r="DC31" s="85">
        <v>48.99</v>
      </c>
      <c r="DF31" s="84"/>
      <c r="DG31" s="105" t="s">
        <v>105</v>
      </c>
      <c r="DH31" s="85"/>
      <c r="DI31" s="85"/>
      <c r="DJ31" s="84">
        <v>0</v>
      </c>
      <c r="DK31" s="83"/>
      <c r="DL31" s="109"/>
      <c r="DM31" s="109">
        <f>IFERROR(GroceryList27456148109[[#This Row],[QTY]]*GroceryList27456148109[[#This Row],[UNIT PRICE]],"")</f>
        <v>0</v>
      </c>
      <c r="DN31" s="112" t="s">
        <v>169</v>
      </c>
      <c r="DO31" s="85"/>
      <c r="DR31" s="84"/>
      <c r="DS31" s="105" t="s">
        <v>105</v>
      </c>
      <c r="DT31" s="85"/>
      <c r="DU31" s="85"/>
      <c r="DV31" s="84">
        <v>0</v>
      </c>
      <c r="DW31" s="83"/>
      <c r="DX31" s="109"/>
      <c r="DY31" s="109">
        <f>IFERROR(GroceryList2745614810911[[#This Row],[QTY]]*GroceryList2745614810911[[#This Row],[UNIT PRICE]],"")</f>
        <v>0</v>
      </c>
      <c r="DZ31" s="112" t="s">
        <v>169</v>
      </c>
      <c r="EA31" s="85"/>
      <c r="ED31" s="84"/>
      <c r="EE31" s="105" t="s">
        <v>179</v>
      </c>
      <c r="EF31" s="85" t="s">
        <v>134</v>
      </c>
      <c r="EG31" s="85" t="s">
        <v>92</v>
      </c>
      <c r="EH31" s="84">
        <v>1</v>
      </c>
      <c r="EI31" s="83"/>
      <c r="EJ31" s="109">
        <v>42.99</v>
      </c>
      <c r="EK31" s="109">
        <f>IFERROR(GroceryList274561481091112[[#This Row],[QTY]]*GroceryList274561481091112[[#This Row],[UNIT PRICE]],"")</f>
        <v>42.99</v>
      </c>
      <c r="EL31" s="112" t="s">
        <v>169</v>
      </c>
      <c r="EM31" s="85">
        <v>48.99</v>
      </c>
      <c r="EP31" s="84"/>
      <c r="EQ31" s="105" t="s">
        <v>179</v>
      </c>
      <c r="ER31" s="85" t="s">
        <v>134</v>
      </c>
      <c r="ES31" s="85" t="s">
        <v>92</v>
      </c>
      <c r="ET31" s="84">
        <v>0</v>
      </c>
      <c r="EU31" s="83"/>
      <c r="EV31" s="109">
        <v>42.99</v>
      </c>
      <c r="EW31" s="109">
        <f>IFERROR(GroceryList27456148109111213[[#This Row],[QTY]]*GroceryList27456148109111213[[#This Row],[UNIT PRICE]],"")</f>
        <v>0</v>
      </c>
      <c r="EX31" s="112" t="s">
        <v>169</v>
      </c>
      <c r="EY31" s="85">
        <v>48.99</v>
      </c>
      <c r="FB31" s="84"/>
      <c r="FC31" s="105" t="s">
        <v>179</v>
      </c>
      <c r="FD31" s="85" t="s">
        <v>134</v>
      </c>
      <c r="FE31" s="85" t="s">
        <v>92</v>
      </c>
      <c r="FF31" s="84">
        <v>0</v>
      </c>
      <c r="FG31" s="83"/>
      <c r="FH31" s="109">
        <v>42.99</v>
      </c>
      <c r="FI31" s="109">
        <f>IFERROR(GroceryList2745614810911121315[[#This Row],[QTY]]*GroceryList2745614810911121315[[#This Row],[UNIT PRICE]],"")</f>
        <v>0</v>
      </c>
      <c r="FJ31" s="112" t="s">
        <v>169</v>
      </c>
      <c r="FK31" s="85">
        <v>48.99</v>
      </c>
      <c r="FN31" s="84"/>
      <c r="FO31" s="105" t="s">
        <v>179</v>
      </c>
      <c r="FP31" s="85" t="s">
        <v>134</v>
      </c>
      <c r="FQ31" s="85" t="s">
        <v>92</v>
      </c>
      <c r="FR31" s="84">
        <v>0</v>
      </c>
      <c r="FS31" s="83"/>
      <c r="FT31" s="109">
        <v>42.99</v>
      </c>
      <c r="FU31" s="109">
        <f>IFERROR(GroceryList274561481091112131516[[#This Row],[QTY]]*GroceryList274561481091112131516[[#This Row],[UNIT PRICE]],"")</f>
        <v>0</v>
      </c>
      <c r="FV31" s="112" t="s">
        <v>169</v>
      </c>
      <c r="FW31" s="85">
        <v>48.99</v>
      </c>
      <c r="FZ31" s="84"/>
      <c r="GA31" s="105" t="s">
        <v>179</v>
      </c>
      <c r="GB31" s="85" t="s">
        <v>134</v>
      </c>
      <c r="GC31" s="85" t="s">
        <v>92</v>
      </c>
      <c r="GD31" s="84">
        <v>0</v>
      </c>
      <c r="GE31" s="83"/>
      <c r="GF31" s="109">
        <v>42.99</v>
      </c>
      <c r="GG31" s="109">
        <f>IFERROR(GroceryList274561481091112131517[[#This Row],[QTY]]*GroceryList274561481091112131517[[#This Row],[UNIT PRICE]],"")</f>
        <v>0</v>
      </c>
      <c r="GH31" s="112" t="s">
        <v>169</v>
      </c>
      <c r="GI31" s="85">
        <v>48.99</v>
      </c>
      <c r="GL31" s="84"/>
      <c r="GM31" s="105" t="s">
        <v>179</v>
      </c>
      <c r="GN31" s="85" t="s">
        <v>134</v>
      </c>
      <c r="GO31" s="85" t="s">
        <v>92</v>
      </c>
      <c r="GP31" s="84">
        <v>0</v>
      </c>
      <c r="GQ31" s="83"/>
      <c r="GR31" s="109">
        <v>42.99</v>
      </c>
      <c r="GS31" s="109">
        <f>IFERROR(GroceryList27456148109111213151718[[#This Row],[QTY]]*GroceryList27456148109111213151718[[#This Row],[UNIT PRICE]],"")</f>
        <v>0</v>
      </c>
      <c r="GT31" s="112" t="s">
        <v>169</v>
      </c>
      <c r="GU31" s="85">
        <v>48.99</v>
      </c>
    </row>
    <row r="32" spans="2:203" ht="30" hidden="1" customHeight="1" x14ac:dyDescent="0.2">
      <c r="B32" s="84"/>
      <c r="C32" s="99" t="s">
        <v>107</v>
      </c>
      <c r="D32" s="85" t="s">
        <v>134</v>
      </c>
      <c r="E32" s="85" t="s">
        <v>91</v>
      </c>
      <c r="F32" s="84"/>
      <c r="G32" s="83"/>
      <c r="H32" s="90">
        <v>22.79</v>
      </c>
      <c r="I32" s="90">
        <f>IFERROR(GroceryList[[#This Row],[QTY]]*GroceryList[[#This Row],[UNIT PRICE]],"")</f>
        <v>0</v>
      </c>
      <c r="J32" s="85"/>
      <c r="M32" s="84"/>
      <c r="N32" s="99" t="s">
        <v>107</v>
      </c>
      <c r="O32" s="85" t="s">
        <v>134</v>
      </c>
      <c r="P32" s="85" t="s">
        <v>91</v>
      </c>
      <c r="Q32" s="84"/>
      <c r="R32" s="83"/>
      <c r="S32" s="90">
        <v>22.79</v>
      </c>
      <c r="T32" s="90">
        <f>IFERROR(GroceryList2[[#This Row],[QTY]]*GroceryList2[[#This Row],[UNIT PRICE]],"")</f>
        <v>0</v>
      </c>
      <c r="U32" s="85"/>
      <c r="Y32" s="84" t="s">
        <v>130</v>
      </c>
      <c r="Z32" s="99" t="s">
        <v>107</v>
      </c>
      <c r="AA32" s="85" t="s">
        <v>134</v>
      </c>
      <c r="AB32" s="85" t="s">
        <v>91</v>
      </c>
      <c r="AC32" s="84">
        <v>1</v>
      </c>
      <c r="AD32" s="83"/>
      <c r="AE32" s="90">
        <v>22.79</v>
      </c>
      <c r="AF32" s="90">
        <f>IFERROR(GroceryList27[[#This Row],[QTY]]*GroceryList27[[#This Row],[UNIT PRICE]],"")</f>
        <v>22.79</v>
      </c>
      <c r="AG32" s="85"/>
      <c r="AM32" s="84" t="s">
        <v>130</v>
      </c>
      <c r="AN32" s="105" t="s">
        <v>107</v>
      </c>
      <c r="AO32" s="85" t="s">
        <v>134</v>
      </c>
      <c r="AP32" s="85" t="s">
        <v>91</v>
      </c>
      <c r="AQ32" s="84">
        <v>1</v>
      </c>
      <c r="AR32" s="83"/>
      <c r="AS32" s="109">
        <v>22.79</v>
      </c>
      <c r="AT32" s="109">
        <f>IFERROR(GroceryList274[[#This Row],[QTY]]*GroceryList274[[#This Row],[UNIT PRICE]],"")</f>
        <v>22.79</v>
      </c>
      <c r="AU32" s="85"/>
      <c r="AY32" s="84"/>
      <c r="AZ32" s="105" t="s">
        <v>106</v>
      </c>
      <c r="BA32" s="85" t="s">
        <v>134</v>
      </c>
      <c r="BB32" s="85" t="s">
        <v>92</v>
      </c>
      <c r="BC32" s="84">
        <v>0</v>
      </c>
      <c r="BD32" s="83"/>
      <c r="BE32" s="109">
        <v>28.49</v>
      </c>
      <c r="BF32" s="109">
        <f>IFERROR(GroceryList2745[[#This Row],[QTY]]*GroceryList2745[[#This Row],[UNIT PRICE]],"")</f>
        <v>0</v>
      </c>
      <c r="BG32" s="85"/>
      <c r="BJ32" s="84"/>
      <c r="BK32" s="105" t="s">
        <v>106</v>
      </c>
      <c r="BL32" s="85" t="s">
        <v>134</v>
      </c>
      <c r="BM32" s="85" t="s">
        <v>92</v>
      </c>
      <c r="BN32" s="84">
        <v>0</v>
      </c>
      <c r="BO32" s="83"/>
      <c r="BP32" s="109">
        <v>28.49</v>
      </c>
      <c r="BQ32" s="109">
        <f>IFERROR(GroceryList27456[[#This Row],[QTY]]*GroceryList27456[[#This Row],[UNIT PRICE]],"")</f>
        <v>0</v>
      </c>
      <c r="BR32" s="112" t="s">
        <v>169</v>
      </c>
      <c r="BS32" s="85"/>
      <c r="BV32" s="84"/>
      <c r="BW32" s="105" t="s">
        <v>106</v>
      </c>
      <c r="BX32" s="85" t="s">
        <v>134</v>
      </c>
      <c r="BY32" s="85" t="s">
        <v>92</v>
      </c>
      <c r="BZ32" s="84">
        <v>0</v>
      </c>
      <c r="CA32" s="83"/>
      <c r="CB32" s="109">
        <v>28.49</v>
      </c>
      <c r="CC32" s="109">
        <f>IFERROR(GroceryList2745614[[#This Row],[QTY]]*GroceryList2745614[[#This Row],[UNIT PRICE]],"")</f>
        <v>0</v>
      </c>
      <c r="CD32" s="112" t="s">
        <v>169</v>
      </c>
      <c r="CE32" s="85"/>
      <c r="CH32" s="84"/>
      <c r="CI32" s="105" t="s">
        <v>106</v>
      </c>
      <c r="CJ32" s="85" t="s">
        <v>134</v>
      </c>
      <c r="CK32" s="85" t="s">
        <v>92</v>
      </c>
      <c r="CL32" s="84">
        <v>0</v>
      </c>
      <c r="CM32" s="83"/>
      <c r="CN32" s="109">
        <v>28.49</v>
      </c>
      <c r="CO32" s="109">
        <f>IFERROR(GroceryList27456148[[#This Row],[QTY]]*GroceryList27456148[[#This Row],[UNIT PRICE]],"")</f>
        <v>0</v>
      </c>
      <c r="CP32" s="112" t="s">
        <v>169</v>
      </c>
      <c r="CQ32" s="85"/>
      <c r="CT32" s="84"/>
      <c r="CU32" s="105" t="s">
        <v>106</v>
      </c>
      <c r="CV32" s="85" t="s">
        <v>134</v>
      </c>
      <c r="CW32" s="85" t="s">
        <v>92</v>
      </c>
      <c r="CX32" s="84">
        <v>0</v>
      </c>
      <c r="CY32" s="83"/>
      <c r="CZ32" s="109">
        <v>28.49</v>
      </c>
      <c r="DA32" s="109">
        <f>IFERROR(GroceryList2745614810[[#This Row],[QTY]]*GroceryList2745614810[[#This Row],[UNIT PRICE]],"")</f>
        <v>0</v>
      </c>
      <c r="DB32" s="112" t="s">
        <v>169</v>
      </c>
      <c r="DC32" s="85"/>
      <c r="DF32" s="84"/>
      <c r="DG32" s="105" t="s">
        <v>106</v>
      </c>
      <c r="DH32" s="85" t="s">
        <v>134</v>
      </c>
      <c r="DI32" s="85" t="s">
        <v>92</v>
      </c>
      <c r="DJ32" s="84">
        <v>0</v>
      </c>
      <c r="DK32" s="83"/>
      <c r="DL32" s="109">
        <v>28.49</v>
      </c>
      <c r="DM32" s="109">
        <f>IFERROR(GroceryList27456148109[[#This Row],[QTY]]*GroceryList27456148109[[#This Row],[UNIT PRICE]],"")</f>
        <v>0</v>
      </c>
      <c r="DN32" s="112" t="s">
        <v>169</v>
      </c>
      <c r="DO32" s="85"/>
      <c r="DR32" s="84"/>
      <c r="DS32" s="105" t="s">
        <v>106</v>
      </c>
      <c r="DT32" s="85" t="s">
        <v>134</v>
      </c>
      <c r="DU32" s="85" t="s">
        <v>92</v>
      </c>
      <c r="DV32" s="84">
        <v>0</v>
      </c>
      <c r="DW32" s="83"/>
      <c r="DX32" s="109">
        <v>28.49</v>
      </c>
      <c r="DY32" s="109">
        <f>IFERROR(GroceryList2745614810911[[#This Row],[QTY]]*GroceryList2745614810911[[#This Row],[UNIT PRICE]],"")</f>
        <v>0</v>
      </c>
      <c r="DZ32" s="112" t="s">
        <v>169</v>
      </c>
      <c r="EA32" s="85"/>
      <c r="ED32" s="84"/>
      <c r="EE32" s="105" t="s">
        <v>106</v>
      </c>
      <c r="EF32" s="85" t="s">
        <v>134</v>
      </c>
      <c r="EG32" s="85" t="s">
        <v>92</v>
      </c>
      <c r="EH32" s="84">
        <v>0</v>
      </c>
      <c r="EI32" s="83"/>
      <c r="EJ32" s="109">
        <v>28.49</v>
      </c>
      <c r="EK32" s="109">
        <f>IFERROR(GroceryList274561481091112[[#This Row],[QTY]]*GroceryList274561481091112[[#This Row],[UNIT PRICE]],"")</f>
        <v>0</v>
      </c>
      <c r="EL32" s="112" t="s">
        <v>169</v>
      </c>
      <c r="EM32" s="85"/>
      <c r="EP32" s="84"/>
      <c r="EQ32" s="105" t="s">
        <v>106</v>
      </c>
      <c r="ER32" s="85" t="s">
        <v>134</v>
      </c>
      <c r="ES32" s="85" t="s">
        <v>92</v>
      </c>
      <c r="ET32" s="84">
        <v>0</v>
      </c>
      <c r="EU32" s="83"/>
      <c r="EV32" s="109">
        <v>28.49</v>
      </c>
      <c r="EW32" s="109">
        <f>IFERROR(GroceryList27456148109111213[[#This Row],[QTY]]*GroceryList27456148109111213[[#This Row],[UNIT PRICE]],"")</f>
        <v>0</v>
      </c>
      <c r="EX32" s="112" t="s">
        <v>169</v>
      </c>
      <c r="EY32" s="85"/>
      <c r="FB32" s="84"/>
      <c r="FC32" s="105" t="s">
        <v>106</v>
      </c>
      <c r="FD32" s="85" t="s">
        <v>134</v>
      </c>
      <c r="FE32" s="85" t="s">
        <v>92</v>
      </c>
      <c r="FF32" s="84">
        <v>0</v>
      </c>
      <c r="FG32" s="83"/>
      <c r="FH32" s="109">
        <v>28.49</v>
      </c>
      <c r="FI32" s="109">
        <f>IFERROR(GroceryList2745614810911121315[[#This Row],[QTY]]*GroceryList2745614810911121315[[#This Row],[UNIT PRICE]],"")</f>
        <v>0</v>
      </c>
      <c r="FJ32" s="112" t="s">
        <v>169</v>
      </c>
      <c r="FK32" s="85"/>
      <c r="FN32" s="84"/>
      <c r="FO32" s="105" t="s">
        <v>106</v>
      </c>
      <c r="FP32" s="85" t="s">
        <v>134</v>
      </c>
      <c r="FQ32" s="85" t="s">
        <v>92</v>
      </c>
      <c r="FR32" s="84">
        <v>0</v>
      </c>
      <c r="FS32" s="83"/>
      <c r="FT32" s="109">
        <v>28.49</v>
      </c>
      <c r="FU32" s="109">
        <f>IFERROR(GroceryList274561481091112131516[[#This Row],[QTY]]*GroceryList274561481091112131516[[#This Row],[UNIT PRICE]],"")</f>
        <v>0</v>
      </c>
      <c r="FV32" s="112" t="s">
        <v>169</v>
      </c>
      <c r="FW32" s="85"/>
      <c r="FZ32" s="84"/>
      <c r="GA32" s="105" t="s">
        <v>106</v>
      </c>
      <c r="GB32" s="85" t="s">
        <v>134</v>
      </c>
      <c r="GC32" s="85" t="s">
        <v>92</v>
      </c>
      <c r="GD32" s="84">
        <v>0</v>
      </c>
      <c r="GE32" s="83"/>
      <c r="GF32" s="109">
        <v>28.49</v>
      </c>
      <c r="GG32" s="109">
        <f>IFERROR(GroceryList274561481091112131517[[#This Row],[QTY]]*GroceryList274561481091112131517[[#This Row],[UNIT PRICE]],"")</f>
        <v>0</v>
      </c>
      <c r="GH32" s="112" t="s">
        <v>169</v>
      </c>
      <c r="GI32" s="85"/>
      <c r="GL32" s="84"/>
      <c r="GM32" s="105" t="s">
        <v>106</v>
      </c>
      <c r="GN32" s="85" t="s">
        <v>134</v>
      </c>
      <c r="GO32" s="85" t="s">
        <v>92</v>
      </c>
      <c r="GP32" s="84">
        <v>0</v>
      </c>
      <c r="GQ32" s="83"/>
      <c r="GR32" s="109">
        <v>28.49</v>
      </c>
      <c r="GS32" s="109">
        <f>IFERROR(GroceryList27456148109111213151718[[#This Row],[QTY]]*GroceryList27456148109111213151718[[#This Row],[UNIT PRICE]],"")</f>
        <v>0</v>
      </c>
      <c r="GT32" s="112" t="s">
        <v>169</v>
      </c>
      <c r="GU32" s="85"/>
    </row>
    <row r="33" spans="2:203" ht="30" customHeight="1" x14ac:dyDescent="0.2">
      <c r="B33" s="84"/>
      <c r="C33" s="102" t="s">
        <v>142</v>
      </c>
      <c r="D33" t="s">
        <v>134</v>
      </c>
      <c r="E33" t="s">
        <v>91</v>
      </c>
      <c r="F33" s="84">
        <v>1</v>
      </c>
      <c r="G33" s="83"/>
      <c r="H33" s="90">
        <v>16.14</v>
      </c>
      <c r="I33" s="90">
        <f>IFERROR(GroceryList[[#This Row],[QTY]]*GroceryList[[#This Row],[UNIT PRICE]],"")</f>
        <v>16.14</v>
      </c>
      <c r="J33"/>
      <c r="M33" s="84"/>
      <c r="N33" s="102" t="s">
        <v>142</v>
      </c>
      <c r="O33" t="s">
        <v>134</v>
      </c>
      <c r="P33" t="s">
        <v>91</v>
      </c>
      <c r="Q33" s="84"/>
      <c r="R33" s="83"/>
      <c r="S33" s="90">
        <v>16.14</v>
      </c>
      <c r="T33" s="90">
        <f>IFERROR(GroceryList2[[#This Row],[QTY]]*GroceryList2[[#This Row],[UNIT PRICE]],"")</f>
        <v>0</v>
      </c>
      <c r="U33"/>
      <c r="Y33" s="84" t="s">
        <v>130</v>
      </c>
      <c r="Z33" s="102" t="s">
        <v>142</v>
      </c>
      <c r="AA33" t="s">
        <v>134</v>
      </c>
      <c r="AB33" t="s">
        <v>91</v>
      </c>
      <c r="AC33" s="84">
        <v>1</v>
      </c>
      <c r="AD33" s="83"/>
      <c r="AE33" s="90">
        <v>16.14</v>
      </c>
      <c r="AF33" s="90">
        <f>IFERROR(GroceryList27[[#This Row],[QTY]]*GroceryList27[[#This Row],[UNIT PRICE]],"")</f>
        <v>16.14</v>
      </c>
      <c r="AG33"/>
      <c r="AM33" s="84" t="s">
        <v>130</v>
      </c>
      <c r="AN33" s="107" t="s">
        <v>142</v>
      </c>
      <c r="AO33" s="108" t="s">
        <v>134</v>
      </c>
      <c r="AP33" s="108" t="s">
        <v>91</v>
      </c>
      <c r="AQ33" s="84">
        <v>0</v>
      </c>
      <c r="AR33" s="83"/>
      <c r="AS33" s="109">
        <v>16.14</v>
      </c>
      <c r="AT33" s="109">
        <f>IFERROR(GroceryList274[[#This Row],[QTY]]*GroceryList274[[#This Row],[UNIT PRICE]],"")</f>
        <v>0</v>
      </c>
      <c r="AU33"/>
      <c r="AY33" s="84" t="s">
        <v>130</v>
      </c>
      <c r="AZ33" s="105" t="s">
        <v>107</v>
      </c>
      <c r="BA33" s="85" t="s">
        <v>134</v>
      </c>
      <c r="BB33" s="85" t="s">
        <v>91</v>
      </c>
      <c r="BC33" s="84">
        <v>0</v>
      </c>
      <c r="BD33" s="83"/>
      <c r="BE33" s="109">
        <v>22.79</v>
      </c>
      <c r="BF33" s="109">
        <f>IFERROR(GroceryList2745[[#This Row],[QTY]]*GroceryList2745[[#This Row],[UNIT PRICE]],"")</f>
        <v>0</v>
      </c>
      <c r="BG33" s="85"/>
      <c r="BJ33" s="84" t="s">
        <v>130</v>
      </c>
      <c r="BK33" s="105" t="s">
        <v>107</v>
      </c>
      <c r="BL33" s="85" t="s">
        <v>134</v>
      </c>
      <c r="BM33" s="85" t="s">
        <v>91</v>
      </c>
      <c r="BN33" s="84">
        <v>1</v>
      </c>
      <c r="BO33" s="83"/>
      <c r="BP33" s="109">
        <v>20</v>
      </c>
      <c r="BQ33" s="109">
        <f>IFERROR(GroceryList27456[[#This Row],[QTY]]*GroceryList27456[[#This Row],[UNIT PRICE]],"")</f>
        <v>20</v>
      </c>
      <c r="BR33" s="112" t="s">
        <v>130</v>
      </c>
      <c r="BS33" s="85"/>
      <c r="BV33" s="84" t="s">
        <v>130</v>
      </c>
      <c r="BW33" s="105" t="s">
        <v>107</v>
      </c>
      <c r="BX33" s="85" t="s">
        <v>134</v>
      </c>
      <c r="BY33" s="85" t="s">
        <v>91</v>
      </c>
      <c r="BZ33" s="84">
        <v>1</v>
      </c>
      <c r="CA33" s="83"/>
      <c r="CB33" s="109">
        <v>19.47</v>
      </c>
      <c r="CC33" s="109">
        <f>IFERROR(GroceryList2745614[[#This Row],[QTY]]*GroceryList2745614[[#This Row],[UNIT PRICE]],"")</f>
        <v>19.47</v>
      </c>
      <c r="CD33" s="112" t="s">
        <v>130</v>
      </c>
      <c r="CE33" s="85">
        <v>20.49</v>
      </c>
      <c r="CH33" s="84" t="s">
        <v>130</v>
      </c>
      <c r="CI33" s="105" t="s">
        <v>107</v>
      </c>
      <c r="CJ33" s="85" t="s">
        <v>134</v>
      </c>
      <c r="CK33" s="85" t="s">
        <v>91</v>
      </c>
      <c r="CL33" s="84">
        <v>1</v>
      </c>
      <c r="CM33" s="83"/>
      <c r="CN33" s="109">
        <v>18.39</v>
      </c>
      <c r="CO33" s="109">
        <f>IFERROR(GroceryList27456148[[#This Row],[QTY]]*GroceryList27456148[[#This Row],[UNIT PRICE]],"")</f>
        <v>18.39</v>
      </c>
      <c r="CP33" s="112" t="s">
        <v>130</v>
      </c>
      <c r="CQ33" s="85">
        <v>22.99</v>
      </c>
      <c r="CT33" s="84" t="s">
        <v>130</v>
      </c>
      <c r="CU33" s="105" t="s">
        <v>107</v>
      </c>
      <c r="CV33" s="85" t="s">
        <v>134</v>
      </c>
      <c r="CW33" s="85" t="s">
        <v>91</v>
      </c>
      <c r="CX33" s="84">
        <v>1</v>
      </c>
      <c r="CY33" s="83"/>
      <c r="CZ33" s="109">
        <v>18.39</v>
      </c>
      <c r="DA33" s="109">
        <f>IFERROR(GroceryList2745614810[[#This Row],[QTY]]*GroceryList2745614810[[#This Row],[UNIT PRICE]],"")</f>
        <v>18.39</v>
      </c>
      <c r="DB33" s="112" t="s">
        <v>130</v>
      </c>
      <c r="DC33" s="85">
        <v>22.99</v>
      </c>
      <c r="DF33" s="84" t="s">
        <v>130</v>
      </c>
      <c r="DG33" s="105" t="s">
        <v>107</v>
      </c>
      <c r="DH33" s="85" t="s">
        <v>134</v>
      </c>
      <c r="DI33" s="85" t="s">
        <v>91</v>
      </c>
      <c r="DJ33" s="84">
        <v>0</v>
      </c>
      <c r="DK33" s="83"/>
      <c r="DL33" s="109">
        <v>18.39</v>
      </c>
      <c r="DM33" s="109">
        <f>IFERROR(GroceryList27456148109[[#This Row],[QTY]]*GroceryList27456148109[[#This Row],[UNIT PRICE]],"")</f>
        <v>0</v>
      </c>
      <c r="DN33" s="112" t="s">
        <v>130</v>
      </c>
      <c r="DO33" s="85">
        <v>22.99</v>
      </c>
      <c r="DR33" s="84" t="s">
        <v>130</v>
      </c>
      <c r="DS33" s="105" t="s">
        <v>107</v>
      </c>
      <c r="DT33" s="85" t="s">
        <v>134</v>
      </c>
      <c r="DU33" s="85" t="s">
        <v>91</v>
      </c>
      <c r="DV33" s="84">
        <v>1</v>
      </c>
      <c r="DW33" s="83"/>
      <c r="DX33" s="109">
        <v>18.39</v>
      </c>
      <c r="DY33" s="109">
        <f>IFERROR(GroceryList2745614810911[[#This Row],[QTY]]*GroceryList2745614810911[[#This Row],[UNIT PRICE]],"")</f>
        <v>18.39</v>
      </c>
      <c r="DZ33" s="112" t="s">
        <v>130</v>
      </c>
      <c r="EA33" s="85">
        <v>22.99</v>
      </c>
      <c r="ED33" s="84" t="s">
        <v>130</v>
      </c>
      <c r="EE33" s="105" t="s">
        <v>107</v>
      </c>
      <c r="EF33" s="85" t="s">
        <v>134</v>
      </c>
      <c r="EG33" s="85" t="s">
        <v>91</v>
      </c>
      <c r="EH33" s="84">
        <v>1</v>
      </c>
      <c r="EI33" s="83"/>
      <c r="EJ33" s="109">
        <v>20.89</v>
      </c>
      <c r="EK33" s="109">
        <f>IFERROR(GroceryList274561481091112[[#This Row],[QTY]]*GroceryList274561481091112[[#This Row],[UNIT PRICE]],"")</f>
        <v>20.89</v>
      </c>
      <c r="EL33" s="112" t="s">
        <v>130</v>
      </c>
      <c r="EM33" s="85">
        <v>22.99</v>
      </c>
      <c r="EP33" s="84" t="s">
        <v>130</v>
      </c>
      <c r="EQ33" s="105" t="s">
        <v>107</v>
      </c>
      <c r="ER33" s="85" t="s">
        <v>134</v>
      </c>
      <c r="ES33" s="85" t="s">
        <v>91</v>
      </c>
      <c r="ET33" s="84">
        <v>0</v>
      </c>
      <c r="EU33" s="83"/>
      <c r="EV33" s="109">
        <v>20.89</v>
      </c>
      <c r="EW33" s="109">
        <f>IFERROR(GroceryList27456148109111213[[#This Row],[QTY]]*GroceryList27456148109111213[[#This Row],[UNIT PRICE]],"")</f>
        <v>0</v>
      </c>
      <c r="EX33" s="112" t="s">
        <v>130</v>
      </c>
      <c r="EY33" s="85">
        <v>22.99</v>
      </c>
      <c r="FB33" s="84" t="s">
        <v>130</v>
      </c>
      <c r="FC33" s="105" t="s">
        <v>107</v>
      </c>
      <c r="FD33" s="85" t="s">
        <v>134</v>
      </c>
      <c r="FE33" s="85" t="s">
        <v>91</v>
      </c>
      <c r="FF33" s="84">
        <v>1</v>
      </c>
      <c r="FG33" s="83"/>
      <c r="FH33" s="109">
        <v>18.27</v>
      </c>
      <c r="FI33" s="109">
        <f>IFERROR(GroceryList2745614810911121315[[#This Row],[QTY]]*GroceryList2745614810911121315[[#This Row],[UNIT PRICE]],"")</f>
        <v>18.27</v>
      </c>
      <c r="FJ33" s="112" t="s">
        <v>130</v>
      </c>
      <c r="FK33" s="85">
        <v>21.49</v>
      </c>
      <c r="FN33" s="84" t="s">
        <v>130</v>
      </c>
      <c r="FO33" s="105" t="s">
        <v>107</v>
      </c>
      <c r="FP33" s="85" t="s">
        <v>134</v>
      </c>
      <c r="FQ33" s="85" t="s">
        <v>91</v>
      </c>
      <c r="FR33" s="84">
        <v>0</v>
      </c>
      <c r="FS33" s="83"/>
      <c r="FT33" s="109">
        <v>20.89</v>
      </c>
      <c r="FU33" s="109">
        <f>IFERROR(GroceryList274561481091112131516[[#This Row],[QTY]]*GroceryList274561481091112131516[[#This Row],[UNIT PRICE]],"")</f>
        <v>0</v>
      </c>
      <c r="FV33" s="112" t="s">
        <v>130</v>
      </c>
      <c r="FW33" s="85">
        <v>22.99</v>
      </c>
      <c r="FZ33" s="84" t="s">
        <v>130</v>
      </c>
      <c r="GA33" s="105" t="s">
        <v>107</v>
      </c>
      <c r="GB33" s="85" t="s">
        <v>134</v>
      </c>
      <c r="GC33" s="85" t="s">
        <v>91</v>
      </c>
      <c r="GD33" s="84">
        <v>1</v>
      </c>
      <c r="GE33" s="83"/>
      <c r="GF33" s="109">
        <v>20.49</v>
      </c>
      <c r="GG33" s="109">
        <f>IFERROR(GroceryList274561481091112131517[[#This Row],[QTY]]*GroceryList274561481091112131517[[#This Row],[UNIT PRICE]],"")</f>
        <v>20.49</v>
      </c>
      <c r="GH33" s="112" t="s">
        <v>130</v>
      </c>
      <c r="GI33" s="85">
        <v>21.49</v>
      </c>
      <c r="GL33" s="84" t="s">
        <v>130</v>
      </c>
      <c r="GM33" s="105" t="s">
        <v>107</v>
      </c>
      <c r="GN33" s="85" t="s">
        <v>134</v>
      </c>
      <c r="GO33" s="85" t="s">
        <v>91</v>
      </c>
      <c r="GP33" s="84">
        <v>1</v>
      </c>
      <c r="GQ33" s="83"/>
      <c r="GR33" s="109">
        <v>20.49</v>
      </c>
      <c r="GS33" s="109">
        <f>IFERROR(GroceryList27456148109111213151718[[#This Row],[QTY]]*GroceryList27456148109111213151718[[#This Row],[UNIT PRICE]],"")</f>
        <v>20.49</v>
      </c>
      <c r="GT33" s="112" t="s">
        <v>130</v>
      </c>
      <c r="GU33" s="85">
        <v>21.49</v>
      </c>
    </row>
    <row r="34" spans="2:203" ht="30" customHeight="1" x14ac:dyDescent="0.2">
      <c r="B34" s="84"/>
      <c r="C34" s="99" t="s">
        <v>108</v>
      </c>
      <c r="D34" s="85"/>
      <c r="E34" s="85"/>
      <c r="F34" s="84"/>
      <c r="G34" s="83"/>
      <c r="H34" s="90"/>
      <c r="I34" s="90">
        <f>IFERROR(GroceryList[[#This Row],[QTY]]*GroceryList[[#This Row],[UNIT PRICE]],"")</f>
        <v>0</v>
      </c>
      <c r="J34" s="85"/>
      <c r="M34" s="84"/>
      <c r="N34" s="99" t="s">
        <v>108</v>
      </c>
      <c r="O34" s="85"/>
      <c r="P34" s="85"/>
      <c r="Q34" s="84"/>
      <c r="R34" s="83"/>
      <c r="S34" s="90"/>
      <c r="T34" s="90">
        <f>IFERROR(GroceryList2[[#This Row],[QTY]]*GroceryList2[[#This Row],[UNIT PRICE]],"")</f>
        <v>0</v>
      </c>
      <c r="U34" s="85"/>
      <c r="Y34" s="84"/>
      <c r="Z34" s="99" t="s">
        <v>108</v>
      </c>
      <c r="AA34" s="85"/>
      <c r="AB34" s="85"/>
      <c r="AC34" s="84"/>
      <c r="AD34" s="83"/>
      <c r="AE34" s="90"/>
      <c r="AF34" s="90">
        <f>IFERROR(GroceryList27[[#This Row],[QTY]]*GroceryList27[[#This Row],[UNIT PRICE]],"")</f>
        <v>0</v>
      </c>
      <c r="AG34" s="85"/>
      <c r="AM34" s="84"/>
      <c r="AN34" s="105" t="s">
        <v>108</v>
      </c>
      <c r="AO34" s="85"/>
      <c r="AP34" s="85"/>
      <c r="AQ34" s="84"/>
      <c r="AR34" s="83"/>
      <c r="AS34" s="109"/>
      <c r="AT34" s="109">
        <f>IFERROR(GroceryList274[[#This Row],[QTY]]*GroceryList274[[#This Row],[UNIT PRICE]],"")</f>
        <v>0</v>
      </c>
      <c r="AU34" s="85"/>
      <c r="AY34" s="84" t="s">
        <v>130</v>
      </c>
      <c r="AZ34" s="107" t="s">
        <v>142</v>
      </c>
      <c r="BA34" s="108" t="s">
        <v>134</v>
      </c>
      <c r="BB34" s="108" t="s">
        <v>91</v>
      </c>
      <c r="BC34" s="84">
        <v>0</v>
      </c>
      <c r="BD34" s="83"/>
      <c r="BE34" s="109">
        <v>16.14</v>
      </c>
      <c r="BF34" s="109">
        <f>IFERROR(GroceryList2745[[#This Row],[QTY]]*GroceryList2745[[#This Row],[UNIT PRICE]],"")</f>
        <v>0</v>
      </c>
      <c r="BG34"/>
      <c r="BJ34" s="84" t="s">
        <v>130</v>
      </c>
      <c r="BK34" s="107" t="s">
        <v>142</v>
      </c>
      <c r="BL34" s="108" t="s">
        <v>134</v>
      </c>
      <c r="BM34" s="108" t="s">
        <v>91</v>
      </c>
      <c r="BN34" s="84">
        <v>1</v>
      </c>
      <c r="BO34" s="83"/>
      <c r="BP34" s="109">
        <v>45</v>
      </c>
      <c r="BQ34" s="109">
        <f>IFERROR(GroceryList27456[[#This Row],[QTY]]*GroceryList27456[[#This Row],[UNIT PRICE]],"")</f>
        <v>45</v>
      </c>
      <c r="BR34" s="111" t="s">
        <v>130</v>
      </c>
      <c r="BS34"/>
      <c r="BV34" s="84" t="s">
        <v>130</v>
      </c>
      <c r="BW34" s="107" t="s">
        <v>142</v>
      </c>
      <c r="BX34" s="108" t="s">
        <v>134</v>
      </c>
      <c r="BY34" s="108" t="s">
        <v>91</v>
      </c>
      <c r="BZ34" s="84">
        <v>0</v>
      </c>
      <c r="CA34" s="83"/>
      <c r="CB34" s="109">
        <v>45</v>
      </c>
      <c r="CC34" s="109">
        <f>IFERROR(GroceryList2745614[[#This Row],[QTY]]*GroceryList2745614[[#This Row],[UNIT PRICE]],"")</f>
        <v>0</v>
      </c>
      <c r="CD34" s="111" t="s">
        <v>130</v>
      </c>
      <c r="CE34"/>
      <c r="CH34" s="84" t="s">
        <v>130</v>
      </c>
      <c r="CI34" s="107" t="s">
        <v>142</v>
      </c>
      <c r="CJ34" s="108" t="s">
        <v>134</v>
      </c>
      <c r="CK34" s="108" t="s">
        <v>91</v>
      </c>
      <c r="CL34" s="84">
        <v>1</v>
      </c>
      <c r="CM34" s="83"/>
      <c r="CN34" s="109">
        <v>34.39</v>
      </c>
      <c r="CO34" s="109">
        <f>IFERROR(GroceryList27456148[[#This Row],[QTY]]*GroceryList27456148[[#This Row],[UNIT PRICE]],"")</f>
        <v>34.39</v>
      </c>
      <c r="CP34" s="111" t="s">
        <v>130</v>
      </c>
      <c r="CQ34">
        <v>42.99</v>
      </c>
      <c r="CT34" s="84" t="s">
        <v>130</v>
      </c>
      <c r="CU34" s="107" t="s">
        <v>142</v>
      </c>
      <c r="CV34" s="108" t="s">
        <v>134</v>
      </c>
      <c r="CW34" s="108" t="s">
        <v>91</v>
      </c>
      <c r="CX34" s="84">
        <v>0</v>
      </c>
      <c r="CY34" s="83"/>
      <c r="CZ34" s="109">
        <v>34.39</v>
      </c>
      <c r="DA34" s="109">
        <f>IFERROR(GroceryList2745614810[[#This Row],[QTY]]*GroceryList2745614810[[#This Row],[UNIT PRICE]],"")</f>
        <v>0</v>
      </c>
      <c r="DB34" s="111" t="s">
        <v>130</v>
      </c>
      <c r="DC34">
        <v>42.99</v>
      </c>
      <c r="DF34" s="84" t="s">
        <v>130</v>
      </c>
      <c r="DG34" s="107" t="s">
        <v>142</v>
      </c>
      <c r="DH34" s="108" t="s">
        <v>134</v>
      </c>
      <c r="DI34" s="108" t="s">
        <v>91</v>
      </c>
      <c r="DJ34" s="84">
        <v>0</v>
      </c>
      <c r="DK34" s="83"/>
      <c r="DL34" s="109">
        <v>34.39</v>
      </c>
      <c r="DM34" s="109">
        <f>IFERROR(GroceryList27456148109[[#This Row],[QTY]]*GroceryList27456148109[[#This Row],[UNIT PRICE]],"")</f>
        <v>0</v>
      </c>
      <c r="DN34" s="111" t="s">
        <v>130</v>
      </c>
      <c r="DO34">
        <v>42.99</v>
      </c>
      <c r="DR34" s="84" t="s">
        <v>130</v>
      </c>
      <c r="DS34" s="107" t="s">
        <v>142</v>
      </c>
      <c r="DT34" s="108" t="s">
        <v>134</v>
      </c>
      <c r="DU34" s="108" t="s">
        <v>91</v>
      </c>
      <c r="DV34" s="84">
        <v>0</v>
      </c>
      <c r="DW34" s="83"/>
      <c r="DX34" s="109">
        <v>34.39</v>
      </c>
      <c r="DY34" s="109">
        <f>IFERROR(GroceryList2745614810911[[#This Row],[QTY]]*GroceryList2745614810911[[#This Row],[UNIT PRICE]],"")</f>
        <v>0</v>
      </c>
      <c r="DZ34" s="111" t="s">
        <v>130</v>
      </c>
      <c r="EA34">
        <v>42.99</v>
      </c>
      <c r="ED34" s="84" t="s">
        <v>130</v>
      </c>
      <c r="EE34" s="107" t="s">
        <v>142</v>
      </c>
      <c r="EF34" s="108" t="s">
        <v>134</v>
      </c>
      <c r="EG34" s="108" t="s">
        <v>91</v>
      </c>
      <c r="EH34" s="84">
        <v>1</v>
      </c>
      <c r="EI34" s="83"/>
      <c r="EJ34" s="109">
        <v>34.93</v>
      </c>
      <c r="EK34" s="109">
        <f>IFERROR(GroceryList274561481091112[[#This Row],[QTY]]*GroceryList274561481091112[[#This Row],[UNIT PRICE]],"")</f>
        <v>34.93</v>
      </c>
      <c r="EL34" s="111" t="s">
        <v>130</v>
      </c>
      <c r="EM34">
        <v>40</v>
      </c>
      <c r="EP34" s="84" t="s">
        <v>130</v>
      </c>
      <c r="EQ34" s="107" t="s">
        <v>142</v>
      </c>
      <c r="ER34" s="108" t="s">
        <v>134</v>
      </c>
      <c r="ES34" s="108" t="s">
        <v>91</v>
      </c>
      <c r="ET34" s="84">
        <v>0</v>
      </c>
      <c r="EU34" s="83"/>
      <c r="EV34" s="109">
        <v>34.93</v>
      </c>
      <c r="EW34" s="109">
        <f>IFERROR(GroceryList27456148109111213[[#This Row],[QTY]]*GroceryList27456148109111213[[#This Row],[UNIT PRICE]],"")</f>
        <v>0</v>
      </c>
      <c r="EX34" s="111" t="s">
        <v>130</v>
      </c>
      <c r="EY34">
        <v>40</v>
      </c>
      <c r="FB34" s="84" t="s">
        <v>130</v>
      </c>
      <c r="FC34" s="107" t="s">
        <v>142</v>
      </c>
      <c r="FD34" s="108" t="s">
        <v>134</v>
      </c>
      <c r="FE34" s="108" t="s">
        <v>91</v>
      </c>
      <c r="FF34" s="84">
        <v>0</v>
      </c>
      <c r="FG34" s="83"/>
      <c r="FH34" s="109">
        <v>34.93</v>
      </c>
      <c r="FI34" s="109">
        <f>IFERROR(GroceryList2745614810911121315[[#This Row],[QTY]]*GroceryList2745614810911121315[[#This Row],[UNIT PRICE]],"")</f>
        <v>0</v>
      </c>
      <c r="FJ34" s="111" t="s">
        <v>130</v>
      </c>
      <c r="FK34">
        <v>40</v>
      </c>
      <c r="FN34" s="84" t="s">
        <v>130</v>
      </c>
      <c r="FO34" s="107" t="s">
        <v>142</v>
      </c>
      <c r="FP34" s="108" t="s">
        <v>134</v>
      </c>
      <c r="FQ34" s="108" t="s">
        <v>91</v>
      </c>
      <c r="FR34" s="84">
        <v>0</v>
      </c>
      <c r="FS34" s="83"/>
      <c r="FT34" s="109">
        <v>34.93</v>
      </c>
      <c r="FU34" s="109">
        <f>IFERROR(GroceryList274561481091112131516[[#This Row],[QTY]]*GroceryList274561481091112131516[[#This Row],[UNIT PRICE]],"")</f>
        <v>0</v>
      </c>
      <c r="FV34" s="111" t="s">
        <v>130</v>
      </c>
      <c r="FW34">
        <v>40</v>
      </c>
      <c r="FZ34" s="84" t="s">
        <v>130</v>
      </c>
      <c r="GA34" s="107" t="s">
        <v>142</v>
      </c>
      <c r="GB34" s="108" t="s">
        <v>134</v>
      </c>
      <c r="GC34" s="108" t="s">
        <v>91</v>
      </c>
      <c r="GD34" s="84">
        <v>1</v>
      </c>
      <c r="GE34" s="83"/>
      <c r="GF34" s="109">
        <v>31.49</v>
      </c>
      <c r="GG34" s="109">
        <f>IFERROR(GroceryList274561481091112131517[[#This Row],[QTY]]*GroceryList274561481091112131517[[#This Row],[UNIT PRICE]],"")</f>
        <v>31.49</v>
      </c>
      <c r="GH34" s="111" t="s">
        <v>130</v>
      </c>
      <c r="GI34">
        <v>40</v>
      </c>
      <c r="GL34" s="84" t="s">
        <v>130</v>
      </c>
      <c r="GM34" s="107" t="s">
        <v>142</v>
      </c>
      <c r="GN34" s="108" t="s">
        <v>134</v>
      </c>
      <c r="GO34" s="108" t="s">
        <v>91</v>
      </c>
      <c r="GP34" s="84">
        <v>1</v>
      </c>
      <c r="GQ34" s="83"/>
      <c r="GR34" s="109">
        <v>31.49</v>
      </c>
      <c r="GS34" s="109">
        <f>IFERROR(GroceryList27456148109111213151718[[#This Row],[QTY]]*GroceryList27456148109111213151718[[#This Row],[UNIT PRICE]],"")</f>
        <v>31.49</v>
      </c>
      <c r="GT34" s="111" t="s">
        <v>130</v>
      </c>
      <c r="GU34">
        <v>40</v>
      </c>
    </row>
    <row r="35" spans="2:203" ht="30" customHeight="1" x14ac:dyDescent="0.2">
      <c r="B35" s="84"/>
      <c r="C35" s="99" t="s">
        <v>125</v>
      </c>
      <c r="D35" s="85"/>
      <c r="E35" s="85"/>
      <c r="F35" s="84"/>
      <c r="G35" s="83"/>
      <c r="H35" s="90"/>
      <c r="I35" s="90">
        <f>IFERROR(GroceryList[[#This Row],[QTY]]*GroceryList[[#This Row],[UNIT PRICE]],"")</f>
        <v>0</v>
      </c>
      <c r="J35" s="85"/>
      <c r="M35" s="84"/>
      <c r="N35" s="99" t="s">
        <v>125</v>
      </c>
      <c r="O35" s="85"/>
      <c r="P35" s="85"/>
      <c r="Q35" s="84"/>
      <c r="R35" s="83"/>
      <c r="S35" s="90"/>
      <c r="T35" s="90">
        <f>IFERROR(GroceryList2[[#This Row],[QTY]]*GroceryList2[[#This Row],[UNIT PRICE]],"")</f>
        <v>0</v>
      </c>
      <c r="U35" s="85"/>
      <c r="Y35" s="84"/>
      <c r="Z35" s="99" t="s">
        <v>125</v>
      </c>
      <c r="AA35" s="85"/>
      <c r="AB35" s="85"/>
      <c r="AC35" s="84"/>
      <c r="AD35" s="83"/>
      <c r="AE35" s="90"/>
      <c r="AF35" s="90">
        <f>IFERROR(GroceryList27[[#This Row],[QTY]]*GroceryList27[[#This Row],[UNIT PRICE]],"")</f>
        <v>0</v>
      </c>
      <c r="AG35" s="85"/>
      <c r="AM35" s="84"/>
      <c r="AN35" s="105" t="s">
        <v>125</v>
      </c>
      <c r="AO35" s="85"/>
      <c r="AP35" s="85"/>
      <c r="AQ35" s="84"/>
      <c r="AR35" s="83"/>
      <c r="AS35" s="109"/>
      <c r="AT35" s="109">
        <f>IFERROR(GroceryList274[[#This Row],[QTY]]*GroceryList274[[#This Row],[UNIT PRICE]],"")</f>
        <v>0</v>
      </c>
      <c r="AU35" s="85"/>
      <c r="AY35" s="84"/>
      <c r="AZ35" s="105" t="s">
        <v>108</v>
      </c>
      <c r="BA35" s="85"/>
      <c r="BB35" s="85"/>
      <c r="BC35" s="84">
        <v>0</v>
      </c>
      <c r="BD35" s="83"/>
      <c r="BE35" s="109"/>
      <c r="BF35" s="109">
        <f>IFERROR(GroceryList2745[[#This Row],[QTY]]*GroceryList2745[[#This Row],[UNIT PRICE]],"")</f>
        <v>0</v>
      </c>
      <c r="BG35" s="85"/>
      <c r="BJ35" s="84"/>
      <c r="BK35" s="105" t="s">
        <v>108</v>
      </c>
      <c r="BL35" s="85"/>
      <c r="BM35" s="85"/>
      <c r="BN35" s="84">
        <v>0</v>
      </c>
      <c r="BO35" s="83"/>
      <c r="BP35" s="109">
        <v>35</v>
      </c>
      <c r="BQ35" s="109">
        <f>IFERROR(GroceryList27456[[#This Row],[QTY]]*GroceryList27456[[#This Row],[UNIT PRICE]],"")</f>
        <v>0</v>
      </c>
      <c r="BR35" s="112" t="s">
        <v>130</v>
      </c>
      <c r="BS35" s="85"/>
      <c r="BV35" s="84"/>
      <c r="BW35" s="105" t="s">
        <v>108</v>
      </c>
      <c r="BX35" s="85"/>
      <c r="BY35" s="85" t="s">
        <v>90</v>
      </c>
      <c r="BZ35" s="84">
        <v>2</v>
      </c>
      <c r="CA35" s="83"/>
      <c r="CB35" s="109">
        <v>35</v>
      </c>
      <c r="CC35" s="109">
        <f>IFERROR(GroceryList2745614[[#This Row],[QTY]]*GroceryList2745614[[#This Row],[UNIT PRICE]],"")</f>
        <v>70</v>
      </c>
      <c r="CD35" s="112" t="s">
        <v>130</v>
      </c>
      <c r="CE35" s="85"/>
      <c r="CH35" s="84"/>
      <c r="CI35" s="105" t="s">
        <v>108</v>
      </c>
      <c r="CJ35" s="85"/>
      <c r="CK35" s="85" t="s">
        <v>90</v>
      </c>
      <c r="CL35" s="84">
        <v>0</v>
      </c>
      <c r="CM35" s="83"/>
      <c r="CN35" s="109">
        <v>35</v>
      </c>
      <c r="CO35" s="109">
        <f>IFERROR(GroceryList27456148[[#This Row],[QTY]]*GroceryList27456148[[#This Row],[UNIT PRICE]],"")</f>
        <v>0</v>
      </c>
      <c r="CP35" s="112" t="s">
        <v>130</v>
      </c>
      <c r="CQ35" s="85"/>
      <c r="CT35" s="84"/>
      <c r="CU35" s="105" t="s">
        <v>108</v>
      </c>
      <c r="CV35" s="85"/>
      <c r="CW35" s="85" t="s">
        <v>90</v>
      </c>
      <c r="CX35" s="84">
        <v>0</v>
      </c>
      <c r="CY35" s="83"/>
      <c r="CZ35" s="109">
        <v>35</v>
      </c>
      <c r="DA35" s="109">
        <f>IFERROR(GroceryList2745614810[[#This Row],[QTY]]*GroceryList2745614810[[#This Row],[UNIT PRICE]],"")</f>
        <v>0</v>
      </c>
      <c r="DB35" s="112" t="s">
        <v>130</v>
      </c>
      <c r="DC35" s="85"/>
      <c r="DF35" s="84"/>
      <c r="DG35" s="105" t="s">
        <v>108</v>
      </c>
      <c r="DH35" s="85"/>
      <c r="DI35" s="85" t="s">
        <v>90</v>
      </c>
      <c r="DJ35" s="84">
        <v>2</v>
      </c>
      <c r="DK35" s="83"/>
      <c r="DL35" s="109">
        <v>35</v>
      </c>
      <c r="DM35" s="109">
        <f>IFERROR(GroceryList27456148109[[#This Row],[QTY]]*GroceryList27456148109[[#This Row],[UNIT PRICE]],"")</f>
        <v>70</v>
      </c>
      <c r="DN35" s="112" t="s">
        <v>130</v>
      </c>
      <c r="DO35" s="85"/>
      <c r="DR35" s="84"/>
      <c r="DS35" s="105" t="s">
        <v>108</v>
      </c>
      <c r="DT35" s="85"/>
      <c r="DU35" s="85" t="s">
        <v>90</v>
      </c>
      <c r="DV35" s="84">
        <v>2</v>
      </c>
      <c r="DW35" s="83"/>
      <c r="DX35" s="109">
        <v>35</v>
      </c>
      <c r="DY35" s="109">
        <f>IFERROR(GroceryList2745614810911[[#This Row],[QTY]]*GroceryList2745614810911[[#This Row],[UNIT PRICE]],"")</f>
        <v>70</v>
      </c>
      <c r="DZ35" s="112" t="s">
        <v>130</v>
      </c>
      <c r="EA35" s="85"/>
      <c r="ED35" s="84"/>
      <c r="EE35" s="105" t="s">
        <v>108</v>
      </c>
      <c r="EF35" s="85"/>
      <c r="EG35" s="85" t="s">
        <v>90</v>
      </c>
      <c r="EH35" s="84">
        <v>1</v>
      </c>
      <c r="EI35" s="83"/>
      <c r="EJ35" s="109">
        <v>35</v>
      </c>
      <c r="EK35" s="109">
        <f>IFERROR(GroceryList274561481091112[[#This Row],[QTY]]*GroceryList274561481091112[[#This Row],[UNIT PRICE]],"")</f>
        <v>35</v>
      </c>
      <c r="EL35" s="112" t="s">
        <v>130</v>
      </c>
      <c r="EM35" s="85"/>
      <c r="EP35" s="84"/>
      <c r="EQ35" s="105" t="s">
        <v>108</v>
      </c>
      <c r="ER35" s="85"/>
      <c r="ES35" s="85" t="s">
        <v>90</v>
      </c>
      <c r="ET35" s="84">
        <v>0</v>
      </c>
      <c r="EU35" s="83"/>
      <c r="EV35" s="109">
        <v>35</v>
      </c>
      <c r="EW35" s="109">
        <f>IFERROR(GroceryList27456148109111213[[#This Row],[QTY]]*GroceryList27456148109111213[[#This Row],[UNIT PRICE]],"")</f>
        <v>0</v>
      </c>
      <c r="EX35" s="112" t="s">
        <v>130</v>
      </c>
      <c r="EY35" s="85"/>
      <c r="FB35" s="84"/>
      <c r="FC35" s="105" t="s">
        <v>108</v>
      </c>
      <c r="FD35" s="85"/>
      <c r="FE35" s="85" t="s">
        <v>90</v>
      </c>
      <c r="FF35" s="84">
        <v>0</v>
      </c>
      <c r="FG35" s="83"/>
      <c r="FH35" s="109">
        <v>35</v>
      </c>
      <c r="FI35" s="109">
        <f>IFERROR(GroceryList2745614810911121315[[#This Row],[QTY]]*GroceryList2745614810911121315[[#This Row],[UNIT PRICE]],"")</f>
        <v>0</v>
      </c>
      <c r="FJ35" s="112" t="s">
        <v>130</v>
      </c>
      <c r="FK35" s="85"/>
      <c r="FN35" s="84"/>
      <c r="FO35" s="105" t="s">
        <v>108</v>
      </c>
      <c r="FP35" s="85"/>
      <c r="FQ35" s="85" t="s">
        <v>90</v>
      </c>
      <c r="FR35" s="84">
        <v>0</v>
      </c>
      <c r="FS35" s="83"/>
      <c r="FT35" s="109">
        <v>35</v>
      </c>
      <c r="FU35" s="109">
        <f>IFERROR(GroceryList274561481091112131516[[#This Row],[QTY]]*GroceryList274561481091112131516[[#This Row],[UNIT PRICE]],"")</f>
        <v>0</v>
      </c>
      <c r="FV35" s="112" t="s">
        <v>130</v>
      </c>
      <c r="FW35" s="85"/>
      <c r="FZ35" s="84"/>
      <c r="GA35" s="105" t="s">
        <v>108</v>
      </c>
      <c r="GB35" s="85"/>
      <c r="GC35" s="85" t="s">
        <v>90</v>
      </c>
      <c r="GD35" s="84">
        <v>2</v>
      </c>
      <c r="GE35" s="83"/>
      <c r="GF35" s="109">
        <v>35</v>
      </c>
      <c r="GG35" s="109">
        <f>IFERROR(GroceryList274561481091112131517[[#This Row],[QTY]]*GroceryList274561481091112131517[[#This Row],[UNIT PRICE]],"")</f>
        <v>70</v>
      </c>
      <c r="GH35" s="112" t="s">
        <v>130</v>
      </c>
      <c r="GI35" s="85"/>
      <c r="GL35" s="84"/>
      <c r="GM35" s="105" t="s">
        <v>108</v>
      </c>
      <c r="GN35" s="85"/>
      <c r="GO35" s="85" t="s">
        <v>90</v>
      </c>
      <c r="GP35" s="84">
        <v>2</v>
      </c>
      <c r="GQ35" s="83"/>
      <c r="GR35" s="109">
        <v>35</v>
      </c>
      <c r="GS35" s="109">
        <f>IFERROR(GroceryList27456148109111213151718[[#This Row],[QTY]]*GroceryList27456148109111213151718[[#This Row],[UNIT PRICE]],"")</f>
        <v>70</v>
      </c>
      <c r="GT35" s="112" t="s">
        <v>130</v>
      </c>
      <c r="GU35" s="85"/>
    </row>
    <row r="36" spans="2:203" ht="30" customHeight="1" x14ac:dyDescent="0.2">
      <c r="B36" s="84"/>
      <c r="C36" s="99" t="s">
        <v>109</v>
      </c>
      <c r="D36" s="85"/>
      <c r="E36" s="85"/>
      <c r="F36" s="84"/>
      <c r="G36" s="83"/>
      <c r="H36" s="90"/>
      <c r="I36" s="90">
        <f>IFERROR(GroceryList[[#This Row],[QTY]]*GroceryList[[#This Row],[UNIT PRICE]],"")</f>
        <v>0</v>
      </c>
      <c r="J36" s="85"/>
      <c r="M36" s="84"/>
      <c r="N36" s="99" t="s">
        <v>109</v>
      </c>
      <c r="O36" s="85"/>
      <c r="P36" s="85"/>
      <c r="Q36" s="84"/>
      <c r="R36" s="83"/>
      <c r="S36" s="90"/>
      <c r="T36" s="90">
        <f>IFERROR(GroceryList2[[#This Row],[QTY]]*GroceryList2[[#This Row],[UNIT PRICE]],"")</f>
        <v>0</v>
      </c>
      <c r="U36" s="85"/>
      <c r="Y36" s="84"/>
      <c r="Z36" s="99" t="s">
        <v>109</v>
      </c>
      <c r="AA36" s="85"/>
      <c r="AB36" s="85"/>
      <c r="AC36" s="84"/>
      <c r="AD36" s="83"/>
      <c r="AE36" s="90"/>
      <c r="AF36" s="90">
        <f>IFERROR(GroceryList27[[#This Row],[QTY]]*GroceryList27[[#This Row],[UNIT PRICE]],"")</f>
        <v>0</v>
      </c>
      <c r="AG36" s="85"/>
      <c r="AM36" s="84"/>
      <c r="AN36" s="105" t="s">
        <v>109</v>
      </c>
      <c r="AO36" s="85"/>
      <c r="AP36" s="85"/>
      <c r="AQ36" s="84"/>
      <c r="AR36" s="83"/>
      <c r="AS36" s="109"/>
      <c r="AT36" s="109">
        <f>IFERROR(GroceryList274[[#This Row],[QTY]]*GroceryList274[[#This Row],[UNIT PRICE]],"")</f>
        <v>0</v>
      </c>
      <c r="AU36" s="85"/>
      <c r="AY36" s="84"/>
      <c r="AZ36" s="105" t="s">
        <v>125</v>
      </c>
      <c r="BA36" s="85"/>
      <c r="BB36" s="85"/>
      <c r="BC36" s="84">
        <v>0</v>
      </c>
      <c r="BD36" s="83"/>
      <c r="BE36" s="109"/>
      <c r="BF36" s="109">
        <f>IFERROR(GroceryList2745[[#This Row],[QTY]]*GroceryList2745[[#This Row],[UNIT PRICE]],"")</f>
        <v>0</v>
      </c>
      <c r="BG36" s="85"/>
      <c r="BJ36" s="84"/>
      <c r="BK36" s="105" t="s">
        <v>125</v>
      </c>
      <c r="BL36" s="85"/>
      <c r="BM36" s="85"/>
      <c r="BN36" s="84">
        <v>0</v>
      </c>
      <c r="BO36" s="83"/>
      <c r="BP36" s="109">
        <v>32</v>
      </c>
      <c r="BQ36" s="109">
        <f>IFERROR(GroceryList27456[[#This Row],[QTY]]*GroceryList27456[[#This Row],[UNIT PRICE]],"")</f>
        <v>0</v>
      </c>
      <c r="BR36" s="112" t="s">
        <v>130</v>
      </c>
      <c r="BS36" s="85"/>
      <c r="BV36" s="84"/>
      <c r="BW36" s="105" t="s">
        <v>125</v>
      </c>
      <c r="BX36" s="85"/>
      <c r="BY36" s="85" t="s">
        <v>90</v>
      </c>
      <c r="BZ36" s="84">
        <v>2.5</v>
      </c>
      <c r="CA36" s="83"/>
      <c r="CB36" s="109">
        <v>30</v>
      </c>
      <c r="CC36" s="109">
        <f>IFERROR(GroceryList2745614[[#This Row],[QTY]]*GroceryList2745614[[#This Row],[UNIT PRICE]],"")</f>
        <v>75</v>
      </c>
      <c r="CD36" s="112" t="s">
        <v>130</v>
      </c>
      <c r="CE36" s="85"/>
      <c r="CH36" s="84"/>
      <c r="CI36" s="105" t="s">
        <v>125</v>
      </c>
      <c r="CJ36" s="85"/>
      <c r="CK36" s="85" t="s">
        <v>90</v>
      </c>
      <c r="CL36" s="84">
        <v>2</v>
      </c>
      <c r="CM36" s="83"/>
      <c r="CN36" s="109">
        <v>30</v>
      </c>
      <c r="CO36" s="109">
        <f>IFERROR(GroceryList27456148[[#This Row],[QTY]]*GroceryList27456148[[#This Row],[UNIT PRICE]],"")</f>
        <v>60</v>
      </c>
      <c r="CP36" s="112" t="s">
        <v>130</v>
      </c>
      <c r="CQ36" s="85"/>
      <c r="CT36" s="84"/>
      <c r="CU36" s="105" t="s">
        <v>125</v>
      </c>
      <c r="CV36" s="85"/>
      <c r="CW36" s="85" t="s">
        <v>90</v>
      </c>
      <c r="CX36" s="84">
        <v>0</v>
      </c>
      <c r="CY36" s="83"/>
      <c r="CZ36" s="109">
        <v>30</v>
      </c>
      <c r="DA36" s="109">
        <f>IFERROR(GroceryList2745614810[[#This Row],[QTY]]*GroceryList2745614810[[#This Row],[UNIT PRICE]],"")</f>
        <v>0</v>
      </c>
      <c r="DB36" s="112" t="s">
        <v>130</v>
      </c>
      <c r="DC36" s="85"/>
      <c r="DF36" s="84"/>
      <c r="DG36" s="105" t="s">
        <v>125</v>
      </c>
      <c r="DH36" s="85"/>
      <c r="DI36" s="85" t="s">
        <v>90</v>
      </c>
      <c r="DJ36" s="84">
        <v>2</v>
      </c>
      <c r="DK36" s="83"/>
      <c r="DL36" s="109">
        <v>30</v>
      </c>
      <c r="DM36" s="109">
        <f>IFERROR(GroceryList27456148109[[#This Row],[QTY]]*GroceryList27456148109[[#This Row],[UNIT PRICE]],"")</f>
        <v>60</v>
      </c>
      <c r="DN36" s="112" t="s">
        <v>130</v>
      </c>
      <c r="DO36" s="85"/>
      <c r="DR36" s="84"/>
      <c r="DS36" s="105" t="s">
        <v>125</v>
      </c>
      <c r="DT36" s="85"/>
      <c r="DU36" s="85" t="s">
        <v>90</v>
      </c>
      <c r="DV36" s="84">
        <v>2</v>
      </c>
      <c r="DW36" s="83"/>
      <c r="DX36" s="109">
        <v>30</v>
      </c>
      <c r="DY36" s="109">
        <f>IFERROR(GroceryList2745614810911[[#This Row],[QTY]]*GroceryList2745614810911[[#This Row],[UNIT PRICE]],"")</f>
        <v>60</v>
      </c>
      <c r="DZ36" s="112" t="s">
        <v>130</v>
      </c>
      <c r="EA36" s="85"/>
      <c r="ED36" s="84"/>
      <c r="EE36" s="105" t="s">
        <v>125</v>
      </c>
      <c r="EF36" s="85"/>
      <c r="EG36" s="85" t="s">
        <v>90</v>
      </c>
      <c r="EH36" s="84">
        <v>3</v>
      </c>
      <c r="EI36" s="83"/>
      <c r="EJ36" s="109">
        <v>30</v>
      </c>
      <c r="EK36" s="109">
        <f>IFERROR(GroceryList274561481091112[[#This Row],[QTY]]*GroceryList274561481091112[[#This Row],[UNIT PRICE]],"")</f>
        <v>90</v>
      </c>
      <c r="EL36" s="112" t="s">
        <v>130</v>
      </c>
      <c r="EM36" s="85"/>
      <c r="EP36" s="84"/>
      <c r="EQ36" s="105" t="s">
        <v>125</v>
      </c>
      <c r="ER36" s="85"/>
      <c r="ES36" s="85" t="s">
        <v>90</v>
      </c>
      <c r="ET36" s="84">
        <v>0</v>
      </c>
      <c r="EU36" s="83"/>
      <c r="EV36" s="109">
        <v>30</v>
      </c>
      <c r="EW36" s="109">
        <f>IFERROR(GroceryList27456148109111213[[#This Row],[QTY]]*GroceryList27456148109111213[[#This Row],[UNIT PRICE]],"")</f>
        <v>0</v>
      </c>
      <c r="EX36" s="112" t="s">
        <v>130</v>
      </c>
      <c r="EY36" s="85"/>
      <c r="FB36" s="84"/>
      <c r="FC36" s="105" t="s">
        <v>125</v>
      </c>
      <c r="FD36" s="85"/>
      <c r="FE36" s="85" t="s">
        <v>90</v>
      </c>
      <c r="FF36" s="84">
        <v>0</v>
      </c>
      <c r="FG36" s="83"/>
      <c r="FH36" s="109">
        <v>30</v>
      </c>
      <c r="FI36" s="109">
        <f>IFERROR(GroceryList2745614810911121315[[#This Row],[QTY]]*GroceryList2745614810911121315[[#This Row],[UNIT PRICE]],"")</f>
        <v>0</v>
      </c>
      <c r="FJ36" s="112" t="s">
        <v>130</v>
      </c>
      <c r="FK36" s="85"/>
      <c r="FN36" s="84"/>
      <c r="FO36" s="105" t="s">
        <v>125</v>
      </c>
      <c r="FP36" s="85"/>
      <c r="FQ36" s="85" t="s">
        <v>90</v>
      </c>
      <c r="FR36" s="84">
        <v>4</v>
      </c>
      <c r="FS36" s="83"/>
      <c r="FT36" s="109">
        <v>30</v>
      </c>
      <c r="FU36" s="109">
        <f>IFERROR(GroceryList274561481091112131516[[#This Row],[QTY]]*GroceryList274561481091112131516[[#This Row],[UNIT PRICE]],"")</f>
        <v>120</v>
      </c>
      <c r="FV36" s="112" t="s">
        <v>130</v>
      </c>
      <c r="FW36" s="85"/>
      <c r="FZ36" s="84"/>
      <c r="GA36" s="105" t="s">
        <v>125</v>
      </c>
      <c r="GB36" s="85"/>
      <c r="GC36" s="85" t="s">
        <v>90</v>
      </c>
      <c r="GD36" s="84">
        <v>2</v>
      </c>
      <c r="GE36" s="83"/>
      <c r="GF36" s="109">
        <v>30</v>
      </c>
      <c r="GG36" s="109">
        <f>IFERROR(GroceryList274561481091112131517[[#This Row],[QTY]]*GroceryList274561481091112131517[[#This Row],[UNIT PRICE]],"")</f>
        <v>60</v>
      </c>
      <c r="GH36" s="112" t="s">
        <v>130</v>
      </c>
      <c r="GI36" s="85"/>
      <c r="GL36" s="84"/>
      <c r="GM36" s="105" t="s">
        <v>125</v>
      </c>
      <c r="GN36" s="85"/>
      <c r="GO36" s="85" t="s">
        <v>90</v>
      </c>
      <c r="GP36" s="84">
        <v>2</v>
      </c>
      <c r="GQ36" s="83"/>
      <c r="GR36" s="109">
        <v>30</v>
      </c>
      <c r="GS36" s="109">
        <f>IFERROR(GroceryList27456148109111213151718[[#This Row],[QTY]]*GroceryList27456148109111213151718[[#This Row],[UNIT PRICE]],"")</f>
        <v>60</v>
      </c>
      <c r="GT36" s="112" t="s">
        <v>130</v>
      </c>
      <c r="GU36" s="85"/>
    </row>
    <row r="37" spans="2:203" ht="30" customHeight="1" x14ac:dyDescent="0.2">
      <c r="B37" s="87"/>
      <c r="C37" s="99" t="s">
        <v>110</v>
      </c>
      <c r="D37" s="89"/>
      <c r="E37" s="89"/>
      <c r="F37" s="87"/>
      <c r="H37" s="90"/>
      <c r="I37" s="90">
        <f>IFERROR(GroceryList[[#This Row],[QTY]]*GroceryList[[#This Row],[UNIT PRICE]],"")</f>
        <v>0</v>
      </c>
      <c r="J37" s="89"/>
      <c r="M37" s="87"/>
      <c r="N37" s="99" t="s">
        <v>110</v>
      </c>
      <c r="O37" s="89"/>
      <c r="P37" s="89"/>
      <c r="Q37" s="87"/>
      <c r="S37" s="90"/>
      <c r="T37" s="90">
        <f>IFERROR(GroceryList2[[#This Row],[QTY]]*GroceryList2[[#This Row],[UNIT PRICE]],"")</f>
        <v>0</v>
      </c>
      <c r="U37" s="89"/>
      <c r="Y37" s="87"/>
      <c r="Z37" s="99" t="s">
        <v>110</v>
      </c>
      <c r="AA37" s="89"/>
      <c r="AB37" s="89"/>
      <c r="AC37" s="87"/>
      <c r="AE37" s="90"/>
      <c r="AF37" s="90">
        <f>IFERROR(GroceryList27[[#This Row],[QTY]]*GroceryList27[[#This Row],[UNIT PRICE]],"")</f>
        <v>0</v>
      </c>
      <c r="AG37" s="89"/>
      <c r="AM37" s="87"/>
      <c r="AN37" s="105" t="s">
        <v>110</v>
      </c>
      <c r="AO37" s="110"/>
      <c r="AP37" s="110"/>
      <c r="AQ37" s="87"/>
      <c r="AS37" s="109"/>
      <c r="AT37" s="109">
        <f>IFERROR(GroceryList274[[#This Row],[QTY]]*GroceryList274[[#This Row],[UNIT PRICE]],"")</f>
        <v>0</v>
      </c>
      <c r="AU37" s="89"/>
      <c r="AY37" s="84"/>
      <c r="AZ37" s="105" t="s">
        <v>109</v>
      </c>
      <c r="BA37" s="85"/>
      <c r="BB37" s="85"/>
      <c r="BC37" s="84">
        <v>0</v>
      </c>
      <c r="BD37" s="83"/>
      <c r="BE37" s="109"/>
      <c r="BF37" s="109">
        <f>IFERROR(GroceryList2745[[#This Row],[QTY]]*GroceryList2745[[#This Row],[UNIT PRICE]],"")</f>
        <v>0</v>
      </c>
      <c r="BG37" s="85"/>
      <c r="BJ37" s="84"/>
      <c r="BK37" s="105" t="s">
        <v>109</v>
      </c>
      <c r="BL37" s="85"/>
      <c r="BM37" s="85"/>
      <c r="BN37" s="84">
        <v>0</v>
      </c>
      <c r="BO37" s="83"/>
      <c r="BP37" s="109"/>
      <c r="BQ37" s="109">
        <f>IFERROR(GroceryList27456[[#This Row],[QTY]]*GroceryList27456[[#This Row],[UNIT PRICE]],"")</f>
        <v>0</v>
      </c>
      <c r="BR37" s="112" t="s">
        <v>169</v>
      </c>
      <c r="BS37" s="85"/>
      <c r="BV37" s="84"/>
      <c r="BW37" s="105" t="s">
        <v>109</v>
      </c>
      <c r="BX37" s="85"/>
      <c r="BY37" s="85"/>
      <c r="BZ37" s="84">
        <v>0</v>
      </c>
      <c r="CA37" s="83"/>
      <c r="CB37" s="109"/>
      <c r="CC37" s="109">
        <f>IFERROR(GroceryList2745614[[#This Row],[QTY]]*GroceryList2745614[[#This Row],[UNIT PRICE]],"")</f>
        <v>0</v>
      </c>
      <c r="CD37" s="112" t="s">
        <v>169</v>
      </c>
      <c r="CE37" s="85"/>
      <c r="CH37" s="84"/>
      <c r="CI37" s="105" t="s">
        <v>109</v>
      </c>
      <c r="CJ37" s="85"/>
      <c r="CK37" s="85"/>
      <c r="CL37" s="84">
        <v>0</v>
      </c>
      <c r="CM37" s="83"/>
      <c r="CN37" s="109"/>
      <c r="CO37" s="109">
        <f>IFERROR(GroceryList27456148[[#This Row],[QTY]]*GroceryList27456148[[#This Row],[UNIT PRICE]],"")</f>
        <v>0</v>
      </c>
      <c r="CP37" s="112" t="s">
        <v>169</v>
      </c>
      <c r="CQ37" s="85"/>
      <c r="CT37" s="84"/>
      <c r="CU37" s="105" t="s">
        <v>109</v>
      </c>
      <c r="CV37" s="85"/>
      <c r="CW37" s="85"/>
      <c r="CX37" s="84">
        <v>0</v>
      </c>
      <c r="CY37" s="83"/>
      <c r="CZ37" s="109"/>
      <c r="DA37" s="109">
        <f>IFERROR(GroceryList2745614810[[#This Row],[QTY]]*GroceryList2745614810[[#This Row],[UNIT PRICE]],"")</f>
        <v>0</v>
      </c>
      <c r="DB37" s="112" t="s">
        <v>169</v>
      </c>
      <c r="DC37" s="85"/>
      <c r="DF37" s="84"/>
      <c r="DG37" s="105" t="s">
        <v>109</v>
      </c>
      <c r="DH37" s="85"/>
      <c r="DI37" s="85"/>
      <c r="DJ37" s="84">
        <v>0</v>
      </c>
      <c r="DK37" s="83"/>
      <c r="DL37" s="109"/>
      <c r="DM37" s="109">
        <f>IFERROR(GroceryList27456148109[[#This Row],[QTY]]*GroceryList27456148109[[#This Row],[UNIT PRICE]],"")</f>
        <v>0</v>
      </c>
      <c r="DN37" s="112" t="s">
        <v>169</v>
      </c>
      <c r="DO37" s="85"/>
      <c r="DR37" s="84"/>
      <c r="DS37" s="105" t="s">
        <v>109</v>
      </c>
      <c r="DT37" s="85"/>
      <c r="DU37" s="85"/>
      <c r="DV37" s="84">
        <v>0</v>
      </c>
      <c r="DW37" s="83"/>
      <c r="DX37" s="109"/>
      <c r="DY37" s="109">
        <f>IFERROR(GroceryList2745614810911[[#This Row],[QTY]]*GroceryList2745614810911[[#This Row],[UNIT PRICE]],"")</f>
        <v>0</v>
      </c>
      <c r="DZ37" s="112" t="s">
        <v>169</v>
      </c>
      <c r="EA37" s="85"/>
      <c r="ED37" s="84"/>
      <c r="EE37" s="105" t="s">
        <v>222</v>
      </c>
      <c r="EF37" s="85" t="s">
        <v>134</v>
      </c>
      <c r="EG37" s="85" t="s">
        <v>92</v>
      </c>
      <c r="EH37" s="84">
        <v>1</v>
      </c>
      <c r="EI37" s="83"/>
      <c r="EJ37" s="109">
        <v>28.02</v>
      </c>
      <c r="EK37" s="109">
        <f>IFERROR(GroceryList274561481091112[[#This Row],[QTY]]*GroceryList274561481091112[[#This Row],[UNIT PRICE]],"")</f>
        <v>28.02</v>
      </c>
      <c r="EL37" s="112" t="s">
        <v>169</v>
      </c>
      <c r="EM37" s="85">
        <v>29.49</v>
      </c>
      <c r="EP37" s="84"/>
      <c r="EQ37" s="105" t="s">
        <v>222</v>
      </c>
      <c r="ER37" s="85" t="s">
        <v>134</v>
      </c>
      <c r="ES37" s="85" t="s">
        <v>92</v>
      </c>
      <c r="ET37" s="84">
        <v>0</v>
      </c>
      <c r="EU37" s="83"/>
      <c r="EV37" s="109">
        <v>28.02</v>
      </c>
      <c r="EW37" s="109">
        <f>IFERROR(GroceryList27456148109111213[[#This Row],[QTY]]*GroceryList27456148109111213[[#This Row],[UNIT PRICE]],"")</f>
        <v>0</v>
      </c>
      <c r="EX37" s="112" t="s">
        <v>169</v>
      </c>
      <c r="EY37" s="85">
        <v>29.49</v>
      </c>
      <c r="FB37" s="84"/>
      <c r="FC37" s="105" t="s">
        <v>222</v>
      </c>
      <c r="FD37" s="85" t="s">
        <v>134</v>
      </c>
      <c r="FE37" s="85" t="s">
        <v>92</v>
      </c>
      <c r="FF37" s="84">
        <v>0</v>
      </c>
      <c r="FG37" s="83"/>
      <c r="FH37" s="109">
        <v>28.02</v>
      </c>
      <c r="FI37" s="109">
        <f>IFERROR(GroceryList2745614810911121315[[#This Row],[QTY]]*GroceryList2745614810911121315[[#This Row],[UNIT PRICE]],"")</f>
        <v>0</v>
      </c>
      <c r="FJ37" s="112" t="s">
        <v>169</v>
      </c>
      <c r="FK37" s="85">
        <v>29.49</v>
      </c>
      <c r="FN37" s="84"/>
      <c r="FO37" s="105" t="s">
        <v>222</v>
      </c>
      <c r="FP37" s="85" t="s">
        <v>134</v>
      </c>
      <c r="FQ37" s="85" t="s">
        <v>92</v>
      </c>
      <c r="FR37" s="84">
        <v>0</v>
      </c>
      <c r="FS37" s="83"/>
      <c r="FT37" s="109">
        <v>28.02</v>
      </c>
      <c r="FU37" s="109">
        <f>IFERROR(GroceryList274561481091112131516[[#This Row],[QTY]]*GroceryList274561481091112131516[[#This Row],[UNIT PRICE]],"")</f>
        <v>0</v>
      </c>
      <c r="FV37" s="112" t="s">
        <v>169</v>
      </c>
      <c r="FW37" s="85">
        <v>29.49</v>
      </c>
      <c r="FZ37" s="84"/>
      <c r="GA37" s="105" t="s">
        <v>222</v>
      </c>
      <c r="GB37" s="85" t="s">
        <v>134</v>
      </c>
      <c r="GC37" s="85" t="s">
        <v>92</v>
      </c>
      <c r="GD37" s="84">
        <v>1</v>
      </c>
      <c r="GE37" s="83"/>
      <c r="GF37" s="109">
        <v>24.49</v>
      </c>
      <c r="GG37" s="109">
        <f>IFERROR(GroceryList274561481091112131517[[#This Row],[QTY]]*GroceryList274561481091112131517[[#This Row],[UNIT PRICE]],"")</f>
        <v>24.49</v>
      </c>
      <c r="GH37" s="112" t="s">
        <v>169</v>
      </c>
      <c r="GI37" s="85">
        <v>29.49</v>
      </c>
      <c r="GL37" s="84"/>
      <c r="GM37" s="105" t="s">
        <v>222</v>
      </c>
      <c r="GN37" s="85" t="s">
        <v>134</v>
      </c>
      <c r="GO37" s="85" t="s">
        <v>92</v>
      </c>
      <c r="GP37" s="84">
        <v>1</v>
      </c>
      <c r="GQ37" s="83"/>
      <c r="GR37" s="109">
        <v>24.49</v>
      </c>
      <c r="GS37" s="109">
        <f>IFERROR(GroceryList27456148109111213151718[[#This Row],[QTY]]*GroceryList27456148109111213151718[[#This Row],[UNIT PRICE]],"")</f>
        <v>24.49</v>
      </c>
      <c r="GT37" s="112" t="s">
        <v>169</v>
      </c>
      <c r="GU37" s="85">
        <v>29.49</v>
      </c>
    </row>
    <row r="38" spans="2:203" ht="30" customHeight="1" x14ac:dyDescent="0.2">
      <c r="B38" s="87"/>
      <c r="C38" s="99" t="s">
        <v>111</v>
      </c>
      <c r="D38" s="89" t="s">
        <v>150</v>
      </c>
      <c r="E38" s="89" t="s">
        <v>92</v>
      </c>
      <c r="F38" s="87">
        <v>1</v>
      </c>
      <c r="H38" s="90">
        <v>45</v>
      </c>
      <c r="I38" s="90">
        <f>IFERROR(GroceryList[[#This Row],[QTY]]*GroceryList[[#This Row],[UNIT PRICE]],"")</f>
        <v>45</v>
      </c>
      <c r="J38" s="89"/>
      <c r="M38" s="87"/>
      <c r="N38" s="99" t="s">
        <v>111</v>
      </c>
      <c r="O38" s="89" t="s">
        <v>150</v>
      </c>
      <c r="P38" s="89" t="s">
        <v>92</v>
      </c>
      <c r="Q38" s="87"/>
      <c r="S38" s="90">
        <v>45</v>
      </c>
      <c r="T38" s="90">
        <f>IFERROR(GroceryList2[[#This Row],[QTY]]*GroceryList2[[#This Row],[UNIT PRICE]],"")</f>
        <v>0</v>
      </c>
      <c r="U38" s="89"/>
      <c r="Y38" s="87" t="s">
        <v>130</v>
      </c>
      <c r="Z38" s="99" t="s">
        <v>111</v>
      </c>
      <c r="AA38" s="89" t="s">
        <v>150</v>
      </c>
      <c r="AB38" s="89" t="s">
        <v>92</v>
      </c>
      <c r="AC38" s="87">
        <v>1</v>
      </c>
      <c r="AE38" s="90">
        <v>45</v>
      </c>
      <c r="AF38" s="90">
        <f>IFERROR(GroceryList27[[#This Row],[QTY]]*GroceryList27[[#This Row],[UNIT PRICE]],"")</f>
        <v>45</v>
      </c>
      <c r="AG38" s="89"/>
      <c r="AM38" s="87" t="s">
        <v>130</v>
      </c>
      <c r="AN38" s="105" t="s">
        <v>111</v>
      </c>
      <c r="AO38" s="110" t="s">
        <v>150</v>
      </c>
      <c r="AP38" s="110" t="s">
        <v>92</v>
      </c>
      <c r="AQ38" s="87">
        <v>1</v>
      </c>
      <c r="AS38" s="109">
        <v>45</v>
      </c>
      <c r="AT38" s="109">
        <f>IFERROR(GroceryList274[[#This Row],[QTY]]*GroceryList274[[#This Row],[UNIT PRICE]],"")</f>
        <v>45</v>
      </c>
      <c r="AU38" s="89"/>
      <c r="AY38" s="87"/>
      <c r="AZ38" s="105" t="s">
        <v>110</v>
      </c>
      <c r="BA38" s="110"/>
      <c r="BB38" s="110"/>
      <c r="BC38" s="84">
        <v>0</v>
      </c>
      <c r="BE38" s="109"/>
      <c r="BF38" s="109">
        <f>IFERROR(GroceryList2745[[#This Row],[QTY]]*GroceryList2745[[#This Row],[UNIT PRICE]],"")</f>
        <v>0</v>
      </c>
      <c r="BG38" s="89"/>
      <c r="BJ38" s="87"/>
      <c r="BK38" s="105" t="s">
        <v>110</v>
      </c>
      <c r="BL38" s="110"/>
      <c r="BM38" s="110"/>
      <c r="BN38" s="84">
        <v>0</v>
      </c>
      <c r="BP38" s="109"/>
      <c r="BQ38" s="109">
        <f>IFERROR(GroceryList27456[[#This Row],[QTY]]*GroceryList27456[[#This Row],[UNIT PRICE]],"")</f>
        <v>0</v>
      </c>
      <c r="BR38" s="105" t="s">
        <v>169</v>
      </c>
      <c r="BS38" s="89"/>
      <c r="BV38" s="87"/>
      <c r="BW38" s="105" t="s">
        <v>110</v>
      </c>
      <c r="BX38" s="110"/>
      <c r="BY38" s="110"/>
      <c r="BZ38" s="84">
        <v>0</v>
      </c>
      <c r="CB38" s="109"/>
      <c r="CC38" s="109">
        <f>IFERROR(GroceryList2745614[[#This Row],[QTY]]*GroceryList2745614[[#This Row],[UNIT PRICE]],"")</f>
        <v>0</v>
      </c>
      <c r="CD38" s="105" t="s">
        <v>169</v>
      </c>
      <c r="CE38" s="89"/>
      <c r="CH38" s="87"/>
      <c r="CI38" s="105" t="s">
        <v>110</v>
      </c>
      <c r="CJ38" s="110"/>
      <c r="CK38" s="110"/>
      <c r="CL38" s="84">
        <v>0</v>
      </c>
      <c r="CN38" s="109"/>
      <c r="CO38" s="109">
        <f>IFERROR(GroceryList27456148[[#This Row],[QTY]]*GroceryList27456148[[#This Row],[UNIT PRICE]],"")</f>
        <v>0</v>
      </c>
      <c r="CP38" s="105" t="s">
        <v>169</v>
      </c>
      <c r="CQ38" s="89"/>
      <c r="CT38" s="87"/>
      <c r="CU38" s="105" t="s">
        <v>172</v>
      </c>
      <c r="CV38" s="110"/>
      <c r="CW38" s="110"/>
      <c r="CX38" s="84">
        <v>0</v>
      </c>
      <c r="CZ38" s="109"/>
      <c r="DA38" s="109">
        <f>IFERROR(GroceryList2745614810[[#This Row],[QTY]]*GroceryList2745614810[[#This Row],[UNIT PRICE]],"")</f>
        <v>0</v>
      </c>
      <c r="DB38" s="105" t="s">
        <v>169</v>
      </c>
      <c r="DC38" s="89"/>
      <c r="DF38" s="87"/>
      <c r="DG38" s="105" t="s">
        <v>110</v>
      </c>
      <c r="DH38" s="110"/>
      <c r="DI38" s="110"/>
      <c r="DJ38" s="84">
        <v>0</v>
      </c>
      <c r="DL38" s="109"/>
      <c r="DM38" s="109">
        <f>IFERROR(GroceryList27456148109[[#This Row],[QTY]]*GroceryList27456148109[[#This Row],[UNIT PRICE]],"")</f>
        <v>0</v>
      </c>
      <c r="DN38" s="105" t="s">
        <v>169</v>
      </c>
      <c r="DO38" s="89"/>
      <c r="DR38" s="87"/>
      <c r="DS38" s="105" t="s">
        <v>110</v>
      </c>
      <c r="DT38" s="110"/>
      <c r="DU38" s="110"/>
      <c r="DV38" s="84">
        <v>0</v>
      </c>
      <c r="DX38" s="109"/>
      <c r="DY38" s="109">
        <f>IFERROR(GroceryList2745614810911[[#This Row],[QTY]]*GroceryList2745614810911[[#This Row],[UNIT PRICE]],"")</f>
        <v>0</v>
      </c>
      <c r="DZ38" s="105" t="s">
        <v>169</v>
      </c>
      <c r="EA38" s="89"/>
      <c r="ED38" s="87"/>
      <c r="EE38" s="105" t="s">
        <v>172</v>
      </c>
      <c r="EF38" s="110" t="s">
        <v>134</v>
      </c>
      <c r="EG38" s="110" t="s">
        <v>92</v>
      </c>
      <c r="EH38" s="84">
        <v>5</v>
      </c>
      <c r="EJ38" s="109">
        <v>9.016</v>
      </c>
      <c r="EK38" s="109">
        <f>IFERROR(GroceryList274561481091112[[#This Row],[QTY]]*GroceryList274561481091112[[#This Row],[UNIT PRICE]],"")</f>
        <v>45.08</v>
      </c>
      <c r="EL38" s="105" t="s">
        <v>169</v>
      </c>
      <c r="EM38" s="89">
        <v>9.5</v>
      </c>
      <c r="EP38" s="87"/>
      <c r="EQ38" s="105" t="s">
        <v>172</v>
      </c>
      <c r="ER38" s="110" t="s">
        <v>134</v>
      </c>
      <c r="ES38" s="110" t="s">
        <v>92</v>
      </c>
      <c r="ET38" s="84">
        <v>0</v>
      </c>
      <c r="EV38" s="109">
        <v>9.016</v>
      </c>
      <c r="EW38" s="109">
        <f>IFERROR(GroceryList27456148109111213[[#This Row],[QTY]]*GroceryList27456148109111213[[#This Row],[UNIT PRICE]],"")</f>
        <v>0</v>
      </c>
      <c r="EX38" s="105" t="s">
        <v>169</v>
      </c>
      <c r="EY38" s="89">
        <v>9.5</v>
      </c>
      <c r="FB38" s="87"/>
      <c r="FC38" s="105" t="s">
        <v>172</v>
      </c>
      <c r="FD38" s="110" t="s">
        <v>134</v>
      </c>
      <c r="FE38" s="110" t="s">
        <v>92</v>
      </c>
      <c r="FF38" s="84">
        <v>6</v>
      </c>
      <c r="FH38" s="109">
        <v>9.7667000000000002</v>
      </c>
      <c r="FI38" s="109">
        <f>IFERROR(GroceryList2745614810911121315[[#This Row],[QTY]]*GroceryList2745614810911121315[[#This Row],[UNIT PRICE]],"")</f>
        <v>58.600200000000001</v>
      </c>
      <c r="FJ38" s="105" t="s">
        <v>169</v>
      </c>
      <c r="FK38" s="89">
        <v>11.49</v>
      </c>
      <c r="FN38" s="87"/>
      <c r="FO38" s="105" t="s">
        <v>172</v>
      </c>
      <c r="FP38" s="110" t="s">
        <v>134</v>
      </c>
      <c r="FQ38" s="110" t="s">
        <v>92</v>
      </c>
      <c r="FR38" s="84">
        <v>0</v>
      </c>
      <c r="FT38" s="109">
        <v>9.016</v>
      </c>
      <c r="FU38" s="109">
        <f>IFERROR(GroceryList274561481091112131516[[#This Row],[QTY]]*GroceryList274561481091112131516[[#This Row],[UNIT PRICE]],"")</f>
        <v>0</v>
      </c>
      <c r="FV38" s="105" t="s">
        <v>169</v>
      </c>
      <c r="FW38" s="89">
        <v>9.5</v>
      </c>
      <c r="FZ38" s="87"/>
      <c r="GA38" s="105" t="s">
        <v>172</v>
      </c>
      <c r="GB38" s="110" t="s">
        <v>134</v>
      </c>
      <c r="GC38" s="110" t="s">
        <v>92</v>
      </c>
      <c r="GD38" s="84">
        <v>6</v>
      </c>
      <c r="GF38" s="109">
        <v>7.99</v>
      </c>
      <c r="GG38" s="109">
        <f>IFERROR(GroceryList274561481091112131517[[#This Row],[QTY]]*GroceryList274561481091112131517[[#This Row],[UNIT PRICE]],"")</f>
        <v>47.94</v>
      </c>
      <c r="GH38" s="105" t="s">
        <v>169</v>
      </c>
      <c r="GI38" s="89">
        <v>11.49</v>
      </c>
      <c r="GL38" s="87"/>
      <c r="GM38" s="105" t="s">
        <v>172</v>
      </c>
      <c r="GN38" s="110" t="s">
        <v>134</v>
      </c>
      <c r="GO38" s="110" t="s">
        <v>92</v>
      </c>
      <c r="GP38" s="84">
        <v>10</v>
      </c>
      <c r="GR38" s="109">
        <v>7.99</v>
      </c>
      <c r="GS38" s="109">
        <f>IFERROR(GroceryList27456148109111213151718[[#This Row],[QTY]]*GroceryList27456148109111213151718[[#This Row],[UNIT PRICE]],"")</f>
        <v>79.900000000000006</v>
      </c>
      <c r="GT38" s="105" t="s">
        <v>169</v>
      </c>
      <c r="GU38" s="89">
        <v>11.49</v>
      </c>
    </row>
    <row r="39" spans="2:203" ht="30" hidden="1" customHeight="1" x14ac:dyDescent="0.2">
      <c r="B39" s="87"/>
      <c r="C39" s="99" t="s">
        <v>124</v>
      </c>
      <c r="D39" s="89" t="s">
        <v>134</v>
      </c>
      <c r="E39" s="89" t="s">
        <v>89</v>
      </c>
      <c r="F39" s="87">
        <v>1</v>
      </c>
      <c r="H39" s="90">
        <v>27</v>
      </c>
      <c r="I39" s="90">
        <f>IFERROR(GroceryList[[#This Row],[QTY]]*GroceryList[[#This Row],[UNIT PRICE]],"")</f>
        <v>27</v>
      </c>
      <c r="J39" s="89"/>
      <c r="M39" s="87"/>
      <c r="N39" s="99" t="s">
        <v>124</v>
      </c>
      <c r="O39" s="89" t="s">
        <v>134</v>
      </c>
      <c r="P39" s="89" t="s">
        <v>89</v>
      </c>
      <c r="Q39" s="87"/>
      <c r="S39" s="90">
        <v>27</v>
      </c>
      <c r="T39" s="90">
        <f>IFERROR(GroceryList2[[#This Row],[QTY]]*GroceryList2[[#This Row],[UNIT PRICE]],"")</f>
        <v>0</v>
      </c>
      <c r="U39" s="89"/>
      <c r="Y39" s="87"/>
      <c r="Z39" s="99" t="s">
        <v>124</v>
      </c>
      <c r="AA39" s="89" t="s">
        <v>134</v>
      </c>
      <c r="AB39" s="89" t="s">
        <v>89</v>
      </c>
      <c r="AC39" s="87"/>
      <c r="AE39" s="90">
        <v>27</v>
      </c>
      <c r="AF39" s="90">
        <f>IFERROR(GroceryList27[[#This Row],[QTY]]*GroceryList27[[#This Row],[UNIT PRICE]],"")</f>
        <v>0</v>
      </c>
      <c r="AG39" s="89"/>
      <c r="AM39" s="87"/>
      <c r="AN39" s="105" t="s">
        <v>124</v>
      </c>
      <c r="AO39" s="110" t="s">
        <v>134</v>
      </c>
      <c r="AP39" s="110" t="s">
        <v>89</v>
      </c>
      <c r="AQ39" s="87"/>
      <c r="AS39" s="109">
        <v>27</v>
      </c>
      <c r="AT39" s="109">
        <f>IFERROR(GroceryList274[[#This Row],[QTY]]*GroceryList274[[#This Row],[UNIT PRICE]],"")</f>
        <v>0</v>
      </c>
      <c r="AU39" s="89"/>
      <c r="AY39" s="87" t="s">
        <v>130</v>
      </c>
      <c r="AZ39" s="105" t="s">
        <v>117</v>
      </c>
      <c r="BA39" s="110"/>
      <c r="BB39" s="110" t="s">
        <v>92</v>
      </c>
      <c r="BC39" s="84">
        <v>1</v>
      </c>
      <c r="BE39" s="109">
        <v>45.99</v>
      </c>
      <c r="BF39" s="109">
        <f>IFERROR(GroceryList2745[[#This Row],[QTY]]*GroceryList2745[[#This Row],[UNIT PRICE]],"")</f>
        <v>45.99</v>
      </c>
      <c r="BG39" s="89"/>
      <c r="BJ39" s="87" t="s">
        <v>130</v>
      </c>
      <c r="BK39" s="105" t="s">
        <v>117</v>
      </c>
      <c r="BL39" s="110"/>
      <c r="BM39" s="110" t="s">
        <v>92</v>
      </c>
      <c r="BN39" s="84">
        <v>0</v>
      </c>
      <c r="BP39" s="109">
        <v>45.99</v>
      </c>
      <c r="BQ39" s="109">
        <f>IFERROR(GroceryList27456[[#This Row],[QTY]]*GroceryList27456[[#This Row],[UNIT PRICE]],"")</f>
        <v>0</v>
      </c>
      <c r="BR39" s="105" t="s">
        <v>169</v>
      </c>
      <c r="BS39" s="89"/>
      <c r="BV39" s="87" t="s">
        <v>130</v>
      </c>
      <c r="BW39" s="105" t="s">
        <v>117</v>
      </c>
      <c r="BX39" s="110"/>
      <c r="BY39" s="110" t="s">
        <v>92</v>
      </c>
      <c r="BZ39" s="84">
        <v>0</v>
      </c>
      <c r="CB39" s="109">
        <v>45.99</v>
      </c>
      <c r="CC39" s="109">
        <f>IFERROR(GroceryList2745614[[#This Row],[QTY]]*GroceryList2745614[[#This Row],[UNIT PRICE]],"")</f>
        <v>0</v>
      </c>
      <c r="CD39" s="105" t="s">
        <v>169</v>
      </c>
      <c r="CE39" s="89"/>
      <c r="CH39" s="87" t="s">
        <v>130</v>
      </c>
      <c r="CI39" s="105" t="s">
        <v>117</v>
      </c>
      <c r="CJ39" s="110"/>
      <c r="CK39" s="110" t="s">
        <v>92</v>
      </c>
      <c r="CL39" s="84">
        <v>1</v>
      </c>
      <c r="CN39" s="109">
        <v>53.59</v>
      </c>
      <c r="CO39" s="109">
        <f>IFERROR(GroceryList27456148[[#This Row],[QTY]]*GroceryList27456148[[#This Row],[UNIT PRICE]],"")</f>
        <v>53.59</v>
      </c>
      <c r="CP39" s="105" t="s">
        <v>130</v>
      </c>
      <c r="CQ39" s="89">
        <v>66.989999999999995</v>
      </c>
      <c r="CT39" s="87" t="s">
        <v>130</v>
      </c>
      <c r="CU39" s="105" t="s">
        <v>117</v>
      </c>
      <c r="CV39" s="110"/>
      <c r="CW39" s="110" t="s">
        <v>92</v>
      </c>
      <c r="CX39" s="84">
        <v>0</v>
      </c>
      <c r="CZ39" s="109">
        <v>53.59</v>
      </c>
      <c r="DA39" s="109">
        <f>IFERROR(GroceryList2745614810[[#This Row],[QTY]]*GroceryList2745614810[[#This Row],[UNIT PRICE]],"")</f>
        <v>0</v>
      </c>
      <c r="DB39" s="105" t="s">
        <v>130</v>
      </c>
      <c r="DC39" s="89">
        <v>66.989999999999995</v>
      </c>
      <c r="DF39" s="87" t="s">
        <v>130</v>
      </c>
      <c r="DG39" s="105" t="s">
        <v>117</v>
      </c>
      <c r="DH39" s="110"/>
      <c r="DI39" s="110" t="s">
        <v>92</v>
      </c>
      <c r="DJ39" s="84">
        <v>0</v>
      </c>
      <c r="DL39" s="109">
        <v>53.59</v>
      </c>
      <c r="DM39" s="109">
        <f>IFERROR(GroceryList27456148109[[#This Row],[QTY]]*GroceryList27456148109[[#This Row],[UNIT PRICE]],"")</f>
        <v>0</v>
      </c>
      <c r="DN39" s="105" t="s">
        <v>130</v>
      </c>
      <c r="DO39" s="89">
        <v>66.989999999999995</v>
      </c>
      <c r="DR39" s="87" t="s">
        <v>130</v>
      </c>
      <c r="DS39" s="105" t="s">
        <v>117</v>
      </c>
      <c r="DT39" s="110"/>
      <c r="DU39" s="110" t="s">
        <v>92</v>
      </c>
      <c r="DV39" s="84">
        <v>0</v>
      </c>
      <c r="DX39" s="109">
        <v>53.59</v>
      </c>
      <c r="DY39" s="109">
        <f>IFERROR(GroceryList2745614810911[[#This Row],[QTY]]*GroceryList2745614810911[[#This Row],[UNIT PRICE]],"")</f>
        <v>0</v>
      </c>
      <c r="DZ39" s="105" t="s">
        <v>130</v>
      </c>
      <c r="EA39" s="89">
        <v>66.989999999999995</v>
      </c>
      <c r="ED39" s="87" t="s">
        <v>130</v>
      </c>
      <c r="EE39" s="105" t="s">
        <v>117</v>
      </c>
      <c r="EF39" s="110" t="s">
        <v>134</v>
      </c>
      <c r="EG39" s="110" t="s">
        <v>92</v>
      </c>
      <c r="EH39" s="84">
        <v>1</v>
      </c>
      <c r="EJ39" s="109">
        <v>39.42</v>
      </c>
      <c r="EK39" s="109">
        <f>IFERROR(GroceryList274561481091112[[#This Row],[QTY]]*GroceryList274561481091112[[#This Row],[UNIT PRICE]],"")</f>
        <v>39.42</v>
      </c>
      <c r="EL39" s="105" t="s">
        <v>130</v>
      </c>
      <c r="EM39" s="89">
        <v>41.49</v>
      </c>
      <c r="EP39" s="87" t="s">
        <v>130</v>
      </c>
      <c r="EQ39" s="105" t="s">
        <v>117</v>
      </c>
      <c r="ER39" s="110" t="s">
        <v>134</v>
      </c>
      <c r="ES39" s="110" t="s">
        <v>92</v>
      </c>
      <c r="ET39" s="84">
        <v>0</v>
      </c>
      <c r="EV39" s="109">
        <v>39.42</v>
      </c>
      <c r="EW39" s="109">
        <f>IFERROR(GroceryList27456148109111213[[#This Row],[QTY]]*GroceryList27456148109111213[[#This Row],[UNIT PRICE]],"")</f>
        <v>0</v>
      </c>
      <c r="EX39" s="105" t="s">
        <v>130</v>
      </c>
      <c r="EY39" s="89">
        <v>41.49</v>
      </c>
      <c r="FB39" s="87" t="s">
        <v>130</v>
      </c>
      <c r="FC39" s="105" t="s">
        <v>117</v>
      </c>
      <c r="FD39" s="110" t="s">
        <v>134</v>
      </c>
      <c r="FE39" s="110" t="s">
        <v>92</v>
      </c>
      <c r="FF39" s="84">
        <v>0</v>
      </c>
      <c r="FH39" s="109">
        <v>39.42</v>
      </c>
      <c r="FI39" s="109">
        <f>IFERROR(GroceryList2745614810911121315[[#This Row],[QTY]]*GroceryList2745614810911121315[[#This Row],[UNIT PRICE]],"")</f>
        <v>0</v>
      </c>
      <c r="FJ39" s="105" t="s">
        <v>130</v>
      </c>
      <c r="FK39" s="89">
        <v>41.49</v>
      </c>
      <c r="FN39" s="87" t="s">
        <v>130</v>
      </c>
      <c r="FO39" s="105" t="s">
        <v>117</v>
      </c>
      <c r="FP39" s="110" t="s">
        <v>134</v>
      </c>
      <c r="FQ39" s="110" t="s">
        <v>92</v>
      </c>
      <c r="FR39" s="84">
        <v>0</v>
      </c>
      <c r="FT39" s="109">
        <v>39.42</v>
      </c>
      <c r="FU39" s="109">
        <f>IFERROR(GroceryList274561481091112131516[[#This Row],[QTY]]*GroceryList274561481091112131516[[#This Row],[UNIT PRICE]],"")</f>
        <v>0</v>
      </c>
      <c r="FV39" s="105" t="s">
        <v>130</v>
      </c>
      <c r="FW39" s="89">
        <v>41.49</v>
      </c>
      <c r="FZ39" s="87" t="s">
        <v>130</v>
      </c>
      <c r="GA39" s="105" t="s">
        <v>117</v>
      </c>
      <c r="GB39" s="110" t="s">
        <v>134</v>
      </c>
      <c r="GC39" s="110" t="s">
        <v>92</v>
      </c>
      <c r="GD39" s="84">
        <v>0</v>
      </c>
      <c r="GF39" s="109">
        <v>39.42</v>
      </c>
      <c r="GG39" s="109">
        <f>IFERROR(GroceryList274561481091112131517[[#This Row],[QTY]]*GroceryList274561481091112131517[[#This Row],[UNIT PRICE]],"")</f>
        <v>0</v>
      </c>
      <c r="GH39" s="105" t="s">
        <v>130</v>
      </c>
      <c r="GI39" s="89">
        <v>41.49</v>
      </c>
      <c r="GL39" s="87" t="s">
        <v>130</v>
      </c>
      <c r="GM39" s="105" t="s">
        <v>117</v>
      </c>
      <c r="GN39" s="110" t="s">
        <v>134</v>
      </c>
      <c r="GO39" s="110" t="s">
        <v>92</v>
      </c>
      <c r="GP39" s="84">
        <v>1</v>
      </c>
      <c r="GR39" s="109">
        <v>39.42</v>
      </c>
      <c r="GS39" s="109">
        <f>IFERROR(GroceryList27456148109111213151718[[#This Row],[QTY]]*GroceryList27456148109111213151718[[#This Row],[UNIT PRICE]],"")</f>
        <v>39.42</v>
      </c>
      <c r="GT39" s="105" t="s">
        <v>130</v>
      </c>
      <c r="GU39" s="89">
        <v>41.49</v>
      </c>
    </row>
    <row r="40" spans="2:203" ht="30" hidden="1" customHeight="1" x14ac:dyDescent="0.2">
      <c r="B40" s="87"/>
      <c r="C40" s="99" t="s">
        <v>112</v>
      </c>
      <c r="D40" s="89" t="s">
        <v>134</v>
      </c>
      <c r="E40" s="89" t="s">
        <v>91</v>
      </c>
      <c r="F40" s="87">
        <v>1</v>
      </c>
      <c r="H40" s="90">
        <v>23.74</v>
      </c>
      <c r="I40" s="90">
        <f>IFERROR(GroceryList[[#This Row],[QTY]]*GroceryList[[#This Row],[UNIT PRICE]],"")</f>
        <v>23.74</v>
      </c>
      <c r="J40" s="89"/>
      <c r="M40" s="87"/>
      <c r="N40" s="99" t="s">
        <v>112</v>
      </c>
      <c r="O40" s="89" t="s">
        <v>134</v>
      </c>
      <c r="P40" s="89" t="s">
        <v>91</v>
      </c>
      <c r="Q40" s="87"/>
      <c r="S40" s="90">
        <v>23.74</v>
      </c>
      <c r="T40" s="90">
        <f>IFERROR(GroceryList2[[#This Row],[QTY]]*GroceryList2[[#This Row],[UNIT PRICE]],"")</f>
        <v>0</v>
      </c>
      <c r="U40" s="89"/>
      <c r="Y40" s="87" t="s">
        <v>130</v>
      </c>
      <c r="Z40" s="99" t="s">
        <v>112</v>
      </c>
      <c r="AA40" s="89" t="s">
        <v>134</v>
      </c>
      <c r="AB40" s="89" t="s">
        <v>91</v>
      </c>
      <c r="AC40" s="87">
        <v>1</v>
      </c>
      <c r="AE40" s="90">
        <v>23.74</v>
      </c>
      <c r="AF40" s="90">
        <f>IFERROR(GroceryList27[[#This Row],[QTY]]*GroceryList27[[#This Row],[UNIT PRICE]],"")</f>
        <v>23.74</v>
      </c>
      <c r="AG40" s="89"/>
      <c r="AM40" s="87" t="s">
        <v>130</v>
      </c>
      <c r="AN40" s="105" t="s">
        <v>112</v>
      </c>
      <c r="AO40" s="110" t="s">
        <v>134</v>
      </c>
      <c r="AP40" s="110" t="s">
        <v>91</v>
      </c>
      <c r="AQ40" s="87">
        <v>1</v>
      </c>
      <c r="AS40" s="109">
        <v>23.74</v>
      </c>
      <c r="AT40" s="109">
        <f>IFERROR(GroceryList274[[#This Row],[QTY]]*GroceryList274[[#This Row],[UNIT PRICE]],"")</f>
        <v>23.74</v>
      </c>
      <c r="AU40" s="89"/>
      <c r="AY40" s="87"/>
      <c r="AZ40" s="105" t="s">
        <v>124</v>
      </c>
      <c r="BA40" s="110" t="s">
        <v>134</v>
      </c>
      <c r="BB40" s="110" t="s">
        <v>89</v>
      </c>
      <c r="BC40" s="84">
        <v>0</v>
      </c>
      <c r="BE40" s="109">
        <v>27</v>
      </c>
      <c r="BF40" s="109">
        <f>IFERROR(GroceryList2745[[#This Row],[QTY]]*GroceryList2745[[#This Row],[UNIT PRICE]],"")</f>
        <v>0</v>
      </c>
      <c r="BG40" s="89"/>
      <c r="BJ40" s="87"/>
      <c r="BK40" s="105" t="s">
        <v>124</v>
      </c>
      <c r="BL40" s="110" t="s">
        <v>134</v>
      </c>
      <c r="BM40" s="110" t="s">
        <v>89</v>
      </c>
      <c r="BN40" s="84">
        <v>0</v>
      </c>
      <c r="BP40" s="109">
        <v>27</v>
      </c>
      <c r="BQ40" s="109">
        <f>IFERROR(GroceryList27456[[#This Row],[QTY]]*GroceryList27456[[#This Row],[UNIT PRICE]],"")</f>
        <v>0</v>
      </c>
      <c r="BR40" s="105" t="s">
        <v>169</v>
      </c>
      <c r="BS40" s="89"/>
      <c r="BV40" s="87"/>
      <c r="BW40" s="105" t="s">
        <v>124</v>
      </c>
      <c r="BX40" s="110" t="s">
        <v>134</v>
      </c>
      <c r="BY40" s="110" t="s">
        <v>89</v>
      </c>
      <c r="BZ40" s="84">
        <v>0</v>
      </c>
      <c r="CB40" s="109">
        <v>27</v>
      </c>
      <c r="CC40" s="109">
        <f>IFERROR(GroceryList2745614[[#This Row],[QTY]]*GroceryList2745614[[#This Row],[UNIT PRICE]],"")</f>
        <v>0</v>
      </c>
      <c r="CD40" s="105" t="s">
        <v>169</v>
      </c>
      <c r="CE40" s="89"/>
      <c r="CH40" s="87"/>
      <c r="CI40" s="105" t="s">
        <v>124</v>
      </c>
      <c r="CJ40" s="110" t="s">
        <v>134</v>
      </c>
      <c r="CK40" s="110" t="s">
        <v>89</v>
      </c>
      <c r="CL40" s="84">
        <v>0</v>
      </c>
      <c r="CN40" s="109">
        <v>27</v>
      </c>
      <c r="CO40" s="109">
        <f>IFERROR(GroceryList27456148[[#This Row],[QTY]]*GroceryList27456148[[#This Row],[UNIT PRICE]],"")</f>
        <v>0</v>
      </c>
      <c r="CP40" s="105" t="s">
        <v>169</v>
      </c>
      <c r="CQ40" s="89"/>
      <c r="CT40" s="87"/>
      <c r="CU40" s="105" t="s">
        <v>124</v>
      </c>
      <c r="CV40" s="110" t="s">
        <v>134</v>
      </c>
      <c r="CW40" s="110" t="s">
        <v>89</v>
      </c>
      <c r="CX40" s="84">
        <v>0</v>
      </c>
      <c r="CZ40" s="109">
        <v>27</v>
      </c>
      <c r="DA40" s="109">
        <f>IFERROR(GroceryList2745614810[[#This Row],[QTY]]*GroceryList2745614810[[#This Row],[UNIT PRICE]],"")</f>
        <v>0</v>
      </c>
      <c r="DB40" s="105" t="s">
        <v>169</v>
      </c>
      <c r="DC40" s="89"/>
      <c r="DF40" s="87"/>
      <c r="DG40" s="105" t="s">
        <v>124</v>
      </c>
      <c r="DH40" s="110" t="s">
        <v>134</v>
      </c>
      <c r="DI40" s="110" t="s">
        <v>89</v>
      </c>
      <c r="DJ40" s="84">
        <v>0</v>
      </c>
      <c r="DL40" s="109">
        <v>27</v>
      </c>
      <c r="DM40" s="109">
        <f>IFERROR(GroceryList27456148109[[#This Row],[QTY]]*GroceryList27456148109[[#This Row],[UNIT PRICE]],"")</f>
        <v>0</v>
      </c>
      <c r="DN40" s="105" t="s">
        <v>169</v>
      </c>
      <c r="DO40" s="89"/>
      <c r="DR40" s="87"/>
      <c r="DS40" s="105" t="s">
        <v>124</v>
      </c>
      <c r="DT40" s="110" t="s">
        <v>134</v>
      </c>
      <c r="DU40" s="110" t="s">
        <v>89</v>
      </c>
      <c r="DV40" s="84">
        <v>0</v>
      </c>
      <c r="DX40" s="109">
        <v>27</v>
      </c>
      <c r="DY40" s="109">
        <f>IFERROR(GroceryList2745614810911[[#This Row],[QTY]]*GroceryList2745614810911[[#This Row],[UNIT PRICE]],"")</f>
        <v>0</v>
      </c>
      <c r="DZ40" s="105" t="s">
        <v>169</v>
      </c>
      <c r="EA40" s="89"/>
      <c r="ED40" s="87"/>
      <c r="EE40" s="105" t="s">
        <v>220</v>
      </c>
      <c r="EF40" s="110" t="s">
        <v>134</v>
      </c>
      <c r="EG40" s="110" t="s">
        <v>89</v>
      </c>
      <c r="EH40" s="84">
        <v>1</v>
      </c>
      <c r="EJ40" s="109">
        <v>11.49</v>
      </c>
      <c r="EK40" s="109">
        <f>IFERROR(GroceryList274561481091112[[#This Row],[QTY]]*GroceryList274561481091112[[#This Row],[UNIT PRICE]],"")</f>
        <v>11.49</v>
      </c>
      <c r="EL40" s="105" t="s">
        <v>169</v>
      </c>
      <c r="EM40" s="89">
        <v>12.99</v>
      </c>
      <c r="EP40" s="87"/>
      <c r="EQ40" s="105" t="s">
        <v>220</v>
      </c>
      <c r="ER40" s="110" t="s">
        <v>134</v>
      </c>
      <c r="ES40" s="110" t="s">
        <v>89</v>
      </c>
      <c r="ET40" s="84">
        <v>0</v>
      </c>
      <c r="EV40" s="109">
        <v>11.49</v>
      </c>
      <c r="EW40" s="109">
        <f>IFERROR(GroceryList27456148109111213[[#This Row],[QTY]]*GroceryList27456148109111213[[#This Row],[UNIT PRICE]],"")</f>
        <v>0</v>
      </c>
      <c r="EX40" s="105" t="s">
        <v>169</v>
      </c>
      <c r="EY40" s="89">
        <v>12.99</v>
      </c>
      <c r="FB40" s="87"/>
      <c r="FC40" s="105" t="s">
        <v>227</v>
      </c>
      <c r="FD40" s="110" t="s">
        <v>134</v>
      </c>
      <c r="FE40" s="110" t="s">
        <v>91</v>
      </c>
      <c r="FF40" s="84">
        <v>1</v>
      </c>
      <c r="FH40" s="109">
        <v>22.94</v>
      </c>
      <c r="FI40" s="109">
        <f>IFERROR(GroceryList2745614810911121315[[#This Row],[QTY]]*GroceryList2745614810911121315[[#This Row],[UNIT PRICE]],"")</f>
        <v>22.94</v>
      </c>
      <c r="FJ40" s="105" t="s">
        <v>169</v>
      </c>
      <c r="FK40" s="89">
        <v>27</v>
      </c>
      <c r="FN40" s="87"/>
      <c r="FO40" s="105" t="s">
        <v>220</v>
      </c>
      <c r="FP40" s="110" t="s">
        <v>134</v>
      </c>
      <c r="FQ40" s="110" t="s">
        <v>89</v>
      </c>
      <c r="FR40" s="84">
        <v>0</v>
      </c>
      <c r="FT40" s="109">
        <v>11.49</v>
      </c>
      <c r="FU40" s="109">
        <f>IFERROR(GroceryList274561481091112131516[[#This Row],[QTY]]*GroceryList274561481091112131516[[#This Row],[UNIT PRICE]],"")</f>
        <v>0</v>
      </c>
      <c r="FV40" s="105" t="s">
        <v>169</v>
      </c>
      <c r="FW40" s="89">
        <v>12.99</v>
      </c>
      <c r="FZ40" s="87"/>
      <c r="GA40" s="105" t="s">
        <v>227</v>
      </c>
      <c r="GB40" s="110" t="s">
        <v>134</v>
      </c>
      <c r="GC40" s="110" t="s">
        <v>91</v>
      </c>
      <c r="GD40" s="84">
        <v>0</v>
      </c>
      <c r="GF40" s="109">
        <v>22.94</v>
      </c>
      <c r="GG40" s="109">
        <f>IFERROR(GroceryList274561481091112131517[[#This Row],[QTY]]*GroceryList274561481091112131517[[#This Row],[UNIT PRICE]],"")</f>
        <v>0</v>
      </c>
      <c r="GH40" s="105" t="s">
        <v>169</v>
      </c>
      <c r="GI40" s="89">
        <v>27</v>
      </c>
      <c r="GL40" s="87"/>
      <c r="GM40" s="105" t="s">
        <v>227</v>
      </c>
      <c r="GN40" s="110" t="s">
        <v>134</v>
      </c>
      <c r="GO40" s="110" t="s">
        <v>91</v>
      </c>
      <c r="GP40" s="84">
        <v>0</v>
      </c>
      <c r="GR40" s="109">
        <v>22.94</v>
      </c>
      <c r="GS40" s="109">
        <f>IFERROR(GroceryList27456148109111213151718[[#This Row],[QTY]]*GroceryList27456148109111213151718[[#This Row],[UNIT PRICE]],"")</f>
        <v>0</v>
      </c>
      <c r="GT40" s="105" t="s">
        <v>169</v>
      </c>
      <c r="GU40" s="89">
        <v>27</v>
      </c>
    </row>
    <row r="41" spans="2:203" ht="30" hidden="1" customHeight="1" x14ac:dyDescent="0.2">
      <c r="B41" s="87"/>
      <c r="C41" s="102" t="s">
        <v>141</v>
      </c>
      <c r="D41" t="s">
        <v>134</v>
      </c>
      <c r="E41" t="s">
        <v>91</v>
      </c>
      <c r="F41" s="87">
        <v>0.5</v>
      </c>
      <c r="H41" s="90">
        <v>18.98</v>
      </c>
      <c r="I41" s="90">
        <f>IFERROR(GroceryList[[#This Row],[QTY]]*GroceryList[[#This Row],[UNIT PRICE]],"")</f>
        <v>9.49</v>
      </c>
      <c r="J41"/>
      <c r="M41" s="87"/>
      <c r="N41" s="102" t="s">
        <v>141</v>
      </c>
      <c r="O41" t="s">
        <v>134</v>
      </c>
      <c r="P41" t="s">
        <v>91</v>
      </c>
      <c r="Q41" s="87"/>
      <c r="S41" s="90">
        <v>18.98</v>
      </c>
      <c r="T41" s="90">
        <f>IFERROR(GroceryList2[[#This Row],[QTY]]*GroceryList2[[#This Row],[UNIT PRICE]],"")</f>
        <v>0</v>
      </c>
      <c r="U41"/>
      <c r="Y41" s="87"/>
      <c r="Z41" s="102" t="s">
        <v>141</v>
      </c>
      <c r="AA41" t="s">
        <v>134</v>
      </c>
      <c r="AB41" t="s">
        <v>91</v>
      </c>
      <c r="AC41" s="87"/>
      <c r="AE41" s="90">
        <v>18.98</v>
      </c>
      <c r="AF41" s="90">
        <f>IFERROR(GroceryList27[[#This Row],[QTY]]*GroceryList27[[#This Row],[UNIT PRICE]],"")</f>
        <v>0</v>
      </c>
      <c r="AG41"/>
      <c r="AM41" s="87"/>
      <c r="AN41" s="107" t="s">
        <v>141</v>
      </c>
      <c r="AO41" s="108" t="s">
        <v>134</v>
      </c>
      <c r="AP41" s="108" t="s">
        <v>91</v>
      </c>
      <c r="AQ41" s="87"/>
      <c r="AS41" s="109">
        <v>18.98</v>
      </c>
      <c r="AT41" s="109">
        <f>IFERROR(GroceryList274[[#This Row],[QTY]]*GroceryList274[[#This Row],[UNIT PRICE]],"")</f>
        <v>0</v>
      </c>
      <c r="AU41"/>
      <c r="AY41" s="87" t="s">
        <v>130</v>
      </c>
      <c r="AZ41" s="105" t="s">
        <v>112</v>
      </c>
      <c r="BA41" s="110" t="s">
        <v>134</v>
      </c>
      <c r="BB41" s="110" t="s">
        <v>91</v>
      </c>
      <c r="BC41" s="84">
        <v>0</v>
      </c>
      <c r="BE41" s="109">
        <v>23.74</v>
      </c>
      <c r="BF41" s="109">
        <f>IFERROR(GroceryList2745[[#This Row],[QTY]]*GroceryList2745[[#This Row],[UNIT PRICE]],"")</f>
        <v>0</v>
      </c>
      <c r="BG41" s="89"/>
      <c r="BJ41" s="87" t="s">
        <v>130</v>
      </c>
      <c r="BK41" s="105" t="s">
        <v>112</v>
      </c>
      <c r="BL41" s="110" t="s">
        <v>134</v>
      </c>
      <c r="BM41" s="110" t="s">
        <v>91</v>
      </c>
      <c r="BN41" s="84">
        <v>0</v>
      </c>
      <c r="BP41" s="109">
        <v>23.74</v>
      </c>
      <c r="BQ41" s="109">
        <f>IFERROR(GroceryList27456[[#This Row],[QTY]]*GroceryList27456[[#This Row],[UNIT PRICE]],"")</f>
        <v>0</v>
      </c>
      <c r="BR41" s="105" t="s">
        <v>169</v>
      </c>
      <c r="BS41" s="89"/>
      <c r="BV41" s="87" t="s">
        <v>130</v>
      </c>
      <c r="BW41" s="105" t="s">
        <v>112</v>
      </c>
      <c r="BX41" s="110" t="s">
        <v>134</v>
      </c>
      <c r="BY41" s="110" t="s">
        <v>91</v>
      </c>
      <c r="BZ41" s="84">
        <v>0</v>
      </c>
      <c r="CB41" s="109">
        <v>23.74</v>
      </c>
      <c r="CC41" s="109">
        <f>IFERROR(GroceryList2745614[[#This Row],[QTY]]*GroceryList2745614[[#This Row],[UNIT PRICE]],"")</f>
        <v>0</v>
      </c>
      <c r="CD41" s="105" t="s">
        <v>169</v>
      </c>
      <c r="CE41" s="89"/>
      <c r="CH41" s="87" t="s">
        <v>130</v>
      </c>
      <c r="CI41" s="105" t="s">
        <v>112</v>
      </c>
      <c r="CJ41" s="110" t="s">
        <v>134</v>
      </c>
      <c r="CK41" s="110" t="s">
        <v>91</v>
      </c>
      <c r="CL41" s="84">
        <v>0</v>
      </c>
      <c r="CN41" s="109">
        <v>23.74</v>
      </c>
      <c r="CO41" s="109">
        <f>IFERROR(GroceryList27456148[[#This Row],[QTY]]*GroceryList27456148[[#This Row],[UNIT PRICE]],"")</f>
        <v>0</v>
      </c>
      <c r="CP41" s="105" t="s">
        <v>169</v>
      </c>
      <c r="CQ41" s="89"/>
      <c r="CT41" s="87" t="s">
        <v>130</v>
      </c>
      <c r="CU41" s="105" t="s">
        <v>112</v>
      </c>
      <c r="CV41" s="110" t="s">
        <v>134</v>
      </c>
      <c r="CW41" s="110" t="s">
        <v>91</v>
      </c>
      <c r="CX41" s="84">
        <v>0</v>
      </c>
      <c r="CZ41" s="109">
        <v>23.74</v>
      </c>
      <c r="DA41" s="109">
        <f>IFERROR(GroceryList2745614810[[#This Row],[QTY]]*GroceryList2745614810[[#This Row],[UNIT PRICE]],"")</f>
        <v>0</v>
      </c>
      <c r="DB41" s="105" t="s">
        <v>169</v>
      </c>
      <c r="DC41" s="89"/>
      <c r="DF41" s="87" t="s">
        <v>130</v>
      </c>
      <c r="DG41" s="105" t="s">
        <v>112</v>
      </c>
      <c r="DH41" s="110" t="s">
        <v>134</v>
      </c>
      <c r="DI41" s="110" t="s">
        <v>91</v>
      </c>
      <c r="DJ41" s="84">
        <v>0</v>
      </c>
      <c r="DL41" s="109">
        <v>23.74</v>
      </c>
      <c r="DM41" s="109">
        <f>IFERROR(GroceryList27456148109[[#This Row],[QTY]]*GroceryList27456148109[[#This Row],[UNIT PRICE]],"")</f>
        <v>0</v>
      </c>
      <c r="DN41" s="105" t="s">
        <v>169</v>
      </c>
      <c r="DO41" s="89"/>
      <c r="DR41" s="87" t="s">
        <v>130</v>
      </c>
      <c r="DS41" s="105" t="s">
        <v>112</v>
      </c>
      <c r="DT41" s="110" t="s">
        <v>134</v>
      </c>
      <c r="DU41" s="110" t="s">
        <v>91</v>
      </c>
      <c r="DV41" s="84">
        <v>0</v>
      </c>
      <c r="DX41" s="109">
        <v>23.74</v>
      </c>
      <c r="DY41" s="109">
        <f>IFERROR(GroceryList2745614810911[[#This Row],[QTY]]*GroceryList2745614810911[[#This Row],[UNIT PRICE]],"")</f>
        <v>0</v>
      </c>
      <c r="DZ41" s="105" t="s">
        <v>169</v>
      </c>
      <c r="EA41" s="89"/>
      <c r="ED41" s="87" t="s">
        <v>130</v>
      </c>
      <c r="EE41" s="105" t="s">
        <v>112</v>
      </c>
      <c r="EF41" s="110" t="s">
        <v>134</v>
      </c>
      <c r="EG41" s="110" t="s">
        <v>91</v>
      </c>
      <c r="EH41" s="84">
        <v>0</v>
      </c>
      <c r="EJ41" s="109">
        <v>23.74</v>
      </c>
      <c r="EK41" s="109">
        <f>IFERROR(GroceryList274561481091112[[#This Row],[QTY]]*GroceryList274561481091112[[#This Row],[UNIT PRICE]],"")</f>
        <v>0</v>
      </c>
      <c r="EL41" s="105" t="s">
        <v>169</v>
      </c>
      <c r="EM41" s="89"/>
      <c r="EP41" s="87" t="s">
        <v>130</v>
      </c>
      <c r="EQ41" s="105" t="s">
        <v>112</v>
      </c>
      <c r="ER41" s="110" t="s">
        <v>134</v>
      </c>
      <c r="ES41" s="110" t="s">
        <v>91</v>
      </c>
      <c r="ET41" s="84">
        <v>0</v>
      </c>
      <c r="EV41" s="109">
        <v>23.74</v>
      </c>
      <c r="EW41" s="109">
        <f>IFERROR(GroceryList27456148109111213[[#This Row],[QTY]]*GroceryList27456148109111213[[#This Row],[UNIT PRICE]],"")</f>
        <v>0</v>
      </c>
      <c r="EX41" s="105" t="s">
        <v>169</v>
      </c>
      <c r="EY41" s="89"/>
      <c r="FB41" s="87" t="s">
        <v>130</v>
      </c>
      <c r="FC41" s="105" t="s">
        <v>112</v>
      </c>
      <c r="FD41" s="110" t="s">
        <v>134</v>
      </c>
      <c r="FE41" s="110" t="s">
        <v>91</v>
      </c>
      <c r="FF41" s="84">
        <v>0</v>
      </c>
      <c r="FH41" s="109">
        <v>23.74</v>
      </c>
      <c r="FI41" s="109">
        <f>IFERROR(GroceryList2745614810911121315[[#This Row],[QTY]]*GroceryList2745614810911121315[[#This Row],[UNIT PRICE]],"")</f>
        <v>0</v>
      </c>
      <c r="FJ41" s="105" t="s">
        <v>169</v>
      </c>
      <c r="FK41" s="89"/>
      <c r="FN41" s="87" t="s">
        <v>130</v>
      </c>
      <c r="FO41" s="105" t="s">
        <v>112</v>
      </c>
      <c r="FP41" s="110" t="s">
        <v>134</v>
      </c>
      <c r="FQ41" s="110" t="s">
        <v>91</v>
      </c>
      <c r="FR41" s="84">
        <v>0</v>
      </c>
      <c r="FT41" s="109">
        <v>23.74</v>
      </c>
      <c r="FU41" s="109">
        <f>IFERROR(GroceryList274561481091112131516[[#This Row],[QTY]]*GroceryList274561481091112131516[[#This Row],[UNIT PRICE]],"")</f>
        <v>0</v>
      </c>
      <c r="FV41" s="105" t="s">
        <v>169</v>
      </c>
      <c r="FW41" s="89"/>
      <c r="FZ41" s="87" t="s">
        <v>130</v>
      </c>
      <c r="GA41" s="105" t="s">
        <v>112</v>
      </c>
      <c r="GB41" s="110" t="s">
        <v>134</v>
      </c>
      <c r="GC41" s="110" t="s">
        <v>91</v>
      </c>
      <c r="GD41" s="84">
        <v>0</v>
      </c>
      <c r="GF41" s="109">
        <v>23.74</v>
      </c>
      <c r="GG41" s="109">
        <f>IFERROR(GroceryList274561481091112131517[[#This Row],[QTY]]*GroceryList274561481091112131517[[#This Row],[UNIT PRICE]],"")</f>
        <v>0</v>
      </c>
      <c r="GH41" s="105" t="s">
        <v>169</v>
      </c>
      <c r="GI41" s="89"/>
      <c r="GL41" s="87" t="s">
        <v>130</v>
      </c>
      <c r="GM41" s="105" t="s">
        <v>112</v>
      </c>
      <c r="GN41" s="110" t="s">
        <v>134</v>
      </c>
      <c r="GO41" s="110" t="s">
        <v>91</v>
      </c>
      <c r="GP41" s="84">
        <v>0</v>
      </c>
      <c r="GR41" s="109">
        <v>23.74</v>
      </c>
      <c r="GS41" s="109">
        <f>IFERROR(GroceryList27456148109111213151718[[#This Row],[QTY]]*GroceryList27456148109111213151718[[#This Row],[UNIT PRICE]],"")</f>
        <v>0</v>
      </c>
      <c r="GT41" s="105" t="s">
        <v>169</v>
      </c>
      <c r="GU41" s="89"/>
    </row>
    <row r="42" spans="2:203" ht="30" customHeight="1" x14ac:dyDescent="0.2">
      <c r="B42" s="87"/>
      <c r="C42" s="99" t="s">
        <v>113</v>
      </c>
      <c r="D42" s="89" t="s">
        <v>134</v>
      </c>
      <c r="E42" s="89" t="s">
        <v>91</v>
      </c>
      <c r="F42" s="87">
        <v>1</v>
      </c>
      <c r="H42" s="90">
        <v>20.420000000000002</v>
      </c>
      <c r="I42" s="90">
        <f>IFERROR(GroceryList[[#This Row],[QTY]]*GroceryList[[#This Row],[UNIT PRICE]],"")</f>
        <v>20.420000000000002</v>
      </c>
      <c r="J42" s="89"/>
      <c r="M42" s="87"/>
      <c r="N42" s="99" t="s">
        <v>113</v>
      </c>
      <c r="O42" s="89" t="s">
        <v>134</v>
      </c>
      <c r="P42" s="89" t="s">
        <v>91</v>
      </c>
      <c r="Q42" s="87"/>
      <c r="S42" s="90">
        <v>20.420000000000002</v>
      </c>
      <c r="T42" s="90">
        <f>IFERROR(GroceryList2[[#This Row],[QTY]]*GroceryList2[[#This Row],[UNIT PRICE]],"")</f>
        <v>0</v>
      </c>
      <c r="U42" s="89"/>
      <c r="Y42" s="87" t="s">
        <v>130</v>
      </c>
      <c r="Z42" s="99" t="s">
        <v>113</v>
      </c>
      <c r="AA42" s="89" t="s">
        <v>134</v>
      </c>
      <c r="AB42" s="89" t="s">
        <v>91</v>
      </c>
      <c r="AC42" s="87">
        <v>1</v>
      </c>
      <c r="AE42" s="90">
        <v>20.420000000000002</v>
      </c>
      <c r="AF42" s="90">
        <f>IFERROR(GroceryList27[[#This Row],[QTY]]*GroceryList27[[#This Row],[UNIT PRICE]],"")</f>
        <v>20.420000000000002</v>
      </c>
      <c r="AG42" s="89"/>
      <c r="AM42" s="87" t="s">
        <v>130</v>
      </c>
      <c r="AN42" s="105" t="s">
        <v>113</v>
      </c>
      <c r="AO42" s="110" t="s">
        <v>134</v>
      </c>
      <c r="AP42" s="110" t="s">
        <v>91</v>
      </c>
      <c r="AQ42" s="87">
        <v>0</v>
      </c>
      <c r="AS42" s="109">
        <v>20.420000000000002</v>
      </c>
      <c r="AT42" s="109">
        <f>IFERROR(GroceryList274[[#This Row],[QTY]]*GroceryList274[[#This Row],[UNIT PRICE]],"")</f>
        <v>0</v>
      </c>
      <c r="AU42" s="89"/>
      <c r="AY42" s="87"/>
      <c r="AZ42" s="107" t="s">
        <v>141</v>
      </c>
      <c r="BA42" s="108" t="s">
        <v>134</v>
      </c>
      <c r="BB42" s="108" t="s">
        <v>91</v>
      </c>
      <c r="BC42" s="84">
        <v>0</v>
      </c>
      <c r="BE42" s="109">
        <v>18.98</v>
      </c>
      <c r="BF42" s="109">
        <f>IFERROR(GroceryList2745[[#This Row],[QTY]]*GroceryList2745[[#This Row],[UNIT PRICE]],"")</f>
        <v>0</v>
      </c>
      <c r="BG42"/>
      <c r="BJ42" s="87"/>
      <c r="BK42" s="107" t="s">
        <v>141</v>
      </c>
      <c r="BL42" s="108" t="s">
        <v>134</v>
      </c>
      <c r="BM42" s="108" t="s">
        <v>91</v>
      </c>
      <c r="BN42" s="84">
        <v>0</v>
      </c>
      <c r="BP42" s="109">
        <v>18.98</v>
      </c>
      <c r="BQ42" s="109">
        <f>IFERROR(GroceryList27456[[#This Row],[QTY]]*GroceryList27456[[#This Row],[UNIT PRICE]],"")</f>
        <v>0</v>
      </c>
      <c r="BR42" s="111" t="s">
        <v>169</v>
      </c>
      <c r="BS42"/>
      <c r="BV42" s="87"/>
      <c r="BW42" s="107" t="s">
        <v>141</v>
      </c>
      <c r="BX42" s="108" t="s">
        <v>134</v>
      </c>
      <c r="BY42" s="108" t="s">
        <v>91</v>
      </c>
      <c r="BZ42" s="84">
        <v>0</v>
      </c>
      <c r="CB42" s="109">
        <v>18.98</v>
      </c>
      <c r="CC42" s="109">
        <f>IFERROR(GroceryList2745614[[#This Row],[QTY]]*GroceryList2745614[[#This Row],[UNIT PRICE]],"")</f>
        <v>0</v>
      </c>
      <c r="CD42" s="111" t="s">
        <v>169</v>
      </c>
      <c r="CE42"/>
      <c r="CH42" s="87"/>
      <c r="CI42" s="107" t="s">
        <v>141</v>
      </c>
      <c r="CJ42" s="108" t="s">
        <v>134</v>
      </c>
      <c r="CK42" s="108" t="s">
        <v>91</v>
      </c>
      <c r="CL42" s="84">
        <v>0</v>
      </c>
      <c r="CN42" s="109">
        <v>18.98</v>
      </c>
      <c r="CO42" s="109">
        <f>IFERROR(GroceryList27456148[[#This Row],[QTY]]*GroceryList27456148[[#This Row],[UNIT PRICE]],"")</f>
        <v>0</v>
      </c>
      <c r="CP42" s="111" t="s">
        <v>169</v>
      </c>
      <c r="CQ42"/>
      <c r="CT42" s="87"/>
      <c r="CU42" s="111" t="s">
        <v>184</v>
      </c>
      <c r="CV42" s="108" t="s">
        <v>134</v>
      </c>
      <c r="CW42" s="108" t="s">
        <v>92</v>
      </c>
      <c r="CX42" s="84">
        <v>1</v>
      </c>
      <c r="CZ42" s="109">
        <v>7.59</v>
      </c>
      <c r="DA42" s="109">
        <f>IFERROR(GroceryList2745614810[[#This Row],[QTY]]*GroceryList2745614810[[#This Row],[UNIT PRICE]],"")</f>
        <v>7.59</v>
      </c>
      <c r="DB42" s="111" t="s">
        <v>169</v>
      </c>
      <c r="DC42">
        <v>9.99</v>
      </c>
      <c r="DF42" s="87"/>
      <c r="DG42" s="107" t="s">
        <v>141</v>
      </c>
      <c r="DH42" s="108" t="s">
        <v>134</v>
      </c>
      <c r="DI42" s="108" t="s">
        <v>91</v>
      </c>
      <c r="DJ42" s="84">
        <v>0</v>
      </c>
      <c r="DL42" s="109">
        <v>18.98</v>
      </c>
      <c r="DM42" s="109">
        <f>IFERROR(GroceryList27456148109[[#This Row],[QTY]]*GroceryList27456148109[[#This Row],[UNIT PRICE]],"")</f>
        <v>0</v>
      </c>
      <c r="DN42" s="111" t="s">
        <v>169</v>
      </c>
      <c r="DO42"/>
      <c r="DR42" s="87"/>
      <c r="DS42" s="107" t="s">
        <v>141</v>
      </c>
      <c r="DT42" s="108" t="s">
        <v>134</v>
      </c>
      <c r="DU42" s="108" t="s">
        <v>91</v>
      </c>
      <c r="DV42" s="84">
        <v>0</v>
      </c>
      <c r="DX42" s="109">
        <v>18.98</v>
      </c>
      <c r="DY42" s="109">
        <f>IFERROR(GroceryList2745614810911[[#This Row],[QTY]]*GroceryList2745614810911[[#This Row],[UNIT PRICE]],"")</f>
        <v>0</v>
      </c>
      <c r="DZ42" s="111" t="s">
        <v>169</v>
      </c>
      <c r="EA42"/>
      <c r="ED42" s="87"/>
      <c r="EE42" s="111" t="s">
        <v>214</v>
      </c>
      <c r="EF42" s="108" t="s">
        <v>134</v>
      </c>
      <c r="EG42" s="108" t="s">
        <v>89</v>
      </c>
      <c r="EH42" s="84">
        <v>2</v>
      </c>
      <c r="EJ42" s="109">
        <v>7.99</v>
      </c>
      <c r="EK42" s="109">
        <f>IFERROR(GroceryList274561481091112[[#This Row],[QTY]]*GroceryList274561481091112[[#This Row],[UNIT PRICE]],"")</f>
        <v>15.98</v>
      </c>
      <c r="EL42" s="111" t="s">
        <v>169</v>
      </c>
      <c r="EM42">
        <v>11.99</v>
      </c>
      <c r="EP42" s="87"/>
      <c r="EQ42" s="111" t="s">
        <v>214</v>
      </c>
      <c r="ER42" s="108" t="s">
        <v>134</v>
      </c>
      <c r="ES42" s="108" t="s">
        <v>89</v>
      </c>
      <c r="ET42" s="84">
        <v>0</v>
      </c>
      <c r="EV42" s="109">
        <v>7.99</v>
      </c>
      <c r="EW42" s="109">
        <f>IFERROR(GroceryList27456148109111213[[#This Row],[QTY]]*GroceryList27456148109111213[[#This Row],[UNIT PRICE]],"")</f>
        <v>0</v>
      </c>
      <c r="EX42" s="111" t="s">
        <v>169</v>
      </c>
      <c r="EY42">
        <v>11.99</v>
      </c>
      <c r="FB42" s="87"/>
      <c r="FC42" s="111" t="s">
        <v>184</v>
      </c>
      <c r="FD42" s="108" t="s">
        <v>134</v>
      </c>
      <c r="FE42" s="108" t="s">
        <v>89</v>
      </c>
      <c r="FF42" s="84">
        <v>1</v>
      </c>
      <c r="FH42" s="109">
        <v>10</v>
      </c>
      <c r="FI42" s="109">
        <f>IFERROR(GroceryList2745614810911121315[[#This Row],[QTY]]*GroceryList2745614810911121315[[#This Row],[UNIT PRICE]],"")</f>
        <v>10</v>
      </c>
      <c r="FJ42" s="111" t="s">
        <v>169</v>
      </c>
      <c r="FK42">
        <v>11.69</v>
      </c>
      <c r="FN42" s="87"/>
      <c r="FO42" s="111" t="s">
        <v>214</v>
      </c>
      <c r="FP42" s="108" t="s">
        <v>134</v>
      </c>
      <c r="FQ42" s="108" t="s">
        <v>89</v>
      </c>
      <c r="FR42" s="84">
        <v>0</v>
      </c>
      <c r="FT42" s="109">
        <v>7.99</v>
      </c>
      <c r="FU42" s="109">
        <f>IFERROR(GroceryList274561481091112131516[[#This Row],[QTY]]*GroceryList274561481091112131516[[#This Row],[UNIT PRICE]],"")</f>
        <v>0</v>
      </c>
      <c r="FV42" s="111" t="s">
        <v>169</v>
      </c>
      <c r="FW42">
        <v>11.99</v>
      </c>
      <c r="FZ42" s="87"/>
      <c r="GA42" s="111" t="s">
        <v>184</v>
      </c>
      <c r="GB42" s="108" t="s">
        <v>134</v>
      </c>
      <c r="GC42" s="108" t="s">
        <v>89</v>
      </c>
      <c r="GD42" s="84">
        <v>1</v>
      </c>
      <c r="GF42" s="109">
        <v>17.989999999999998</v>
      </c>
      <c r="GG42" s="109">
        <f>IFERROR(GroceryList274561481091112131517[[#This Row],[QTY]]*GroceryList274561481091112131517[[#This Row],[UNIT PRICE]],"")</f>
        <v>17.989999999999998</v>
      </c>
      <c r="GH42" s="111">
        <v>25.49</v>
      </c>
      <c r="GI42">
        <v>11.69</v>
      </c>
      <c r="GL42" s="87"/>
      <c r="GM42" s="111" t="s">
        <v>184</v>
      </c>
      <c r="GN42" s="108" t="s">
        <v>134</v>
      </c>
      <c r="GO42" s="108" t="s">
        <v>89</v>
      </c>
      <c r="GP42" s="84">
        <v>1</v>
      </c>
      <c r="GR42" s="109">
        <v>17.989999999999998</v>
      </c>
      <c r="GS42" s="109">
        <f>IFERROR(GroceryList27456148109111213151718[[#This Row],[QTY]]*GroceryList27456148109111213151718[[#This Row],[UNIT PRICE]],"")</f>
        <v>17.989999999999998</v>
      </c>
      <c r="GT42" s="111">
        <v>25.49</v>
      </c>
      <c r="GU42">
        <v>11.69</v>
      </c>
    </row>
    <row r="43" spans="2:203" ht="30" customHeight="1" x14ac:dyDescent="0.2">
      <c r="B43" s="87"/>
      <c r="C43" s="99" t="s">
        <v>114</v>
      </c>
      <c r="D43" s="89" t="s">
        <v>134</v>
      </c>
      <c r="E43" s="89" t="s">
        <v>91</v>
      </c>
      <c r="F43" s="87">
        <v>1</v>
      </c>
      <c r="H43" s="90">
        <v>37.04</v>
      </c>
      <c r="I43" s="90">
        <f>IFERROR(GroceryList[[#This Row],[QTY]]*GroceryList[[#This Row],[UNIT PRICE]],"")</f>
        <v>37.04</v>
      </c>
      <c r="J43" s="89"/>
      <c r="M43" s="87"/>
      <c r="N43" s="99" t="s">
        <v>114</v>
      </c>
      <c r="O43" s="89" t="s">
        <v>134</v>
      </c>
      <c r="P43" s="89" t="s">
        <v>91</v>
      </c>
      <c r="Q43" s="87"/>
      <c r="S43" s="90">
        <v>37.04</v>
      </c>
      <c r="T43" s="90">
        <f>IFERROR(GroceryList2[[#This Row],[QTY]]*GroceryList2[[#This Row],[UNIT PRICE]],"")</f>
        <v>0</v>
      </c>
      <c r="U43" s="89"/>
      <c r="Y43" s="87"/>
      <c r="Z43" s="99" t="s">
        <v>114</v>
      </c>
      <c r="AA43" s="89" t="s">
        <v>134</v>
      </c>
      <c r="AB43" s="89" t="s">
        <v>91</v>
      </c>
      <c r="AC43" s="87"/>
      <c r="AE43" s="90">
        <v>37.04</v>
      </c>
      <c r="AF43" s="90">
        <f>IFERROR(GroceryList27[[#This Row],[QTY]]*GroceryList27[[#This Row],[UNIT PRICE]],"")</f>
        <v>0</v>
      </c>
      <c r="AG43" s="89"/>
      <c r="AM43" s="87" t="s">
        <v>130</v>
      </c>
      <c r="AN43" s="105" t="s">
        <v>114</v>
      </c>
      <c r="AO43" s="110" t="s">
        <v>134</v>
      </c>
      <c r="AP43" s="110" t="s">
        <v>91</v>
      </c>
      <c r="AQ43" s="87">
        <v>0</v>
      </c>
      <c r="AS43" s="109">
        <v>37.04</v>
      </c>
      <c r="AT43" s="109">
        <f>IFERROR(GroceryList274[[#This Row],[QTY]]*GroceryList274[[#This Row],[UNIT PRICE]],"")</f>
        <v>0</v>
      </c>
      <c r="AU43" s="89"/>
      <c r="AY43" s="87" t="s">
        <v>130</v>
      </c>
      <c r="AZ43" s="105" t="s">
        <v>113</v>
      </c>
      <c r="BA43" s="110" t="s">
        <v>134</v>
      </c>
      <c r="BB43" s="110" t="s">
        <v>91</v>
      </c>
      <c r="BC43" s="84">
        <v>0</v>
      </c>
      <c r="BE43" s="109">
        <v>20.420000000000002</v>
      </c>
      <c r="BF43" s="109">
        <f>IFERROR(GroceryList2745[[#This Row],[QTY]]*GroceryList2745[[#This Row],[UNIT PRICE]],"")</f>
        <v>0</v>
      </c>
      <c r="BG43" s="89"/>
      <c r="BJ43" s="87" t="s">
        <v>130</v>
      </c>
      <c r="BK43" s="105" t="s">
        <v>113</v>
      </c>
      <c r="BL43" s="110" t="s">
        <v>134</v>
      </c>
      <c r="BM43" s="110" t="s">
        <v>91</v>
      </c>
      <c r="BN43" s="84">
        <v>0</v>
      </c>
      <c r="BP43" s="109">
        <v>20.420000000000002</v>
      </c>
      <c r="BQ43" s="109">
        <f>IFERROR(GroceryList27456[[#This Row],[QTY]]*GroceryList27456[[#This Row],[UNIT PRICE]],"")</f>
        <v>0</v>
      </c>
      <c r="BR43" s="105" t="s">
        <v>130</v>
      </c>
      <c r="BS43" s="89"/>
      <c r="BV43" s="87" t="s">
        <v>130</v>
      </c>
      <c r="BW43" s="105" t="s">
        <v>113</v>
      </c>
      <c r="BX43" s="110" t="s">
        <v>134</v>
      </c>
      <c r="BY43" s="110" t="s">
        <v>91</v>
      </c>
      <c r="BZ43" s="84">
        <v>1</v>
      </c>
      <c r="CB43" s="109">
        <v>20.420000000000002</v>
      </c>
      <c r="CC43" s="109">
        <f>IFERROR(GroceryList2745614[[#This Row],[QTY]]*GroceryList2745614[[#This Row],[UNIT PRICE]],"")</f>
        <v>20.420000000000002</v>
      </c>
      <c r="CD43" s="105" t="s">
        <v>130</v>
      </c>
      <c r="CE43" s="89">
        <v>21.49</v>
      </c>
      <c r="CH43" s="87" t="s">
        <v>130</v>
      </c>
      <c r="CI43" s="105" t="s">
        <v>113</v>
      </c>
      <c r="CJ43" s="110" t="s">
        <v>134</v>
      </c>
      <c r="CK43" s="110" t="s">
        <v>91</v>
      </c>
      <c r="CL43" s="84">
        <v>0</v>
      </c>
      <c r="CN43" s="109">
        <v>20.420000000000002</v>
      </c>
      <c r="CO43" s="109">
        <f>IFERROR(GroceryList27456148[[#This Row],[QTY]]*GroceryList27456148[[#This Row],[UNIT PRICE]],"")</f>
        <v>0</v>
      </c>
      <c r="CP43" s="105" t="s">
        <v>130</v>
      </c>
      <c r="CQ43" s="89">
        <v>21.49</v>
      </c>
      <c r="CT43" s="87" t="s">
        <v>130</v>
      </c>
      <c r="CU43" s="105" t="s">
        <v>113</v>
      </c>
      <c r="CV43" s="110" t="s">
        <v>134</v>
      </c>
      <c r="CW43" s="110" t="s">
        <v>91</v>
      </c>
      <c r="CX43" s="84">
        <v>0</v>
      </c>
      <c r="CZ43" s="109">
        <v>20.420000000000002</v>
      </c>
      <c r="DA43" s="109">
        <f>IFERROR(GroceryList2745614810[[#This Row],[QTY]]*GroceryList2745614810[[#This Row],[UNIT PRICE]],"")</f>
        <v>0</v>
      </c>
      <c r="DB43" s="105" t="s">
        <v>130</v>
      </c>
      <c r="DC43" s="89">
        <v>21.49</v>
      </c>
      <c r="DF43" s="87" t="s">
        <v>130</v>
      </c>
      <c r="DG43" s="105" t="s">
        <v>113</v>
      </c>
      <c r="DH43" s="110" t="s">
        <v>134</v>
      </c>
      <c r="DI43" s="110" t="s">
        <v>91</v>
      </c>
      <c r="DJ43" s="84">
        <v>0</v>
      </c>
      <c r="DL43" s="109">
        <v>20.420000000000002</v>
      </c>
      <c r="DM43" s="109">
        <f>IFERROR(GroceryList27456148109[[#This Row],[QTY]]*GroceryList27456148109[[#This Row],[UNIT PRICE]],"")</f>
        <v>0</v>
      </c>
      <c r="DN43" s="105" t="s">
        <v>130</v>
      </c>
      <c r="DO43" s="89">
        <v>21.49</v>
      </c>
      <c r="DR43" s="87" t="s">
        <v>130</v>
      </c>
      <c r="DS43" s="105" t="s">
        <v>113</v>
      </c>
      <c r="DT43" s="110" t="s">
        <v>134</v>
      </c>
      <c r="DU43" s="110" t="s">
        <v>91</v>
      </c>
      <c r="DV43" s="84">
        <v>1</v>
      </c>
      <c r="DX43" s="109">
        <v>20.420000000000002</v>
      </c>
      <c r="DY43" s="109">
        <f>IFERROR(GroceryList2745614810911[[#This Row],[QTY]]*GroceryList2745614810911[[#This Row],[UNIT PRICE]],"")</f>
        <v>20.420000000000002</v>
      </c>
      <c r="DZ43" s="105" t="s">
        <v>130</v>
      </c>
      <c r="EA43" s="89">
        <v>21.49</v>
      </c>
      <c r="ED43" s="87" t="s">
        <v>130</v>
      </c>
      <c r="EE43" s="105" t="s">
        <v>113</v>
      </c>
      <c r="EF43" s="110" t="s">
        <v>134</v>
      </c>
      <c r="EG43" s="110" t="s">
        <v>91</v>
      </c>
      <c r="EH43" s="84">
        <v>0</v>
      </c>
      <c r="EJ43" s="109">
        <v>20.420000000000002</v>
      </c>
      <c r="EK43" s="109">
        <f>IFERROR(GroceryList274561481091112[[#This Row],[QTY]]*GroceryList274561481091112[[#This Row],[UNIT PRICE]],"")</f>
        <v>0</v>
      </c>
      <c r="EL43" s="105" t="s">
        <v>130</v>
      </c>
      <c r="EM43" s="89">
        <v>21.49</v>
      </c>
      <c r="EP43" s="87" t="s">
        <v>130</v>
      </c>
      <c r="EQ43" s="105" t="s">
        <v>113</v>
      </c>
      <c r="ER43" s="110" t="s">
        <v>134</v>
      </c>
      <c r="ES43" s="110" t="s">
        <v>91</v>
      </c>
      <c r="ET43" s="84">
        <v>1</v>
      </c>
      <c r="EV43" s="109">
        <v>20.420000000000002</v>
      </c>
      <c r="EW43" s="109">
        <f>IFERROR(GroceryList27456148109111213[[#This Row],[QTY]]*GroceryList27456148109111213[[#This Row],[UNIT PRICE]],"")</f>
        <v>20.420000000000002</v>
      </c>
      <c r="EX43" s="105" t="s">
        <v>130</v>
      </c>
      <c r="EY43" s="89">
        <v>21.49</v>
      </c>
      <c r="FB43" s="87" t="s">
        <v>130</v>
      </c>
      <c r="FC43" s="105" t="s">
        <v>113</v>
      </c>
      <c r="FD43" s="110" t="s">
        <v>134</v>
      </c>
      <c r="FE43" s="110" t="s">
        <v>91</v>
      </c>
      <c r="FF43" s="84">
        <v>0</v>
      </c>
      <c r="FH43" s="109">
        <v>20.420000000000002</v>
      </c>
      <c r="FI43" s="109">
        <f>IFERROR(GroceryList2745614810911121315[[#This Row],[QTY]]*GroceryList2745614810911121315[[#This Row],[UNIT PRICE]],"")</f>
        <v>0</v>
      </c>
      <c r="FJ43" s="105" t="s">
        <v>130</v>
      </c>
      <c r="FK43" s="89">
        <v>21.49</v>
      </c>
      <c r="FN43" s="87" t="s">
        <v>130</v>
      </c>
      <c r="FO43" s="105" t="s">
        <v>113</v>
      </c>
      <c r="FP43" s="110" t="s">
        <v>134</v>
      </c>
      <c r="FQ43" s="110" t="s">
        <v>91</v>
      </c>
      <c r="FR43" s="84">
        <v>0</v>
      </c>
      <c r="FT43" s="109">
        <v>20.420000000000002</v>
      </c>
      <c r="FU43" s="109">
        <f>IFERROR(GroceryList274561481091112131516[[#This Row],[QTY]]*GroceryList274561481091112131516[[#This Row],[UNIT PRICE]],"")</f>
        <v>0</v>
      </c>
      <c r="FV43" s="105" t="s">
        <v>130</v>
      </c>
      <c r="FW43" s="89">
        <v>21.49</v>
      </c>
      <c r="FZ43" s="87" t="s">
        <v>130</v>
      </c>
      <c r="GA43" s="105" t="s">
        <v>113</v>
      </c>
      <c r="GB43" s="110" t="s">
        <v>134</v>
      </c>
      <c r="GC43" s="110" t="s">
        <v>91</v>
      </c>
      <c r="GD43" s="84">
        <v>1</v>
      </c>
      <c r="GF43" s="109">
        <v>20.420000000000002</v>
      </c>
      <c r="GG43" s="109">
        <f>IFERROR(GroceryList274561481091112131517[[#This Row],[QTY]]*GroceryList274561481091112131517[[#This Row],[UNIT PRICE]],"")</f>
        <v>20.420000000000002</v>
      </c>
      <c r="GH43" s="105" t="s">
        <v>130</v>
      </c>
      <c r="GI43" s="89">
        <v>21.49</v>
      </c>
      <c r="GL43" s="87" t="s">
        <v>130</v>
      </c>
      <c r="GM43" s="105" t="s">
        <v>113</v>
      </c>
      <c r="GN43" s="110" t="s">
        <v>134</v>
      </c>
      <c r="GO43" s="110" t="s">
        <v>91</v>
      </c>
      <c r="GP43" s="84">
        <v>0</v>
      </c>
      <c r="GR43" s="109">
        <v>20.420000000000002</v>
      </c>
      <c r="GS43" s="109">
        <f>IFERROR(GroceryList27456148109111213151718[[#This Row],[QTY]]*GroceryList27456148109111213151718[[#This Row],[UNIT PRICE]],"")</f>
        <v>0</v>
      </c>
      <c r="GT43" s="105" t="s">
        <v>130</v>
      </c>
      <c r="GU43" s="89">
        <v>21.49</v>
      </c>
    </row>
    <row r="44" spans="2:203" ht="30" customHeight="1" x14ac:dyDescent="0.2">
      <c r="B44" s="87"/>
      <c r="C44" s="99" t="s">
        <v>115</v>
      </c>
      <c r="D44" s="89"/>
      <c r="E44" s="89"/>
      <c r="F44" s="87"/>
      <c r="H44" s="90"/>
      <c r="I44" s="90">
        <f>IFERROR(GroceryList[[#This Row],[QTY]]*GroceryList[[#This Row],[UNIT PRICE]],"")</f>
        <v>0</v>
      </c>
      <c r="J44" s="89"/>
      <c r="M44" s="87" t="s">
        <v>130</v>
      </c>
      <c r="N44" s="99" t="s">
        <v>115</v>
      </c>
      <c r="O44" s="89" t="s">
        <v>134</v>
      </c>
      <c r="P44" s="89" t="s">
        <v>91</v>
      </c>
      <c r="Q44" s="87">
        <v>1</v>
      </c>
      <c r="S44" s="90">
        <v>22.99</v>
      </c>
      <c r="T44" s="90">
        <f>IFERROR(GroceryList2[[#This Row],[QTY]]*GroceryList2[[#This Row],[UNIT PRICE]],"")</f>
        <v>22.99</v>
      </c>
      <c r="U44" s="89"/>
      <c r="Y44" s="87" t="s">
        <v>130</v>
      </c>
      <c r="Z44" s="99" t="s">
        <v>115</v>
      </c>
      <c r="AA44" s="89" t="s">
        <v>134</v>
      </c>
      <c r="AB44" s="89" t="s">
        <v>91</v>
      </c>
      <c r="AC44" s="87">
        <v>0</v>
      </c>
      <c r="AE44" s="90">
        <v>22.99</v>
      </c>
      <c r="AF44" s="90">
        <f>IFERROR(GroceryList27[[#This Row],[QTY]]*GroceryList27[[#This Row],[UNIT PRICE]],"")</f>
        <v>0</v>
      </c>
      <c r="AG44" s="89"/>
      <c r="AM44" s="87" t="s">
        <v>130</v>
      </c>
      <c r="AN44" s="105" t="s">
        <v>115</v>
      </c>
      <c r="AO44" s="110" t="s">
        <v>134</v>
      </c>
      <c r="AP44" s="110" t="s">
        <v>91</v>
      </c>
      <c r="AQ44" s="87">
        <v>0</v>
      </c>
      <c r="AS44" s="109">
        <v>22.99</v>
      </c>
      <c r="AT44" s="109">
        <f>IFERROR(GroceryList274[[#This Row],[QTY]]*GroceryList274[[#This Row],[UNIT PRICE]],"")</f>
        <v>0</v>
      </c>
      <c r="AU44" s="89"/>
      <c r="AY44" s="87" t="s">
        <v>130</v>
      </c>
      <c r="AZ44" s="105" t="s">
        <v>114</v>
      </c>
      <c r="BA44" s="110" t="s">
        <v>134</v>
      </c>
      <c r="BB44" s="110" t="s">
        <v>91</v>
      </c>
      <c r="BC44" s="84">
        <v>0</v>
      </c>
      <c r="BE44" s="109">
        <v>37.04</v>
      </c>
      <c r="BF44" s="109">
        <f>IFERROR(GroceryList2745[[#This Row],[QTY]]*GroceryList2745[[#This Row],[UNIT PRICE]],"")</f>
        <v>0</v>
      </c>
      <c r="BG44" s="89"/>
      <c r="BJ44" s="87" t="s">
        <v>130</v>
      </c>
      <c r="BK44" s="105" t="s">
        <v>114</v>
      </c>
      <c r="BL44" s="110" t="s">
        <v>134</v>
      </c>
      <c r="BM44" s="110" t="s">
        <v>91</v>
      </c>
      <c r="BN44" s="84">
        <v>0</v>
      </c>
      <c r="BP44" s="109">
        <v>37.04</v>
      </c>
      <c r="BQ44" s="109">
        <f>IFERROR(GroceryList27456[[#This Row],[QTY]]*GroceryList27456[[#This Row],[UNIT PRICE]],"")</f>
        <v>0</v>
      </c>
      <c r="BR44" s="105" t="s">
        <v>169</v>
      </c>
      <c r="BS44" s="89"/>
      <c r="BV44" s="87" t="s">
        <v>130</v>
      </c>
      <c r="BW44" s="105" t="s">
        <v>114</v>
      </c>
      <c r="BX44" s="110" t="s">
        <v>134</v>
      </c>
      <c r="BY44" s="110" t="s">
        <v>91</v>
      </c>
      <c r="BZ44" s="84">
        <v>1</v>
      </c>
      <c r="CB44" s="109">
        <v>57.94</v>
      </c>
      <c r="CC44" s="109">
        <f>IFERROR(GroceryList2745614[[#This Row],[QTY]]*GroceryList2745614[[#This Row],[UNIT PRICE]],"")</f>
        <v>57.94</v>
      </c>
      <c r="CD44" s="105" t="s">
        <v>130</v>
      </c>
      <c r="CE44" s="89">
        <v>60.99</v>
      </c>
      <c r="CH44" s="87" t="s">
        <v>130</v>
      </c>
      <c r="CI44" s="105" t="s">
        <v>114</v>
      </c>
      <c r="CJ44" s="110" t="s">
        <v>134</v>
      </c>
      <c r="CK44" s="110" t="s">
        <v>91</v>
      </c>
      <c r="CL44" s="84">
        <v>0</v>
      </c>
      <c r="CN44" s="109">
        <v>57.94</v>
      </c>
      <c r="CO44" s="109">
        <f>IFERROR(GroceryList27456148[[#This Row],[QTY]]*GroceryList27456148[[#This Row],[UNIT PRICE]],"")</f>
        <v>0</v>
      </c>
      <c r="CP44" s="105" t="s">
        <v>130</v>
      </c>
      <c r="CQ44" s="89">
        <v>60.99</v>
      </c>
      <c r="CT44" s="87" t="s">
        <v>130</v>
      </c>
      <c r="CU44" s="105" t="s">
        <v>114</v>
      </c>
      <c r="CV44" s="110" t="s">
        <v>134</v>
      </c>
      <c r="CW44" s="110" t="s">
        <v>91</v>
      </c>
      <c r="CX44" s="84">
        <v>0</v>
      </c>
      <c r="CZ44" s="109">
        <v>57.94</v>
      </c>
      <c r="DA44" s="109">
        <f>IFERROR(GroceryList2745614810[[#This Row],[QTY]]*GroceryList2745614810[[#This Row],[UNIT PRICE]],"")</f>
        <v>0</v>
      </c>
      <c r="DB44" s="105" t="s">
        <v>130</v>
      </c>
      <c r="DC44" s="89">
        <v>60.99</v>
      </c>
      <c r="DF44" s="87" t="s">
        <v>130</v>
      </c>
      <c r="DG44" s="105" t="s">
        <v>114</v>
      </c>
      <c r="DH44" s="110" t="s">
        <v>134</v>
      </c>
      <c r="DI44" s="110" t="s">
        <v>91</v>
      </c>
      <c r="DJ44" s="84">
        <v>0</v>
      </c>
      <c r="DL44" s="109">
        <v>57.94</v>
      </c>
      <c r="DM44" s="109">
        <f>IFERROR(GroceryList27456148109[[#This Row],[QTY]]*GroceryList27456148109[[#This Row],[UNIT PRICE]],"")</f>
        <v>0</v>
      </c>
      <c r="DN44" s="105" t="s">
        <v>130</v>
      </c>
      <c r="DO44" s="89">
        <v>60.99</v>
      </c>
      <c r="DR44" s="87" t="s">
        <v>130</v>
      </c>
      <c r="DS44" s="105" t="s">
        <v>114</v>
      </c>
      <c r="DT44" s="110" t="s">
        <v>134</v>
      </c>
      <c r="DU44" s="110" t="s">
        <v>91</v>
      </c>
      <c r="DV44" s="84">
        <v>0</v>
      </c>
      <c r="DX44" s="109">
        <v>57.94</v>
      </c>
      <c r="DY44" s="109">
        <f>IFERROR(GroceryList2745614810911[[#This Row],[QTY]]*GroceryList2745614810911[[#This Row],[UNIT PRICE]],"")</f>
        <v>0</v>
      </c>
      <c r="DZ44" s="105" t="s">
        <v>130</v>
      </c>
      <c r="EA44" s="89">
        <v>60.99</v>
      </c>
      <c r="ED44" s="87" t="s">
        <v>130</v>
      </c>
      <c r="EE44" s="105" t="s">
        <v>114</v>
      </c>
      <c r="EF44" s="110" t="s">
        <v>134</v>
      </c>
      <c r="EG44" s="110" t="s">
        <v>91</v>
      </c>
      <c r="EH44" s="84">
        <v>1</v>
      </c>
      <c r="EJ44" s="109">
        <v>57.94</v>
      </c>
      <c r="EK44" s="109">
        <f>IFERROR(GroceryList274561481091112[[#This Row],[QTY]]*GroceryList274561481091112[[#This Row],[UNIT PRICE]],"")</f>
        <v>57.94</v>
      </c>
      <c r="EL44" s="105" t="s">
        <v>130</v>
      </c>
      <c r="EM44" s="89">
        <v>60.99</v>
      </c>
      <c r="EP44" s="87" t="s">
        <v>130</v>
      </c>
      <c r="EQ44" s="105" t="s">
        <v>114</v>
      </c>
      <c r="ER44" s="110" t="s">
        <v>134</v>
      </c>
      <c r="ES44" s="110" t="s">
        <v>91</v>
      </c>
      <c r="ET44" s="84">
        <v>0</v>
      </c>
      <c r="EV44" s="109">
        <v>57.94</v>
      </c>
      <c r="EW44" s="109">
        <f>IFERROR(GroceryList27456148109111213[[#This Row],[QTY]]*GroceryList27456148109111213[[#This Row],[UNIT PRICE]],"")</f>
        <v>0</v>
      </c>
      <c r="EX44" s="105" t="s">
        <v>130</v>
      </c>
      <c r="EY44" s="89">
        <v>60.99</v>
      </c>
      <c r="FB44" s="87" t="s">
        <v>130</v>
      </c>
      <c r="FC44" s="105" t="s">
        <v>114</v>
      </c>
      <c r="FD44" s="110" t="s">
        <v>134</v>
      </c>
      <c r="FE44" s="110" t="s">
        <v>91</v>
      </c>
      <c r="FF44" s="84">
        <v>0</v>
      </c>
      <c r="FH44" s="109">
        <v>57.94</v>
      </c>
      <c r="FI44" s="109">
        <f>IFERROR(GroceryList2745614810911121315[[#This Row],[QTY]]*GroceryList2745614810911121315[[#This Row],[UNIT PRICE]],"")</f>
        <v>0</v>
      </c>
      <c r="FJ44" s="105" t="s">
        <v>130</v>
      </c>
      <c r="FK44" s="89">
        <v>60.99</v>
      </c>
      <c r="FN44" s="87" t="s">
        <v>130</v>
      </c>
      <c r="FO44" s="105" t="s">
        <v>114</v>
      </c>
      <c r="FP44" s="110" t="s">
        <v>134</v>
      </c>
      <c r="FQ44" s="110" t="s">
        <v>91</v>
      </c>
      <c r="FR44" s="84">
        <v>0</v>
      </c>
      <c r="FT44" s="109">
        <v>57.94</v>
      </c>
      <c r="FU44" s="109">
        <f>IFERROR(GroceryList274561481091112131516[[#This Row],[QTY]]*GroceryList274561481091112131516[[#This Row],[UNIT PRICE]],"")</f>
        <v>0</v>
      </c>
      <c r="FV44" s="105" t="s">
        <v>130</v>
      </c>
      <c r="FW44" s="89">
        <v>60.99</v>
      </c>
      <c r="FZ44" s="87" t="s">
        <v>130</v>
      </c>
      <c r="GA44" s="105" t="s">
        <v>114</v>
      </c>
      <c r="GB44" s="110" t="s">
        <v>134</v>
      </c>
      <c r="GC44" s="110" t="s">
        <v>91</v>
      </c>
      <c r="GD44" s="84">
        <v>1</v>
      </c>
      <c r="GF44" s="109">
        <v>51.99</v>
      </c>
      <c r="GG44" s="109">
        <f>IFERROR(GroceryList274561481091112131517[[#This Row],[QTY]]*GroceryList274561481091112131517[[#This Row],[UNIT PRICE]],"")</f>
        <v>51.99</v>
      </c>
      <c r="GH44" s="105" t="s">
        <v>130</v>
      </c>
      <c r="GI44" s="89">
        <v>60.99</v>
      </c>
      <c r="GL44" s="87" t="s">
        <v>130</v>
      </c>
      <c r="GM44" s="105" t="s">
        <v>114</v>
      </c>
      <c r="GN44" s="110" t="s">
        <v>134</v>
      </c>
      <c r="GO44" s="110" t="s">
        <v>91</v>
      </c>
      <c r="GP44" s="84">
        <v>1</v>
      </c>
      <c r="GR44" s="109">
        <v>51.99</v>
      </c>
      <c r="GS44" s="109">
        <f>IFERROR(GroceryList27456148109111213151718[[#This Row],[QTY]]*GroceryList27456148109111213151718[[#This Row],[UNIT PRICE]],"")</f>
        <v>51.99</v>
      </c>
      <c r="GT44" s="105" t="s">
        <v>130</v>
      </c>
      <c r="GU44" s="89">
        <v>60.99</v>
      </c>
    </row>
    <row r="45" spans="2:203" ht="30" customHeight="1" x14ac:dyDescent="0.2">
      <c r="B45" s="87"/>
      <c r="C45" s="99" t="s">
        <v>116</v>
      </c>
      <c r="D45" s="89"/>
      <c r="E45" s="89"/>
      <c r="F45" s="87"/>
      <c r="H45" s="90"/>
      <c r="I45" s="90">
        <f>IFERROR(GroceryList[[#This Row],[QTY]]*GroceryList[[#This Row],[UNIT PRICE]],"")</f>
        <v>0</v>
      </c>
      <c r="J45" s="89"/>
      <c r="M45" s="87"/>
      <c r="N45" s="99" t="s">
        <v>116</v>
      </c>
      <c r="O45" s="89"/>
      <c r="P45" s="89"/>
      <c r="Q45" s="87"/>
      <c r="S45" s="90"/>
      <c r="T45" s="90">
        <f>IFERROR(GroceryList2[[#This Row],[QTY]]*GroceryList2[[#This Row],[UNIT PRICE]],"")</f>
        <v>0</v>
      </c>
      <c r="U45" s="89"/>
      <c r="Y45" s="87" t="s">
        <v>130</v>
      </c>
      <c r="Z45" s="99" t="s">
        <v>116</v>
      </c>
      <c r="AA45" s="89"/>
      <c r="AB45" s="89"/>
      <c r="AC45" s="87">
        <v>0</v>
      </c>
      <c r="AE45" s="90">
        <v>70</v>
      </c>
      <c r="AF45" s="90">
        <f>IFERROR(GroceryList27[[#This Row],[QTY]]*GroceryList27[[#This Row],[UNIT PRICE]],"")</f>
        <v>0</v>
      </c>
      <c r="AG45" s="89"/>
      <c r="AM45" s="87" t="s">
        <v>130</v>
      </c>
      <c r="AN45" s="105" t="s">
        <v>116</v>
      </c>
      <c r="AO45" s="110"/>
      <c r="AP45" s="110" t="s">
        <v>92</v>
      </c>
      <c r="AQ45" s="87">
        <v>0</v>
      </c>
      <c r="AS45" s="109">
        <v>70</v>
      </c>
      <c r="AT45" s="109">
        <f>IFERROR(GroceryList274[[#This Row],[QTY]]*GroceryList274[[#This Row],[UNIT PRICE]],"")</f>
        <v>0</v>
      </c>
      <c r="AU45" s="89"/>
      <c r="AY45" s="87" t="s">
        <v>130</v>
      </c>
      <c r="AZ45" s="105" t="s">
        <v>115</v>
      </c>
      <c r="BA45" s="110" t="s">
        <v>134</v>
      </c>
      <c r="BB45" s="110" t="s">
        <v>91</v>
      </c>
      <c r="BC45" s="84">
        <v>0</v>
      </c>
      <c r="BE45" s="109">
        <v>22.99</v>
      </c>
      <c r="BF45" s="109">
        <f>IFERROR(GroceryList2745[[#This Row],[QTY]]*GroceryList2745[[#This Row],[UNIT PRICE]],"")</f>
        <v>0</v>
      </c>
      <c r="BG45" s="89"/>
      <c r="BJ45" s="87" t="s">
        <v>130</v>
      </c>
      <c r="BK45" s="105" t="s">
        <v>115</v>
      </c>
      <c r="BL45" s="110" t="s">
        <v>134</v>
      </c>
      <c r="BM45" s="110" t="s">
        <v>91</v>
      </c>
      <c r="BN45" s="84">
        <v>0</v>
      </c>
      <c r="BP45" s="109">
        <v>22.99</v>
      </c>
      <c r="BQ45" s="109">
        <f>IFERROR(GroceryList27456[[#This Row],[QTY]]*GroceryList27456[[#This Row],[UNIT PRICE]],"")</f>
        <v>0</v>
      </c>
      <c r="BR45" s="105" t="s">
        <v>169</v>
      </c>
      <c r="BS45" s="89"/>
      <c r="BV45" s="87" t="s">
        <v>130</v>
      </c>
      <c r="BW45" s="105" t="s">
        <v>115</v>
      </c>
      <c r="BX45" s="110" t="s">
        <v>134</v>
      </c>
      <c r="BY45" s="110" t="s">
        <v>91</v>
      </c>
      <c r="BZ45" s="84">
        <v>0</v>
      </c>
      <c r="CB45" s="109">
        <v>22.99</v>
      </c>
      <c r="CC45" s="109">
        <f>IFERROR(GroceryList2745614[[#This Row],[QTY]]*GroceryList2745614[[#This Row],[UNIT PRICE]],"")</f>
        <v>0</v>
      </c>
      <c r="CD45" s="105" t="s">
        <v>169</v>
      </c>
      <c r="CE45" s="89"/>
      <c r="CH45" s="87" t="s">
        <v>130</v>
      </c>
      <c r="CI45" s="105" t="s">
        <v>115</v>
      </c>
      <c r="CJ45" s="110" t="s">
        <v>134</v>
      </c>
      <c r="CK45" s="110" t="s">
        <v>91</v>
      </c>
      <c r="CL45" s="84">
        <v>0</v>
      </c>
      <c r="CN45" s="109">
        <v>22.99</v>
      </c>
      <c r="CO45" s="109">
        <f>IFERROR(GroceryList27456148[[#This Row],[QTY]]*GroceryList27456148[[#This Row],[UNIT PRICE]],"")</f>
        <v>0</v>
      </c>
      <c r="CP45" s="105" t="s">
        <v>169</v>
      </c>
      <c r="CQ45" s="89"/>
      <c r="CT45" s="87" t="s">
        <v>130</v>
      </c>
      <c r="CU45" s="105" t="s">
        <v>115</v>
      </c>
      <c r="CV45" s="110" t="s">
        <v>134</v>
      </c>
      <c r="CW45" s="110" t="s">
        <v>91</v>
      </c>
      <c r="CX45" s="84">
        <v>1</v>
      </c>
      <c r="CZ45" s="109">
        <v>26.99</v>
      </c>
      <c r="DA45" s="109">
        <f>IFERROR(GroceryList2745614810[[#This Row],[QTY]]*GroceryList2745614810[[#This Row],[UNIT PRICE]],"")</f>
        <v>26.99</v>
      </c>
      <c r="DB45" s="105" t="s">
        <v>169</v>
      </c>
      <c r="DC45" s="89">
        <v>35.99</v>
      </c>
      <c r="DF45" s="87" t="s">
        <v>130</v>
      </c>
      <c r="DG45" s="105" t="s">
        <v>115</v>
      </c>
      <c r="DH45" s="110" t="s">
        <v>134</v>
      </c>
      <c r="DI45" s="110" t="s">
        <v>91</v>
      </c>
      <c r="DJ45" s="84">
        <v>0</v>
      </c>
      <c r="DL45" s="109">
        <v>22.99</v>
      </c>
      <c r="DM45" s="109">
        <f>IFERROR(GroceryList27456148109[[#This Row],[QTY]]*GroceryList27456148109[[#This Row],[UNIT PRICE]],"")</f>
        <v>0</v>
      </c>
      <c r="DN45" s="105" t="s">
        <v>169</v>
      </c>
      <c r="DO45" s="89"/>
      <c r="DR45" s="87" t="s">
        <v>130</v>
      </c>
      <c r="DS45" s="105" t="s">
        <v>115</v>
      </c>
      <c r="DT45" s="110" t="s">
        <v>134</v>
      </c>
      <c r="DU45" s="110" t="s">
        <v>91</v>
      </c>
      <c r="DV45" s="84">
        <v>0</v>
      </c>
      <c r="DX45" s="109">
        <v>22.99</v>
      </c>
      <c r="DY45" s="109">
        <f>IFERROR(GroceryList2745614810911[[#This Row],[QTY]]*GroceryList2745614810911[[#This Row],[UNIT PRICE]],"")</f>
        <v>0</v>
      </c>
      <c r="DZ45" s="105" t="s">
        <v>169</v>
      </c>
      <c r="EA45" s="89"/>
      <c r="ED45" s="87" t="s">
        <v>130</v>
      </c>
      <c r="EE45" s="105" t="s">
        <v>115</v>
      </c>
      <c r="EF45" s="110" t="s">
        <v>134</v>
      </c>
      <c r="EG45" s="110" t="s">
        <v>91</v>
      </c>
      <c r="EH45" s="84">
        <v>0</v>
      </c>
      <c r="EJ45" s="109">
        <v>22.99</v>
      </c>
      <c r="EK45" s="109">
        <f>IFERROR(GroceryList274561481091112[[#This Row],[QTY]]*GroceryList274561481091112[[#This Row],[UNIT PRICE]],"")</f>
        <v>0</v>
      </c>
      <c r="EL45" s="105" t="s">
        <v>169</v>
      </c>
      <c r="EM45" s="89"/>
      <c r="EP45" s="87" t="s">
        <v>130</v>
      </c>
      <c r="EQ45" s="105" t="s">
        <v>115</v>
      </c>
      <c r="ER45" s="110" t="s">
        <v>134</v>
      </c>
      <c r="ES45" s="110" t="s">
        <v>91</v>
      </c>
      <c r="ET45" s="84">
        <v>0</v>
      </c>
      <c r="EV45" s="109">
        <v>22.99</v>
      </c>
      <c r="EW45" s="109">
        <f>IFERROR(GroceryList27456148109111213[[#This Row],[QTY]]*GroceryList27456148109111213[[#This Row],[UNIT PRICE]],"")</f>
        <v>0</v>
      </c>
      <c r="EX45" s="105" t="s">
        <v>169</v>
      </c>
      <c r="EY45" s="89"/>
      <c r="FB45" s="87" t="s">
        <v>130</v>
      </c>
      <c r="FC45" s="105" t="s">
        <v>115</v>
      </c>
      <c r="FD45" s="110" t="s">
        <v>134</v>
      </c>
      <c r="FE45" s="110" t="s">
        <v>91</v>
      </c>
      <c r="FF45" s="84">
        <v>0</v>
      </c>
      <c r="FH45" s="109">
        <v>22.99</v>
      </c>
      <c r="FI45" s="109">
        <f>IFERROR(GroceryList2745614810911121315[[#This Row],[QTY]]*GroceryList2745614810911121315[[#This Row],[UNIT PRICE]],"")</f>
        <v>0</v>
      </c>
      <c r="FJ45" s="105" t="s">
        <v>169</v>
      </c>
      <c r="FK45" s="89"/>
      <c r="FN45" s="87" t="s">
        <v>130</v>
      </c>
      <c r="FO45" s="105" t="s">
        <v>115</v>
      </c>
      <c r="FP45" s="110" t="s">
        <v>134</v>
      </c>
      <c r="FQ45" s="110" t="s">
        <v>91</v>
      </c>
      <c r="FR45" s="84">
        <v>1</v>
      </c>
      <c r="FT45" s="109">
        <v>22.99</v>
      </c>
      <c r="FU45" s="109">
        <f>IFERROR(GroceryList274561481091112131516[[#This Row],[QTY]]*GroceryList274561481091112131516[[#This Row],[UNIT PRICE]],"")</f>
        <v>22.99</v>
      </c>
      <c r="FV45" s="105" t="s">
        <v>169</v>
      </c>
      <c r="FW45" s="89"/>
      <c r="FZ45" s="87" t="s">
        <v>130</v>
      </c>
      <c r="GA45" s="105" t="s">
        <v>115</v>
      </c>
      <c r="GB45" s="110" t="s">
        <v>134</v>
      </c>
      <c r="GC45" s="110" t="s">
        <v>91</v>
      </c>
      <c r="GD45" s="84">
        <v>2</v>
      </c>
      <c r="GF45" s="109">
        <v>34.19</v>
      </c>
      <c r="GG45" s="109">
        <f>IFERROR(GroceryList274561481091112131517[[#This Row],[QTY]]*GroceryList274561481091112131517[[#This Row],[UNIT PRICE]],"")</f>
        <v>68.38</v>
      </c>
      <c r="GH45" s="105" t="s">
        <v>169</v>
      </c>
      <c r="GI45" s="89"/>
      <c r="GL45" s="87" t="s">
        <v>130</v>
      </c>
      <c r="GM45" s="105" t="s">
        <v>115</v>
      </c>
      <c r="GN45" s="110" t="s">
        <v>134</v>
      </c>
      <c r="GO45" s="110" t="s">
        <v>91</v>
      </c>
      <c r="GP45" s="84">
        <v>2</v>
      </c>
      <c r="GR45" s="109">
        <v>34.19</v>
      </c>
      <c r="GS45" s="109">
        <f>IFERROR(GroceryList27456148109111213151718[[#This Row],[QTY]]*GroceryList27456148109111213151718[[#This Row],[UNIT PRICE]],"")</f>
        <v>68.38</v>
      </c>
      <c r="GT45" s="105" t="s">
        <v>169</v>
      </c>
      <c r="GU45" s="89"/>
    </row>
    <row r="46" spans="2:203" ht="30" customHeight="1" x14ac:dyDescent="0.2">
      <c r="B46" s="87"/>
      <c r="C46" s="99" t="s">
        <v>117</v>
      </c>
      <c r="D46" s="89"/>
      <c r="E46" s="89"/>
      <c r="F46" s="87"/>
      <c r="H46" s="90"/>
      <c r="I46" s="90">
        <f>IFERROR(GroceryList[[#This Row],[QTY]]*GroceryList[[#This Row],[UNIT PRICE]],"")</f>
        <v>0</v>
      </c>
      <c r="J46" s="89"/>
      <c r="M46" s="87"/>
      <c r="N46" s="99" t="s">
        <v>117</v>
      </c>
      <c r="O46" s="89"/>
      <c r="P46" s="89"/>
      <c r="Q46" s="87"/>
      <c r="S46" s="90"/>
      <c r="T46" s="90">
        <f>IFERROR(GroceryList2[[#This Row],[QTY]]*GroceryList2[[#This Row],[UNIT PRICE]],"")</f>
        <v>0</v>
      </c>
      <c r="U46" s="89"/>
      <c r="Y46" s="87" t="s">
        <v>130</v>
      </c>
      <c r="Z46" s="99" t="s">
        <v>117</v>
      </c>
      <c r="AA46" s="89"/>
      <c r="AB46" s="89"/>
      <c r="AC46" s="87">
        <v>1</v>
      </c>
      <c r="AE46" s="90">
        <v>50</v>
      </c>
      <c r="AF46" s="90">
        <f>IFERROR(GroceryList27[[#This Row],[QTY]]*GroceryList27[[#This Row],[UNIT PRICE]],"")</f>
        <v>50</v>
      </c>
      <c r="AG46" s="89"/>
      <c r="AM46" s="87" t="s">
        <v>130</v>
      </c>
      <c r="AN46" s="105" t="s">
        <v>117</v>
      </c>
      <c r="AO46" s="110"/>
      <c r="AP46" s="110" t="s">
        <v>92</v>
      </c>
      <c r="AQ46" s="87">
        <v>0</v>
      </c>
      <c r="AS46" s="109">
        <v>50</v>
      </c>
      <c r="AT46" s="109">
        <f>IFERROR(GroceryList274[[#This Row],[QTY]]*GroceryList274[[#This Row],[UNIT PRICE]],"")</f>
        <v>0</v>
      </c>
      <c r="AU46" s="89"/>
      <c r="AY46" s="87" t="s">
        <v>130</v>
      </c>
      <c r="AZ46" s="105" t="s">
        <v>116</v>
      </c>
      <c r="BA46" s="110"/>
      <c r="BB46" s="110" t="s">
        <v>92</v>
      </c>
      <c r="BC46" s="84">
        <v>0</v>
      </c>
      <c r="BE46" s="109">
        <v>70</v>
      </c>
      <c r="BF46" s="109">
        <f>IFERROR(GroceryList2745[[#This Row],[QTY]]*GroceryList2745[[#This Row],[UNIT PRICE]],"")</f>
        <v>0</v>
      </c>
      <c r="BG46" s="89"/>
      <c r="BJ46" s="87" t="s">
        <v>130</v>
      </c>
      <c r="BK46" s="105" t="s">
        <v>116</v>
      </c>
      <c r="BL46" s="110"/>
      <c r="BM46" s="110" t="s">
        <v>92</v>
      </c>
      <c r="BN46" s="84">
        <v>0</v>
      </c>
      <c r="BP46" s="109">
        <v>70</v>
      </c>
      <c r="BQ46" s="109">
        <f>IFERROR(GroceryList27456[[#This Row],[QTY]]*GroceryList27456[[#This Row],[UNIT PRICE]],"")</f>
        <v>0</v>
      </c>
      <c r="BR46" s="105" t="s">
        <v>169</v>
      </c>
      <c r="BS46" s="89"/>
      <c r="BV46" s="87" t="s">
        <v>130</v>
      </c>
      <c r="BW46" s="105" t="s">
        <v>116</v>
      </c>
      <c r="BX46" s="110"/>
      <c r="BY46" s="110" t="s">
        <v>92</v>
      </c>
      <c r="BZ46" s="84">
        <v>0</v>
      </c>
      <c r="CB46" s="109">
        <v>70</v>
      </c>
      <c r="CC46" s="109">
        <f>IFERROR(GroceryList2745614[[#This Row],[QTY]]*GroceryList2745614[[#This Row],[UNIT PRICE]],"")</f>
        <v>0</v>
      </c>
      <c r="CD46" s="105" t="s">
        <v>169</v>
      </c>
      <c r="CE46" s="89"/>
      <c r="CH46" s="87" t="s">
        <v>130</v>
      </c>
      <c r="CI46" s="105" t="s">
        <v>116</v>
      </c>
      <c r="CJ46" s="110"/>
      <c r="CK46" s="110" t="s">
        <v>92</v>
      </c>
      <c r="CL46" s="84">
        <v>0</v>
      </c>
      <c r="CN46" s="109">
        <v>70</v>
      </c>
      <c r="CO46" s="109">
        <f>IFERROR(GroceryList27456148[[#This Row],[QTY]]*GroceryList27456148[[#This Row],[UNIT PRICE]],"")</f>
        <v>0</v>
      </c>
      <c r="CP46" s="105" t="s">
        <v>169</v>
      </c>
      <c r="CQ46" s="89"/>
      <c r="CT46" s="87" t="s">
        <v>130</v>
      </c>
      <c r="CU46" s="105" t="s">
        <v>116</v>
      </c>
      <c r="CV46" s="110"/>
      <c r="CW46" s="110" t="s">
        <v>92</v>
      </c>
      <c r="CX46" s="84">
        <v>0</v>
      </c>
      <c r="CZ46" s="109">
        <v>70</v>
      </c>
      <c r="DA46" s="109">
        <f>IFERROR(GroceryList2745614810[[#This Row],[QTY]]*GroceryList2745614810[[#This Row],[UNIT PRICE]],"")</f>
        <v>0</v>
      </c>
      <c r="DB46" s="105" t="s">
        <v>169</v>
      </c>
      <c r="DC46" s="89"/>
      <c r="DF46" s="87" t="s">
        <v>130</v>
      </c>
      <c r="DG46" s="105" t="s">
        <v>116</v>
      </c>
      <c r="DH46" s="110"/>
      <c r="DI46" s="110" t="s">
        <v>92</v>
      </c>
      <c r="DJ46" s="84">
        <v>0</v>
      </c>
      <c r="DL46" s="109">
        <v>70</v>
      </c>
      <c r="DM46" s="109">
        <f>IFERROR(GroceryList27456148109[[#This Row],[QTY]]*GroceryList27456148109[[#This Row],[UNIT PRICE]],"")</f>
        <v>0</v>
      </c>
      <c r="DN46" s="105" t="s">
        <v>169</v>
      </c>
      <c r="DO46" s="89"/>
      <c r="DR46" s="87" t="s">
        <v>130</v>
      </c>
      <c r="DS46" s="105" t="s">
        <v>116</v>
      </c>
      <c r="DT46" s="110"/>
      <c r="DU46" s="110" t="s">
        <v>92</v>
      </c>
      <c r="DV46" s="84">
        <v>0</v>
      </c>
      <c r="DX46" s="109">
        <v>70</v>
      </c>
      <c r="DY46" s="109">
        <f>IFERROR(GroceryList2745614810911[[#This Row],[QTY]]*GroceryList2745614810911[[#This Row],[UNIT PRICE]],"")</f>
        <v>0</v>
      </c>
      <c r="DZ46" s="105" t="s">
        <v>169</v>
      </c>
      <c r="EA46" s="89"/>
      <c r="ED46" s="87" t="s">
        <v>130</v>
      </c>
      <c r="EE46" s="105" t="s">
        <v>116</v>
      </c>
      <c r="EF46" s="110"/>
      <c r="EG46" s="110" t="s">
        <v>92</v>
      </c>
      <c r="EH46" s="84">
        <v>0</v>
      </c>
      <c r="EJ46" s="109">
        <v>70</v>
      </c>
      <c r="EK46" s="109">
        <f>IFERROR(GroceryList274561481091112[[#This Row],[QTY]]*GroceryList274561481091112[[#This Row],[UNIT PRICE]],"")</f>
        <v>0</v>
      </c>
      <c r="EL46" s="105" t="s">
        <v>169</v>
      </c>
      <c r="EM46" s="89"/>
      <c r="EP46" s="87" t="s">
        <v>130</v>
      </c>
      <c r="EQ46" s="105" t="s">
        <v>116</v>
      </c>
      <c r="ER46" s="110"/>
      <c r="ES46" s="110" t="s">
        <v>92</v>
      </c>
      <c r="ET46" s="84">
        <v>0</v>
      </c>
      <c r="EV46" s="109">
        <v>70</v>
      </c>
      <c r="EW46" s="109">
        <f>IFERROR(GroceryList27456148109111213[[#This Row],[QTY]]*GroceryList27456148109111213[[#This Row],[UNIT PRICE]],"")</f>
        <v>0</v>
      </c>
      <c r="EX46" s="105" t="s">
        <v>169</v>
      </c>
      <c r="EY46" s="89"/>
      <c r="FB46" s="87" t="s">
        <v>130</v>
      </c>
      <c r="FC46" s="105" t="s">
        <v>116</v>
      </c>
      <c r="FD46" s="110"/>
      <c r="FE46" s="110" t="s">
        <v>92</v>
      </c>
      <c r="FF46" s="84">
        <v>0</v>
      </c>
      <c r="FH46" s="109">
        <v>70</v>
      </c>
      <c r="FI46" s="109">
        <f>IFERROR(GroceryList2745614810911121315[[#This Row],[QTY]]*GroceryList2745614810911121315[[#This Row],[UNIT PRICE]],"")</f>
        <v>0</v>
      </c>
      <c r="FJ46" s="105" t="s">
        <v>169</v>
      </c>
      <c r="FK46" s="89"/>
      <c r="FN46" s="87" t="s">
        <v>130</v>
      </c>
      <c r="FO46" s="105" t="s">
        <v>116</v>
      </c>
      <c r="FP46" s="110"/>
      <c r="FQ46" s="110" t="s">
        <v>92</v>
      </c>
      <c r="FR46" s="84">
        <v>0</v>
      </c>
      <c r="FT46" s="109">
        <v>70</v>
      </c>
      <c r="FU46" s="109">
        <f>IFERROR(GroceryList274561481091112131516[[#This Row],[QTY]]*GroceryList274561481091112131516[[#This Row],[UNIT PRICE]],"")</f>
        <v>0</v>
      </c>
      <c r="FV46" s="105" t="s">
        <v>169</v>
      </c>
      <c r="FW46" s="89"/>
      <c r="FZ46" s="87" t="s">
        <v>130</v>
      </c>
      <c r="GA46" s="105" t="s">
        <v>339</v>
      </c>
      <c r="GB46" s="110"/>
      <c r="GC46" s="110" t="s">
        <v>92</v>
      </c>
      <c r="GD46" s="84">
        <v>1</v>
      </c>
      <c r="GF46" s="109">
        <f>57.99+4.99</f>
        <v>62.980000000000004</v>
      </c>
      <c r="GG46" s="109">
        <f>IFERROR(GroceryList274561481091112131517[[#This Row],[QTY]]*GroceryList274561481091112131517[[#This Row],[UNIT PRICE]],"")</f>
        <v>62.980000000000004</v>
      </c>
      <c r="GH46" s="105" t="s">
        <v>169</v>
      </c>
      <c r="GI46" s="89"/>
      <c r="GL46" s="87" t="s">
        <v>130</v>
      </c>
      <c r="GM46" s="105" t="s">
        <v>339</v>
      </c>
      <c r="GN46" s="110"/>
      <c r="GO46" s="110" t="s">
        <v>92</v>
      </c>
      <c r="GP46" s="84">
        <v>1</v>
      </c>
      <c r="GR46" s="109">
        <f>57.99+4.99</f>
        <v>62.980000000000004</v>
      </c>
      <c r="GS46" s="109">
        <f>IFERROR(GroceryList27456148109111213151718[[#This Row],[QTY]]*GroceryList27456148109111213151718[[#This Row],[UNIT PRICE]],"")</f>
        <v>62.980000000000004</v>
      </c>
      <c r="GT46" s="105" t="s">
        <v>169</v>
      </c>
      <c r="GU46" s="89"/>
    </row>
    <row r="47" spans="2:203" ht="30" hidden="1" customHeight="1" x14ac:dyDescent="0.2">
      <c r="B47" s="87"/>
      <c r="C47" s="99" t="s">
        <v>118</v>
      </c>
      <c r="D47" s="89" t="s">
        <v>134</v>
      </c>
      <c r="E47" s="89" t="s">
        <v>90</v>
      </c>
      <c r="F47" s="87">
        <v>1</v>
      </c>
      <c r="H47" s="90">
        <v>38</v>
      </c>
      <c r="I47" s="90">
        <f>IFERROR(GroceryList[[#This Row],[QTY]]*GroceryList[[#This Row],[UNIT PRICE]],"")</f>
        <v>38</v>
      </c>
      <c r="J47" s="89"/>
      <c r="M47" s="87"/>
      <c r="N47" s="99" t="s">
        <v>118</v>
      </c>
      <c r="O47" s="89" t="s">
        <v>134</v>
      </c>
      <c r="P47" s="89" t="s">
        <v>90</v>
      </c>
      <c r="Q47" s="87"/>
      <c r="S47" s="90">
        <v>38</v>
      </c>
      <c r="T47" s="90">
        <f>IFERROR(GroceryList2[[#This Row],[QTY]]*GroceryList2[[#This Row],[UNIT PRICE]],"")</f>
        <v>0</v>
      </c>
      <c r="U47" s="89"/>
      <c r="Y47" s="87" t="s">
        <v>130</v>
      </c>
      <c r="Z47" s="99" t="s">
        <v>118</v>
      </c>
      <c r="AA47" s="89" t="s">
        <v>134</v>
      </c>
      <c r="AB47" s="89" t="s">
        <v>90</v>
      </c>
      <c r="AC47" s="87">
        <v>1</v>
      </c>
      <c r="AE47" s="90">
        <v>80</v>
      </c>
      <c r="AF47" s="90">
        <f>IFERROR(GroceryList27[[#This Row],[QTY]]*GroceryList27[[#This Row],[UNIT PRICE]],"")</f>
        <v>80</v>
      </c>
      <c r="AG47" s="89"/>
      <c r="AM47" s="87" t="s">
        <v>130</v>
      </c>
      <c r="AN47" s="105" t="s">
        <v>118</v>
      </c>
      <c r="AO47" s="110" t="s">
        <v>134</v>
      </c>
      <c r="AP47" s="110" t="s">
        <v>90</v>
      </c>
      <c r="AQ47" s="87">
        <v>0</v>
      </c>
      <c r="AS47" s="109">
        <v>80</v>
      </c>
      <c r="AT47" s="109">
        <f>IFERROR(GroceryList274[[#This Row],[QTY]]*GroceryList274[[#This Row],[UNIT PRICE]],"")</f>
        <v>0</v>
      </c>
      <c r="AU47" s="89"/>
      <c r="AY47" s="84"/>
      <c r="AZ47" s="107" t="s">
        <v>165</v>
      </c>
      <c r="BA47" s="108" t="s">
        <v>134</v>
      </c>
      <c r="BB47" s="108" t="s">
        <v>91</v>
      </c>
      <c r="BC47" s="84">
        <v>1</v>
      </c>
      <c r="BD47" s="83"/>
      <c r="BE47" s="109">
        <v>36.99</v>
      </c>
      <c r="BF47" s="109">
        <f>IFERROR(GroceryList2745[[#This Row],[QTY]]*GroceryList2745[[#This Row],[UNIT PRICE]],"")</f>
        <v>36.99</v>
      </c>
      <c r="BG47"/>
      <c r="BJ47" s="84"/>
      <c r="BK47" s="107" t="s">
        <v>165</v>
      </c>
      <c r="BL47" s="108" t="s">
        <v>134</v>
      </c>
      <c r="BM47" s="108" t="s">
        <v>91</v>
      </c>
      <c r="BN47" s="84">
        <v>0</v>
      </c>
      <c r="BO47" s="83"/>
      <c r="BP47" s="109">
        <v>36.99</v>
      </c>
      <c r="BQ47" s="109">
        <f>IFERROR(GroceryList27456[[#This Row],[QTY]]*GroceryList27456[[#This Row],[UNIT PRICE]],"")</f>
        <v>0</v>
      </c>
      <c r="BR47" s="111" t="s">
        <v>169</v>
      </c>
      <c r="BS47"/>
      <c r="BV47" s="84"/>
      <c r="BW47" s="107" t="s">
        <v>165</v>
      </c>
      <c r="BX47" s="108" t="s">
        <v>134</v>
      </c>
      <c r="BY47" s="108" t="s">
        <v>91</v>
      </c>
      <c r="BZ47" s="84">
        <v>0</v>
      </c>
      <c r="CA47" s="83"/>
      <c r="CB47" s="109">
        <v>36.99</v>
      </c>
      <c r="CC47" s="109">
        <f>IFERROR(GroceryList2745614[[#This Row],[QTY]]*GroceryList2745614[[#This Row],[UNIT PRICE]],"")</f>
        <v>0</v>
      </c>
      <c r="CD47" s="111" t="s">
        <v>169</v>
      </c>
      <c r="CE47"/>
      <c r="CH47" s="84"/>
      <c r="CI47" s="107" t="s">
        <v>165</v>
      </c>
      <c r="CJ47" s="108" t="s">
        <v>134</v>
      </c>
      <c r="CK47" s="108" t="s">
        <v>91</v>
      </c>
      <c r="CL47" s="84">
        <v>0</v>
      </c>
      <c r="CM47" s="83"/>
      <c r="CN47" s="109">
        <v>36.99</v>
      </c>
      <c r="CO47" s="109">
        <f>IFERROR(GroceryList27456148[[#This Row],[QTY]]*GroceryList27456148[[#This Row],[UNIT PRICE]],"")</f>
        <v>0</v>
      </c>
      <c r="CP47" s="111" t="s">
        <v>169</v>
      </c>
      <c r="CQ47"/>
      <c r="CT47" s="84"/>
      <c r="CU47" s="107" t="s">
        <v>165</v>
      </c>
      <c r="CV47" s="108" t="s">
        <v>134</v>
      </c>
      <c r="CW47" s="108" t="s">
        <v>91</v>
      </c>
      <c r="CX47" s="84">
        <v>0</v>
      </c>
      <c r="CY47" s="83"/>
      <c r="CZ47" s="109">
        <v>36.99</v>
      </c>
      <c r="DA47" s="109">
        <f>IFERROR(GroceryList2745614810[[#This Row],[QTY]]*GroceryList2745614810[[#This Row],[UNIT PRICE]],"")</f>
        <v>0</v>
      </c>
      <c r="DB47" s="111" t="s">
        <v>169</v>
      </c>
      <c r="DC47"/>
      <c r="DF47" s="84"/>
      <c r="DG47" s="107" t="s">
        <v>165</v>
      </c>
      <c r="DH47" s="108" t="s">
        <v>134</v>
      </c>
      <c r="DI47" s="108" t="s">
        <v>91</v>
      </c>
      <c r="DJ47" s="84">
        <v>0</v>
      </c>
      <c r="DK47" s="83"/>
      <c r="DL47" s="109">
        <v>36.99</v>
      </c>
      <c r="DM47" s="109">
        <f>IFERROR(GroceryList27456148109[[#This Row],[QTY]]*GroceryList27456148109[[#This Row],[UNIT PRICE]],"")</f>
        <v>0</v>
      </c>
      <c r="DN47" s="111" t="s">
        <v>169</v>
      </c>
      <c r="DO47"/>
      <c r="DR47" s="84"/>
      <c r="DS47" s="107" t="s">
        <v>165</v>
      </c>
      <c r="DT47" s="108" t="s">
        <v>134</v>
      </c>
      <c r="DU47" s="108" t="s">
        <v>91</v>
      </c>
      <c r="DV47" s="84">
        <v>0</v>
      </c>
      <c r="DW47" s="83"/>
      <c r="DX47" s="109">
        <v>36.99</v>
      </c>
      <c r="DY47" s="109">
        <f>IFERROR(GroceryList2745614810911[[#This Row],[QTY]]*GroceryList2745614810911[[#This Row],[UNIT PRICE]],"")</f>
        <v>0</v>
      </c>
      <c r="DZ47" s="111" t="s">
        <v>169</v>
      </c>
      <c r="EA47"/>
      <c r="ED47" s="84"/>
      <c r="EE47" s="107" t="s">
        <v>165</v>
      </c>
      <c r="EF47" s="108" t="s">
        <v>134</v>
      </c>
      <c r="EG47" s="108" t="s">
        <v>91</v>
      </c>
      <c r="EH47" s="84">
        <v>1</v>
      </c>
      <c r="EI47" s="83"/>
      <c r="EJ47" s="109">
        <v>35.14</v>
      </c>
      <c r="EK47" s="109">
        <f>IFERROR(GroceryList274561481091112[[#This Row],[QTY]]*GroceryList274561481091112[[#This Row],[UNIT PRICE]],"")</f>
        <v>35.14</v>
      </c>
      <c r="EL47" s="111" t="s">
        <v>169</v>
      </c>
      <c r="EM47" s="116">
        <v>37</v>
      </c>
      <c r="EP47" s="84"/>
      <c r="EQ47" s="107" t="s">
        <v>165</v>
      </c>
      <c r="ER47" s="108" t="s">
        <v>134</v>
      </c>
      <c r="ES47" s="108" t="s">
        <v>91</v>
      </c>
      <c r="ET47" s="84">
        <v>0</v>
      </c>
      <c r="EU47" s="83"/>
      <c r="EV47" s="109">
        <v>35.14</v>
      </c>
      <c r="EW47" s="109">
        <f>IFERROR(GroceryList27456148109111213[[#This Row],[QTY]]*GroceryList27456148109111213[[#This Row],[UNIT PRICE]],"")</f>
        <v>0</v>
      </c>
      <c r="EX47" s="111" t="s">
        <v>169</v>
      </c>
      <c r="EY47" s="116">
        <v>37</v>
      </c>
      <c r="FB47" s="84"/>
      <c r="FC47" s="107" t="s">
        <v>165</v>
      </c>
      <c r="FD47" s="108" t="s">
        <v>134</v>
      </c>
      <c r="FE47" s="108" t="s">
        <v>91</v>
      </c>
      <c r="FF47" s="84">
        <v>0</v>
      </c>
      <c r="FG47" s="83"/>
      <c r="FH47" s="109">
        <v>35.14</v>
      </c>
      <c r="FI47" s="109">
        <f>IFERROR(GroceryList2745614810911121315[[#This Row],[QTY]]*GroceryList2745614810911121315[[#This Row],[UNIT PRICE]],"")</f>
        <v>0</v>
      </c>
      <c r="FJ47" s="111" t="s">
        <v>169</v>
      </c>
      <c r="FK47" s="116">
        <v>37</v>
      </c>
      <c r="FN47" s="84"/>
      <c r="FO47" s="107" t="s">
        <v>165</v>
      </c>
      <c r="FP47" s="108" t="s">
        <v>134</v>
      </c>
      <c r="FQ47" s="108" t="s">
        <v>91</v>
      </c>
      <c r="FR47" s="84">
        <v>0</v>
      </c>
      <c r="FS47" s="83"/>
      <c r="FT47" s="109">
        <v>35.14</v>
      </c>
      <c r="FU47" s="109">
        <f>IFERROR(GroceryList274561481091112131516[[#This Row],[QTY]]*GroceryList274561481091112131516[[#This Row],[UNIT PRICE]],"")</f>
        <v>0</v>
      </c>
      <c r="FV47" s="111" t="s">
        <v>169</v>
      </c>
      <c r="FW47" s="116">
        <v>37</v>
      </c>
      <c r="FZ47" s="84"/>
      <c r="GA47" s="107" t="s">
        <v>165</v>
      </c>
      <c r="GB47" s="108" t="s">
        <v>134</v>
      </c>
      <c r="GC47" s="108" t="s">
        <v>91</v>
      </c>
      <c r="GD47" s="84">
        <v>0</v>
      </c>
      <c r="GE47" s="83"/>
      <c r="GF47" s="109">
        <v>35.14</v>
      </c>
      <c r="GG47" s="109">
        <f>IFERROR(GroceryList274561481091112131517[[#This Row],[QTY]]*GroceryList274561481091112131517[[#This Row],[UNIT PRICE]],"")</f>
        <v>0</v>
      </c>
      <c r="GH47" s="111" t="s">
        <v>169</v>
      </c>
      <c r="GI47" s="116">
        <v>37</v>
      </c>
      <c r="GL47" s="84"/>
      <c r="GM47" s="107" t="s">
        <v>165</v>
      </c>
      <c r="GN47" s="108" t="s">
        <v>134</v>
      </c>
      <c r="GO47" s="108" t="s">
        <v>91</v>
      </c>
      <c r="GP47" s="84">
        <v>0</v>
      </c>
      <c r="GQ47" s="83"/>
      <c r="GR47" s="109">
        <v>35.14</v>
      </c>
      <c r="GS47" s="109">
        <f>IFERROR(GroceryList27456148109111213151718[[#This Row],[QTY]]*GroceryList27456148109111213151718[[#This Row],[UNIT PRICE]],"")</f>
        <v>0</v>
      </c>
      <c r="GT47" s="111" t="s">
        <v>169</v>
      </c>
      <c r="GU47" s="116">
        <v>37</v>
      </c>
    </row>
    <row r="48" spans="2:203" ht="30" customHeight="1" x14ac:dyDescent="0.2">
      <c r="B48" s="87"/>
      <c r="C48" s="102" t="s">
        <v>148</v>
      </c>
      <c r="D48" t="s">
        <v>134</v>
      </c>
      <c r="E48" t="s">
        <v>91</v>
      </c>
      <c r="F48" s="87">
        <v>0.5</v>
      </c>
      <c r="H48" s="90">
        <v>61.73</v>
      </c>
      <c r="I48" s="90">
        <f>IFERROR(GroceryList[[#This Row],[QTY]]*GroceryList[[#This Row],[UNIT PRICE]],"")</f>
        <v>30.864999999999998</v>
      </c>
      <c r="J48"/>
      <c r="M48" s="87"/>
      <c r="N48" s="102" t="s">
        <v>148</v>
      </c>
      <c r="O48" t="s">
        <v>134</v>
      </c>
      <c r="P48" t="s">
        <v>91</v>
      </c>
      <c r="Q48" s="87"/>
      <c r="S48" s="90">
        <v>61.73</v>
      </c>
      <c r="T48" s="90">
        <f>IFERROR(GroceryList2[[#This Row],[QTY]]*GroceryList2[[#This Row],[UNIT PRICE]],"")</f>
        <v>0</v>
      </c>
      <c r="U48"/>
      <c r="Y48" s="87"/>
      <c r="Z48" s="102" t="s">
        <v>148</v>
      </c>
      <c r="AA48" t="s">
        <v>134</v>
      </c>
      <c r="AB48" t="s">
        <v>91</v>
      </c>
      <c r="AC48" s="87"/>
      <c r="AE48" s="90">
        <v>61.73</v>
      </c>
      <c r="AF48" s="90">
        <f>IFERROR(GroceryList27[[#This Row],[QTY]]*GroceryList27[[#This Row],[UNIT PRICE]],"")</f>
        <v>0</v>
      </c>
      <c r="AG48"/>
      <c r="AM48" s="87"/>
      <c r="AN48" s="107" t="s">
        <v>148</v>
      </c>
      <c r="AO48" s="108" t="s">
        <v>134</v>
      </c>
      <c r="AP48" s="108" t="s">
        <v>91</v>
      </c>
      <c r="AQ48" s="87">
        <v>0.5</v>
      </c>
      <c r="AS48" s="109">
        <v>61.73</v>
      </c>
      <c r="AT48" s="109">
        <f>IFERROR(GroceryList274[[#This Row],[QTY]]*GroceryList274[[#This Row],[UNIT PRICE]],"")</f>
        <v>30.864999999999998</v>
      </c>
      <c r="AU48"/>
      <c r="AY48" s="87" t="s">
        <v>130</v>
      </c>
      <c r="AZ48" s="105" t="s">
        <v>118</v>
      </c>
      <c r="BA48" s="110" t="s">
        <v>134</v>
      </c>
      <c r="BB48" s="110" t="s">
        <v>90</v>
      </c>
      <c r="BC48" s="84">
        <v>0</v>
      </c>
      <c r="BE48" s="109">
        <v>80</v>
      </c>
      <c r="BF48" s="109">
        <f>IFERROR(GroceryList2745[[#This Row],[QTY]]*GroceryList2745[[#This Row],[UNIT PRICE]],"")</f>
        <v>0</v>
      </c>
      <c r="BG48" s="89"/>
      <c r="BJ48" s="87" t="s">
        <v>130</v>
      </c>
      <c r="BK48" s="105" t="s">
        <v>118</v>
      </c>
      <c r="BL48" s="110" t="s">
        <v>134</v>
      </c>
      <c r="BM48" s="110" t="s">
        <v>90</v>
      </c>
      <c r="BN48" s="84">
        <v>0</v>
      </c>
      <c r="BP48" s="109">
        <v>80</v>
      </c>
      <c r="BQ48" s="109">
        <f>IFERROR(GroceryList27456[[#This Row],[QTY]]*GroceryList27456[[#This Row],[UNIT PRICE]],"")</f>
        <v>0</v>
      </c>
      <c r="BR48" s="105" t="s">
        <v>169</v>
      </c>
      <c r="BS48" s="89"/>
      <c r="BV48" s="87" t="s">
        <v>130</v>
      </c>
      <c r="BW48" s="105" t="s">
        <v>118</v>
      </c>
      <c r="BX48" s="110" t="s">
        <v>134</v>
      </c>
      <c r="BY48" s="110" t="s">
        <v>90</v>
      </c>
      <c r="BZ48" s="84">
        <v>1</v>
      </c>
      <c r="CB48" s="109">
        <v>98.79</v>
      </c>
      <c r="CC48" s="109">
        <f>IFERROR(GroceryList2745614[[#This Row],[QTY]]*GroceryList2745614[[#This Row],[UNIT PRICE]],"")</f>
        <v>98.79</v>
      </c>
      <c r="CD48" s="105" t="s">
        <v>130</v>
      </c>
      <c r="CE48" s="89">
        <v>104</v>
      </c>
      <c r="CH48" s="87" t="s">
        <v>130</v>
      </c>
      <c r="CI48" s="105" t="s">
        <v>118</v>
      </c>
      <c r="CJ48" s="110" t="s">
        <v>134</v>
      </c>
      <c r="CK48" s="110" t="s">
        <v>90</v>
      </c>
      <c r="CL48" s="84">
        <v>1</v>
      </c>
      <c r="CN48" s="109">
        <v>83.19</v>
      </c>
      <c r="CO48" s="109">
        <f>IFERROR(GroceryList27456148[[#This Row],[QTY]]*GroceryList27456148[[#This Row],[UNIT PRICE]],"")</f>
        <v>83.19</v>
      </c>
      <c r="CP48" s="105" t="s">
        <v>130</v>
      </c>
      <c r="CQ48" s="89">
        <v>104</v>
      </c>
      <c r="CT48" s="87" t="s">
        <v>130</v>
      </c>
      <c r="CU48" s="105" t="s">
        <v>118</v>
      </c>
      <c r="CV48" s="110" t="s">
        <v>134</v>
      </c>
      <c r="CW48" s="110" t="s">
        <v>90</v>
      </c>
      <c r="CX48" s="84">
        <v>1</v>
      </c>
      <c r="CZ48" s="109">
        <v>119.99</v>
      </c>
      <c r="DA48" s="109">
        <f>IFERROR(GroceryList2745614810[[#This Row],[QTY]]*GroceryList2745614810[[#This Row],[UNIT PRICE]],"")</f>
        <v>119.99</v>
      </c>
      <c r="DB48" s="105" t="s">
        <v>130</v>
      </c>
      <c r="DC48" s="89">
        <v>149.99</v>
      </c>
      <c r="DF48" s="87" t="s">
        <v>130</v>
      </c>
      <c r="DG48" s="105" t="s">
        <v>118</v>
      </c>
      <c r="DH48" s="110" t="s">
        <v>134</v>
      </c>
      <c r="DI48" s="110" t="s">
        <v>90</v>
      </c>
      <c r="DJ48" s="84">
        <v>0</v>
      </c>
      <c r="DL48" s="109">
        <v>83.19</v>
      </c>
      <c r="DM48" s="109">
        <f>IFERROR(GroceryList27456148109[[#This Row],[QTY]]*GroceryList27456148109[[#This Row],[UNIT PRICE]],"")</f>
        <v>0</v>
      </c>
      <c r="DN48" s="105" t="s">
        <v>130</v>
      </c>
      <c r="DO48" s="89">
        <v>104</v>
      </c>
      <c r="DR48" s="87" t="s">
        <v>130</v>
      </c>
      <c r="DS48" s="105" t="s">
        <v>118</v>
      </c>
      <c r="DT48" s="110" t="s">
        <v>134</v>
      </c>
      <c r="DU48" s="110" t="s">
        <v>90</v>
      </c>
      <c r="DV48" s="84">
        <v>1</v>
      </c>
      <c r="DX48" s="109">
        <v>83.19</v>
      </c>
      <c r="DY48" s="109">
        <f>IFERROR(GroceryList2745614810911[[#This Row],[QTY]]*GroceryList2745614810911[[#This Row],[UNIT PRICE]],"")</f>
        <v>83.19</v>
      </c>
      <c r="DZ48" s="105" t="s">
        <v>130</v>
      </c>
      <c r="EA48" s="89">
        <v>104</v>
      </c>
      <c r="ED48" s="87" t="s">
        <v>130</v>
      </c>
      <c r="EE48" s="105" t="s">
        <v>118</v>
      </c>
      <c r="EF48" s="110" t="s">
        <v>134</v>
      </c>
      <c r="EG48" s="110" t="s">
        <v>90</v>
      </c>
      <c r="EH48" s="84">
        <v>0</v>
      </c>
      <c r="EJ48" s="109">
        <v>83.19</v>
      </c>
      <c r="EK48" s="109">
        <f>IFERROR(GroceryList274561481091112[[#This Row],[QTY]]*GroceryList274561481091112[[#This Row],[UNIT PRICE]],"")</f>
        <v>0</v>
      </c>
      <c r="EL48" s="105" t="s">
        <v>130</v>
      </c>
      <c r="EM48" s="89">
        <v>104</v>
      </c>
      <c r="EP48" s="87" t="s">
        <v>130</v>
      </c>
      <c r="EQ48" s="105" t="s">
        <v>118</v>
      </c>
      <c r="ER48" s="110" t="s">
        <v>134</v>
      </c>
      <c r="ES48" s="110" t="s">
        <v>90</v>
      </c>
      <c r="ET48" s="84">
        <v>2</v>
      </c>
      <c r="EV48" s="109">
        <v>83.19</v>
      </c>
      <c r="EW48" s="109">
        <f>IFERROR(GroceryList27456148109111213[[#This Row],[QTY]]*GroceryList27456148109111213[[#This Row],[UNIT PRICE]],"")</f>
        <v>166.38</v>
      </c>
      <c r="EX48" s="105" t="s">
        <v>130</v>
      </c>
      <c r="EY48" s="89">
        <v>104</v>
      </c>
      <c r="FB48" s="87" t="s">
        <v>130</v>
      </c>
      <c r="FC48" s="105" t="s">
        <v>118</v>
      </c>
      <c r="FD48" s="110" t="s">
        <v>134</v>
      </c>
      <c r="FE48" s="110" t="s">
        <v>90</v>
      </c>
      <c r="FF48" s="84">
        <v>0</v>
      </c>
      <c r="FH48" s="109">
        <v>83.19</v>
      </c>
      <c r="FI48" s="109">
        <f>IFERROR(GroceryList2745614810911121315[[#This Row],[QTY]]*GroceryList2745614810911121315[[#This Row],[UNIT PRICE]],"")</f>
        <v>0</v>
      </c>
      <c r="FJ48" s="105" t="s">
        <v>130</v>
      </c>
      <c r="FK48" s="89">
        <v>104</v>
      </c>
      <c r="FN48" s="87" t="s">
        <v>130</v>
      </c>
      <c r="FO48" s="105" t="s">
        <v>118</v>
      </c>
      <c r="FP48" s="110" t="s">
        <v>134</v>
      </c>
      <c r="FQ48" s="110" t="s">
        <v>90</v>
      </c>
      <c r="FR48" s="84">
        <v>0</v>
      </c>
      <c r="FT48" s="109">
        <v>83.19</v>
      </c>
      <c r="FU48" s="109">
        <f>IFERROR(GroceryList274561481091112131516[[#This Row],[QTY]]*GroceryList274561481091112131516[[#This Row],[UNIT PRICE]],"")</f>
        <v>0</v>
      </c>
      <c r="FV48" s="105" t="s">
        <v>130</v>
      </c>
      <c r="FW48" s="89">
        <v>104</v>
      </c>
      <c r="FZ48" s="87" t="s">
        <v>130</v>
      </c>
      <c r="GA48" s="105" t="s">
        <v>118</v>
      </c>
      <c r="GB48" s="110" t="s">
        <v>134</v>
      </c>
      <c r="GC48" s="110" t="s">
        <v>90</v>
      </c>
      <c r="GD48" s="84">
        <v>1</v>
      </c>
      <c r="GF48" s="109">
        <v>120</v>
      </c>
      <c r="GG48" s="109">
        <f>IFERROR(GroceryList274561481091112131517[[#This Row],[QTY]]*GroceryList274561481091112131517[[#This Row],[UNIT PRICE]],"")</f>
        <v>120</v>
      </c>
      <c r="GH48" s="105" t="s">
        <v>130</v>
      </c>
      <c r="GI48" s="89">
        <v>104</v>
      </c>
      <c r="GL48" s="87" t="s">
        <v>130</v>
      </c>
      <c r="GM48" s="105" t="s">
        <v>118</v>
      </c>
      <c r="GN48" s="110" t="s">
        <v>134</v>
      </c>
      <c r="GO48" s="110" t="s">
        <v>90</v>
      </c>
      <c r="GP48" s="84">
        <v>1</v>
      </c>
      <c r="GR48" s="109">
        <v>120</v>
      </c>
      <c r="GS48" s="109">
        <f>IFERROR(GroceryList27456148109111213151718[[#This Row],[QTY]]*GroceryList27456148109111213151718[[#This Row],[UNIT PRICE]],"")</f>
        <v>120</v>
      </c>
      <c r="GT48" s="105" t="s">
        <v>130</v>
      </c>
      <c r="GU48" s="89">
        <v>104</v>
      </c>
    </row>
    <row r="49" spans="2:203" ht="30" hidden="1" customHeight="1" x14ac:dyDescent="0.2">
      <c r="B49" s="87"/>
      <c r="C49" s="99" t="s">
        <v>119</v>
      </c>
      <c r="D49" s="89"/>
      <c r="E49" s="89"/>
      <c r="F49" s="87"/>
      <c r="H49" s="90"/>
      <c r="I49" s="90">
        <f>IFERROR(GroceryList[[#This Row],[QTY]]*GroceryList[[#This Row],[UNIT PRICE]],"")</f>
        <v>0</v>
      </c>
      <c r="J49" s="89"/>
      <c r="M49" s="87"/>
      <c r="N49" s="99" t="s">
        <v>119</v>
      </c>
      <c r="O49" s="89"/>
      <c r="P49" s="89"/>
      <c r="Q49" s="87"/>
      <c r="S49" s="90"/>
      <c r="T49" s="90">
        <f>IFERROR(GroceryList2[[#This Row],[QTY]]*GroceryList2[[#This Row],[UNIT PRICE]],"")</f>
        <v>0</v>
      </c>
      <c r="U49" s="89"/>
      <c r="Y49" s="87"/>
      <c r="Z49" s="99" t="s">
        <v>119</v>
      </c>
      <c r="AA49" s="89"/>
      <c r="AB49" s="89"/>
      <c r="AC49" s="87"/>
      <c r="AE49" s="90"/>
      <c r="AF49" s="90">
        <f>IFERROR(GroceryList27[[#This Row],[QTY]]*GroceryList27[[#This Row],[UNIT PRICE]],"")</f>
        <v>0</v>
      </c>
      <c r="AG49" s="89"/>
      <c r="AM49" s="87" t="s">
        <v>130</v>
      </c>
      <c r="AN49" s="105" t="s">
        <v>119</v>
      </c>
      <c r="AO49" s="110"/>
      <c r="AP49" s="110" t="s">
        <v>89</v>
      </c>
      <c r="AQ49" s="87">
        <v>0</v>
      </c>
      <c r="AS49" s="109"/>
      <c r="AT49" s="109">
        <f>IFERROR(GroceryList274[[#This Row],[QTY]]*GroceryList274[[#This Row],[UNIT PRICE]],"")</f>
        <v>0</v>
      </c>
      <c r="AU49" s="89"/>
      <c r="AY49" s="87"/>
      <c r="AZ49" s="107" t="s">
        <v>148</v>
      </c>
      <c r="BA49" s="108" t="s">
        <v>134</v>
      </c>
      <c r="BB49" s="108" t="s">
        <v>91</v>
      </c>
      <c r="BC49" s="84">
        <v>0</v>
      </c>
      <c r="BE49" s="109">
        <v>61.73</v>
      </c>
      <c r="BF49" s="109">
        <f>IFERROR(GroceryList2745[[#This Row],[QTY]]*GroceryList2745[[#This Row],[UNIT PRICE]],"")</f>
        <v>0</v>
      </c>
      <c r="BG49"/>
      <c r="BJ49" s="87"/>
      <c r="BK49" s="107" t="s">
        <v>148</v>
      </c>
      <c r="BL49" s="108" t="s">
        <v>134</v>
      </c>
      <c r="BM49" s="108" t="s">
        <v>91</v>
      </c>
      <c r="BN49" s="84">
        <v>0</v>
      </c>
      <c r="BP49" s="109">
        <v>61.73</v>
      </c>
      <c r="BQ49" s="109">
        <f>IFERROR(GroceryList27456[[#This Row],[QTY]]*GroceryList27456[[#This Row],[UNIT PRICE]],"")</f>
        <v>0</v>
      </c>
      <c r="BR49" s="111" t="s">
        <v>169</v>
      </c>
      <c r="BS49"/>
      <c r="BV49" s="87"/>
      <c r="BW49" s="107" t="s">
        <v>148</v>
      </c>
      <c r="BX49" s="108" t="s">
        <v>134</v>
      </c>
      <c r="BY49" s="108" t="s">
        <v>91</v>
      </c>
      <c r="BZ49" s="84">
        <v>0</v>
      </c>
      <c r="CB49" s="109">
        <v>61.73</v>
      </c>
      <c r="CC49" s="109">
        <f>IFERROR(GroceryList2745614[[#This Row],[QTY]]*GroceryList2745614[[#This Row],[UNIT PRICE]],"")</f>
        <v>0</v>
      </c>
      <c r="CD49" s="111" t="s">
        <v>169</v>
      </c>
      <c r="CE49"/>
      <c r="CH49" s="87"/>
      <c r="CI49" s="107" t="s">
        <v>148</v>
      </c>
      <c r="CJ49" s="108" t="s">
        <v>134</v>
      </c>
      <c r="CK49" s="108" t="s">
        <v>91</v>
      </c>
      <c r="CL49" s="84">
        <v>0</v>
      </c>
      <c r="CN49" s="109">
        <v>61.73</v>
      </c>
      <c r="CO49" s="109">
        <f>IFERROR(GroceryList27456148[[#This Row],[QTY]]*GroceryList27456148[[#This Row],[UNIT PRICE]],"")</f>
        <v>0</v>
      </c>
      <c r="CP49" s="111" t="s">
        <v>169</v>
      </c>
      <c r="CQ49"/>
      <c r="CT49" s="87"/>
      <c r="CU49" s="107" t="s">
        <v>148</v>
      </c>
      <c r="CV49" s="108" t="s">
        <v>134</v>
      </c>
      <c r="CW49" s="108" t="s">
        <v>91</v>
      </c>
      <c r="CX49" s="84">
        <v>0</v>
      </c>
      <c r="CZ49" s="109">
        <v>61.73</v>
      </c>
      <c r="DA49" s="109">
        <f>IFERROR(GroceryList2745614810[[#This Row],[QTY]]*GroceryList2745614810[[#This Row],[UNIT PRICE]],"")</f>
        <v>0</v>
      </c>
      <c r="DB49" s="111" t="s">
        <v>169</v>
      </c>
      <c r="DC49"/>
      <c r="DF49" s="87"/>
      <c r="DG49" s="107" t="s">
        <v>148</v>
      </c>
      <c r="DH49" s="108" t="s">
        <v>134</v>
      </c>
      <c r="DI49" s="108" t="s">
        <v>91</v>
      </c>
      <c r="DJ49" s="84">
        <v>0</v>
      </c>
      <c r="DL49" s="109">
        <v>61.73</v>
      </c>
      <c r="DM49" s="109">
        <f>IFERROR(GroceryList27456148109[[#This Row],[QTY]]*GroceryList27456148109[[#This Row],[UNIT PRICE]],"")</f>
        <v>0</v>
      </c>
      <c r="DN49" s="111" t="s">
        <v>169</v>
      </c>
      <c r="DO49"/>
      <c r="DR49" s="87"/>
      <c r="DS49" s="107" t="s">
        <v>148</v>
      </c>
      <c r="DT49" s="108" t="s">
        <v>134</v>
      </c>
      <c r="DU49" s="108" t="s">
        <v>91</v>
      </c>
      <c r="DV49" s="84">
        <v>0</v>
      </c>
      <c r="DX49" s="109">
        <v>61.73</v>
      </c>
      <c r="DY49" s="109">
        <f>IFERROR(GroceryList2745614810911[[#This Row],[QTY]]*GroceryList2745614810911[[#This Row],[UNIT PRICE]],"")</f>
        <v>0</v>
      </c>
      <c r="DZ49" s="111" t="s">
        <v>169</v>
      </c>
      <c r="EA49"/>
      <c r="ED49" s="87"/>
      <c r="EE49" s="107" t="s">
        <v>148</v>
      </c>
      <c r="EF49" s="108" t="s">
        <v>134</v>
      </c>
      <c r="EG49" s="108" t="s">
        <v>91</v>
      </c>
      <c r="EH49" s="84">
        <v>0</v>
      </c>
      <c r="EJ49" s="109">
        <v>61.73</v>
      </c>
      <c r="EK49" s="109">
        <f>IFERROR(GroceryList274561481091112[[#This Row],[QTY]]*GroceryList274561481091112[[#This Row],[UNIT PRICE]],"")</f>
        <v>0</v>
      </c>
      <c r="EL49" s="111" t="s">
        <v>169</v>
      </c>
      <c r="EM49"/>
      <c r="EP49" s="87"/>
      <c r="EQ49" s="107" t="s">
        <v>148</v>
      </c>
      <c r="ER49" s="108" t="s">
        <v>134</v>
      </c>
      <c r="ES49" s="108" t="s">
        <v>91</v>
      </c>
      <c r="ET49" s="84">
        <v>0</v>
      </c>
      <c r="EV49" s="109">
        <v>61.73</v>
      </c>
      <c r="EW49" s="109">
        <f>IFERROR(GroceryList27456148109111213[[#This Row],[QTY]]*GroceryList27456148109111213[[#This Row],[UNIT PRICE]],"")</f>
        <v>0</v>
      </c>
      <c r="EX49" s="111" t="s">
        <v>169</v>
      </c>
      <c r="EY49"/>
      <c r="FB49" s="87"/>
      <c r="FC49" s="107" t="s">
        <v>148</v>
      </c>
      <c r="FD49" s="108" t="s">
        <v>134</v>
      </c>
      <c r="FE49" s="108" t="s">
        <v>91</v>
      </c>
      <c r="FF49" s="84">
        <v>1</v>
      </c>
      <c r="FH49" s="109">
        <v>6.79</v>
      </c>
      <c r="FI49" s="109">
        <f>IFERROR(GroceryList2745614810911121315[[#This Row],[QTY]]*GroceryList2745614810911121315[[#This Row],[UNIT PRICE]],"")</f>
        <v>6.79</v>
      </c>
      <c r="FJ49" s="111" t="s">
        <v>169</v>
      </c>
      <c r="FK49">
        <v>8</v>
      </c>
      <c r="FN49" s="87"/>
      <c r="FO49" s="107" t="s">
        <v>148</v>
      </c>
      <c r="FP49" s="108" t="s">
        <v>134</v>
      </c>
      <c r="FQ49" s="108" t="s">
        <v>91</v>
      </c>
      <c r="FR49" s="84">
        <v>0</v>
      </c>
      <c r="FT49" s="109">
        <v>61.73</v>
      </c>
      <c r="FU49" s="109">
        <f>IFERROR(GroceryList274561481091112131516[[#This Row],[QTY]]*GroceryList274561481091112131516[[#This Row],[UNIT PRICE]],"")</f>
        <v>0</v>
      </c>
      <c r="FV49" s="111" t="s">
        <v>169</v>
      </c>
      <c r="FW49"/>
      <c r="FZ49" s="87"/>
      <c r="GA49" s="107" t="s">
        <v>148</v>
      </c>
      <c r="GB49" s="108" t="s">
        <v>134</v>
      </c>
      <c r="GC49" s="108" t="s">
        <v>91</v>
      </c>
      <c r="GD49" s="84">
        <v>0</v>
      </c>
      <c r="GF49" s="109">
        <v>6.79</v>
      </c>
      <c r="GG49" s="109">
        <f>IFERROR(GroceryList274561481091112131517[[#This Row],[QTY]]*GroceryList274561481091112131517[[#This Row],[UNIT PRICE]],"")</f>
        <v>0</v>
      </c>
      <c r="GH49" s="111" t="s">
        <v>169</v>
      </c>
      <c r="GI49">
        <v>8</v>
      </c>
      <c r="GL49" s="87"/>
      <c r="GM49" s="107" t="s">
        <v>148</v>
      </c>
      <c r="GN49" s="108" t="s">
        <v>134</v>
      </c>
      <c r="GO49" s="108" t="s">
        <v>91</v>
      </c>
      <c r="GP49" s="84">
        <v>1</v>
      </c>
      <c r="GR49" s="109">
        <v>6.79</v>
      </c>
      <c r="GS49" s="109">
        <f>IFERROR(GroceryList27456148109111213151718[[#This Row],[QTY]]*GroceryList27456148109111213151718[[#This Row],[UNIT PRICE]],"")</f>
        <v>6.79</v>
      </c>
      <c r="GT49" s="111" t="s">
        <v>169</v>
      </c>
      <c r="GU49">
        <v>8</v>
      </c>
    </row>
    <row r="50" spans="2:203" ht="30" customHeight="1" x14ac:dyDescent="0.2">
      <c r="B50" s="87"/>
      <c r="C50" s="99" t="s">
        <v>120</v>
      </c>
      <c r="D50" s="89"/>
      <c r="E50" s="89"/>
      <c r="F50" s="87"/>
      <c r="H50" s="90"/>
      <c r="I50" s="90">
        <f>IFERROR(GroceryList[[#This Row],[QTY]]*GroceryList[[#This Row],[UNIT PRICE]],"")</f>
        <v>0</v>
      </c>
      <c r="J50" s="89"/>
      <c r="M50" s="87"/>
      <c r="N50" s="99" t="s">
        <v>120</v>
      </c>
      <c r="O50" s="89"/>
      <c r="P50" s="89"/>
      <c r="Q50" s="87"/>
      <c r="S50" s="90"/>
      <c r="T50" s="90">
        <f>IFERROR(GroceryList2[[#This Row],[QTY]]*GroceryList2[[#This Row],[UNIT PRICE]],"")</f>
        <v>0</v>
      </c>
      <c r="U50" s="89"/>
      <c r="Y50" s="87"/>
      <c r="Z50" s="99" t="s">
        <v>120</v>
      </c>
      <c r="AA50" s="89"/>
      <c r="AB50" s="89"/>
      <c r="AC50" s="87"/>
      <c r="AE50" s="90"/>
      <c r="AF50" s="90">
        <f>IFERROR(GroceryList27[[#This Row],[QTY]]*GroceryList27[[#This Row],[UNIT PRICE]],"")</f>
        <v>0</v>
      </c>
      <c r="AG50" s="89"/>
      <c r="AM50" s="87"/>
      <c r="AN50" s="105" t="s">
        <v>120</v>
      </c>
      <c r="AO50" s="110"/>
      <c r="AP50" s="110"/>
      <c r="AQ50" s="87"/>
      <c r="AS50" s="109"/>
      <c r="AT50" s="109">
        <f>IFERROR(GroceryList274[[#This Row],[QTY]]*GroceryList274[[#This Row],[UNIT PRICE]],"")</f>
        <v>0</v>
      </c>
      <c r="AU50" s="89"/>
      <c r="AY50" s="87" t="s">
        <v>130</v>
      </c>
      <c r="AZ50" s="105" t="s">
        <v>119</v>
      </c>
      <c r="BA50" s="110"/>
      <c r="BB50" s="110" t="s">
        <v>89</v>
      </c>
      <c r="BC50" s="84">
        <v>0</v>
      </c>
      <c r="BE50" s="109"/>
      <c r="BF50" s="109">
        <f>IFERROR(GroceryList2745[[#This Row],[QTY]]*GroceryList2745[[#This Row],[UNIT PRICE]],"")</f>
        <v>0</v>
      </c>
      <c r="BG50" s="89"/>
      <c r="BJ50" s="87" t="s">
        <v>130</v>
      </c>
      <c r="BK50" s="105" t="s">
        <v>119</v>
      </c>
      <c r="BL50" s="110"/>
      <c r="BM50" s="110" t="s">
        <v>89</v>
      </c>
      <c r="BN50" s="84">
        <v>0</v>
      </c>
      <c r="BP50" s="109">
        <v>60</v>
      </c>
      <c r="BQ50" s="109">
        <f>IFERROR(GroceryList27456[[#This Row],[QTY]]*GroceryList27456[[#This Row],[UNIT PRICE]],"")</f>
        <v>0</v>
      </c>
      <c r="BR50" s="105" t="s">
        <v>130</v>
      </c>
      <c r="BS50" s="89"/>
      <c r="BV50" s="87" t="s">
        <v>130</v>
      </c>
      <c r="BW50" s="105" t="s">
        <v>119</v>
      </c>
      <c r="BX50" s="110"/>
      <c r="BY50" s="110" t="s">
        <v>89</v>
      </c>
      <c r="BZ50" s="84">
        <v>1</v>
      </c>
      <c r="CB50" s="109">
        <v>60</v>
      </c>
      <c r="CC50" s="109">
        <f>IFERROR(GroceryList2745614[[#This Row],[QTY]]*GroceryList2745614[[#This Row],[UNIT PRICE]],"")</f>
        <v>60</v>
      </c>
      <c r="CD50" s="105" t="s">
        <v>130</v>
      </c>
      <c r="CE50" s="89"/>
      <c r="CH50" s="87" t="s">
        <v>130</v>
      </c>
      <c r="CI50" s="105" t="s">
        <v>119</v>
      </c>
      <c r="CJ50" s="110"/>
      <c r="CK50" s="110" t="s">
        <v>89</v>
      </c>
      <c r="CL50" s="84">
        <v>2</v>
      </c>
      <c r="CN50" s="109">
        <v>60</v>
      </c>
      <c r="CO50" s="109">
        <f>IFERROR(GroceryList27456148[[#This Row],[QTY]]*GroceryList27456148[[#This Row],[UNIT PRICE]],"")</f>
        <v>120</v>
      </c>
      <c r="CP50" s="105" t="s">
        <v>130</v>
      </c>
      <c r="CQ50" s="89"/>
      <c r="CT50" s="87" t="s">
        <v>130</v>
      </c>
      <c r="CU50" s="105" t="s">
        <v>119</v>
      </c>
      <c r="CV50" s="110"/>
      <c r="CW50" s="110" t="s">
        <v>89</v>
      </c>
      <c r="CX50" s="84">
        <v>0</v>
      </c>
      <c r="CZ50" s="109">
        <v>60</v>
      </c>
      <c r="DA50" s="109">
        <f>IFERROR(GroceryList2745614810[[#This Row],[QTY]]*GroceryList2745614810[[#This Row],[UNIT PRICE]],"")</f>
        <v>0</v>
      </c>
      <c r="DB50" s="105" t="s">
        <v>130</v>
      </c>
      <c r="DC50" s="89"/>
      <c r="DF50" s="87" t="s">
        <v>130</v>
      </c>
      <c r="DG50" s="105" t="s">
        <v>119</v>
      </c>
      <c r="DH50" s="110"/>
      <c r="DI50" s="110" t="s">
        <v>89</v>
      </c>
      <c r="DJ50" s="84">
        <v>0</v>
      </c>
      <c r="DL50" s="109">
        <v>60</v>
      </c>
      <c r="DM50" s="109">
        <f>IFERROR(GroceryList27456148109[[#This Row],[QTY]]*GroceryList27456148109[[#This Row],[UNIT PRICE]],"")</f>
        <v>0</v>
      </c>
      <c r="DN50" s="105" t="s">
        <v>130</v>
      </c>
      <c r="DO50" s="89"/>
      <c r="DR50" s="87" t="s">
        <v>130</v>
      </c>
      <c r="DS50" s="105" t="s">
        <v>119</v>
      </c>
      <c r="DT50" s="110"/>
      <c r="DU50" s="110" t="s">
        <v>89</v>
      </c>
      <c r="DV50" s="84">
        <v>1</v>
      </c>
      <c r="DX50" s="109">
        <v>60</v>
      </c>
      <c r="DY50" s="109">
        <f>IFERROR(GroceryList2745614810911[[#This Row],[QTY]]*GroceryList2745614810911[[#This Row],[UNIT PRICE]],"")</f>
        <v>60</v>
      </c>
      <c r="DZ50" s="105" t="s">
        <v>130</v>
      </c>
      <c r="EA50" s="89"/>
      <c r="ED50" s="87" t="s">
        <v>130</v>
      </c>
      <c r="EE50" s="105" t="s">
        <v>119</v>
      </c>
      <c r="EF50" s="110"/>
      <c r="EG50" s="110" t="s">
        <v>89</v>
      </c>
      <c r="EH50" s="84">
        <v>1</v>
      </c>
      <c r="EJ50" s="109">
        <v>60</v>
      </c>
      <c r="EK50" s="109">
        <f>IFERROR(GroceryList274561481091112[[#This Row],[QTY]]*GroceryList274561481091112[[#This Row],[UNIT PRICE]],"")</f>
        <v>60</v>
      </c>
      <c r="EL50" s="105" t="s">
        <v>130</v>
      </c>
      <c r="EM50" s="89"/>
      <c r="EP50" s="87" t="s">
        <v>130</v>
      </c>
      <c r="EQ50" s="105" t="s">
        <v>119</v>
      </c>
      <c r="ER50" s="110"/>
      <c r="ES50" s="110" t="s">
        <v>89</v>
      </c>
      <c r="ET50" s="84">
        <v>0</v>
      </c>
      <c r="EV50" s="109">
        <v>60</v>
      </c>
      <c r="EW50" s="109">
        <f>IFERROR(GroceryList27456148109111213[[#This Row],[QTY]]*GroceryList27456148109111213[[#This Row],[UNIT PRICE]],"")</f>
        <v>0</v>
      </c>
      <c r="EX50" s="105" t="s">
        <v>130</v>
      </c>
      <c r="EY50" s="89"/>
      <c r="FB50" s="87" t="s">
        <v>130</v>
      </c>
      <c r="FC50" s="105" t="s">
        <v>119</v>
      </c>
      <c r="FD50" s="110"/>
      <c r="FE50" s="110" t="s">
        <v>89</v>
      </c>
      <c r="FF50" s="84">
        <v>0</v>
      </c>
      <c r="FH50" s="109">
        <v>60</v>
      </c>
      <c r="FI50" s="109">
        <f>IFERROR(GroceryList2745614810911121315[[#This Row],[QTY]]*GroceryList2745614810911121315[[#This Row],[UNIT PRICE]],"")</f>
        <v>0</v>
      </c>
      <c r="FJ50" s="105" t="s">
        <v>130</v>
      </c>
      <c r="FK50" s="89"/>
      <c r="FN50" s="87" t="s">
        <v>130</v>
      </c>
      <c r="FO50" s="105" t="s">
        <v>119</v>
      </c>
      <c r="FP50" s="110"/>
      <c r="FQ50" s="110" t="s">
        <v>89</v>
      </c>
      <c r="FR50" s="84">
        <v>0</v>
      </c>
      <c r="FT50" s="109">
        <v>60</v>
      </c>
      <c r="FU50" s="109">
        <f>IFERROR(GroceryList274561481091112131516[[#This Row],[QTY]]*GroceryList274561481091112131516[[#This Row],[UNIT PRICE]],"")</f>
        <v>0</v>
      </c>
      <c r="FV50" s="105" t="s">
        <v>130</v>
      </c>
      <c r="FW50" s="89"/>
      <c r="FZ50" s="87" t="s">
        <v>130</v>
      </c>
      <c r="GA50" s="105" t="s">
        <v>119</v>
      </c>
      <c r="GB50" s="110"/>
      <c r="GC50" s="110" t="s">
        <v>89</v>
      </c>
      <c r="GD50" s="84">
        <v>1</v>
      </c>
      <c r="GF50" s="109">
        <v>60</v>
      </c>
      <c r="GG50" s="109">
        <f>IFERROR(GroceryList274561481091112131517[[#This Row],[QTY]]*GroceryList274561481091112131517[[#This Row],[UNIT PRICE]],"")</f>
        <v>60</v>
      </c>
      <c r="GH50" s="105" t="s">
        <v>130</v>
      </c>
      <c r="GI50" s="89"/>
      <c r="GL50" s="87" t="s">
        <v>130</v>
      </c>
      <c r="GM50" s="105" t="s">
        <v>119</v>
      </c>
      <c r="GN50" s="110"/>
      <c r="GO50" s="110" t="s">
        <v>89</v>
      </c>
      <c r="GP50" s="84">
        <v>1</v>
      </c>
      <c r="GR50" s="109">
        <v>60</v>
      </c>
      <c r="GS50" s="109">
        <f>IFERROR(GroceryList27456148109111213151718[[#This Row],[QTY]]*GroceryList27456148109111213151718[[#This Row],[UNIT PRICE]],"")</f>
        <v>60</v>
      </c>
      <c r="GT50" s="105" t="s">
        <v>130</v>
      </c>
      <c r="GU50" s="89"/>
    </row>
    <row r="51" spans="2:203" ht="30" hidden="1" customHeight="1" x14ac:dyDescent="0.2">
      <c r="B51" s="87"/>
      <c r="C51" s="102" t="s">
        <v>149</v>
      </c>
      <c r="D51" t="s">
        <v>134</v>
      </c>
      <c r="E51" t="s">
        <v>92</v>
      </c>
      <c r="F51" s="87">
        <v>0.5</v>
      </c>
      <c r="H51" s="90">
        <v>53.98</v>
      </c>
      <c r="I51" s="90">
        <f>IFERROR(GroceryList[[#This Row],[QTY]]*GroceryList[[#This Row],[UNIT PRICE]],"")</f>
        <v>26.99</v>
      </c>
      <c r="J51"/>
      <c r="M51" s="87"/>
      <c r="N51" s="102" t="s">
        <v>149</v>
      </c>
      <c r="O51" t="s">
        <v>134</v>
      </c>
      <c r="P51" t="s">
        <v>92</v>
      </c>
      <c r="Q51" s="87"/>
      <c r="S51" s="90">
        <v>53.98</v>
      </c>
      <c r="T51" s="90">
        <f>IFERROR(GroceryList2[[#This Row],[QTY]]*GroceryList2[[#This Row],[UNIT PRICE]],"")</f>
        <v>0</v>
      </c>
      <c r="U51"/>
      <c r="Y51" s="87"/>
      <c r="Z51" s="102" t="s">
        <v>149</v>
      </c>
      <c r="AA51" t="s">
        <v>134</v>
      </c>
      <c r="AB51" t="s">
        <v>92</v>
      </c>
      <c r="AC51" s="87"/>
      <c r="AE51" s="90">
        <v>53.98</v>
      </c>
      <c r="AF51" s="90">
        <f>IFERROR(GroceryList27[[#This Row],[QTY]]*GroceryList27[[#This Row],[UNIT PRICE]],"")</f>
        <v>0</v>
      </c>
      <c r="AG51"/>
      <c r="AM51" s="87"/>
      <c r="AN51" s="107" t="s">
        <v>149</v>
      </c>
      <c r="AO51" s="108" t="s">
        <v>134</v>
      </c>
      <c r="AP51" s="108" t="s">
        <v>92</v>
      </c>
      <c r="AQ51" s="87"/>
      <c r="AS51" s="109">
        <v>53.98</v>
      </c>
      <c r="AT51" s="109">
        <f>IFERROR(GroceryList274[[#This Row],[QTY]]*GroceryList274[[#This Row],[UNIT PRICE]],"")</f>
        <v>0</v>
      </c>
      <c r="AU51"/>
      <c r="AY51" s="87"/>
      <c r="AZ51" s="105" t="s">
        <v>120</v>
      </c>
      <c r="BA51" s="110"/>
      <c r="BB51" s="110"/>
      <c r="BC51" s="84">
        <v>0</v>
      </c>
      <c r="BE51" s="109"/>
      <c r="BF51" s="109">
        <f>IFERROR(GroceryList2745[[#This Row],[QTY]]*GroceryList2745[[#This Row],[UNIT PRICE]],"")</f>
        <v>0</v>
      </c>
      <c r="BG51" s="89"/>
      <c r="BJ51" s="87"/>
      <c r="BK51" s="105" t="s">
        <v>120</v>
      </c>
      <c r="BL51" s="110"/>
      <c r="BM51" s="110"/>
      <c r="BN51" s="84">
        <v>0</v>
      </c>
      <c r="BP51" s="109"/>
      <c r="BQ51" s="109">
        <f>IFERROR(GroceryList27456[[#This Row],[QTY]]*GroceryList27456[[#This Row],[UNIT PRICE]],"")</f>
        <v>0</v>
      </c>
      <c r="BR51" s="105" t="s">
        <v>169</v>
      </c>
      <c r="BS51" s="89"/>
      <c r="BV51" s="87"/>
      <c r="BW51" s="105" t="s">
        <v>120</v>
      </c>
      <c r="BX51" s="110"/>
      <c r="BY51" s="110"/>
      <c r="BZ51" s="84">
        <v>0</v>
      </c>
      <c r="CB51" s="109"/>
      <c r="CC51" s="109">
        <f>IFERROR(GroceryList2745614[[#This Row],[QTY]]*GroceryList2745614[[#This Row],[UNIT PRICE]],"")</f>
        <v>0</v>
      </c>
      <c r="CD51" s="105" t="s">
        <v>169</v>
      </c>
      <c r="CE51" s="89"/>
      <c r="CH51" s="87"/>
      <c r="CI51" s="105" t="s">
        <v>120</v>
      </c>
      <c r="CJ51" s="110"/>
      <c r="CK51" s="110"/>
      <c r="CL51" s="84">
        <v>0</v>
      </c>
      <c r="CN51" s="109"/>
      <c r="CO51" s="109">
        <f>IFERROR(GroceryList27456148[[#This Row],[QTY]]*GroceryList27456148[[#This Row],[UNIT PRICE]],"")</f>
        <v>0</v>
      </c>
      <c r="CP51" s="105" t="s">
        <v>169</v>
      </c>
      <c r="CQ51" s="89"/>
      <c r="CT51" s="87"/>
      <c r="CU51" s="105" t="s">
        <v>182</v>
      </c>
      <c r="CV51" s="110"/>
      <c r="CW51" s="110"/>
      <c r="CX51" s="84">
        <v>1</v>
      </c>
      <c r="CZ51" s="109">
        <v>10.39</v>
      </c>
      <c r="DA51" s="109">
        <f>IFERROR(GroceryList2745614810[[#This Row],[QTY]]*GroceryList2745614810[[#This Row],[UNIT PRICE]],"")</f>
        <v>10.39</v>
      </c>
      <c r="DB51" s="105" t="s">
        <v>169</v>
      </c>
      <c r="DC51" s="89">
        <v>12.99</v>
      </c>
      <c r="DF51" s="87"/>
      <c r="DG51" s="105" t="s">
        <v>120</v>
      </c>
      <c r="DH51" s="110"/>
      <c r="DI51" s="110"/>
      <c r="DJ51" s="84">
        <v>0</v>
      </c>
      <c r="DL51" s="109"/>
      <c r="DM51" s="109">
        <f>IFERROR(GroceryList27456148109[[#This Row],[QTY]]*GroceryList27456148109[[#This Row],[UNIT PRICE]],"")</f>
        <v>0</v>
      </c>
      <c r="DN51" s="105" t="s">
        <v>169</v>
      </c>
      <c r="DO51" s="89"/>
      <c r="DR51" s="87"/>
      <c r="DS51" s="105" t="s">
        <v>120</v>
      </c>
      <c r="DT51" s="110"/>
      <c r="DU51" s="110"/>
      <c r="DV51" s="84">
        <v>0</v>
      </c>
      <c r="DX51" s="109"/>
      <c r="DY51" s="109">
        <f>IFERROR(GroceryList2745614810911[[#This Row],[QTY]]*GroceryList2745614810911[[#This Row],[UNIT PRICE]],"")</f>
        <v>0</v>
      </c>
      <c r="DZ51" s="105" t="s">
        <v>169</v>
      </c>
      <c r="EA51" s="89"/>
      <c r="ED51" s="87"/>
      <c r="EE51" s="105" t="s">
        <v>120</v>
      </c>
      <c r="EF51" s="110"/>
      <c r="EG51" s="110"/>
      <c r="EH51" s="84">
        <v>0</v>
      </c>
      <c r="EJ51" s="109"/>
      <c r="EK51" s="109">
        <f>IFERROR(GroceryList274561481091112[[#This Row],[QTY]]*GroceryList274561481091112[[#This Row],[UNIT PRICE]],"")</f>
        <v>0</v>
      </c>
      <c r="EL51" s="105" t="s">
        <v>169</v>
      </c>
      <c r="EM51" s="89"/>
      <c r="EP51" s="87"/>
      <c r="EQ51" s="105" t="s">
        <v>120</v>
      </c>
      <c r="ER51" s="110"/>
      <c r="ES51" s="110"/>
      <c r="ET51" s="84">
        <v>0</v>
      </c>
      <c r="EV51" s="109"/>
      <c r="EW51" s="109">
        <f>IFERROR(GroceryList27456148109111213[[#This Row],[QTY]]*GroceryList27456148109111213[[#This Row],[UNIT PRICE]],"")</f>
        <v>0</v>
      </c>
      <c r="EX51" s="105" t="s">
        <v>169</v>
      </c>
      <c r="EY51" s="89"/>
      <c r="FB51" s="87"/>
      <c r="FC51" s="105" t="s">
        <v>228</v>
      </c>
      <c r="FD51" s="110"/>
      <c r="FE51" s="110"/>
      <c r="FF51" s="84">
        <v>1</v>
      </c>
      <c r="FH51" s="109">
        <v>63.74</v>
      </c>
      <c r="FI51" s="109">
        <f>IFERROR(GroceryList2745614810911121315[[#This Row],[QTY]]*GroceryList2745614810911121315[[#This Row],[UNIT PRICE]],"")</f>
        <v>63.74</v>
      </c>
      <c r="FJ51" s="105" t="s">
        <v>169</v>
      </c>
      <c r="FK51" s="89">
        <v>75</v>
      </c>
      <c r="FN51" s="87"/>
      <c r="FO51" s="105" t="s">
        <v>120</v>
      </c>
      <c r="FP51" s="110"/>
      <c r="FQ51" s="110"/>
      <c r="FR51" s="84">
        <v>0</v>
      </c>
      <c r="FT51" s="109"/>
      <c r="FU51" s="109">
        <f>IFERROR(GroceryList274561481091112131516[[#This Row],[QTY]]*GroceryList274561481091112131516[[#This Row],[UNIT PRICE]],"")</f>
        <v>0</v>
      </c>
      <c r="FV51" s="105" t="s">
        <v>169</v>
      </c>
      <c r="FW51" s="89"/>
      <c r="FZ51" s="87"/>
      <c r="GA51" s="105" t="s">
        <v>228</v>
      </c>
      <c r="GB51" s="110"/>
      <c r="GC51" s="110"/>
      <c r="GD51" s="84">
        <v>0</v>
      </c>
      <c r="GF51" s="109">
        <v>63.74</v>
      </c>
      <c r="GG51" s="109">
        <f>IFERROR(GroceryList274561481091112131517[[#This Row],[QTY]]*GroceryList274561481091112131517[[#This Row],[UNIT PRICE]],"")</f>
        <v>0</v>
      </c>
      <c r="GH51" s="105" t="s">
        <v>169</v>
      </c>
      <c r="GI51" s="89">
        <v>75</v>
      </c>
      <c r="GL51" s="87"/>
      <c r="GM51" s="105" t="s">
        <v>228</v>
      </c>
      <c r="GN51" s="110"/>
      <c r="GO51" s="110"/>
      <c r="GP51" s="84">
        <v>0</v>
      </c>
      <c r="GR51" s="109">
        <v>63.74</v>
      </c>
      <c r="GS51" s="109">
        <f>IFERROR(GroceryList27456148109111213151718[[#This Row],[QTY]]*GroceryList27456148109111213151718[[#This Row],[UNIT PRICE]],"")</f>
        <v>0</v>
      </c>
      <c r="GT51" s="105" t="s">
        <v>169</v>
      </c>
      <c r="GU51" s="89">
        <v>75</v>
      </c>
    </row>
    <row r="52" spans="2:203" ht="30" customHeight="1" x14ac:dyDescent="0.2">
      <c r="B52" s="87"/>
      <c r="C52" s="99" t="s">
        <v>121</v>
      </c>
      <c r="D52" s="89"/>
      <c r="E52" s="89"/>
      <c r="F52" s="87"/>
      <c r="H52" s="90"/>
      <c r="I52" s="90">
        <f>IFERROR(GroceryList[[#This Row],[QTY]]*GroceryList[[#This Row],[UNIT PRICE]],"")</f>
        <v>0</v>
      </c>
      <c r="J52" s="89"/>
      <c r="M52" s="87"/>
      <c r="N52" s="99" t="s">
        <v>121</v>
      </c>
      <c r="O52" s="89"/>
      <c r="P52" s="89"/>
      <c r="Q52" s="87"/>
      <c r="S52" s="90"/>
      <c r="T52" s="90">
        <f>IFERROR(GroceryList2[[#This Row],[QTY]]*GroceryList2[[#This Row],[UNIT PRICE]],"")</f>
        <v>0</v>
      </c>
      <c r="U52" s="89"/>
      <c r="Y52" s="87"/>
      <c r="Z52" s="99" t="s">
        <v>121</v>
      </c>
      <c r="AA52" s="89"/>
      <c r="AB52" s="89"/>
      <c r="AC52" s="87"/>
      <c r="AE52" s="90"/>
      <c r="AF52" s="90">
        <f>IFERROR(GroceryList27[[#This Row],[QTY]]*GroceryList27[[#This Row],[UNIT PRICE]],"")</f>
        <v>0</v>
      </c>
      <c r="AG52" s="89"/>
      <c r="AM52" s="87"/>
      <c r="AN52" s="105" t="s">
        <v>121</v>
      </c>
      <c r="AO52" s="110"/>
      <c r="AP52" s="110"/>
      <c r="AQ52" s="87"/>
      <c r="AS52" s="109"/>
      <c r="AT52" s="109">
        <f>IFERROR(GroceryList274[[#This Row],[QTY]]*GroceryList274[[#This Row],[UNIT PRICE]],"")</f>
        <v>0</v>
      </c>
      <c r="AU52" s="89"/>
      <c r="AY52" s="87"/>
      <c r="AZ52" s="107" t="s">
        <v>149</v>
      </c>
      <c r="BA52" s="108" t="s">
        <v>134</v>
      </c>
      <c r="BB52" s="108" t="s">
        <v>92</v>
      </c>
      <c r="BC52" s="84">
        <v>0</v>
      </c>
      <c r="BE52" s="109">
        <v>53.98</v>
      </c>
      <c r="BF52" s="109">
        <f>IFERROR(GroceryList2745[[#This Row],[QTY]]*GroceryList2745[[#This Row],[UNIT PRICE]],"")</f>
        <v>0</v>
      </c>
      <c r="BG52"/>
      <c r="BJ52" s="87"/>
      <c r="BK52" s="107" t="s">
        <v>149</v>
      </c>
      <c r="BL52" s="108" t="s">
        <v>134</v>
      </c>
      <c r="BM52" s="108" t="s">
        <v>92</v>
      </c>
      <c r="BN52" s="84">
        <v>0</v>
      </c>
      <c r="BP52" s="109">
        <v>53.98</v>
      </c>
      <c r="BQ52" s="109">
        <f>IFERROR(GroceryList27456[[#This Row],[QTY]]*GroceryList27456[[#This Row],[UNIT PRICE]],"")</f>
        <v>0</v>
      </c>
      <c r="BR52" s="111" t="s">
        <v>169</v>
      </c>
      <c r="BS52"/>
      <c r="BV52" s="87"/>
      <c r="BW52" s="107" t="s">
        <v>149</v>
      </c>
      <c r="BX52" s="108" t="s">
        <v>134</v>
      </c>
      <c r="BY52" s="108" t="s">
        <v>92</v>
      </c>
      <c r="BZ52" s="84">
        <v>0</v>
      </c>
      <c r="CB52" s="109">
        <v>53.98</v>
      </c>
      <c r="CC52" s="109">
        <f>IFERROR(GroceryList2745614[[#This Row],[QTY]]*GroceryList2745614[[#This Row],[UNIT PRICE]],"")</f>
        <v>0</v>
      </c>
      <c r="CD52" s="111" t="s">
        <v>169</v>
      </c>
      <c r="CE52"/>
      <c r="CH52" s="87"/>
      <c r="CI52" s="107" t="s">
        <v>149</v>
      </c>
      <c r="CJ52" s="108" t="s">
        <v>134</v>
      </c>
      <c r="CK52" s="108" t="s">
        <v>92</v>
      </c>
      <c r="CL52" s="84">
        <v>1</v>
      </c>
      <c r="CN52" s="109">
        <v>24.99</v>
      </c>
      <c r="CO52" s="109">
        <f>IFERROR(GroceryList27456148[[#This Row],[QTY]]*GroceryList27456148[[#This Row],[UNIT PRICE]],"")</f>
        <v>24.99</v>
      </c>
      <c r="CP52" s="111" t="s">
        <v>169</v>
      </c>
      <c r="CQ52">
        <v>36.99</v>
      </c>
      <c r="CT52" s="87"/>
      <c r="CU52" s="107" t="s">
        <v>149</v>
      </c>
      <c r="CV52" s="108" t="s">
        <v>134</v>
      </c>
      <c r="CW52" s="108" t="s">
        <v>92</v>
      </c>
      <c r="CX52" s="84">
        <v>1</v>
      </c>
      <c r="CZ52" s="109">
        <v>44.99</v>
      </c>
      <c r="DA52" s="109">
        <f>IFERROR(GroceryList2745614810[[#This Row],[QTY]]*GroceryList2745614810[[#This Row],[UNIT PRICE]],"")</f>
        <v>44.99</v>
      </c>
      <c r="DB52" s="111" t="s">
        <v>169</v>
      </c>
      <c r="DC52">
        <v>54.99</v>
      </c>
      <c r="DF52" s="87"/>
      <c r="DG52" s="107" t="s">
        <v>149</v>
      </c>
      <c r="DH52" s="108" t="s">
        <v>134</v>
      </c>
      <c r="DI52" s="108" t="s">
        <v>92</v>
      </c>
      <c r="DJ52" s="84">
        <v>0</v>
      </c>
      <c r="DL52" s="109">
        <v>24.99</v>
      </c>
      <c r="DM52" s="109">
        <f>IFERROR(GroceryList27456148109[[#This Row],[QTY]]*GroceryList27456148109[[#This Row],[UNIT PRICE]],"")</f>
        <v>0</v>
      </c>
      <c r="DN52" s="111" t="s">
        <v>169</v>
      </c>
      <c r="DO52">
        <v>36.99</v>
      </c>
      <c r="DR52" s="87"/>
      <c r="DS52" s="107" t="s">
        <v>149</v>
      </c>
      <c r="DT52" s="108" t="s">
        <v>134</v>
      </c>
      <c r="DU52" s="108" t="s">
        <v>92</v>
      </c>
      <c r="DV52" s="84">
        <v>0</v>
      </c>
      <c r="DX52" s="109">
        <v>24.99</v>
      </c>
      <c r="DY52" s="109">
        <f>IFERROR(GroceryList2745614810911[[#This Row],[QTY]]*GroceryList2745614810911[[#This Row],[UNIT PRICE]],"")</f>
        <v>0</v>
      </c>
      <c r="DZ52" s="111" t="s">
        <v>169</v>
      </c>
      <c r="EA52">
        <v>36.99</v>
      </c>
      <c r="ED52" s="87"/>
      <c r="EE52" s="111" t="s">
        <v>219</v>
      </c>
      <c r="EF52" s="108" t="s">
        <v>134</v>
      </c>
      <c r="EG52" s="108" t="s">
        <v>92</v>
      </c>
      <c r="EH52" s="84">
        <v>1</v>
      </c>
      <c r="EJ52" s="109">
        <v>28.49</v>
      </c>
      <c r="EK52" s="109">
        <f>IFERROR(GroceryList274561481091112[[#This Row],[QTY]]*GroceryList274561481091112[[#This Row],[UNIT PRICE]],"")</f>
        <v>28.49</v>
      </c>
      <c r="EL52" s="111" t="s">
        <v>169</v>
      </c>
      <c r="EM52">
        <v>30</v>
      </c>
      <c r="EP52" s="87"/>
      <c r="EQ52" s="111" t="s">
        <v>219</v>
      </c>
      <c r="ER52" s="108" t="s">
        <v>134</v>
      </c>
      <c r="ES52" s="108" t="s">
        <v>92</v>
      </c>
      <c r="ET52" s="84">
        <v>0</v>
      </c>
      <c r="EV52" s="109">
        <v>28.49</v>
      </c>
      <c r="EW52" s="109">
        <f>IFERROR(GroceryList27456148109111213[[#This Row],[QTY]]*GroceryList27456148109111213[[#This Row],[UNIT PRICE]],"")</f>
        <v>0</v>
      </c>
      <c r="EX52" s="111" t="s">
        <v>169</v>
      </c>
      <c r="EY52">
        <v>30</v>
      </c>
      <c r="FB52" s="87"/>
      <c r="FC52" s="111" t="s">
        <v>219</v>
      </c>
      <c r="FD52" s="108" t="s">
        <v>134</v>
      </c>
      <c r="FE52" s="108" t="s">
        <v>92</v>
      </c>
      <c r="FF52" s="84">
        <v>1</v>
      </c>
      <c r="FH52" s="109">
        <f>9.34+8.92</f>
        <v>18.259999999999998</v>
      </c>
      <c r="FI52" s="109">
        <f>IFERROR(GroceryList2745614810911121315[[#This Row],[QTY]]*GroceryList2745614810911121315[[#This Row],[UNIT PRICE]],"")</f>
        <v>18.259999999999998</v>
      </c>
      <c r="FJ52" s="111" t="s">
        <v>169</v>
      </c>
      <c r="FK52">
        <v>30</v>
      </c>
      <c r="FN52" s="87"/>
      <c r="FO52" s="111" t="s">
        <v>219</v>
      </c>
      <c r="FP52" s="108" t="s">
        <v>134</v>
      </c>
      <c r="FQ52" s="108" t="s">
        <v>92</v>
      </c>
      <c r="FR52" s="84">
        <v>0</v>
      </c>
      <c r="FT52" s="109">
        <v>28.49</v>
      </c>
      <c r="FU52" s="109">
        <f>IFERROR(GroceryList274561481091112131516[[#This Row],[QTY]]*GroceryList274561481091112131516[[#This Row],[UNIT PRICE]],"")</f>
        <v>0</v>
      </c>
      <c r="FV52" s="111" t="s">
        <v>169</v>
      </c>
      <c r="FW52">
        <v>30</v>
      </c>
      <c r="FZ52" s="87"/>
      <c r="GA52" s="111" t="s">
        <v>336</v>
      </c>
      <c r="GB52" s="108" t="s">
        <v>134</v>
      </c>
      <c r="GC52" s="108" t="s">
        <v>92</v>
      </c>
      <c r="GD52" s="84">
        <v>1</v>
      </c>
      <c r="GF52" s="109">
        <v>18.91</v>
      </c>
      <c r="GG52" s="109">
        <f>IFERROR(GroceryList274561481091112131517[[#This Row],[QTY]]*GroceryList274561481091112131517[[#This Row],[UNIT PRICE]],"")</f>
        <v>18.91</v>
      </c>
      <c r="GH52" s="111" t="s">
        <v>169</v>
      </c>
      <c r="GI52">
        <v>30</v>
      </c>
      <c r="GL52" s="87"/>
      <c r="GM52" s="111" t="s">
        <v>336</v>
      </c>
      <c r="GN52" s="108" t="s">
        <v>134</v>
      </c>
      <c r="GO52" s="108" t="s">
        <v>92</v>
      </c>
      <c r="GP52" s="84">
        <v>1</v>
      </c>
      <c r="GR52" s="109">
        <v>18.91</v>
      </c>
      <c r="GS52" s="109">
        <f>IFERROR(GroceryList27456148109111213151718[[#This Row],[QTY]]*GroceryList27456148109111213151718[[#This Row],[UNIT PRICE]],"")</f>
        <v>18.91</v>
      </c>
      <c r="GT52" s="111" t="s">
        <v>169</v>
      </c>
      <c r="GU52">
        <v>30</v>
      </c>
    </row>
    <row r="53" spans="2:203" ht="30" hidden="1" customHeight="1" x14ac:dyDescent="0.2">
      <c r="B53" s="87"/>
      <c r="C53" s="99" t="s">
        <v>122</v>
      </c>
      <c r="D53" s="89"/>
      <c r="E53" s="89"/>
      <c r="F53" s="87"/>
      <c r="H53" s="90"/>
      <c r="I53" s="90">
        <f>IFERROR(GroceryList[[#This Row],[QTY]]*GroceryList[[#This Row],[UNIT PRICE]],"")</f>
        <v>0</v>
      </c>
      <c r="J53" s="89"/>
      <c r="M53" s="87"/>
      <c r="N53" s="99" t="s">
        <v>122</v>
      </c>
      <c r="O53" s="89"/>
      <c r="P53" s="89"/>
      <c r="Q53" s="87"/>
      <c r="S53" s="90"/>
      <c r="T53" s="90">
        <f>IFERROR(GroceryList2[[#This Row],[QTY]]*GroceryList2[[#This Row],[UNIT PRICE]],"")</f>
        <v>0</v>
      </c>
      <c r="U53" s="89"/>
      <c r="Y53" s="87" t="s">
        <v>130</v>
      </c>
      <c r="Z53" s="99" t="s">
        <v>122</v>
      </c>
      <c r="AA53" s="89"/>
      <c r="AB53" s="89"/>
      <c r="AC53" s="87">
        <v>2</v>
      </c>
      <c r="AE53" s="90">
        <v>17</v>
      </c>
      <c r="AF53" s="90">
        <f>IFERROR(GroceryList27[[#This Row],[QTY]]*GroceryList27[[#This Row],[UNIT PRICE]],"")</f>
        <v>34</v>
      </c>
      <c r="AG53" s="89"/>
      <c r="AM53" s="87" t="s">
        <v>130</v>
      </c>
      <c r="AN53" s="105" t="s">
        <v>122</v>
      </c>
      <c r="AO53" s="110"/>
      <c r="AP53" s="110" t="s">
        <v>90</v>
      </c>
      <c r="AQ53" s="87">
        <v>2</v>
      </c>
      <c r="AS53" s="109">
        <v>17</v>
      </c>
      <c r="AT53" s="109">
        <f>IFERROR(GroceryList274[[#This Row],[QTY]]*GroceryList274[[#This Row],[UNIT PRICE]],"")</f>
        <v>34</v>
      </c>
      <c r="AU53" s="89"/>
      <c r="AY53" s="87"/>
      <c r="AZ53" s="105" t="s">
        <v>121</v>
      </c>
      <c r="BA53" s="110"/>
      <c r="BB53" s="110"/>
      <c r="BC53" s="84">
        <v>0</v>
      </c>
      <c r="BE53" s="109"/>
      <c r="BF53" s="109">
        <f>IFERROR(GroceryList2745[[#This Row],[QTY]]*GroceryList2745[[#This Row],[UNIT PRICE]],"")</f>
        <v>0</v>
      </c>
      <c r="BG53" s="89"/>
      <c r="BJ53" s="87"/>
      <c r="BK53" s="105" t="s">
        <v>121</v>
      </c>
      <c r="BL53" s="110"/>
      <c r="BM53" s="110"/>
      <c r="BN53" s="84">
        <v>0</v>
      </c>
      <c r="BP53" s="109"/>
      <c r="BQ53" s="109">
        <f>IFERROR(GroceryList27456[[#This Row],[QTY]]*GroceryList27456[[#This Row],[UNIT PRICE]],"")</f>
        <v>0</v>
      </c>
      <c r="BR53" s="105" t="s">
        <v>169</v>
      </c>
      <c r="BS53" s="89"/>
      <c r="BV53" s="87"/>
      <c r="BW53" s="105" t="s">
        <v>121</v>
      </c>
      <c r="BX53" s="110"/>
      <c r="BY53" s="110"/>
      <c r="BZ53" s="84">
        <v>0</v>
      </c>
      <c r="CB53" s="109"/>
      <c r="CC53" s="109">
        <f>IFERROR(GroceryList2745614[[#This Row],[QTY]]*GroceryList2745614[[#This Row],[UNIT PRICE]],"")</f>
        <v>0</v>
      </c>
      <c r="CD53" s="105" t="s">
        <v>169</v>
      </c>
      <c r="CE53" s="89"/>
      <c r="CH53" s="87"/>
      <c r="CI53" s="105" t="s">
        <v>121</v>
      </c>
      <c r="CJ53" s="110"/>
      <c r="CK53" s="110"/>
      <c r="CL53" s="84">
        <v>0</v>
      </c>
      <c r="CN53" s="109"/>
      <c r="CO53" s="109">
        <f>IFERROR(GroceryList27456148[[#This Row],[QTY]]*GroceryList27456148[[#This Row],[UNIT PRICE]],"")</f>
        <v>0</v>
      </c>
      <c r="CP53" s="105" t="s">
        <v>169</v>
      </c>
      <c r="CQ53" s="89"/>
      <c r="CT53" s="87"/>
      <c r="CU53" s="105" t="s">
        <v>121</v>
      </c>
      <c r="CV53" s="110"/>
      <c r="CW53" s="110"/>
      <c r="CX53" s="84">
        <v>0</v>
      </c>
      <c r="CZ53" s="109"/>
      <c r="DA53" s="109">
        <f>IFERROR(GroceryList2745614810[[#This Row],[QTY]]*GroceryList2745614810[[#This Row],[UNIT PRICE]],"")</f>
        <v>0</v>
      </c>
      <c r="DB53" s="105" t="s">
        <v>169</v>
      </c>
      <c r="DC53" s="89"/>
      <c r="DF53" s="87"/>
      <c r="DG53" s="105" t="s">
        <v>121</v>
      </c>
      <c r="DH53" s="110"/>
      <c r="DI53" s="110"/>
      <c r="DJ53" s="84">
        <v>0</v>
      </c>
      <c r="DL53" s="109"/>
      <c r="DM53" s="109">
        <f>IFERROR(GroceryList27456148109[[#This Row],[QTY]]*GroceryList27456148109[[#This Row],[UNIT PRICE]],"")</f>
        <v>0</v>
      </c>
      <c r="DN53" s="105" t="s">
        <v>169</v>
      </c>
      <c r="DO53" s="89"/>
      <c r="DR53" s="87"/>
      <c r="DS53" s="105" t="s">
        <v>121</v>
      </c>
      <c r="DT53" s="110"/>
      <c r="DU53" s="110"/>
      <c r="DV53" s="84">
        <v>0</v>
      </c>
      <c r="DX53" s="109"/>
      <c r="DY53" s="109">
        <f>IFERROR(GroceryList2745614810911[[#This Row],[QTY]]*GroceryList2745614810911[[#This Row],[UNIT PRICE]],"")</f>
        <v>0</v>
      </c>
      <c r="DZ53" s="105" t="s">
        <v>169</v>
      </c>
      <c r="EA53" s="89"/>
      <c r="ED53" s="87"/>
      <c r="EE53" s="105" t="s">
        <v>121</v>
      </c>
      <c r="EF53" s="110"/>
      <c r="EG53" s="110"/>
      <c r="EH53" s="84">
        <v>0</v>
      </c>
      <c r="EJ53" s="109"/>
      <c r="EK53" s="109">
        <f>IFERROR(GroceryList274561481091112[[#This Row],[QTY]]*GroceryList274561481091112[[#This Row],[UNIT PRICE]],"")</f>
        <v>0</v>
      </c>
      <c r="EL53" s="105" t="s">
        <v>169</v>
      </c>
      <c r="EM53" s="89"/>
      <c r="EP53" s="87"/>
      <c r="EQ53" s="105" t="s">
        <v>121</v>
      </c>
      <c r="ER53" s="110"/>
      <c r="ES53" s="110"/>
      <c r="ET53" s="84">
        <v>0</v>
      </c>
      <c r="EV53" s="109"/>
      <c r="EW53" s="109">
        <f>IFERROR(GroceryList27456148109111213[[#This Row],[QTY]]*GroceryList27456148109111213[[#This Row],[UNIT PRICE]],"")</f>
        <v>0</v>
      </c>
      <c r="EX53" s="105" t="s">
        <v>169</v>
      </c>
      <c r="EY53" s="89"/>
      <c r="FB53" s="87"/>
      <c r="FC53" s="105" t="s">
        <v>229</v>
      </c>
      <c r="FD53" s="110"/>
      <c r="FE53" s="110"/>
      <c r="FF53" s="84">
        <v>1</v>
      </c>
      <c r="FH53" s="109">
        <f>95.19+60</f>
        <v>155.19</v>
      </c>
      <c r="FI53" s="109">
        <f>IFERROR(GroceryList2745614810911121315[[#This Row],[QTY]]*GroceryList2745614810911121315[[#This Row],[UNIT PRICE]],"")</f>
        <v>155.19</v>
      </c>
      <c r="FJ53" s="105" t="s">
        <v>169</v>
      </c>
      <c r="FK53" s="89" t="s">
        <v>230</v>
      </c>
      <c r="FN53" s="87"/>
      <c r="FO53" s="105" t="s">
        <v>121</v>
      </c>
      <c r="FP53" s="110"/>
      <c r="FQ53" s="110"/>
      <c r="FR53" s="84">
        <v>0</v>
      </c>
      <c r="FT53" s="109"/>
      <c r="FU53" s="109">
        <f>IFERROR(GroceryList274561481091112131516[[#This Row],[QTY]]*GroceryList274561481091112131516[[#This Row],[UNIT PRICE]],"")</f>
        <v>0</v>
      </c>
      <c r="FV53" s="105" t="s">
        <v>169</v>
      </c>
      <c r="FW53" s="89"/>
      <c r="FZ53" s="87"/>
      <c r="GA53" s="105" t="s">
        <v>229</v>
      </c>
      <c r="GB53" s="110"/>
      <c r="GC53" s="110"/>
      <c r="GD53" s="84">
        <v>0</v>
      </c>
      <c r="GF53" s="109">
        <f>95.19+60</f>
        <v>155.19</v>
      </c>
      <c r="GG53" s="109">
        <f>IFERROR(GroceryList274561481091112131517[[#This Row],[QTY]]*GroceryList274561481091112131517[[#This Row],[UNIT PRICE]],"")</f>
        <v>0</v>
      </c>
      <c r="GH53" s="105" t="s">
        <v>169</v>
      </c>
      <c r="GI53" s="89" t="s">
        <v>230</v>
      </c>
      <c r="GL53" s="87"/>
      <c r="GM53" s="105" t="s">
        <v>229</v>
      </c>
      <c r="GN53" s="110"/>
      <c r="GO53" s="110"/>
      <c r="GP53" s="84">
        <v>0</v>
      </c>
      <c r="GR53" s="109">
        <f>95.19+60</f>
        <v>155.19</v>
      </c>
      <c r="GS53" s="109">
        <f>IFERROR(GroceryList27456148109111213151718[[#This Row],[QTY]]*GroceryList27456148109111213151718[[#This Row],[UNIT PRICE]],"")</f>
        <v>0</v>
      </c>
      <c r="GT53" s="105" t="s">
        <v>169</v>
      </c>
      <c r="GU53" s="89" t="s">
        <v>230</v>
      </c>
    </row>
    <row r="54" spans="2:203" ht="30" customHeight="1" x14ac:dyDescent="0.2">
      <c r="AY54" s="87" t="s">
        <v>130</v>
      </c>
      <c r="AZ54" s="105" t="s">
        <v>122</v>
      </c>
      <c r="BA54" s="110"/>
      <c r="BB54" s="110" t="s">
        <v>90</v>
      </c>
      <c r="BC54" s="84">
        <v>0</v>
      </c>
      <c r="BE54" s="109">
        <v>17</v>
      </c>
      <c r="BF54" s="109">
        <f>IFERROR(GroceryList2745[[#This Row],[QTY]]*GroceryList2745[[#This Row],[UNIT PRICE]],"")</f>
        <v>0</v>
      </c>
      <c r="BG54" s="89"/>
      <c r="BJ54" s="87" t="s">
        <v>130</v>
      </c>
      <c r="BK54" s="105" t="s">
        <v>122</v>
      </c>
      <c r="BL54" s="110"/>
      <c r="BM54" s="110" t="s">
        <v>90</v>
      </c>
      <c r="BN54" s="84">
        <v>0</v>
      </c>
      <c r="BP54" s="109">
        <v>15</v>
      </c>
      <c r="BQ54" s="109">
        <f>IFERROR(GroceryList27456[[#This Row],[QTY]]*GroceryList27456[[#This Row],[UNIT PRICE]],"")</f>
        <v>0</v>
      </c>
      <c r="BR54" s="105" t="s">
        <v>130</v>
      </c>
      <c r="BS54" s="89"/>
      <c r="BV54" s="87" t="s">
        <v>130</v>
      </c>
      <c r="BW54" s="105" t="s">
        <v>122</v>
      </c>
      <c r="BX54" s="110"/>
      <c r="BY54" s="110" t="s">
        <v>90</v>
      </c>
      <c r="BZ54" s="84">
        <v>2</v>
      </c>
      <c r="CB54" s="109">
        <v>13.99</v>
      </c>
      <c r="CC54" s="109">
        <f>IFERROR(GroceryList2745614[[#This Row],[QTY]]*GroceryList2745614[[#This Row],[UNIT PRICE]],"")</f>
        <v>27.98</v>
      </c>
      <c r="CD54" s="105" t="s">
        <v>130</v>
      </c>
      <c r="CE54" s="89">
        <v>20</v>
      </c>
      <c r="CH54" s="87" t="s">
        <v>130</v>
      </c>
      <c r="CI54" s="105" t="s">
        <v>122</v>
      </c>
      <c r="CJ54" s="110"/>
      <c r="CK54" s="110" t="s">
        <v>90</v>
      </c>
      <c r="CL54" s="84">
        <v>2</v>
      </c>
      <c r="CN54" s="109">
        <v>13.99</v>
      </c>
      <c r="CO54" s="109">
        <f>IFERROR(GroceryList27456148[[#This Row],[QTY]]*GroceryList27456148[[#This Row],[UNIT PRICE]],"")</f>
        <v>27.98</v>
      </c>
      <c r="CP54" s="105" t="s">
        <v>130</v>
      </c>
      <c r="CQ54" s="89">
        <v>20</v>
      </c>
      <c r="CT54" s="87" t="s">
        <v>130</v>
      </c>
      <c r="CU54" s="105" t="s">
        <v>122</v>
      </c>
      <c r="CV54" s="110"/>
      <c r="CW54" s="110" t="s">
        <v>90</v>
      </c>
      <c r="CX54" s="84">
        <v>2</v>
      </c>
      <c r="CZ54" s="109">
        <v>13.99</v>
      </c>
      <c r="DA54" s="109">
        <f>IFERROR(GroceryList2745614810[[#This Row],[QTY]]*GroceryList2745614810[[#This Row],[UNIT PRICE]],"")</f>
        <v>27.98</v>
      </c>
      <c r="DB54" s="105" t="s">
        <v>130</v>
      </c>
      <c r="DC54" s="89">
        <v>20</v>
      </c>
      <c r="DF54" s="87" t="s">
        <v>130</v>
      </c>
      <c r="DG54" s="105" t="s">
        <v>122</v>
      </c>
      <c r="DH54" s="110"/>
      <c r="DI54" s="110" t="s">
        <v>90</v>
      </c>
      <c r="DJ54" s="84">
        <v>0</v>
      </c>
      <c r="DL54" s="109">
        <v>13.99</v>
      </c>
      <c r="DM54" s="109">
        <f>IFERROR(GroceryList27456148109[[#This Row],[QTY]]*GroceryList27456148109[[#This Row],[UNIT PRICE]],"")</f>
        <v>0</v>
      </c>
      <c r="DN54" s="105" t="s">
        <v>130</v>
      </c>
      <c r="DO54" s="89">
        <v>20</v>
      </c>
      <c r="DR54" s="87" t="s">
        <v>130</v>
      </c>
      <c r="DS54" s="105" t="s">
        <v>122</v>
      </c>
      <c r="DT54" s="110"/>
      <c r="DU54" s="110" t="s">
        <v>90</v>
      </c>
      <c r="DV54" s="84">
        <v>2</v>
      </c>
      <c r="DX54" s="109">
        <v>13.99</v>
      </c>
      <c r="DY54" s="109">
        <f>IFERROR(GroceryList2745614810911[[#This Row],[QTY]]*GroceryList2745614810911[[#This Row],[UNIT PRICE]],"")</f>
        <v>27.98</v>
      </c>
      <c r="DZ54" s="105" t="s">
        <v>130</v>
      </c>
      <c r="EA54" s="89">
        <v>20</v>
      </c>
      <c r="ED54" s="87" t="s">
        <v>130</v>
      </c>
      <c r="EE54" s="105" t="s">
        <v>122</v>
      </c>
      <c r="EF54" s="110"/>
      <c r="EG54" s="110" t="s">
        <v>90</v>
      </c>
      <c r="EH54" s="84">
        <v>3</v>
      </c>
      <c r="EJ54" s="109">
        <v>13.99</v>
      </c>
      <c r="EK54" s="109">
        <f>IFERROR(GroceryList274561481091112[[#This Row],[QTY]]*GroceryList274561481091112[[#This Row],[UNIT PRICE]],"")</f>
        <v>41.97</v>
      </c>
      <c r="EL54" s="105" t="s">
        <v>130</v>
      </c>
      <c r="EM54" s="89">
        <v>20</v>
      </c>
      <c r="EP54" s="87" t="s">
        <v>130</v>
      </c>
      <c r="EQ54" s="105" t="s">
        <v>122</v>
      </c>
      <c r="ER54" s="110"/>
      <c r="ES54" s="110" t="s">
        <v>90</v>
      </c>
      <c r="ET54" s="84">
        <v>0</v>
      </c>
      <c r="EV54" s="109">
        <v>13.99</v>
      </c>
      <c r="EW54" s="109">
        <f>IFERROR(GroceryList27456148109111213[[#This Row],[QTY]]*GroceryList27456148109111213[[#This Row],[UNIT PRICE]],"")</f>
        <v>0</v>
      </c>
      <c r="EX54" s="105" t="s">
        <v>130</v>
      </c>
      <c r="EY54" s="89">
        <v>20</v>
      </c>
      <c r="FB54" s="87" t="s">
        <v>130</v>
      </c>
      <c r="FC54" s="105" t="s">
        <v>122</v>
      </c>
      <c r="FD54" s="110"/>
      <c r="FE54" s="110" t="s">
        <v>90</v>
      </c>
      <c r="FF54" s="84">
        <v>3</v>
      </c>
      <c r="FH54" s="109">
        <v>13.99</v>
      </c>
      <c r="FI54" s="109">
        <f>IFERROR(GroceryList2745614810911121315[[#This Row],[QTY]]*GroceryList2745614810911121315[[#This Row],[UNIT PRICE]],"")</f>
        <v>41.97</v>
      </c>
      <c r="FJ54" s="105" t="s">
        <v>130</v>
      </c>
      <c r="FK54" s="89">
        <v>20</v>
      </c>
      <c r="FN54" s="87" t="s">
        <v>130</v>
      </c>
      <c r="FO54" s="105" t="s">
        <v>122</v>
      </c>
      <c r="FP54" s="110"/>
      <c r="FQ54" s="110" t="s">
        <v>90</v>
      </c>
      <c r="FR54" s="84">
        <v>0</v>
      </c>
      <c r="FT54" s="109">
        <v>13.99</v>
      </c>
      <c r="FU54" s="109">
        <f>IFERROR(GroceryList274561481091112131516[[#This Row],[QTY]]*GroceryList274561481091112131516[[#This Row],[UNIT PRICE]],"")</f>
        <v>0</v>
      </c>
      <c r="FV54" s="105" t="s">
        <v>130</v>
      </c>
      <c r="FW54" s="89">
        <v>20</v>
      </c>
      <c r="FZ54" s="87" t="s">
        <v>130</v>
      </c>
      <c r="GA54" s="105" t="s">
        <v>122</v>
      </c>
      <c r="GB54" s="110"/>
      <c r="GC54" s="110" t="s">
        <v>90</v>
      </c>
      <c r="GD54" s="84">
        <v>3</v>
      </c>
      <c r="GF54" s="109">
        <v>13.49</v>
      </c>
      <c r="GG54" s="109">
        <f>IFERROR(GroceryList274561481091112131517[[#This Row],[QTY]]*GroceryList274561481091112131517[[#This Row],[UNIT PRICE]],"")</f>
        <v>40.47</v>
      </c>
      <c r="GH54" s="105" t="s">
        <v>130</v>
      </c>
      <c r="GI54" s="89">
        <v>22.99</v>
      </c>
      <c r="GL54" s="87" t="s">
        <v>130</v>
      </c>
      <c r="GM54" s="105" t="s">
        <v>122</v>
      </c>
      <c r="GN54" s="110"/>
      <c r="GO54" s="110" t="s">
        <v>90</v>
      </c>
      <c r="GP54" s="84">
        <v>3</v>
      </c>
      <c r="GR54" s="109">
        <v>13.49</v>
      </c>
      <c r="GS54" s="109">
        <f>IFERROR(GroceryList27456148109111213151718[[#This Row],[QTY]]*GroceryList27456148109111213151718[[#This Row],[UNIT PRICE]],"")</f>
        <v>40.47</v>
      </c>
      <c r="GT54" s="105" t="s">
        <v>130</v>
      </c>
      <c r="GU54" s="89">
        <v>22.99</v>
      </c>
    </row>
  </sheetData>
  <mergeCells count="34">
    <mergeCell ref="FB1:FJ1"/>
    <mergeCell ref="FB2:FC3"/>
    <mergeCell ref="EP1:EX1"/>
    <mergeCell ref="EP2:EQ3"/>
    <mergeCell ref="ED1:EL1"/>
    <mergeCell ref="ED2:EE3"/>
    <mergeCell ref="BJ1:BR1"/>
    <mergeCell ref="BJ2:BK3"/>
    <mergeCell ref="DR1:DZ1"/>
    <mergeCell ref="DR2:DS3"/>
    <mergeCell ref="CH1:CP1"/>
    <mergeCell ref="CH2:CI3"/>
    <mergeCell ref="BV1:CD1"/>
    <mergeCell ref="BV2:BW3"/>
    <mergeCell ref="DF1:DN1"/>
    <mergeCell ref="DF2:DG3"/>
    <mergeCell ref="CT1:DB1"/>
    <mergeCell ref="CT2:CU3"/>
    <mergeCell ref="B1:J1"/>
    <mergeCell ref="B2:C3"/>
    <mergeCell ref="M1:U1"/>
    <mergeCell ref="M2:N3"/>
    <mergeCell ref="AY1:BG1"/>
    <mergeCell ref="AY2:AZ3"/>
    <mergeCell ref="AM1:AU1"/>
    <mergeCell ref="AM2:AN3"/>
    <mergeCell ref="Y1:AG1"/>
    <mergeCell ref="Y2:Z3"/>
    <mergeCell ref="GL1:GT1"/>
    <mergeCell ref="GL2:GM3"/>
    <mergeCell ref="FZ1:GH1"/>
    <mergeCell ref="FZ2:GA3"/>
    <mergeCell ref="FN1:FV1"/>
    <mergeCell ref="FN2:FO3"/>
  </mergeCells>
  <conditionalFormatting sqref="B6:J19 B20:E21 G20:J21 B22:J53">
    <cfRule type="expression" dxfId="91" priority="93">
      <formula>$B6="yes"</formula>
    </cfRule>
  </conditionalFormatting>
  <conditionalFormatting sqref="I2:I4">
    <cfRule type="expression" dxfId="90" priority="94">
      <formula>SUM($D$3:$H$3)&lt;&gt;SUM($I$6:$I$53)</formula>
    </cfRule>
  </conditionalFormatting>
  <conditionalFormatting sqref="I4">
    <cfRule type="expression" dxfId="89" priority="95">
      <formula>SUM($D$3:$H$3)&lt;&gt;SUM($I$6:$I$53)</formula>
    </cfRule>
  </conditionalFormatting>
  <conditionalFormatting sqref="T2:T4">
    <cfRule type="expression" dxfId="88" priority="91">
      <formula>SUM($D$3:$H$3)&lt;&gt;SUM($I$6:$I$53)</formula>
    </cfRule>
  </conditionalFormatting>
  <conditionalFormatting sqref="T4">
    <cfRule type="expression" dxfId="87" priority="92">
      <formula>SUM($D$3:$H$3)&lt;&gt;SUM($I$6:$I$53)</formula>
    </cfRule>
  </conditionalFormatting>
  <conditionalFormatting sqref="Y6:AG19 Y20:AB21 AD20:AG21 Y22:AG53">
    <cfRule type="expression" dxfId="86" priority="87" stopIfTrue="1">
      <formula>$B6="yes"</formula>
    </cfRule>
  </conditionalFormatting>
  <conditionalFormatting sqref="AF2:AF4">
    <cfRule type="expression" dxfId="85" priority="88">
      <formula>SUM($D$3:$H$3)&lt;&gt;SUM($I$6:$I$53)</formula>
    </cfRule>
  </conditionalFormatting>
  <conditionalFormatting sqref="AF4">
    <cfRule type="expression" dxfId="84" priority="89">
      <formula>SUM($D$3:$H$3)&lt;&gt;SUM($I$6:$I$53)</formula>
    </cfRule>
  </conditionalFormatting>
  <conditionalFormatting sqref="AM6:AU19 AM20:AP21 AR20:AU21 AM22:AU53">
    <cfRule type="expression" dxfId="83" priority="84" stopIfTrue="1">
      <formula>$B6="yes"</formula>
    </cfRule>
  </conditionalFormatting>
  <conditionalFormatting sqref="AT2:AT4">
    <cfRule type="expression" dxfId="82" priority="85">
      <formula>SUM($D$3:$H$3)&lt;&gt;SUM($I$6:$I$53)</formula>
    </cfRule>
  </conditionalFormatting>
  <conditionalFormatting sqref="AT4">
    <cfRule type="expression" dxfId="81" priority="86">
      <formula>SUM($D$3:$H$3)&lt;&gt;SUM($I$6:$I$53)</formula>
    </cfRule>
  </conditionalFormatting>
  <conditionalFormatting sqref="AY6:BG16 M6:U19 M20:P21 R20:U21 M22:U53">
    <cfRule type="expression" dxfId="80" priority="90" stopIfTrue="1">
      <formula>$B6="yes"</formula>
    </cfRule>
  </conditionalFormatting>
  <conditionalFormatting sqref="AY17:BG54">
    <cfRule type="expression" dxfId="79" priority="97" stopIfTrue="1">
      <formula>$B16="yes"</formula>
    </cfRule>
  </conditionalFormatting>
  <conditionalFormatting sqref="BF2:BF4">
    <cfRule type="expression" dxfId="78" priority="82">
      <formula>SUM($D$3:$H$3)&lt;&gt;SUM($I$6:$I$53)</formula>
    </cfRule>
  </conditionalFormatting>
  <conditionalFormatting sqref="BF4">
    <cfRule type="expression" dxfId="77" priority="83">
      <formula>SUM($D$3:$H$3)&lt;&gt;SUM($I$6:$I$53)</formula>
    </cfRule>
  </conditionalFormatting>
  <conditionalFormatting sqref="BJ6:BR16">
    <cfRule type="expression" dxfId="76" priority="79">
      <formula>$B6="yes"</formula>
    </cfRule>
  </conditionalFormatting>
  <conditionalFormatting sqref="BJ17:BR54">
    <cfRule type="expression" dxfId="75" priority="80" stopIfTrue="1">
      <formula>$B16="yes"</formula>
    </cfRule>
  </conditionalFormatting>
  <conditionalFormatting sqref="BQ2:BQ4">
    <cfRule type="expression" dxfId="74" priority="77">
      <formula>SUM($D$3:$H$3)&lt;&gt;SUM($I$6:$I$53)</formula>
    </cfRule>
  </conditionalFormatting>
  <conditionalFormatting sqref="BQ4">
    <cfRule type="expression" dxfId="73" priority="78">
      <formula>SUM($D$3:$H$3)&lt;&gt;SUM($I$6:$I$53)</formula>
    </cfRule>
  </conditionalFormatting>
  <conditionalFormatting sqref="BS6:BS16">
    <cfRule type="expression" dxfId="72" priority="72" stopIfTrue="1">
      <formula>$B6="yes"</formula>
    </cfRule>
  </conditionalFormatting>
  <conditionalFormatting sqref="BS7:BS54 BS5">
    <cfRule type="expression" dxfId="71" priority="74" stopIfTrue="1">
      <formula>$B4="yes"</formula>
    </cfRule>
  </conditionalFormatting>
  <conditionalFormatting sqref="BV6:CD16">
    <cfRule type="expression" dxfId="70" priority="68">
      <formula>$B6="yes"</formula>
    </cfRule>
  </conditionalFormatting>
  <conditionalFormatting sqref="BV17:CD54">
    <cfRule type="expression" dxfId="69" priority="69" stopIfTrue="1">
      <formula>$B16="yes"</formula>
    </cfRule>
  </conditionalFormatting>
  <conditionalFormatting sqref="CC2:CC4">
    <cfRule type="expression" dxfId="68" priority="66">
      <formula>SUM($D$3:$H$3)&lt;&gt;SUM($I$6:$I$53)</formula>
    </cfRule>
  </conditionalFormatting>
  <conditionalFormatting sqref="CC4">
    <cfRule type="expression" dxfId="67" priority="67">
      <formula>SUM($D$3:$H$3)&lt;&gt;SUM($I$6:$I$53)</formula>
    </cfRule>
  </conditionalFormatting>
  <conditionalFormatting sqref="CE6:CE16">
    <cfRule type="expression" dxfId="66" priority="63" stopIfTrue="1">
      <formula>$B6="yes"</formula>
    </cfRule>
  </conditionalFormatting>
  <conditionalFormatting sqref="CE7:CE54 CE5">
    <cfRule type="expression" dxfId="65" priority="65" stopIfTrue="1">
      <formula>$B4="yes"</formula>
    </cfRule>
  </conditionalFormatting>
  <conditionalFormatting sqref="CH6:CP16">
    <cfRule type="expression" dxfId="64" priority="61">
      <formula>$B6="yes"</formula>
    </cfRule>
  </conditionalFormatting>
  <conditionalFormatting sqref="CH17:CP54">
    <cfRule type="expression" dxfId="63" priority="62" stopIfTrue="1">
      <formula>$B16="yes"</formula>
    </cfRule>
  </conditionalFormatting>
  <conditionalFormatting sqref="CO2:CO4">
    <cfRule type="expression" dxfId="62" priority="59">
      <formula>SUM($D$3:$H$3)&lt;&gt;SUM($I$6:$I$53)</formula>
    </cfRule>
  </conditionalFormatting>
  <conditionalFormatting sqref="CO4">
    <cfRule type="expression" dxfId="61" priority="60">
      <formula>SUM($D$3:$H$3)&lt;&gt;SUM($I$6:$I$53)</formula>
    </cfRule>
  </conditionalFormatting>
  <conditionalFormatting sqref="CQ6:CQ16">
    <cfRule type="expression" dxfId="60" priority="57" stopIfTrue="1">
      <formula>$B6="yes"</formula>
    </cfRule>
  </conditionalFormatting>
  <conditionalFormatting sqref="CQ7:CQ54 CQ5">
    <cfRule type="expression" dxfId="59" priority="58" stopIfTrue="1">
      <formula>$B4="yes"</formula>
    </cfRule>
  </conditionalFormatting>
  <conditionalFormatting sqref="CT6:DB16">
    <cfRule type="expression" dxfId="58" priority="55">
      <formula>$B6="yes"</formula>
    </cfRule>
  </conditionalFormatting>
  <conditionalFormatting sqref="CT17:DB54">
    <cfRule type="expression" dxfId="57" priority="56" stopIfTrue="1">
      <formula>$B16="yes"</formula>
    </cfRule>
  </conditionalFormatting>
  <conditionalFormatting sqref="DA2:DA4">
    <cfRule type="expression" dxfId="56" priority="53">
      <formula>SUM($D$3:$H$3)&lt;&gt;SUM($I$6:$I$53)</formula>
    </cfRule>
  </conditionalFormatting>
  <conditionalFormatting sqref="DA4">
    <cfRule type="expression" dxfId="55" priority="54">
      <formula>SUM($D$3:$H$3)&lt;&gt;SUM($I$6:$I$53)</formula>
    </cfRule>
  </conditionalFormatting>
  <conditionalFormatting sqref="DC6:DC16">
    <cfRule type="expression" dxfId="54" priority="51" stopIfTrue="1">
      <formula>$B6="yes"</formula>
    </cfRule>
  </conditionalFormatting>
  <conditionalFormatting sqref="DC7:DC54 DC5">
    <cfRule type="expression" dxfId="53" priority="52" stopIfTrue="1">
      <formula>$B4="yes"</formula>
    </cfRule>
  </conditionalFormatting>
  <conditionalFormatting sqref="DF6:DN16">
    <cfRule type="expression" dxfId="52" priority="49">
      <formula>$B6="yes"</formula>
    </cfRule>
  </conditionalFormatting>
  <conditionalFormatting sqref="DF17:DN54">
    <cfRule type="expression" dxfId="51" priority="50" stopIfTrue="1">
      <formula>$B16="yes"</formula>
    </cfRule>
  </conditionalFormatting>
  <conditionalFormatting sqref="DM2:DM4">
    <cfRule type="expression" dxfId="50" priority="47">
      <formula>SUM($D$3:$H$3)&lt;&gt;SUM($I$6:$I$53)</formula>
    </cfRule>
  </conditionalFormatting>
  <conditionalFormatting sqref="DM4">
    <cfRule type="expression" dxfId="49" priority="48">
      <formula>SUM($D$3:$H$3)&lt;&gt;SUM($I$6:$I$53)</formula>
    </cfRule>
  </conditionalFormatting>
  <conditionalFormatting sqref="DO6:DO16">
    <cfRule type="expression" dxfId="48" priority="45" stopIfTrue="1">
      <formula>$B6="yes"</formula>
    </cfRule>
  </conditionalFormatting>
  <conditionalFormatting sqref="DO7:DO54 DO5">
    <cfRule type="expression" dxfId="47" priority="46" stopIfTrue="1">
      <formula>$B4="yes"</formula>
    </cfRule>
  </conditionalFormatting>
  <conditionalFormatting sqref="DR6:DZ16">
    <cfRule type="expression" dxfId="46" priority="43">
      <formula>$B6="yes"</formula>
    </cfRule>
  </conditionalFormatting>
  <conditionalFormatting sqref="DR17:DZ54">
    <cfRule type="expression" dxfId="45" priority="44" stopIfTrue="1">
      <formula>$B16="yes"</formula>
    </cfRule>
  </conditionalFormatting>
  <conditionalFormatting sqref="DY2:DY4">
    <cfRule type="expression" dxfId="44" priority="41">
      <formula>SUM($D$3:$H$3)&lt;&gt;SUM($I$6:$I$53)</formula>
    </cfRule>
  </conditionalFormatting>
  <conditionalFormatting sqref="DY4">
    <cfRule type="expression" dxfId="43" priority="42">
      <formula>SUM($D$3:$H$3)&lt;&gt;SUM($I$6:$I$53)</formula>
    </cfRule>
  </conditionalFormatting>
  <conditionalFormatting sqref="EA6:EA16">
    <cfRule type="expression" dxfId="42" priority="39" stopIfTrue="1">
      <formula>$B6="yes"</formula>
    </cfRule>
  </conditionalFormatting>
  <conditionalFormatting sqref="EA7:EA54 EA5">
    <cfRule type="expression" dxfId="41" priority="40" stopIfTrue="1">
      <formula>$B4="yes"</formula>
    </cfRule>
  </conditionalFormatting>
  <conditionalFormatting sqref="ED6:EL16">
    <cfRule type="expression" dxfId="40" priority="37">
      <formula>$B6="yes"</formula>
    </cfRule>
  </conditionalFormatting>
  <conditionalFormatting sqref="ED17:EL54">
    <cfRule type="expression" dxfId="39" priority="38" stopIfTrue="1">
      <formula>$B16="yes"</formula>
    </cfRule>
  </conditionalFormatting>
  <conditionalFormatting sqref="EK2:EK4">
    <cfRule type="expression" dxfId="38" priority="35">
      <formula>SUM($D$3:$H$3)&lt;&gt;SUM($I$6:$I$53)</formula>
    </cfRule>
  </conditionalFormatting>
  <conditionalFormatting sqref="EK4">
    <cfRule type="expression" dxfId="37" priority="36">
      <formula>SUM($D$3:$H$3)&lt;&gt;SUM($I$6:$I$53)</formula>
    </cfRule>
  </conditionalFormatting>
  <conditionalFormatting sqref="EM6:EM16">
    <cfRule type="expression" dxfId="36" priority="33" stopIfTrue="1">
      <formula>$B6="yes"</formula>
    </cfRule>
  </conditionalFormatting>
  <conditionalFormatting sqref="EM7:EM54 EM5">
    <cfRule type="expression" dxfId="35" priority="34" stopIfTrue="1">
      <formula>$B4="yes"</formula>
    </cfRule>
  </conditionalFormatting>
  <conditionalFormatting sqref="EP6:EX16">
    <cfRule type="expression" dxfId="34" priority="31">
      <formula>$B6="yes"</formula>
    </cfRule>
  </conditionalFormatting>
  <conditionalFormatting sqref="EP17:EX54">
    <cfRule type="expression" dxfId="33" priority="32" stopIfTrue="1">
      <formula>$B16="yes"</formula>
    </cfRule>
  </conditionalFormatting>
  <conditionalFormatting sqref="EW2:EW4">
    <cfRule type="expression" dxfId="32" priority="29">
      <formula>SUM($D$3:$H$3)&lt;&gt;SUM($I$6:$I$53)</formula>
    </cfRule>
  </conditionalFormatting>
  <conditionalFormatting sqref="EW4">
    <cfRule type="expression" dxfId="31" priority="30">
      <formula>SUM($D$3:$H$3)&lt;&gt;SUM($I$6:$I$53)</formula>
    </cfRule>
  </conditionalFormatting>
  <conditionalFormatting sqref="EY6:EY16">
    <cfRule type="expression" dxfId="30" priority="27" stopIfTrue="1">
      <formula>$B6="yes"</formula>
    </cfRule>
  </conditionalFormatting>
  <conditionalFormatting sqref="EY7:EY54 EY5">
    <cfRule type="expression" dxfId="29" priority="28" stopIfTrue="1">
      <formula>$B4="yes"</formula>
    </cfRule>
  </conditionalFormatting>
  <conditionalFormatting sqref="FB6:FJ16">
    <cfRule type="expression" dxfId="28" priority="25">
      <formula>$B6="yes"</formula>
    </cfRule>
  </conditionalFormatting>
  <conditionalFormatting sqref="FB17:FJ54">
    <cfRule type="expression" dxfId="27" priority="26" stopIfTrue="1">
      <formula>$B16="yes"</formula>
    </cfRule>
  </conditionalFormatting>
  <conditionalFormatting sqref="FI2:FI4">
    <cfRule type="expression" dxfId="26" priority="23">
      <formula>SUM($D$3:$H$3)&lt;&gt;SUM($I$6:$I$53)</formula>
    </cfRule>
  </conditionalFormatting>
  <conditionalFormatting sqref="FI4">
    <cfRule type="expression" dxfId="25" priority="24">
      <formula>SUM($D$3:$H$3)&lt;&gt;SUM($I$6:$I$53)</formula>
    </cfRule>
  </conditionalFormatting>
  <conditionalFormatting sqref="FK6:FK16">
    <cfRule type="expression" dxfId="24" priority="21" stopIfTrue="1">
      <formula>$B6="yes"</formula>
    </cfRule>
  </conditionalFormatting>
  <conditionalFormatting sqref="FK7:FK54 FK5">
    <cfRule type="expression" dxfId="23" priority="22" stopIfTrue="1">
      <formula>$B4="yes"</formula>
    </cfRule>
  </conditionalFormatting>
  <conditionalFormatting sqref="FN6:FV16">
    <cfRule type="expression" dxfId="22" priority="19">
      <formula>$B6="yes"</formula>
    </cfRule>
  </conditionalFormatting>
  <conditionalFormatting sqref="FN17:FV54">
    <cfRule type="expression" dxfId="21" priority="20" stopIfTrue="1">
      <formula>$B16="yes"</formula>
    </cfRule>
  </conditionalFormatting>
  <conditionalFormatting sqref="FU2:FU4">
    <cfRule type="expression" dxfId="20" priority="17">
      <formula>SUM($D$3:$H$3)&lt;&gt;SUM($I$6:$I$53)</formula>
    </cfRule>
  </conditionalFormatting>
  <conditionalFormatting sqref="FU4">
    <cfRule type="expression" dxfId="19" priority="18">
      <formula>SUM($D$3:$H$3)&lt;&gt;SUM($I$6:$I$53)</formula>
    </cfRule>
  </conditionalFormatting>
  <conditionalFormatting sqref="FW6:FW16">
    <cfRule type="expression" dxfId="18" priority="15" stopIfTrue="1">
      <formula>$B6="yes"</formula>
    </cfRule>
  </conditionalFormatting>
  <conditionalFormatting sqref="FW7:FW54 FW5">
    <cfRule type="expression" dxfId="17" priority="16" stopIfTrue="1">
      <formula>$B4="yes"</formula>
    </cfRule>
  </conditionalFormatting>
  <conditionalFormatting sqref="FZ6:GH16">
    <cfRule type="expression" dxfId="16" priority="13">
      <formula>$B6="yes"</formula>
    </cfRule>
  </conditionalFormatting>
  <conditionalFormatting sqref="FZ17:GH54">
    <cfRule type="expression" dxfId="15" priority="14" stopIfTrue="1">
      <formula>$B16="yes"</formula>
    </cfRule>
  </conditionalFormatting>
  <conditionalFormatting sqref="GG2:GG4">
    <cfRule type="expression" dxfId="14" priority="11">
      <formula>SUM($D$3:$H$3)&lt;&gt;SUM($I$6:$I$53)</formula>
    </cfRule>
  </conditionalFormatting>
  <conditionalFormatting sqref="GG4">
    <cfRule type="expression" dxfId="13" priority="12">
      <formula>SUM($D$3:$H$3)&lt;&gt;SUM($I$6:$I$53)</formula>
    </cfRule>
  </conditionalFormatting>
  <conditionalFormatting sqref="GI6:GI16">
    <cfRule type="expression" dxfId="12" priority="9" stopIfTrue="1">
      <formula>$B6="yes"</formula>
    </cfRule>
  </conditionalFormatting>
  <conditionalFormatting sqref="GI7:GI54 GI5">
    <cfRule type="expression" dxfId="11" priority="10" stopIfTrue="1">
      <formula>$B4="yes"</formula>
    </cfRule>
  </conditionalFormatting>
  <conditionalFormatting sqref="GL6:GO16 GQ6:GT16">
    <cfRule type="expression" dxfId="10" priority="7">
      <formula>$B6="yes"</formula>
    </cfRule>
  </conditionalFormatting>
  <conditionalFormatting sqref="GL17:GO54 GQ17:GT54">
    <cfRule type="expression" dxfId="9" priority="8" stopIfTrue="1">
      <formula>$B16="yes"</formula>
    </cfRule>
  </conditionalFormatting>
  <conditionalFormatting sqref="GP6:GP16">
    <cfRule type="expression" dxfId="8" priority="2">
      <formula>$B6="yes"</formula>
    </cfRule>
  </conditionalFormatting>
  <conditionalFormatting sqref="GP17:GP54">
    <cfRule type="expression" dxfId="7" priority="98" stopIfTrue="1">
      <formula>$B16="yes"</formula>
    </cfRule>
  </conditionalFormatting>
  <conditionalFormatting sqref="GS2:GS4">
    <cfRule type="expression" dxfId="6" priority="5">
      <formula>SUM($D$3:$H$3)&lt;&gt;SUM($I$6:$I$53)</formula>
    </cfRule>
  </conditionalFormatting>
  <conditionalFormatting sqref="GS4">
    <cfRule type="expression" dxfId="5" priority="6">
      <formula>SUM($D$3:$H$3)&lt;&gt;SUM($I$6:$I$53)</formula>
    </cfRule>
  </conditionalFormatting>
  <conditionalFormatting sqref="GU6:GU16">
    <cfRule type="expression" dxfId="4" priority="3" stopIfTrue="1">
      <formula>$B6="yes"</formula>
    </cfRule>
  </conditionalFormatting>
  <conditionalFormatting sqref="GU7:GU54 GU5">
    <cfRule type="expression" dxfId="3" priority="4" stopIfTrue="1">
      <formula>$B4="yes"</formula>
    </cfRule>
  </conditionalFormatting>
  <dataValidations count="19">
    <dataValidation allowBlank="1" showInputMessage="1" showErrorMessage="1" prompt="Title of this worksheet is in this cell. Customize categories in cells at right. Totals for each category will automatically update as items are added to Grocery List table below" sqref="B2:C3 M2:N3 Y2:Z3 AM2:AN3 AY2:AZ3 BJ2:BK3 BV2:BW3 CH2:CI3 CT2:CU3 DF2:DG3 DR2:DS3 ED2:EE3 EP2:EQ3 FB2:FC3 FN2:FO3 FZ2:GA3 GL2:GM3" xr:uid="{1B918A58-19C3-214D-9076-F563B052EB7C}"/>
    <dataValidation allowBlank="1" showInputMessage="1" showErrorMessage="1" prompt="Total amount for the above category is automatically updated in this cell" sqref="D3:H3 O3:S3 AA3:AE3 AO3:AS3 BA3:BE3 BL3:BP3 BX3:CB3 CJ3:CN3 CV3:CZ3 DH3:DL3 DT3:DX3 EF3:EJ3 ER3:EV3 FD3:FH3 FP3:FT3 GB3:GF3 GN3:GR3" xr:uid="{109587F5-CCD8-0147-824E-8141127EF375}"/>
    <dataValidation allowBlank="1" showInputMessage="1" showErrorMessage="1" prompt="Grand Total is automatically calculated in cell below" sqref="I2 T2 AF2 AT2 BF2 BQ2 CC2 CO2 DA2 DM2 DY2 EK2 EW2 FI2 FU2 GG2 GS2" xr:uid="{0B918522-E6C4-AA49-9D5F-DCADFFC38E21}"/>
    <dataValidation allowBlank="1" showInputMessage="1" showErrorMessage="1" prompt="Enter category in this cell" sqref="D2:H2 O2:S2 AA2:AE2 AO2:AS2 BA2:BE2 BL2:BP2 BX2:CB2 CJ2:CN2 CV2:CZ2 DH2:DL2 DT2:DX2 EF2:EJ2 ER2:EV2 FD2:FH2 FP2:FT2 GB2:GF2 GN2:GR2" xr:uid="{4C4DE035-BF5E-9848-8CD1-C0D0BD90089A}"/>
    <dataValidation allowBlank="1" showInputMessage="1" showErrorMessage="1" prompt="Enter Notes in this column under this heading" sqref="J5 U5 AG5 AU5 BG5 BR5:BS5 CD5:CE5 CP5:CQ5 DB5:DC5 DN5:DO5 DZ5:EA5 EL5:EM5 EX5:EY5 FJ5:FK5 FV5:FW5 GH5:GI5 GT5:GU5" xr:uid="{DC52B2C4-9194-4C41-BBAC-C3F9F1CF56E6}"/>
    <dataValidation allowBlank="1" showInputMessage="1" showErrorMessage="1" prompt="Total is automatically calculated in this column under this heading" sqref="I5 T5 AF5 AT5 BF5 BQ5 CC5 CO5 DA5 DM5 DY5 EK5 EW5 FI5 FU5 GG5 GS5" xr:uid="{1306246D-04C2-4445-B4C2-1B9670E6EAAD}"/>
    <dataValidation allowBlank="1" showInputMessage="1" showErrorMessage="1" prompt="Enter Unit Price in this column under this heading" sqref="H5 S5 AE5 AS5 BE5 BP5 CB5 CN5 CZ5 DL5 DX5 EJ5 EV5 FH5 FT5 GF5 GR5" xr:uid="{2916A844-AACE-724A-AD19-2094B57FD20C}"/>
    <dataValidation allowBlank="1" showInputMessage="1" showErrorMessage="1" prompt="Enter Unit in this column under this heading" sqref="G5 R5 AD5 AR5 BD5 BO5 CA5 CM5 CY5 DK5 DW5 EI5 EU5 FG5 FS5 GE5 GQ5" xr:uid="{A6A40DA4-53E3-5E46-82C1-D8D7A11DD1A1}"/>
    <dataValidation allowBlank="1" showInputMessage="1" showErrorMessage="1" prompt="Enter Quantity in this column under this heading" sqref="F5 Q5 AC5 AQ5 BC5 BN5 BZ5 CL5 CX5 DJ5 DV5 EH5 ET5 FF5 FR5 GD5 GP5" xr:uid="{4FB01215-D3B2-1841-8DB6-89F7B3F8A4B9}"/>
    <dataValidation allowBlank="1" showInputMessage="1" showErrorMessage="1" prompt="Select Category in this column under this heading. Press ALT+DOWN ARROW to open dropdown list; ENTER for selection. Category names are populated based on the values defined above" sqref="E5 P5 AB5 AP5 BB5 BM5 BY5 CK5 CW5 DI5 DU5 EG5 ES5 FE5 FQ5 GC5 GO5" xr:uid="{583BD084-FBCF-8B46-92EA-2ED01A07A52A}"/>
    <dataValidation allowBlank="1" showInputMessage="1" showErrorMessage="1" prompt="Enter Store name in this column under this heading" sqref="D5 O5 AA5 AO5 BA5 BL5 BX5 CJ5 CV5 DH5 DT5 EF5 ER5 FD5 FP5 GB5 GN5" xr:uid="{76892C5E-F0B7-0D41-B6D1-9EA71260C9C0}"/>
    <dataValidation allowBlank="1" showInputMessage="1" showErrorMessage="1" prompt="Enter Item in this column under this heading" sqref="C5 N5 Z5 AN5 AZ5 BK5 BW5 CI5 CU5 DG5 DS5 EE5 EQ5 FC5 FO5 GA5 GM5" xr:uid="{390B179E-FCFB-6F4D-A877-38097FE4DA1B}"/>
    <dataValidation allowBlank="1" showInputMessage="1" showErrorMessage="1" prompt="Select Yes in this column for items bought, font style becomes strikethrough. Press ALT+DOWN ARROW to open dropdown list; ENTER for selection. Heading filters find specific entries" sqref="B5 M5 Y5 AM5 AY5 BJ5 BV5 CH5 CT5 DF5 DR5 ED5 EP5 FB5 FN5 FZ5 GL5" xr:uid="{6171E9C2-2DBB-F640-A45C-F54A3158AE92}"/>
    <dataValidation allowBlank="1" showInputMessage="1" showErrorMessage="1" prompt="Text will automatically appear if table total is not equal to Grand Total. This happens when category name in row 2 changes but category in table column E refers to the old name" sqref="I4 T4 AF4 AT4 BF4 BQ4 CC4 CO4 DA4 DM4 DY4 EK4 EW4 FI4 FU4 GG4 GS4" xr:uid="{7E154645-71CE-2A44-A165-EA72FA0ECF72}"/>
    <dataValidation allowBlank="1" showInputMessage="1" showErrorMessage="1" prompt="Grand Total is automatically calculated in this cell. If the Grand Total does not match the table total, text will appear below indicating &quot;out of balance&quot;" sqref="I3 T3 AF3 AT3 BF3 BQ3 CC3 CO3 DA3 DM3 DY3 EK3 EW3 FI3 FU3 GG3 GS3" xr:uid="{675DA749-E14C-1547-A324-CD89DCCB98E3}"/>
    <dataValidation allowBlank="1" showInputMessage="1" showErrorMessage="1" prompt="Image is in this row" sqref="B1 M1 Y1 AM1 AY1 BJ1 BV1 CH1 CT1 DF1 DR1 ED1 EP1 FB1 FN1 FZ1 GL1" xr:uid="{786CDA92-7B71-2E4A-8FAD-52E0F1FA4CB3}"/>
    <dataValidation allowBlank="1" showInputMessage="1" showErrorMessage="1" prompt="Create a grocery list in this Grocery List worksheet. Use the Done column to indicate when items have been bought" sqref="A1" xr:uid="{F9483EF7-A548-B440-BBDF-10A6ABE4BA5D}"/>
    <dataValidation type="list" errorStyle="warning" allowBlank="1" showInputMessage="1" showErrorMessage="1" error="Select Category from the list. Select CANCEL, then press ALT+DOWN ARROW to open the drop-down list, then ENTER to make selection" sqref="E6:E53 P6:P53 AB6:AB53 AP6:AP53 BB6:BB54 BM6:BM54 BY6:BY54 CK6:CK54 CW6:CW54 DI6:DI54 DU6:DU54 EG6:EG54 ES6:ES54 FE6:FE54 FQ6:FQ54 GC6:GC54 GO6:GO54" xr:uid="{7C31C10A-FDE9-3F45-874D-C5ED17BBFDA2}">
      <formula1>CategoryLookup</formula1>
    </dataValidation>
    <dataValidation type="list" errorStyle="warning" allowBlank="1" showInputMessage="1" showErrorMessage="1" error="Select Yes from list for items bought. Select CANCEL, then press ALT+DOWN ARROW to open the drop-down list, then ENTER to make selection" sqref="B6:B53 M6:M53 Y6:Y53 AM6:AM53 AY6:AY54 BJ6:BJ54 BV6:BV54 CH6:CH54 CT6:CT54 DF6:DF54 DR6:DR54 ED6:ED54 EP6:EP54 FB6:FB54 FN6:FN54 FZ6:FZ54 GL6:GL54" xr:uid="{059D9F0A-E839-0645-B4BE-1F15C846E03D}">
      <formula1>"Yes"</formula1>
    </dataValidation>
  </dataValidations>
  <printOptions horizontalCentered="1"/>
  <pageMargins left="0.3" right="0.3" top="0.5" bottom="0.5" header="0.3" footer="0.3"/>
  <pageSetup scale="50" fitToHeight="0" orientation="portrait" r:id="rId1"/>
  <headerFooter differentFirst="1"/>
  <drawing r:id="rId2"/>
  <tableParts count="17">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1E59-43FD-C04A-99F4-964CFDF5F94D}">
  <dimension ref="A1:L36"/>
  <sheetViews>
    <sheetView zoomScale="128" zoomScaleNormal="130" workbookViewId="0">
      <selection activeCell="B21" sqref="B21"/>
    </sheetView>
  </sheetViews>
  <sheetFormatPr baseColWidth="10" defaultColWidth="11.5" defaultRowHeight="15" x14ac:dyDescent="0.2"/>
  <cols>
    <col min="1" max="1" width="19.33203125" bestFit="1" customWidth="1"/>
    <col min="2" max="2" width="12.33203125" bestFit="1" customWidth="1"/>
    <col min="9" max="9" width="10.83203125" customWidth="1"/>
    <col min="10" max="10" width="21.6640625" customWidth="1"/>
  </cols>
  <sheetData>
    <row r="1" spans="1:12" x14ac:dyDescent="0.2">
      <c r="A1" t="s">
        <v>63</v>
      </c>
      <c r="B1">
        <v>200</v>
      </c>
    </row>
    <row r="2" spans="1:12" x14ac:dyDescent="0.2">
      <c r="A2" t="s">
        <v>64</v>
      </c>
      <c r="B2">
        <v>0</v>
      </c>
      <c r="K2" s="72" t="s">
        <v>71</v>
      </c>
      <c r="L2">
        <v>450</v>
      </c>
    </row>
    <row r="3" spans="1:12" x14ac:dyDescent="0.2">
      <c r="A3" t="s">
        <v>65</v>
      </c>
      <c r="B3">
        <v>0</v>
      </c>
      <c r="C3">
        <f>3280+1500</f>
        <v>4780</v>
      </c>
      <c r="K3" s="72" t="s">
        <v>330</v>
      </c>
    </row>
    <row r="4" spans="1:12" x14ac:dyDescent="0.2">
      <c r="A4" t="s">
        <v>66</v>
      </c>
      <c r="B4" s="72">
        <f>4400+450</f>
        <v>4850</v>
      </c>
      <c r="C4" s="72">
        <v>4000</v>
      </c>
    </row>
    <row r="5" spans="1:12" x14ac:dyDescent="0.2">
      <c r="A5" t="s">
        <v>67</v>
      </c>
      <c r="B5">
        <f>SUM(B1:B4)</f>
        <v>5050</v>
      </c>
      <c r="I5" t="s">
        <v>68</v>
      </c>
    </row>
    <row r="7" spans="1:12" x14ac:dyDescent="0.2">
      <c r="A7" t="s">
        <v>69</v>
      </c>
      <c r="B7">
        <v>0</v>
      </c>
    </row>
    <row r="8" spans="1:12" x14ac:dyDescent="0.2">
      <c r="A8" t="s">
        <v>70</v>
      </c>
      <c r="B8">
        <v>0</v>
      </c>
      <c r="J8" s="115">
        <v>2030161549318</v>
      </c>
    </row>
    <row r="9" spans="1:12" x14ac:dyDescent="0.2">
      <c r="A9" s="72" t="s">
        <v>129</v>
      </c>
      <c r="B9">
        <v>0</v>
      </c>
    </row>
    <row r="10" spans="1:12" x14ac:dyDescent="0.2">
      <c r="A10" t="s">
        <v>71</v>
      </c>
      <c r="B10">
        <v>0</v>
      </c>
    </row>
    <row r="11" spans="1:12" x14ac:dyDescent="0.2">
      <c r="A11" t="s">
        <v>131</v>
      </c>
      <c r="B11">
        <v>0</v>
      </c>
      <c r="J11" s="101"/>
    </row>
    <row r="12" spans="1:12" x14ac:dyDescent="0.2">
      <c r="A12" t="s">
        <v>132</v>
      </c>
      <c r="B12">
        <v>0</v>
      </c>
    </row>
    <row r="13" spans="1:12" x14ac:dyDescent="0.2">
      <c r="A13" t="s">
        <v>72</v>
      </c>
      <c r="B13">
        <v>0</v>
      </c>
    </row>
    <row r="14" spans="1:12" x14ac:dyDescent="0.2">
      <c r="A14" t="s">
        <v>73</v>
      </c>
      <c r="B14">
        <v>0</v>
      </c>
      <c r="F14">
        <f>B5/E22</f>
        <v>229.54545454545453</v>
      </c>
      <c r="J14" s="72"/>
      <c r="L14" s="72"/>
    </row>
    <row r="15" spans="1:12" x14ac:dyDescent="0.2">
      <c r="F15" t="s">
        <v>75</v>
      </c>
      <c r="K15" s="72"/>
      <c r="L15" s="72"/>
    </row>
    <row r="16" spans="1:12" x14ac:dyDescent="0.2">
      <c r="A16" s="16" t="s">
        <v>46</v>
      </c>
      <c r="B16" s="13"/>
      <c r="K16" s="72"/>
    </row>
    <row r="17" spans="1:11" x14ac:dyDescent="0.2">
      <c r="A17" s="16" t="s">
        <v>47</v>
      </c>
      <c r="B17" s="13">
        <v>0</v>
      </c>
      <c r="K17" s="72"/>
    </row>
    <row r="18" spans="1:11" x14ac:dyDescent="0.2">
      <c r="A18" s="16" t="s">
        <v>52</v>
      </c>
      <c r="B18" s="128">
        <v>330</v>
      </c>
      <c r="D18" t="s">
        <v>74</v>
      </c>
      <c r="E18">
        <f>SUM(B7:B35)</f>
        <v>4943</v>
      </c>
      <c r="G18" t="s">
        <v>154</v>
      </c>
      <c r="H18">
        <f>E20/E22</f>
        <v>4.8636363636363633</v>
      </c>
      <c r="I18" s="72"/>
      <c r="K18" s="72"/>
    </row>
    <row r="19" spans="1:11" x14ac:dyDescent="0.2">
      <c r="A19" s="16" t="s">
        <v>44</v>
      </c>
      <c r="B19" s="128">
        <v>0</v>
      </c>
      <c r="J19" s="114">
        <v>1441001556178</v>
      </c>
    </row>
    <row r="20" spans="1:11" x14ac:dyDescent="0.2">
      <c r="A20" s="16" t="s">
        <v>40</v>
      </c>
      <c r="B20" s="128">
        <v>0</v>
      </c>
      <c r="D20" t="s">
        <v>76</v>
      </c>
      <c r="E20">
        <f>B5-E18</f>
        <v>107</v>
      </c>
      <c r="I20" s="72"/>
      <c r="J20" s="72"/>
    </row>
    <row r="21" spans="1:11" x14ac:dyDescent="0.2">
      <c r="A21" s="16" t="s">
        <v>41</v>
      </c>
      <c r="B21" s="128">
        <v>700</v>
      </c>
      <c r="I21" s="72"/>
      <c r="K21" s="72"/>
    </row>
    <row r="22" spans="1:11" x14ac:dyDescent="0.2">
      <c r="A22" s="72" t="s">
        <v>61</v>
      </c>
      <c r="B22" s="128">
        <v>0</v>
      </c>
      <c r="D22" t="s">
        <v>77</v>
      </c>
      <c r="E22">
        <v>22</v>
      </c>
      <c r="I22" s="72"/>
      <c r="J22" s="72"/>
    </row>
    <row r="23" spans="1:11" x14ac:dyDescent="0.2">
      <c r="A23" s="16" t="s">
        <v>45</v>
      </c>
      <c r="B23" s="128"/>
      <c r="I23" s="72"/>
      <c r="J23" s="72"/>
    </row>
    <row r="24" spans="1:11" x14ac:dyDescent="0.2">
      <c r="A24" s="72" t="s">
        <v>128</v>
      </c>
      <c r="B24" s="128"/>
    </row>
    <row r="25" spans="1:11" x14ac:dyDescent="0.2">
      <c r="A25" s="16" t="s">
        <v>42</v>
      </c>
      <c r="B25" s="128"/>
    </row>
    <row r="26" spans="1:11" x14ac:dyDescent="0.2">
      <c r="A26" s="16" t="s">
        <v>43</v>
      </c>
      <c r="B26" s="128">
        <v>0</v>
      </c>
      <c r="J26" s="101">
        <v>1391590000469</v>
      </c>
    </row>
    <row r="27" spans="1:11" x14ac:dyDescent="0.2">
      <c r="A27" s="72" t="s">
        <v>53</v>
      </c>
      <c r="B27" s="128">
        <v>170</v>
      </c>
    </row>
    <row r="28" spans="1:11" x14ac:dyDescent="0.2">
      <c r="A28" s="16" t="s">
        <v>39</v>
      </c>
      <c r="B28" s="128">
        <v>800</v>
      </c>
    </row>
    <row r="29" spans="1:11" x14ac:dyDescent="0.2">
      <c r="A29" s="72" t="s">
        <v>127</v>
      </c>
      <c r="B29" s="13">
        <v>2924</v>
      </c>
      <c r="C29" s="13"/>
    </row>
    <row r="30" spans="1:11" x14ac:dyDescent="0.2">
      <c r="A30" s="16" t="s">
        <v>48</v>
      </c>
      <c r="B30" s="128">
        <v>0</v>
      </c>
      <c r="F30" s="72"/>
    </row>
    <row r="31" spans="1:11" x14ac:dyDescent="0.2">
      <c r="A31" s="16" t="s">
        <v>49</v>
      </c>
      <c r="B31" s="128">
        <v>9</v>
      </c>
    </row>
    <row r="32" spans="1:11" x14ac:dyDescent="0.2">
      <c r="A32" s="72" t="s">
        <v>126</v>
      </c>
      <c r="B32" s="128">
        <v>0</v>
      </c>
      <c r="G32" s="72"/>
    </row>
    <row r="33" spans="1:5" x14ac:dyDescent="0.2">
      <c r="A33" s="16" t="s">
        <v>50</v>
      </c>
      <c r="B33" s="128"/>
      <c r="E33" s="72"/>
    </row>
    <row r="34" spans="1:5" x14ac:dyDescent="0.2">
      <c r="A34" s="72" t="s">
        <v>73</v>
      </c>
      <c r="B34" s="128">
        <v>0</v>
      </c>
    </row>
    <row r="35" spans="1:5" x14ac:dyDescent="0.2">
      <c r="A35" s="16" t="s">
        <v>51</v>
      </c>
      <c r="B35" s="128">
        <v>10</v>
      </c>
    </row>
    <row r="36" spans="1:5" x14ac:dyDescent="0.2">
      <c r="A36" s="14"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O35"/>
  <sheetViews>
    <sheetView zoomScale="125" zoomScaleNormal="150" workbookViewId="0">
      <pane xSplit="1" ySplit="2" topLeftCell="B3" activePane="bottomRight" state="frozen"/>
      <selection pane="topRight" activeCell="B1" sqref="B1"/>
      <selection pane="bottomLeft" activeCell="A3" sqref="A3"/>
      <selection pane="bottomRight" activeCell="A3" sqref="A3:XFD3"/>
    </sheetView>
  </sheetViews>
  <sheetFormatPr baseColWidth="10" defaultColWidth="8.83203125" defaultRowHeight="15" x14ac:dyDescent="0.2"/>
  <cols>
    <col min="1" max="1" width="18.5" customWidth="1"/>
    <col min="2" max="2" width="10.33203125" bestFit="1" customWidth="1"/>
    <col min="3" max="3" width="12.33203125" customWidth="1"/>
    <col min="4" max="4" width="10.6640625" customWidth="1"/>
    <col min="5" max="5" width="10.5" customWidth="1"/>
    <col min="6" max="6" width="11" customWidth="1"/>
    <col min="7" max="7" width="10.6640625" customWidth="1"/>
    <col min="8" max="8" width="11.83203125" bestFit="1" customWidth="1"/>
    <col min="9" max="9" width="10.5" bestFit="1" customWidth="1"/>
    <col min="10" max="10" width="12.5" customWidth="1"/>
    <col min="11" max="11" width="12.33203125" customWidth="1"/>
    <col min="12" max="12" width="14" customWidth="1"/>
    <col min="13" max="13" width="14.1640625" customWidth="1"/>
    <col min="14" max="14" width="5.1640625" bestFit="1" customWidth="1"/>
    <col min="15" max="15" width="13" customWidth="1"/>
  </cols>
  <sheetData>
    <row r="1" spans="1:15" ht="16" x14ac:dyDescent="0.2">
      <c r="A1" s="25" t="s">
        <v>29</v>
      </c>
      <c r="B1" s="25" t="str">
        <f>BUDGET!B2</f>
        <v>January</v>
      </c>
      <c r="C1" s="25" t="str">
        <f>BUDGET!C2</f>
        <v>February</v>
      </c>
      <c r="D1" s="25" t="str">
        <f>BUDGET!D2</f>
        <v>March</v>
      </c>
      <c r="E1" s="25" t="str">
        <f>BUDGET!E2</f>
        <v>April</v>
      </c>
      <c r="F1" s="25" t="str">
        <f>BUDGET!F2</f>
        <v>May</v>
      </c>
      <c r="G1" s="25" t="str">
        <f>BUDGET!G2</f>
        <v>June</v>
      </c>
      <c r="H1" s="25" t="str">
        <f>BUDGET!H2</f>
        <v>July</v>
      </c>
      <c r="I1" s="25" t="str">
        <f>BUDGET!I2</f>
        <v>August</v>
      </c>
      <c r="J1" s="25" t="str">
        <f>BUDGET!J2</f>
        <v>September</v>
      </c>
      <c r="K1" s="25" t="str">
        <f>BUDGET!K2</f>
        <v>October</v>
      </c>
      <c r="L1" s="25" t="str">
        <f>BUDGET!L2</f>
        <v>November</v>
      </c>
      <c r="M1" s="25" t="str">
        <f>BUDGET!M2</f>
        <v>December</v>
      </c>
      <c r="N1" s="26"/>
      <c r="O1" s="45" t="s">
        <v>0</v>
      </c>
    </row>
    <row r="2" spans="1:15" ht="16" x14ac:dyDescent="0.2">
      <c r="A2" s="25" t="s">
        <v>14</v>
      </c>
      <c r="B2" s="26" t="s">
        <v>1</v>
      </c>
      <c r="C2" s="26" t="s">
        <v>1</v>
      </c>
      <c r="D2" s="26" t="s">
        <v>1</v>
      </c>
      <c r="E2" s="26" t="s">
        <v>1</v>
      </c>
      <c r="F2" s="26" t="s">
        <v>1</v>
      </c>
      <c r="G2" s="26" t="s">
        <v>1</v>
      </c>
      <c r="H2" s="26" t="s">
        <v>1</v>
      </c>
      <c r="I2" s="26" t="s">
        <v>1</v>
      </c>
      <c r="J2" s="26" t="s">
        <v>1</v>
      </c>
      <c r="K2" s="26" t="s">
        <v>1</v>
      </c>
      <c r="L2" s="26" t="s">
        <v>1</v>
      </c>
      <c r="M2" s="26" t="s">
        <v>1</v>
      </c>
      <c r="N2" s="26"/>
      <c r="O2" s="46" t="s">
        <v>1</v>
      </c>
    </row>
    <row r="3" spans="1:15" ht="21" customHeight="1" x14ac:dyDescent="0.2">
      <c r="A3" s="16" t="s">
        <v>9</v>
      </c>
      <c r="B3" s="13">
        <v>3945</v>
      </c>
      <c r="C3" s="13">
        <v>3900</v>
      </c>
      <c r="D3" s="13">
        <v>3900</v>
      </c>
      <c r="E3" s="13">
        <v>3850</v>
      </c>
      <c r="F3" s="13">
        <v>3850</v>
      </c>
      <c r="G3" s="13">
        <v>3847</v>
      </c>
      <c r="H3" s="13">
        <v>3844</v>
      </c>
      <c r="I3" s="13">
        <v>3860</v>
      </c>
      <c r="J3" s="13">
        <v>3829</v>
      </c>
      <c r="K3" s="13">
        <v>3280</v>
      </c>
      <c r="L3" s="13">
        <v>3246</v>
      </c>
      <c r="M3" s="13">
        <v>3400</v>
      </c>
      <c r="N3" s="24"/>
      <c r="O3" s="47">
        <f>SUM(B3:M3)</f>
        <v>44751</v>
      </c>
    </row>
    <row r="4" spans="1:15" ht="16.5" customHeight="1" x14ac:dyDescent="0.2">
      <c r="A4" s="16" t="s">
        <v>10</v>
      </c>
      <c r="B4" s="13">
        <v>255</v>
      </c>
      <c r="C4" s="13"/>
      <c r="D4" s="13">
        <v>350</v>
      </c>
      <c r="E4" s="13">
        <v>250</v>
      </c>
      <c r="F4" s="13">
        <v>500</v>
      </c>
      <c r="G4" s="13">
        <v>140</v>
      </c>
      <c r="H4" s="13">
        <v>560</v>
      </c>
      <c r="I4" s="13">
        <v>130</v>
      </c>
      <c r="J4" s="23">
        <f>190+220</f>
        <v>410</v>
      </c>
      <c r="K4" s="23">
        <f>6000+140+280+280</f>
        <v>6700</v>
      </c>
      <c r="L4" s="23">
        <f>4160+1500</f>
        <v>5660</v>
      </c>
      <c r="M4" s="23">
        <v>2750</v>
      </c>
      <c r="N4" s="24"/>
      <c r="O4" s="47">
        <f t="shared" ref="O4" si="0">SUM(B4:M4)</f>
        <v>17705</v>
      </c>
    </row>
    <row r="5" spans="1:15" ht="16" thickBot="1" x14ac:dyDescent="0.25">
      <c r="A5" s="14" t="s">
        <v>11</v>
      </c>
      <c r="B5" s="36">
        <f t="shared" ref="B5:M5" si="1">SUM(B3:B4)</f>
        <v>4200</v>
      </c>
      <c r="C5" s="36">
        <f t="shared" si="1"/>
        <v>3900</v>
      </c>
      <c r="D5" s="36">
        <f t="shared" si="1"/>
        <v>4250</v>
      </c>
      <c r="E5" s="36">
        <f t="shared" si="1"/>
        <v>4100</v>
      </c>
      <c r="F5" s="36">
        <f t="shared" si="1"/>
        <v>4350</v>
      </c>
      <c r="G5" s="36">
        <f t="shared" si="1"/>
        <v>3987</v>
      </c>
      <c r="H5" s="36">
        <f t="shared" si="1"/>
        <v>4404</v>
      </c>
      <c r="I5" s="36">
        <f t="shared" si="1"/>
        <v>3990</v>
      </c>
      <c r="J5" s="36">
        <f t="shared" si="1"/>
        <v>4239</v>
      </c>
      <c r="K5" s="36">
        <f t="shared" si="1"/>
        <v>9980</v>
      </c>
      <c r="L5" s="36">
        <f t="shared" si="1"/>
        <v>8906</v>
      </c>
      <c r="M5" s="36">
        <f t="shared" si="1"/>
        <v>6150</v>
      </c>
      <c r="N5" s="35"/>
      <c r="O5" s="48">
        <f>SUM(O3:O4)</f>
        <v>62456</v>
      </c>
    </row>
    <row r="6" spans="1:15" ht="16" thickTop="1" x14ac:dyDescent="0.2">
      <c r="A6" s="14"/>
      <c r="B6" s="64"/>
      <c r="C6" s="64"/>
      <c r="D6" s="64"/>
      <c r="E6" s="64"/>
      <c r="F6" s="64"/>
      <c r="G6" s="64"/>
      <c r="H6" s="64"/>
      <c r="I6" s="64"/>
      <c r="J6" s="64"/>
      <c r="K6" s="64"/>
      <c r="L6" s="64"/>
      <c r="M6" s="64"/>
      <c r="N6" s="65"/>
      <c r="O6" s="66"/>
    </row>
    <row r="7" spans="1:15" x14ac:dyDescent="0.2">
      <c r="A7" s="14" t="s">
        <v>13</v>
      </c>
      <c r="O7" s="49"/>
    </row>
    <row r="8" spans="1:15" x14ac:dyDescent="0.2">
      <c r="A8" s="16" t="str">
        <f>BUDGET!A9</f>
        <v>Rent</v>
      </c>
      <c r="B8" s="24">
        <f>'ACTUAL EXPENSES'!AG3</f>
        <v>1205</v>
      </c>
      <c r="C8" s="24">
        <f>'ACTUAL EXPENSES'!AG29</f>
        <v>0</v>
      </c>
      <c r="D8" s="24">
        <f>'ACTUAL EXPENSES'!AG57</f>
        <v>1400</v>
      </c>
      <c r="E8" s="24">
        <f>'ACTUAL EXPENSES'!AG83</f>
        <v>0</v>
      </c>
      <c r="F8" s="24">
        <f>'ACTUAL EXPENSES'!AG109</f>
        <v>0</v>
      </c>
      <c r="G8" s="24">
        <f>'ACTUAL EXPENSES'!AG135</f>
        <v>500</v>
      </c>
      <c r="H8" s="24">
        <f>'ACTUAL EXPENSES'!AG161</f>
        <v>0</v>
      </c>
      <c r="I8" s="24">
        <f>'ACTUAL EXPENSES'!AG187</f>
        <v>0</v>
      </c>
      <c r="J8" s="24">
        <f>'ACTUAL EXPENSES'!AG214</f>
        <v>0</v>
      </c>
      <c r="K8" s="24">
        <f>'ACTUAL EXPENSES'!AG240</f>
        <v>6000</v>
      </c>
      <c r="L8" s="24">
        <f>'ACTUAL EXPENSES'!AG266</f>
        <v>0</v>
      </c>
      <c r="M8" s="24">
        <f>'ACTUAL EXPENSES'!AG292</f>
        <v>1000</v>
      </c>
      <c r="N8" s="24"/>
      <c r="O8" s="50">
        <f>SUM(B8:M8)</f>
        <v>10105</v>
      </c>
    </row>
    <row r="9" spans="1:15" x14ac:dyDescent="0.2">
      <c r="A9" s="16" t="str">
        <f>BUDGET!A10</f>
        <v>Tithe</v>
      </c>
      <c r="B9" s="24">
        <f>'ACTUAL EXPENSES'!AG4</f>
        <v>0</v>
      </c>
      <c r="C9" s="24">
        <f>'ACTUAL EXPENSES'!AG30</f>
        <v>0</v>
      </c>
      <c r="D9" s="24">
        <f>'ACTUAL EXPENSES'!AG58</f>
        <v>0</v>
      </c>
      <c r="E9" s="24">
        <f>'ACTUAL EXPENSES'!AG84</f>
        <v>385</v>
      </c>
      <c r="F9" s="24">
        <f>'ACTUAL EXPENSES'!AG110</f>
        <v>0</v>
      </c>
      <c r="G9" s="24">
        <f>'ACTUAL EXPENSES'!AG136</f>
        <v>0</v>
      </c>
      <c r="H9" s="24">
        <f>'ACTUAL EXPENSES'!AG162</f>
        <v>0</v>
      </c>
      <c r="I9" s="24">
        <f>'ACTUAL EXPENSES'!AG188</f>
        <v>0</v>
      </c>
      <c r="J9" s="24">
        <f>'ACTUAL EXPENSES'!AG215</f>
        <v>0</v>
      </c>
      <c r="K9" s="24">
        <f>'ACTUAL EXPENSES'!AG241</f>
        <v>0</v>
      </c>
      <c r="L9" s="24">
        <f>'ACTUAL EXPENSES'!AG267</f>
        <v>0</v>
      </c>
      <c r="M9" s="24">
        <f>'ACTUAL EXPENSES'!AG293</f>
        <v>0</v>
      </c>
      <c r="N9" s="24"/>
      <c r="O9" s="50">
        <f t="shared" ref="O9:O29" si="2">SUM(B9:M9)</f>
        <v>385</v>
      </c>
    </row>
    <row r="10" spans="1:15" x14ac:dyDescent="0.2">
      <c r="A10" s="16" t="str">
        <f>BUDGET!A11</f>
        <v>Data</v>
      </c>
      <c r="B10" s="24">
        <f>'ACTUAL EXPENSES'!AG5</f>
        <v>0</v>
      </c>
      <c r="C10" s="24">
        <f>'ACTUAL EXPENSES'!AG31</f>
        <v>300</v>
      </c>
      <c r="D10" s="24">
        <f>'ACTUAL EXPENSES'!AG59</f>
        <v>306</v>
      </c>
      <c r="E10" s="24">
        <f>'ACTUAL EXPENSES'!AG85</f>
        <v>300</v>
      </c>
      <c r="F10" s="24">
        <f>'ACTUAL EXPENSES'!AG111</f>
        <v>300</v>
      </c>
      <c r="G10" s="24">
        <f>'ACTUAL EXPENSES'!AG137</f>
        <v>300</v>
      </c>
      <c r="H10" s="24">
        <f>'ACTUAL EXPENSES'!AG163</f>
        <v>300</v>
      </c>
      <c r="I10" s="24">
        <f>'ACTUAL EXPENSES'!AG189</f>
        <v>300</v>
      </c>
      <c r="J10" s="24">
        <f>'ACTUAL EXPENSES'!AG216</f>
        <v>300</v>
      </c>
      <c r="K10" s="24">
        <f>'ACTUAL EXPENSES'!AG242</f>
        <v>330</v>
      </c>
      <c r="L10" s="24">
        <f>'ACTUAL EXPENSES'!AG268</f>
        <v>330</v>
      </c>
      <c r="M10" s="24">
        <f>'ACTUAL EXPENSES'!AG294</f>
        <v>455</v>
      </c>
      <c r="N10" s="24"/>
      <c r="O10" s="50">
        <f t="shared" si="2"/>
        <v>3521</v>
      </c>
    </row>
    <row r="11" spans="1:15" x14ac:dyDescent="0.2">
      <c r="A11" s="16" t="str">
        <f>BUDGET!A12</f>
        <v xml:space="preserve">Savings/ Investment </v>
      </c>
      <c r="B11" s="24">
        <f>'ACTUAL EXPENSES'!AG6</f>
        <v>0</v>
      </c>
      <c r="C11" s="24">
        <f>'ACTUAL EXPENSES'!AG32</f>
        <v>200</v>
      </c>
      <c r="D11" s="24">
        <f>'ACTUAL EXPENSES'!AG60</f>
        <v>350</v>
      </c>
      <c r="E11" s="24">
        <f>'ACTUAL EXPENSES'!AG86</f>
        <v>500</v>
      </c>
      <c r="F11" s="24">
        <f>'ACTUAL EXPENSES'!AG112</f>
        <v>0</v>
      </c>
      <c r="G11" s="24">
        <f>'ACTUAL EXPENSES'!AG138</f>
        <v>350</v>
      </c>
      <c r="H11" s="24">
        <f>'ACTUAL EXPENSES'!AG164</f>
        <v>750</v>
      </c>
      <c r="I11" s="24">
        <f>'ACTUAL EXPENSES'!AG190</f>
        <v>1000</v>
      </c>
      <c r="J11" s="24">
        <f>'ACTUAL EXPENSES'!AG217</f>
        <v>250</v>
      </c>
      <c r="K11" s="24">
        <f>'ACTUAL EXPENSES'!AG243</f>
        <v>250</v>
      </c>
      <c r="L11" s="24">
        <f>'ACTUAL EXPENSES'!AG269</f>
        <v>0</v>
      </c>
      <c r="M11" s="24">
        <f>'ACTUAL EXPENSES'!AG295</f>
        <v>0</v>
      </c>
      <c r="N11" s="24"/>
      <c r="O11" s="50">
        <f t="shared" si="2"/>
        <v>3650</v>
      </c>
    </row>
    <row r="12" spans="1:15" x14ac:dyDescent="0.2">
      <c r="A12" s="16" t="str">
        <f>BUDGET!A13</f>
        <v>Hair / Gym</v>
      </c>
      <c r="B12" s="24">
        <f>'ACTUAL EXPENSES'!AG7</f>
        <v>0</v>
      </c>
      <c r="C12" s="24">
        <f>'ACTUAL EXPENSES'!AG33</f>
        <v>20</v>
      </c>
      <c r="D12" s="24">
        <f>'ACTUAL EXPENSES'!AG61</f>
        <v>500</v>
      </c>
      <c r="E12" s="24">
        <f>'ACTUAL EXPENSES'!AG87</f>
        <v>20</v>
      </c>
      <c r="F12" s="24">
        <f>'ACTUAL EXPENSES'!AG113</f>
        <v>0</v>
      </c>
      <c r="G12" s="24">
        <f>'ACTUAL EXPENSES'!AG139</f>
        <v>0</v>
      </c>
      <c r="H12" s="24">
        <f>'ACTUAL EXPENSES'!AG165</f>
        <v>20</v>
      </c>
      <c r="I12" s="24">
        <f>'ACTUAL EXPENSES'!AG191</f>
        <v>0</v>
      </c>
      <c r="J12" s="24">
        <f>'ACTUAL EXPENSES'!AG218</f>
        <v>0</v>
      </c>
      <c r="K12" s="24">
        <f>'ACTUAL EXPENSES'!AG244</f>
        <v>0</v>
      </c>
      <c r="L12" s="24">
        <f>'ACTUAL EXPENSES'!AG270</f>
        <v>0</v>
      </c>
      <c r="M12" s="24">
        <f>'ACTUAL EXPENSES'!AG296</f>
        <v>0</v>
      </c>
      <c r="N12" s="24"/>
      <c r="O12" s="50">
        <f t="shared" si="2"/>
        <v>560</v>
      </c>
    </row>
    <row r="13" spans="1:15" x14ac:dyDescent="0.2">
      <c r="A13" s="16" t="str">
        <f>BUDGET!A14</f>
        <v>Food</v>
      </c>
      <c r="B13" s="24">
        <f>'ACTUAL EXPENSES'!AG8</f>
        <v>470.02</v>
      </c>
      <c r="C13" s="24">
        <f>'ACTUAL EXPENSES'!AG34</f>
        <v>609.5</v>
      </c>
      <c r="D13" s="24">
        <f>'ACTUAL EXPENSES'!AG62</f>
        <v>1252.8</v>
      </c>
      <c r="E13" s="24">
        <f>'ACTUAL EXPENSES'!AG88</f>
        <v>850.35</v>
      </c>
      <c r="F13" s="24">
        <f>'ACTUAL EXPENSES'!AG114</f>
        <v>1112.5</v>
      </c>
      <c r="G13" s="24">
        <f>'ACTUAL EXPENSES'!AG140</f>
        <v>643.5</v>
      </c>
      <c r="H13" s="24">
        <f>'ACTUAL EXPENSES'!AG166</f>
        <v>878.67000000000007</v>
      </c>
      <c r="I13" s="24">
        <f>'ACTUAL EXPENSES'!AG192</f>
        <v>595.99</v>
      </c>
      <c r="J13" s="24">
        <f>'ACTUAL EXPENSES'!AG219</f>
        <v>538.96</v>
      </c>
      <c r="K13" s="24">
        <f>'ACTUAL EXPENSES'!AG245</f>
        <v>892.49</v>
      </c>
      <c r="L13" s="24">
        <f>'ACTUAL EXPENSES'!AG271</f>
        <v>853</v>
      </c>
      <c r="M13" s="24">
        <f>'ACTUAL EXPENSES'!AG297</f>
        <v>1722.8999999999999</v>
      </c>
      <c r="N13" s="24"/>
      <c r="O13" s="50">
        <f t="shared" si="2"/>
        <v>10420.679999999998</v>
      </c>
    </row>
    <row r="14" spans="1:15" x14ac:dyDescent="0.2">
      <c r="A14" s="16" t="str">
        <f>BUDGET!A15</f>
        <v>Healthcare</v>
      </c>
      <c r="B14" s="24">
        <f>'ACTUAL EXPENSES'!AG9</f>
        <v>25</v>
      </c>
      <c r="C14" s="24">
        <f>'ACTUAL EXPENSES'!AG35</f>
        <v>96</v>
      </c>
      <c r="D14" s="24">
        <f>'ACTUAL EXPENSES'!AG63</f>
        <v>245</v>
      </c>
      <c r="E14" s="24">
        <f>'ACTUAL EXPENSES'!AG89</f>
        <v>17</v>
      </c>
      <c r="F14" s="24">
        <f>'ACTUAL EXPENSES'!AG115</f>
        <v>52</v>
      </c>
      <c r="G14" s="24">
        <f>'ACTUAL EXPENSES'!AG141</f>
        <v>75.5</v>
      </c>
      <c r="H14" s="24">
        <f>'ACTUAL EXPENSES'!AG167</f>
        <v>53</v>
      </c>
      <c r="I14" s="24">
        <f>'ACTUAL EXPENSES'!AG193</f>
        <v>52</v>
      </c>
      <c r="J14" s="24">
        <f>'ACTUAL EXPENSES'!AG220</f>
        <v>46.9</v>
      </c>
      <c r="K14" s="24">
        <f>'ACTUAL EXPENSES'!AG246</f>
        <v>0</v>
      </c>
      <c r="L14" s="24">
        <f>'ACTUAL EXPENSES'!AG272</f>
        <v>151.80000000000001</v>
      </c>
      <c r="M14" s="24">
        <f>'ACTUAL EXPENSES'!AG298</f>
        <v>56</v>
      </c>
      <c r="N14" s="24"/>
      <c r="O14" s="50">
        <f t="shared" si="2"/>
        <v>870.2</v>
      </c>
    </row>
    <row r="15" spans="1:15" x14ac:dyDescent="0.2">
      <c r="A15" s="16" t="str">
        <f>BUDGET!A16</f>
        <v xml:space="preserve">Clothes/ Shoes/ Jewelry </v>
      </c>
      <c r="B15" s="24">
        <f>'ACTUAL EXPENSES'!AG10</f>
        <v>230</v>
      </c>
      <c r="C15" s="24">
        <f>'ACTUAL EXPENSES'!AG36</f>
        <v>100</v>
      </c>
      <c r="D15" s="24">
        <f>'ACTUAL EXPENSES'!AG64</f>
        <v>264</v>
      </c>
      <c r="E15" s="24">
        <f>'ACTUAL EXPENSES'!AG90</f>
        <v>470</v>
      </c>
      <c r="F15" s="24">
        <f>'ACTUAL EXPENSES'!AG116</f>
        <v>290</v>
      </c>
      <c r="G15" s="24">
        <f>'ACTUAL EXPENSES'!AG142</f>
        <v>0</v>
      </c>
      <c r="H15" s="24">
        <f>'ACTUAL EXPENSES'!AG168</f>
        <v>0</v>
      </c>
      <c r="I15" s="24">
        <f>'ACTUAL EXPENSES'!AG194</f>
        <v>0</v>
      </c>
      <c r="J15" s="24">
        <f>'ACTUAL EXPENSES'!AG221</f>
        <v>0</v>
      </c>
      <c r="K15" s="24">
        <f>'ACTUAL EXPENSES'!AG247</f>
        <v>380</v>
      </c>
      <c r="L15" s="24">
        <f>'ACTUAL EXPENSES'!AG273</f>
        <v>0</v>
      </c>
      <c r="M15" s="24">
        <f>'ACTUAL EXPENSES'!AG299</f>
        <v>120</v>
      </c>
      <c r="N15" s="24"/>
      <c r="O15" s="50">
        <f t="shared" si="2"/>
        <v>1854</v>
      </c>
    </row>
    <row r="16" spans="1:15" x14ac:dyDescent="0.2">
      <c r="A16" s="16" t="str">
        <f>BUDGET!A17</f>
        <v>shoes</v>
      </c>
      <c r="B16" s="24">
        <f>'ACTUAL EXPENSES'!AG11</f>
        <v>0</v>
      </c>
      <c r="C16" s="24">
        <f>'ACTUAL EXPENSES'!AG37</f>
        <v>0</v>
      </c>
      <c r="D16" s="24">
        <f>'ACTUAL EXPENSES'!AG65</f>
        <v>0</v>
      </c>
      <c r="E16" s="24">
        <f>'ACTUAL EXPENSES'!AG91</f>
        <v>0</v>
      </c>
      <c r="F16" s="24">
        <f>'ACTUAL EXPENSES'!AG117</f>
        <v>0</v>
      </c>
      <c r="G16" s="24">
        <f>'ACTUAL EXPENSES'!AG143</f>
        <v>0</v>
      </c>
      <c r="H16" s="24">
        <f>'ACTUAL EXPENSES'!AG169</f>
        <v>0</v>
      </c>
      <c r="I16" s="24">
        <f>'ACTUAL EXPENSES'!AG195</f>
        <v>0</v>
      </c>
      <c r="J16" s="24">
        <f>'ACTUAL EXPENSES'!AG222</f>
        <v>0</v>
      </c>
      <c r="K16" s="24">
        <f>'ACTUAL EXPENSES'!AG248</f>
        <v>0</v>
      </c>
      <c r="L16" s="24">
        <f>'ACTUAL EXPENSES'!AG274</f>
        <v>0</v>
      </c>
      <c r="M16" s="24">
        <f>'ACTUAL EXPENSES'!AG300</f>
        <v>0</v>
      </c>
      <c r="N16" s="24"/>
      <c r="O16" s="50">
        <f t="shared" si="2"/>
        <v>0</v>
      </c>
    </row>
    <row r="17" spans="1:15" x14ac:dyDescent="0.2">
      <c r="A17" s="16" t="str">
        <f>BUDGET!A18</f>
        <v xml:space="preserve">Travel/ Vacations </v>
      </c>
      <c r="B17" s="24">
        <f>'ACTUAL EXPENSES'!AG12</f>
        <v>0</v>
      </c>
      <c r="C17" s="24">
        <f>'ACTUAL EXPENSES'!AG38</f>
        <v>0</v>
      </c>
      <c r="D17" s="24">
        <f>'ACTUAL EXPENSES'!AG66</f>
        <v>0</v>
      </c>
      <c r="E17" s="24">
        <f>'ACTUAL EXPENSES'!AG92</f>
        <v>0</v>
      </c>
      <c r="F17" s="24">
        <f>'ACTUAL EXPENSES'!AG118</f>
        <v>0</v>
      </c>
      <c r="G17" s="24">
        <f>'ACTUAL EXPENSES'!AG144</f>
        <v>0</v>
      </c>
      <c r="H17" s="24">
        <f>'ACTUAL EXPENSES'!AG170</f>
        <v>0</v>
      </c>
      <c r="I17" s="24">
        <f>'ACTUAL EXPENSES'!AG196</f>
        <v>0</v>
      </c>
      <c r="J17" s="24">
        <f>'ACTUAL EXPENSES'!AG223</f>
        <v>0</v>
      </c>
      <c r="K17" s="24">
        <f>'ACTUAL EXPENSES'!AG249</f>
        <v>0</v>
      </c>
      <c r="L17" s="24">
        <f>'ACTUAL EXPENSES'!AG275</f>
        <v>0</v>
      </c>
      <c r="M17" s="24">
        <f>'ACTUAL EXPENSES'!AG301</f>
        <v>0</v>
      </c>
      <c r="N17" s="24"/>
      <c r="O17" s="50">
        <f t="shared" si="2"/>
        <v>0</v>
      </c>
    </row>
    <row r="18" spans="1:15" x14ac:dyDescent="0.2">
      <c r="A18" s="16" t="str">
        <f>BUDGET!A19</f>
        <v>Outings</v>
      </c>
      <c r="B18" s="24">
        <f>'ACTUAL EXPENSES'!AG13</f>
        <v>57</v>
      </c>
      <c r="C18" s="24">
        <f>'ACTUAL EXPENSES'!AG39</f>
        <v>0</v>
      </c>
      <c r="D18" s="24">
        <f>'ACTUAL EXPENSES'!AG67</f>
        <v>200</v>
      </c>
      <c r="E18" s="24">
        <f>'ACTUAL EXPENSES'!AG93</f>
        <v>100</v>
      </c>
      <c r="F18" s="24">
        <f>'ACTUAL EXPENSES'!AG119</f>
        <v>100</v>
      </c>
      <c r="G18" s="24">
        <f>'ACTUAL EXPENSES'!AG145</f>
        <v>100</v>
      </c>
      <c r="H18" s="24">
        <f>'ACTUAL EXPENSES'!AG171</f>
        <v>0</v>
      </c>
      <c r="I18" s="24">
        <f>'ACTUAL EXPENSES'!AG197</f>
        <v>0</v>
      </c>
      <c r="J18" s="24">
        <f>'ACTUAL EXPENSES'!AG224</f>
        <v>0</v>
      </c>
      <c r="K18" s="24">
        <f>'ACTUAL EXPENSES'!AG250</f>
        <v>0</v>
      </c>
      <c r="L18" s="24">
        <f>'ACTUAL EXPENSES'!AG276</f>
        <v>0</v>
      </c>
      <c r="M18" s="24">
        <f>'ACTUAL EXPENSES'!AG302</f>
        <v>0</v>
      </c>
      <c r="N18" s="24"/>
      <c r="O18" s="50">
        <f t="shared" si="2"/>
        <v>557</v>
      </c>
    </row>
    <row r="19" spans="1:15" x14ac:dyDescent="0.2">
      <c r="A19" s="16" t="str">
        <f>BUDGET!A20</f>
        <v>Toiletries/Groceries</v>
      </c>
      <c r="B19" s="24">
        <f>'ACTUAL EXPENSES'!AG14</f>
        <v>762</v>
      </c>
      <c r="C19" s="24">
        <f>'ACTUAL EXPENSES'!AG40</f>
        <v>272</v>
      </c>
      <c r="D19" s="24">
        <f>'ACTUAL EXPENSES'!AG68</f>
        <v>117.47999999999999</v>
      </c>
      <c r="E19" s="24">
        <f>'ACTUAL EXPENSES'!AG94</f>
        <v>352.89</v>
      </c>
      <c r="F19" s="24">
        <f>'ACTUAL EXPENSES'!AG120</f>
        <v>713.44</v>
      </c>
      <c r="G19" s="24">
        <f>'ACTUAL EXPENSES'!AG146</f>
        <v>746.41000000000008</v>
      </c>
      <c r="H19" s="24">
        <f>'ACTUAL EXPENSES'!AG172</f>
        <v>873.91</v>
      </c>
      <c r="I19" s="24">
        <f>'ACTUAL EXPENSES'!AG198</f>
        <v>702.2</v>
      </c>
      <c r="J19" s="24">
        <f>'ACTUAL EXPENSES'!AG225</f>
        <v>1115.53</v>
      </c>
      <c r="K19" s="24">
        <f>'ACTUAL EXPENSES'!AG251</f>
        <v>651.94000000000005</v>
      </c>
      <c r="L19" s="24">
        <f>'ACTUAL EXPENSES'!AG277</f>
        <v>1558.9699999999998</v>
      </c>
      <c r="M19" s="24">
        <f>'ACTUAL EXPENSES'!AG303</f>
        <v>1539.81</v>
      </c>
      <c r="N19" s="24"/>
      <c r="O19" s="50">
        <f t="shared" si="2"/>
        <v>9406.5799999999981</v>
      </c>
    </row>
    <row r="20" spans="1:15" x14ac:dyDescent="0.2">
      <c r="A20" s="16" t="str">
        <f>BUDGET!A21</f>
        <v xml:space="preserve">Transportation </v>
      </c>
      <c r="B20" s="24">
        <f>'ACTUAL EXPENSES'!AG15</f>
        <v>491.5</v>
      </c>
      <c r="C20" s="24">
        <f>'ACTUAL EXPENSES'!AG41</f>
        <v>540</v>
      </c>
      <c r="D20" s="24">
        <f>'ACTUAL EXPENSES'!AG69</f>
        <v>644</v>
      </c>
      <c r="E20" s="24">
        <f>'ACTUAL EXPENSES'!AG95</f>
        <v>460</v>
      </c>
      <c r="F20" s="24">
        <f>'ACTUAL EXPENSES'!AG121</f>
        <v>1106.5</v>
      </c>
      <c r="G20" s="24">
        <f>'ACTUAL EXPENSES'!AG147</f>
        <v>843</v>
      </c>
      <c r="H20" s="24">
        <f>'ACTUAL EXPENSES'!AG173</f>
        <v>1011.75</v>
      </c>
      <c r="I20" s="24">
        <f>'ACTUAL EXPENSES'!AG199</f>
        <v>862.5</v>
      </c>
      <c r="J20" s="24">
        <f>'ACTUAL EXPENSES'!AG226</f>
        <v>861</v>
      </c>
      <c r="K20" s="24">
        <f>'ACTUAL EXPENSES'!AG252</f>
        <v>1008</v>
      </c>
      <c r="L20" s="24">
        <f>'ACTUAL EXPENSES'!AG278</f>
        <v>1335.5</v>
      </c>
      <c r="M20" s="24">
        <f>'ACTUAL EXPENSES'!AG304</f>
        <v>1505.5</v>
      </c>
      <c r="N20" s="24"/>
      <c r="O20" s="50">
        <f t="shared" si="2"/>
        <v>10669.25</v>
      </c>
    </row>
    <row r="21" spans="1:15" x14ac:dyDescent="0.2">
      <c r="A21" s="16" t="str">
        <f>BUDGET!A22</f>
        <v>Miscellaneous</v>
      </c>
      <c r="B21" s="24">
        <f>'ACTUAL EXPENSES'!AG16</f>
        <v>995.25</v>
      </c>
      <c r="C21" s="24">
        <f>'ACTUAL EXPENSES'!AG42</f>
        <v>113</v>
      </c>
      <c r="D21" s="24">
        <f>'ACTUAL EXPENSES'!AG70</f>
        <v>212</v>
      </c>
      <c r="E21" s="24">
        <f>'ACTUAL EXPENSES'!AG96</f>
        <v>563</v>
      </c>
      <c r="F21" s="24">
        <f>'ACTUAL EXPENSES'!AG122</f>
        <v>1070</v>
      </c>
      <c r="G21" s="24">
        <f>'ACTUAL EXPENSES'!AG148</f>
        <v>739</v>
      </c>
      <c r="H21" s="24">
        <f>'ACTUAL EXPENSES'!AG174</f>
        <v>707.6</v>
      </c>
      <c r="I21" s="24">
        <f>'ACTUAL EXPENSES'!AG200</f>
        <v>181.5</v>
      </c>
      <c r="J21" s="24">
        <f>'ACTUAL EXPENSES'!AG227</f>
        <v>723</v>
      </c>
      <c r="K21" s="24">
        <f>'ACTUAL EXPENSES'!AG253</f>
        <v>715.5</v>
      </c>
      <c r="L21" s="24">
        <f>'ACTUAL EXPENSES'!AG279</f>
        <v>1516</v>
      </c>
      <c r="M21" s="24">
        <f>'ACTUAL EXPENSES'!AG305</f>
        <v>1142</v>
      </c>
      <c r="N21" s="24"/>
      <c r="O21" s="50">
        <f t="shared" si="2"/>
        <v>8677.85</v>
      </c>
    </row>
    <row r="22" spans="1:15" x14ac:dyDescent="0.2">
      <c r="A22" s="16" t="str">
        <f>BUDGET!A23</f>
        <v>Apple Subscriptions</v>
      </c>
      <c r="B22" s="24">
        <f>'ACTUAL EXPENSES'!AG17</f>
        <v>58.620000000000005</v>
      </c>
      <c r="C22" s="24">
        <f>'ACTUAL EXPENSES'!AG43</f>
        <v>14</v>
      </c>
      <c r="D22" s="24">
        <f>'ACTUAL EXPENSES'!AG71</f>
        <v>13.25</v>
      </c>
      <c r="E22" s="24">
        <f>'ACTUAL EXPENSES'!AG97</f>
        <v>12.82</v>
      </c>
      <c r="F22" s="24">
        <f>'ACTUAL EXPENSES'!AG123</f>
        <v>12.19</v>
      </c>
      <c r="G22" s="24">
        <f>'ACTUAL EXPENSES'!AG149</f>
        <v>12.55</v>
      </c>
      <c r="H22" s="24">
        <f>'ACTUAL EXPENSES'!AG175</f>
        <v>12.31</v>
      </c>
      <c r="I22" s="24">
        <f>'ACTUAL EXPENSES'!AG201</f>
        <v>12.13</v>
      </c>
      <c r="J22" s="24">
        <f>'ACTUAL EXPENSES'!AG228</f>
        <v>12.28</v>
      </c>
      <c r="K22" s="24">
        <f>'ACTUAL EXPENSES'!AG254</f>
        <v>12.57</v>
      </c>
      <c r="L22" s="24">
        <f>'ACTUAL EXPENSES'!AG280</f>
        <v>12.74</v>
      </c>
      <c r="M22" s="24">
        <f>'ACTUAL EXPENSES'!AG306</f>
        <v>12.77</v>
      </c>
      <c r="N22" s="24"/>
      <c r="O22" s="50">
        <f t="shared" si="2"/>
        <v>198.23</v>
      </c>
    </row>
    <row r="23" spans="1:15" x14ac:dyDescent="0.2">
      <c r="A23" s="16" t="str">
        <f>BUDGET!A24</f>
        <v>Google 1</v>
      </c>
      <c r="B23" s="24">
        <f>'ACTUAL EXPENSES'!AG18</f>
        <v>9</v>
      </c>
      <c r="C23" s="24">
        <f>'ACTUAL EXPENSES'!AG44</f>
        <v>9</v>
      </c>
      <c r="D23" s="24">
        <f>'ACTUAL EXPENSES'!AG72</f>
        <v>9</v>
      </c>
      <c r="E23" s="24">
        <f>'ACTUAL EXPENSES'!AG98</f>
        <v>9</v>
      </c>
      <c r="F23" s="24">
        <f>'ACTUAL EXPENSES'!AG124</f>
        <v>9</v>
      </c>
      <c r="G23" s="24">
        <f>'ACTUAL EXPENSES'!AG150</f>
        <v>9</v>
      </c>
      <c r="H23" s="24">
        <f>'ACTUAL EXPENSES'!AG176</f>
        <v>9</v>
      </c>
      <c r="I23" s="24">
        <f>'ACTUAL EXPENSES'!AG202</f>
        <v>9</v>
      </c>
      <c r="J23" s="24">
        <f>'ACTUAL EXPENSES'!AG229</f>
        <v>0</v>
      </c>
      <c r="K23" s="24">
        <f>'ACTUAL EXPENSES'!AG255</f>
        <v>9</v>
      </c>
      <c r="L23" s="24">
        <f>'ACTUAL EXPENSES'!AG281</f>
        <v>9</v>
      </c>
      <c r="M23" s="24">
        <f>'ACTUAL EXPENSES'!AG307</f>
        <v>9</v>
      </c>
      <c r="N23" s="24"/>
      <c r="O23" s="50">
        <f>SUM(B23:M23)</f>
        <v>99</v>
      </c>
    </row>
    <row r="24" spans="1:15" x14ac:dyDescent="0.2">
      <c r="A24" s="16" t="str">
        <f>BUDGET!A25</f>
        <v>Netflix</v>
      </c>
      <c r="B24" s="24">
        <f>'ACTUAL EXPENSES'!AG19</f>
        <v>133.62</v>
      </c>
      <c r="C24" s="24">
        <f>'ACTUAL EXPENSES'!AG45</f>
        <v>140</v>
      </c>
      <c r="D24" s="24">
        <f>'ACTUAL EXPENSES'!AG73</f>
        <v>108.57</v>
      </c>
      <c r="E24" s="24">
        <f>'ACTUAL EXPENSES'!AG99</f>
        <v>101.74</v>
      </c>
      <c r="F24" s="24">
        <f>'ACTUAL EXPENSES'!AG125</f>
        <v>93.61</v>
      </c>
      <c r="G24" s="24">
        <f>'ACTUAL EXPENSES'!AG151</f>
        <v>100.02</v>
      </c>
      <c r="H24" s="24">
        <f>'ACTUAL EXPENSES'!AG177</f>
        <v>99.6</v>
      </c>
      <c r="I24" s="24">
        <f>'ACTUAL EXPENSES'!AG203</f>
        <v>97.44</v>
      </c>
      <c r="J24" s="24">
        <f>'ACTUAL EXPENSES'!AG230</f>
        <v>98.83</v>
      </c>
      <c r="K24" s="24">
        <f>'ACTUAL EXPENSES'!AG256</f>
        <v>100.84</v>
      </c>
      <c r="L24" s="24">
        <f>'ACTUAL EXPENSES'!AG282</f>
        <v>102.58</v>
      </c>
      <c r="M24" s="24">
        <f>'ACTUAL EXPENSES'!AG308</f>
        <v>103.02</v>
      </c>
      <c r="N24" s="24"/>
      <c r="O24" s="50">
        <f t="shared" si="2"/>
        <v>1279.8699999999999</v>
      </c>
    </row>
    <row r="25" spans="1:15" x14ac:dyDescent="0.2">
      <c r="A25" s="16" t="str">
        <f>BUDGET!A26</f>
        <v>Amuse</v>
      </c>
      <c r="B25" s="24">
        <f>'ACTUAL EXPENSES'!AG20</f>
        <v>0</v>
      </c>
      <c r="C25" s="24">
        <f>'ACTUAL EXPENSES'!AG46</f>
        <v>0</v>
      </c>
      <c r="D25" s="24">
        <f>'ACTUAL EXPENSES'!AG74</f>
        <v>0</v>
      </c>
      <c r="E25" s="24">
        <f>'ACTUAL EXPENSES'!AG100</f>
        <v>0</v>
      </c>
      <c r="F25" s="24">
        <f>'ACTUAL EXPENSES'!AG126</f>
        <v>0</v>
      </c>
      <c r="G25" s="24">
        <f>'ACTUAL EXPENSES'!AG152</f>
        <v>0</v>
      </c>
      <c r="H25" s="24">
        <f>'ACTUAL EXPENSES'!AG178</f>
        <v>0</v>
      </c>
      <c r="I25" s="24">
        <f>'ACTUAL EXPENSES'!AG204</f>
        <v>0</v>
      </c>
      <c r="J25" s="24">
        <f>'ACTUAL EXPENSES'!AG231</f>
        <v>0</v>
      </c>
      <c r="K25" s="24">
        <f>'ACTUAL EXPENSES'!AG257</f>
        <v>0</v>
      </c>
      <c r="L25" s="24">
        <f>'ACTUAL EXPENSES'!AG283</f>
        <v>0</v>
      </c>
      <c r="M25" s="24">
        <f>'ACTUAL EXPENSES'!AG309</f>
        <v>0</v>
      </c>
      <c r="N25" s="24"/>
      <c r="O25" s="50">
        <f t="shared" si="2"/>
        <v>0</v>
      </c>
    </row>
    <row r="26" spans="1:15" x14ac:dyDescent="0.2">
      <c r="A26" s="16" t="str">
        <f>BUDGET!A27</f>
        <v>electricity</v>
      </c>
      <c r="B26" s="24">
        <f>'ACTUAL EXPENSES'!AG21</f>
        <v>101</v>
      </c>
      <c r="C26" s="24">
        <f>'ACTUAL EXPENSES'!AG47</f>
        <v>0</v>
      </c>
      <c r="D26" s="24">
        <f>'ACTUAL EXPENSES'!AG75</f>
        <v>0</v>
      </c>
      <c r="E26" s="24">
        <f>'ACTUAL EXPENSES'!AG101</f>
        <v>0</v>
      </c>
      <c r="F26" s="24">
        <f>'ACTUAL EXPENSES'!AG127</f>
        <v>0</v>
      </c>
      <c r="G26" s="24">
        <f>'ACTUAL EXPENSES'!AG153</f>
        <v>0</v>
      </c>
      <c r="H26" s="24">
        <f>'ACTUAL EXPENSES'!AG179</f>
        <v>0</v>
      </c>
      <c r="I26" s="24">
        <f>'ACTUAL EXPENSES'!AG205</f>
        <v>0</v>
      </c>
      <c r="J26" s="24">
        <f>'ACTUAL EXPENSES'!AG232</f>
        <v>0</v>
      </c>
      <c r="K26" s="24">
        <f>'ACTUAL EXPENSES'!AG258</f>
        <v>0</v>
      </c>
      <c r="L26" s="24">
        <f>'ACTUAL EXPENSES'!AG284</f>
        <v>70</v>
      </c>
      <c r="M26" s="24">
        <f>'ACTUAL EXPENSES'!AG310</f>
        <v>0</v>
      </c>
      <c r="N26" s="24"/>
      <c r="O26" s="50">
        <f t="shared" si="2"/>
        <v>171</v>
      </c>
    </row>
    <row r="27" spans="1:15" x14ac:dyDescent="0.2">
      <c r="A27" s="16" t="str">
        <f>BUDGET!A28</f>
        <v>Account Charges</v>
      </c>
      <c r="B27" s="24">
        <f>'ACTUAL EXPENSES'!AG22</f>
        <v>10</v>
      </c>
      <c r="C27" s="24">
        <f>'ACTUAL EXPENSES'!AG48</f>
        <v>10</v>
      </c>
      <c r="D27" s="24">
        <f>'ACTUAL EXPENSES'!AG76</f>
        <v>28</v>
      </c>
      <c r="E27" s="24">
        <f>'ACTUAL EXPENSES'!AG102</f>
        <v>14</v>
      </c>
      <c r="F27" s="24">
        <f>'ACTUAL EXPENSES'!AG128</f>
        <v>16.55</v>
      </c>
      <c r="G27" s="24">
        <f>'ACTUAL EXPENSES'!AG154</f>
        <v>16.5</v>
      </c>
      <c r="H27" s="24">
        <f>'ACTUAL EXPENSES'!AG180</f>
        <v>20.05</v>
      </c>
      <c r="I27" s="24">
        <f>'ACTUAL EXPENSES'!AG206</f>
        <v>10.719999999999999</v>
      </c>
      <c r="J27" s="24">
        <f>'ACTUAL EXPENSES'!AG233</f>
        <v>17.5</v>
      </c>
      <c r="K27" s="24">
        <f>'ACTUAL EXPENSES'!AG259</f>
        <v>18.2</v>
      </c>
      <c r="L27" s="24">
        <f>'ACTUAL EXPENSES'!AG285</f>
        <v>20.9</v>
      </c>
      <c r="M27" s="24">
        <f>'ACTUAL EXPENSES'!AG311</f>
        <v>27.7</v>
      </c>
      <c r="N27" s="24"/>
      <c r="O27" s="50">
        <f t="shared" si="2"/>
        <v>210.11999999999998</v>
      </c>
    </row>
    <row r="28" spans="1:15" x14ac:dyDescent="0.2">
      <c r="A28" s="16"/>
      <c r="B28" s="24"/>
      <c r="C28" s="24"/>
      <c r="D28" s="24"/>
      <c r="E28" s="24"/>
      <c r="F28" s="24"/>
      <c r="G28" s="24"/>
      <c r="H28" s="24"/>
      <c r="I28" s="24"/>
      <c r="J28" s="24"/>
      <c r="K28" s="24"/>
      <c r="L28" s="24"/>
      <c r="M28" s="24"/>
      <c r="N28" s="24"/>
      <c r="O28" s="50">
        <f t="shared" si="2"/>
        <v>0</v>
      </c>
    </row>
    <row r="29" spans="1:15" x14ac:dyDescent="0.2">
      <c r="A29" s="16"/>
      <c r="B29" s="24"/>
      <c r="C29" s="24"/>
      <c r="D29" s="24"/>
      <c r="E29" s="24"/>
      <c r="F29" s="24"/>
      <c r="G29" s="24"/>
      <c r="H29" s="24"/>
      <c r="I29" s="24"/>
      <c r="J29" s="24"/>
      <c r="K29" s="24"/>
      <c r="L29" s="24"/>
      <c r="M29" s="24"/>
      <c r="N29" s="24"/>
      <c r="O29" s="50">
        <f t="shared" si="2"/>
        <v>0</v>
      </c>
    </row>
    <row r="30" spans="1:15" ht="16" thickBot="1" x14ac:dyDescent="0.25">
      <c r="A30" s="35" t="s">
        <v>11</v>
      </c>
      <c r="B30" s="38">
        <f>SUM(B8:B27)</f>
        <v>4548.01</v>
      </c>
      <c r="C30" s="38">
        <f>SUM(C8:C27)</f>
        <v>2423.5</v>
      </c>
      <c r="D30" s="38">
        <f>SUM(D8:D27)</f>
        <v>5650.0999999999995</v>
      </c>
      <c r="E30" s="38">
        <f>SUM(E8:E27)</f>
        <v>4155.8</v>
      </c>
      <c r="F30" s="38">
        <f>SUM(F8:F29)</f>
        <v>4875.79</v>
      </c>
      <c r="G30" s="38">
        <f>SUM(G8:G29)</f>
        <v>4435.4800000000005</v>
      </c>
      <c r="H30" s="38">
        <f>SUM(H8:H29)</f>
        <v>4735.8900000000012</v>
      </c>
      <c r="I30" s="38">
        <f t="shared" ref="I30:M30" si="3">SUM(I8:I29)</f>
        <v>3823.48</v>
      </c>
      <c r="J30" s="38">
        <f>SUM(J8:J29)</f>
        <v>3964.0000000000005</v>
      </c>
      <c r="K30" s="38">
        <f>SUM(K8:K29)</f>
        <v>10368.540000000001</v>
      </c>
      <c r="L30" s="38">
        <f t="shared" si="3"/>
        <v>5960.4899999999989</v>
      </c>
      <c r="M30" s="38">
        <f t="shared" si="3"/>
        <v>7693.7</v>
      </c>
      <c r="N30" s="38"/>
      <c r="O30" s="51">
        <f>SUM(O8:O29)</f>
        <v>62634.780000000006</v>
      </c>
    </row>
    <row r="31" spans="1:15" ht="16" thickTop="1" x14ac:dyDescent="0.2"/>
    <row r="32" spans="1:15" ht="16" x14ac:dyDescent="0.2">
      <c r="A32" s="41" t="s">
        <v>15</v>
      </c>
      <c r="B32" s="42">
        <f>B5-B30</f>
        <v>-348.01000000000022</v>
      </c>
      <c r="C32" s="42">
        <f t="shared" ref="C32:N32" si="4">C5-C30</f>
        <v>1476.5</v>
      </c>
      <c r="D32" s="42">
        <f t="shared" si="4"/>
        <v>-1400.0999999999995</v>
      </c>
      <c r="E32" s="42">
        <f t="shared" si="4"/>
        <v>-55.800000000000182</v>
      </c>
      <c r="F32" s="42">
        <f t="shared" si="4"/>
        <v>-525.79</v>
      </c>
      <c r="G32" s="42">
        <f>G5-G30</f>
        <v>-448.48000000000047</v>
      </c>
      <c r="H32" s="42">
        <f t="shared" si="4"/>
        <v>-331.89000000000124</v>
      </c>
      <c r="I32" s="42">
        <f t="shared" si="4"/>
        <v>166.51999999999998</v>
      </c>
      <c r="J32" s="42">
        <f t="shared" si="4"/>
        <v>274.99999999999955</v>
      </c>
      <c r="K32" s="42">
        <f t="shared" si="4"/>
        <v>-388.54000000000087</v>
      </c>
      <c r="L32" s="42">
        <f t="shared" si="4"/>
        <v>2945.5100000000011</v>
      </c>
      <c r="M32" s="42">
        <f t="shared" si="4"/>
        <v>-1543.6999999999998</v>
      </c>
      <c r="N32" s="42">
        <f t="shared" si="4"/>
        <v>0</v>
      </c>
      <c r="O32" s="42">
        <f>O5-O30</f>
        <v>-178.78000000000611</v>
      </c>
    </row>
    <row r="35" spans="8:9" x14ac:dyDescent="0.2">
      <c r="H35" s="101">
        <f>4300+(20%*4300)</f>
        <v>5160</v>
      </c>
      <c r="I35">
        <f>4000+1500</f>
        <v>5500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BFDEF-1293-480F-A88D-8F9277B1AD9F}">
  <sheetPr>
    <tabColor rgb="FFFFFF00"/>
  </sheetPr>
  <dimension ref="A1:E30"/>
  <sheetViews>
    <sheetView topLeftCell="F7" zoomScale="140" zoomScaleNormal="140" workbookViewId="0">
      <selection activeCell="A27" sqref="A27:XFD27"/>
    </sheetView>
  </sheetViews>
  <sheetFormatPr baseColWidth="10" defaultColWidth="8.83203125" defaultRowHeight="15" x14ac:dyDescent="0.2"/>
  <cols>
    <col min="1" max="1" width="35.6640625" bestFit="1" customWidth="1"/>
    <col min="2" max="2" width="10.5" bestFit="1" customWidth="1"/>
    <col min="3" max="3" width="10.1640625" bestFit="1" customWidth="1"/>
    <col min="4" max="4" width="10.5" bestFit="1" customWidth="1"/>
  </cols>
  <sheetData>
    <row r="1" spans="1:5" ht="21" x14ac:dyDescent="0.25">
      <c r="A1" s="136" t="s">
        <v>2</v>
      </c>
      <c r="B1" s="136"/>
      <c r="C1" s="136"/>
      <c r="D1" s="136"/>
      <c r="E1" s="136"/>
    </row>
    <row r="2" spans="1:5" ht="16" x14ac:dyDescent="0.2">
      <c r="A2" s="31" t="s">
        <v>12</v>
      </c>
      <c r="B2" s="9"/>
      <c r="C2" s="9">
        <f>'ACTUAL INCOME'!O3</f>
        <v>0</v>
      </c>
      <c r="D2" s="6"/>
    </row>
    <row r="3" spans="1:5" x14ac:dyDescent="0.2">
      <c r="A3" s="33" t="s">
        <v>14</v>
      </c>
      <c r="B3" s="33" t="s">
        <v>3</v>
      </c>
      <c r="C3" s="33" t="s">
        <v>4</v>
      </c>
      <c r="D3" s="135" t="s">
        <v>5</v>
      </c>
      <c r="E3" s="135"/>
    </row>
    <row r="4" spans="1:5" x14ac:dyDescent="0.2">
      <c r="A4" s="104" t="s">
        <v>6</v>
      </c>
      <c r="B4" s="11">
        <f>BUDGET!O6</f>
        <v>47846</v>
      </c>
      <c r="C4" s="11">
        <f>ACTUAL!O5</f>
        <v>62456</v>
      </c>
      <c r="D4" s="11">
        <f>B4-C4</f>
        <v>-14610</v>
      </c>
      <c r="E4">
        <f>IF(B4&gt;0,C4/B4,"-")</f>
        <v>1.3053546795970405</v>
      </c>
    </row>
    <row r="5" spans="1:5" x14ac:dyDescent="0.2">
      <c r="A5" s="37" t="s">
        <v>7</v>
      </c>
      <c r="B5" s="40">
        <f>BUDGET!O29</f>
        <v>45900.2</v>
      </c>
      <c r="C5" s="11">
        <f>ACTUAL!O30</f>
        <v>62634.780000000006</v>
      </c>
      <c r="D5" s="11">
        <f>B5-C5</f>
        <v>-16734.580000000009</v>
      </c>
      <c r="E5">
        <f>IF(B5&gt;0,C5/B5,"-")</f>
        <v>1.3645862109533293</v>
      </c>
    </row>
    <row r="6" spans="1:5" ht="16" thickBot="1" x14ac:dyDescent="0.25">
      <c r="A6" s="27" t="s">
        <v>8</v>
      </c>
      <c r="B6" s="27">
        <f>SUM(B4-B5+B2)</f>
        <v>1945.8000000000029</v>
      </c>
      <c r="C6" s="27">
        <f>SUM(C4+C2-C5)</f>
        <v>-178.78000000000611</v>
      </c>
      <c r="D6" s="27">
        <f>SUM(B6+C6)</f>
        <v>1767.0199999999968</v>
      </c>
    </row>
    <row r="7" spans="1:5" ht="16" thickTop="1" x14ac:dyDescent="0.2"/>
    <row r="8" spans="1:5" x14ac:dyDescent="0.2">
      <c r="A8" s="32" t="s">
        <v>13</v>
      </c>
      <c r="B8" s="32" t="s">
        <v>3</v>
      </c>
      <c r="C8" s="32" t="s">
        <v>4</v>
      </c>
      <c r="D8" s="135" t="s">
        <v>5</v>
      </c>
      <c r="E8" s="135"/>
    </row>
    <row r="9" spans="1:5" x14ac:dyDescent="0.2">
      <c r="A9" s="16" t="str">
        <f>BUDGET!A9</f>
        <v>Rent</v>
      </c>
      <c r="B9" s="34">
        <f>BUDGET!O9</f>
        <v>7120</v>
      </c>
      <c r="C9" s="34">
        <f>ACTUAL!O8</f>
        <v>10105</v>
      </c>
      <c r="D9" s="34">
        <f>B9-C9</f>
        <v>-2985</v>
      </c>
      <c r="E9" s="39">
        <f>IF(B9&gt;0,C9/B9,"-")</f>
        <v>1.4192415730337078</v>
      </c>
    </row>
    <row r="10" spans="1:5" x14ac:dyDescent="0.2">
      <c r="A10" s="16" t="str">
        <f>BUDGET!A10</f>
        <v>Tithe</v>
      </c>
      <c r="B10" s="34">
        <f>BUDGET!O10</f>
        <v>3483.2</v>
      </c>
      <c r="C10" s="34">
        <f>ACTUAL!O9</f>
        <v>385</v>
      </c>
      <c r="D10" s="34">
        <f t="shared" ref="D10:D28" si="0">B10-C10</f>
        <v>3098.2</v>
      </c>
      <c r="E10" s="39">
        <f t="shared" ref="E10:E28" si="1">IF(B10&gt;0,C10/B10,"-")</f>
        <v>0.11053054662379422</v>
      </c>
    </row>
    <row r="11" spans="1:5" x14ac:dyDescent="0.2">
      <c r="A11" s="16" t="str">
        <f>BUDGET!A11</f>
        <v>Data</v>
      </c>
      <c r="B11" s="34">
        <f>BUDGET!O11</f>
        <v>3660</v>
      </c>
      <c r="C11" s="34">
        <f>ACTUAL!O10</f>
        <v>3521</v>
      </c>
      <c r="D11" s="34">
        <f t="shared" si="0"/>
        <v>139</v>
      </c>
      <c r="E11" s="39">
        <f t="shared" si="1"/>
        <v>0.96202185792349726</v>
      </c>
    </row>
    <row r="12" spans="1:5" x14ac:dyDescent="0.2">
      <c r="A12" s="16" t="str">
        <f>BUDGET!A12</f>
        <v xml:space="preserve">Savings/ Investment </v>
      </c>
      <c r="B12" s="34">
        <f>BUDGET!O12</f>
        <v>4300</v>
      </c>
      <c r="C12" s="34">
        <f>ACTUAL!O11</f>
        <v>3650</v>
      </c>
      <c r="D12" s="34">
        <f t="shared" si="0"/>
        <v>650</v>
      </c>
      <c r="E12" s="39">
        <f t="shared" si="1"/>
        <v>0.84883720930232553</v>
      </c>
    </row>
    <row r="13" spans="1:5" x14ac:dyDescent="0.2">
      <c r="A13" s="16" t="str">
        <f>BUDGET!A13</f>
        <v>Hair / Gym</v>
      </c>
      <c r="B13" s="34">
        <f>BUDGET!O13</f>
        <v>1600</v>
      </c>
      <c r="C13" s="34">
        <f>ACTUAL!O12</f>
        <v>560</v>
      </c>
      <c r="D13" s="34">
        <f t="shared" si="0"/>
        <v>1040</v>
      </c>
      <c r="E13" s="39">
        <f t="shared" si="1"/>
        <v>0.35</v>
      </c>
    </row>
    <row r="14" spans="1:5" x14ac:dyDescent="0.2">
      <c r="A14" s="16" t="str">
        <f>BUDGET!A14</f>
        <v>Food</v>
      </c>
      <c r="B14" s="34">
        <f>BUDGET!O14</f>
        <v>4450</v>
      </c>
      <c r="C14" s="34">
        <f>ACTUAL!O13</f>
        <v>10420.679999999998</v>
      </c>
      <c r="D14" s="34">
        <f t="shared" si="0"/>
        <v>-5970.6799999999985</v>
      </c>
      <c r="E14" s="39">
        <f t="shared" si="1"/>
        <v>2.3417258426966288</v>
      </c>
    </row>
    <row r="15" spans="1:5" x14ac:dyDescent="0.2">
      <c r="A15" s="16" t="str">
        <f>BUDGET!A15</f>
        <v>Healthcare</v>
      </c>
      <c r="B15" s="34">
        <f>BUDGET!O15</f>
        <v>700</v>
      </c>
      <c r="C15" s="34">
        <f>ACTUAL!O14</f>
        <v>870.2</v>
      </c>
      <c r="D15" s="34">
        <f t="shared" si="0"/>
        <v>-170.20000000000005</v>
      </c>
      <c r="E15" s="39">
        <f t="shared" si="1"/>
        <v>1.2431428571428571</v>
      </c>
    </row>
    <row r="16" spans="1:5" x14ac:dyDescent="0.2">
      <c r="A16" s="16" t="str">
        <f>BUDGET!A16</f>
        <v xml:space="preserve">Clothes/ Shoes/ Jewelry </v>
      </c>
      <c r="B16" s="34">
        <f>BUDGET!O16</f>
        <v>2200</v>
      </c>
      <c r="C16" s="34">
        <f>ACTUAL!O15</f>
        <v>1854</v>
      </c>
      <c r="D16" s="34">
        <f t="shared" si="0"/>
        <v>346</v>
      </c>
      <c r="E16" s="39">
        <f t="shared" si="1"/>
        <v>0.84272727272727277</v>
      </c>
    </row>
    <row r="17" spans="1:5" x14ac:dyDescent="0.2">
      <c r="A17" s="16" t="str">
        <f>BUDGET!A17</f>
        <v>shoes</v>
      </c>
      <c r="B17" s="34">
        <f>BUDGET!O17</f>
        <v>900</v>
      </c>
      <c r="C17" s="34">
        <f>ACTUAL!O16</f>
        <v>0</v>
      </c>
      <c r="D17" s="34">
        <f t="shared" si="0"/>
        <v>900</v>
      </c>
      <c r="E17" s="39">
        <f t="shared" si="1"/>
        <v>0</v>
      </c>
    </row>
    <row r="18" spans="1:5" x14ac:dyDescent="0.2">
      <c r="A18" s="16" t="str">
        <f>BUDGET!A18</f>
        <v xml:space="preserve">Travel/ Vacations </v>
      </c>
      <c r="B18" s="34">
        <f>BUDGET!O18</f>
        <v>0</v>
      </c>
      <c r="C18" s="34">
        <f>ACTUAL!O17</f>
        <v>0</v>
      </c>
      <c r="D18" s="34">
        <f t="shared" si="0"/>
        <v>0</v>
      </c>
      <c r="E18" s="39" t="str">
        <f t="shared" si="1"/>
        <v>-</v>
      </c>
    </row>
    <row r="19" spans="1:5" x14ac:dyDescent="0.2">
      <c r="A19" s="16" t="str">
        <f>BUDGET!A19</f>
        <v>Outings</v>
      </c>
      <c r="B19" s="34">
        <f>BUDGET!O19</f>
        <v>3500</v>
      </c>
      <c r="C19" s="34">
        <f>ACTUAL!O18</f>
        <v>557</v>
      </c>
      <c r="D19" s="34">
        <f t="shared" si="0"/>
        <v>2943</v>
      </c>
      <c r="E19" s="39">
        <f t="shared" si="1"/>
        <v>0.15914285714285714</v>
      </c>
    </row>
    <row r="20" spans="1:5" x14ac:dyDescent="0.2">
      <c r="A20" s="16" t="str">
        <f>BUDGET!A20</f>
        <v>Toiletries/Groceries</v>
      </c>
      <c r="B20" s="34">
        <f>BUDGET!O20</f>
        <v>6420</v>
      </c>
      <c r="C20" s="34">
        <f>ACTUAL!O19</f>
        <v>9406.5799999999981</v>
      </c>
      <c r="D20" s="34">
        <f t="shared" si="0"/>
        <v>-2986.5799999999981</v>
      </c>
      <c r="E20" s="39">
        <f t="shared" si="1"/>
        <v>1.4651993769470402</v>
      </c>
    </row>
    <row r="21" spans="1:5" x14ac:dyDescent="0.2">
      <c r="A21" s="16" t="str">
        <f>BUDGET!A21</f>
        <v xml:space="preserve">Transportation </v>
      </c>
      <c r="B21" s="34">
        <f>BUDGET!O21</f>
        <v>4450</v>
      </c>
      <c r="C21" s="34">
        <f>ACTUAL!O20</f>
        <v>10669.25</v>
      </c>
      <c r="D21" s="34">
        <f t="shared" si="0"/>
        <v>-6219.25</v>
      </c>
      <c r="E21" s="39">
        <f t="shared" si="1"/>
        <v>2.3975842696629215</v>
      </c>
    </row>
    <row r="22" spans="1:5" x14ac:dyDescent="0.2">
      <c r="A22" s="16" t="str">
        <f>BUDGET!A22</f>
        <v>Miscellaneous</v>
      </c>
      <c r="B22" s="34">
        <f>BUDGET!O22</f>
        <v>1705</v>
      </c>
      <c r="C22" s="34">
        <f>ACTUAL!O21</f>
        <v>8677.85</v>
      </c>
      <c r="D22" s="34">
        <f t="shared" si="0"/>
        <v>-6972.85</v>
      </c>
      <c r="E22" s="39">
        <f t="shared" si="1"/>
        <v>5.0896480938416424</v>
      </c>
    </row>
    <row r="23" spans="1:5" x14ac:dyDescent="0.2">
      <c r="A23" s="16" t="str">
        <f>BUDGET!A23</f>
        <v>Apple Subscriptions</v>
      </c>
      <c r="B23" s="34">
        <f>BUDGET!O23</f>
        <v>178</v>
      </c>
      <c r="C23" s="34">
        <f>ACTUAL!O22</f>
        <v>198.23</v>
      </c>
      <c r="D23" s="34">
        <f t="shared" si="0"/>
        <v>-20.22999999999999</v>
      </c>
      <c r="E23" s="39">
        <f t="shared" si="1"/>
        <v>1.1136516853932583</v>
      </c>
    </row>
    <row r="24" spans="1:5" x14ac:dyDescent="0.2">
      <c r="A24" s="16" t="str">
        <f>BUDGET!A24</f>
        <v>Google 1</v>
      </c>
      <c r="B24" s="34">
        <f>BUDGET!O24</f>
        <v>114</v>
      </c>
      <c r="C24" s="34">
        <f>ACTUAL!O23</f>
        <v>99</v>
      </c>
      <c r="D24" s="34">
        <f t="shared" si="0"/>
        <v>15</v>
      </c>
      <c r="E24" s="39">
        <f t="shared" si="1"/>
        <v>0.86842105263157898</v>
      </c>
    </row>
    <row r="25" spans="1:5" x14ac:dyDescent="0.2">
      <c r="A25" s="16" t="str">
        <f>BUDGET!A25</f>
        <v>Netflix</v>
      </c>
      <c r="B25" s="34">
        <f>BUDGET!O25</f>
        <v>800</v>
      </c>
      <c r="C25" s="34">
        <f>ACTUAL!O24</f>
        <v>1279.8699999999999</v>
      </c>
      <c r="D25" s="34">
        <f t="shared" si="0"/>
        <v>-479.86999999999989</v>
      </c>
      <c r="E25" s="39">
        <f t="shared" si="1"/>
        <v>1.5998374999999998</v>
      </c>
    </row>
    <row r="26" spans="1:5" x14ac:dyDescent="0.2">
      <c r="A26" s="16" t="str">
        <f>BUDGET!A26</f>
        <v>Amuse</v>
      </c>
      <c r="B26" s="34">
        <f>BUDGET!O26</f>
        <v>0</v>
      </c>
      <c r="C26" s="34">
        <f>ACTUAL!O25</f>
        <v>0</v>
      </c>
      <c r="D26" s="34">
        <f t="shared" si="0"/>
        <v>0</v>
      </c>
      <c r="E26" s="39" t="str">
        <f t="shared" si="1"/>
        <v>-</v>
      </c>
    </row>
    <row r="27" spans="1:5" x14ac:dyDescent="0.2">
      <c r="A27" s="16" t="str">
        <f>BUDGET!A27</f>
        <v>electricity</v>
      </c>
      <c r="B27" s="34">
        <f>BUDGET!O27</f>
        <v>200</v>
      </c>
      <c r="C27" s="34">
        <f>ACTUAL!O26</f>
        <v>171</v>
      </c>
      <c r="D27" s="34">
        <f t="shared" si="0"/>
        <v>29</v>
      </c>
      <c r="E27" s="39">
        <f t="shared" si="1"/>
        <v>0.85499999999999998</v>
      </c>
    </row>
    <row r="28" spans="1:5" x14ac:dyDescent="0.2">
      <c r="A28" s="16" t="str">
        <f>BUDGET!A28</f>
        <v>Account Charges</v>
      </c>
      <c r="B28" s="34">
        <f>BUDGET!O28</f>
        <v>120</v>
      </c>
      <c r="C28" s="34">
        <f>ACTUAL!O27</f>
        <v>210.11999999999998</v>
      </c>
      <c r="D28" s="34">
        <f t="shared" si="0"/>
        <v>-90.119999999999976</v>
      </c>
      <c r="E28" s="39">
        <f t="shared" si="1"/>
        <v>1.7509999999999999</v>
      </c>
    </row>
    <row r="29" spans="1:5" ht="16" thickBot="1" x14ac:dyDescent="0.25">
      <c r="A29" s="35" t="s">
        <v>11</v>
      </c>
      <c r="B29" s="36">
        <f>SUM(B9:B23)</f>
        <v>44666.2</v>
      </c>
      <c r="C29" s="36">
        <f>SUM(C9:C23)</f>
        <v>60874.79</v>
      </c>
      <c r="D29" s="36">
        <f>SUM(D9:D23)</f>
        <v>-16208.589999999997</v>
      </c>
    </row>
    <row r="30" spans="1:5" ht="16" thickTop="1" x14ac:dyDescent="0.2"/>
  </sheetData>
  <mergeCells count="3">
    <mergeCell ref="D8:E8"/>
    <mergeCell ref="D3:E3"/>
    <mergeCell ref="A1:E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5FCF-BF2F-5946-B118-3C73DB078664}">
  <dimension ref="A1:E1685"/>
  <sheetViews>
    <sheetView tabSelected="1" workbookViewId="0">
      <selection activeCell="F14" sqref="F14"/>
    </sheetView>
  </sheetViews>
  <sheetFormatPr baseColWidth="10" defaultRowHeight="15" x14ac:dyDescent="0.2"/>
  <cols>
    <col min="1" max="1" width="19.33203125" bestFit="1" customWidth="1"/>
    <col min="2" max="2" width="10.5" bestFit="1" customWidth="1"/>
    <col min="3" max="3" width="8.1640625" bestFit="1" customWidth="1"/>
    <col min="4" max="4" width="9" bestFit="1" customWidth="1"/>
  </cols>
  <sheetData>
    <row r="1" spans="1:5" x14ac:dyDescent="0.2">
      <c r="A1" t="s">
        <v>340</v>
      </c>
      <c r="B1" t="s">
        <v>341</v>
      </c>
      <c r="C1" t="s">
        <v>342</v>
      </c>
      <c r="D1" t="s">
        <v>29</v>
      </c>
      <c r="E1" s="72" t="s">
        <v>343</v>
      </c>
    </row>
    <row r="2" spans="1:5" x14ac:dyDescent="0.2">
      <c r="A2" s="139" t="s">
        <v>46</v>
      </c>
      <c r="B2" s="140">
        <v>44949</v>
      </c>
      <c r="C2">
        <v>1205</v>
      </c>
      <c r="D2">
        <v>1</v>
      </c>
      <c r="E2" t="str">
        <f>TEXT(ACTUAL_EXPENSES[[#This Row],[Date]],"mmm")</f>
        <v>Jan</v>
      </c>
    </row>
    <row r="3" spans="1:5" x14ac:dyDescent="0.2">
      <c r="A3" s="139" t="s">
        <v>41</v>
      </c>
      <c r="B3" s="140">
        <v>44942</v>
      </c>
      <c r="C3">
        <v>5</v>
      </c>
      <c r="D3">
        <v>1</v>
      </c>
      <c r="E3" t="str">
        <f>TEXT(ACTUAL_EXPENSES[[#This Row],[Date]],"mmm")</f>
        <v>Jan</v>
      </c>
    </row>
    <row r="4" spans="1:5" x14ac:dyDescent="0.2">
      <c r="A4" s="139" t="s">
        <v>41</v>
      </c>
      <c r="B4" s="140">
        <v>44944</v>
      </c>
      <c r="C4">
        <v>48</v>
      </c>
      <c r="D4">
        <v>1</v>
      </c>
      <c r="E4" t="str">
        <f>TEXT(ACTUAL_EXPENSES[[#This Row],[Date]],"mmm")</f>
        <v>Jan</v>
      </c>
    </row>
    <row r="5" spans="1:5" x14ac:dyDescent="0.2">
      <c r="A5" s="139" t="s">
        <v>41</v>
      </c>
      <c r="B5" s="140">
        <v>44945</v>
      </c>
      <c r="C5">
        <v>15</v>
      </c>
      <c r="D5">
        <v>1</v>
      </c>
      <c r="E5" t="str">
        <f>TEXT(ACTUAL_EXPENSES[[#This Row],[Date]],"mmm")</f>
        <v>Jan</v>
      </c>
    </row>
    <row r="6" spans="1:5" x14ac:dyDescent="0.2">
      <c r="A6" s="139" t="s">
        <v>41</v>
      </c>
      <c r="B6" s="140">
        <v>44946</v>
      </c>
      <c r="C6">
        <v>104.31</v>
      </c>
      <c r="D6">
        <v>1</v>
      </c>
      <c r="E6" t="str">
        <f>TEXT(ACTUAL_EXPENSES[[#This Row],[Date]],"mmm")</f>
        <v>Jan</v>
      </c>
    </row>
    <row r="7" spans="1:5" x14ac:dyDescent="0.2">
      <c r="A7" s="139" t="s">
        <v>41</v>
      </c>
      <c r="B7" s="140">
        <v>44947</v>
      </c>
      <c r="C7">
        <v>76</v>
      </c>
      <c r="D7">
        <v>1</v>
      </c>
      <c r="E7" t="str">
        <f>TEXT(ACTUAL_EXPENSES[[#This Row],[Date]],"mmm")</f>
        <v>Jan</v>
      </c>
    </row>
    <row r="8" spans="1:5" x14ac:dyDescent="0.2">
      <c r="A8" s="139" t="s">
        <v>41</v>
      </c>
      <c r="B8" s="140">
        <v>44948</v>
      </c>
      <c r="C8">
        <v>46</v>
      </c>
      <c r="D8">
        <v>1</v>
      </c>
      <c r="E8" t="str">
        <f>TEXT(ACTUAL_EXPENSES[[#This Row],[Date]],"mmm")</f>
        <v>Jan</v>
      </c>
    </row>
    <row r="9" spans="1:5" x14ac:dyDescent="0.2">
      <c r="A9" s="139" t="s">
        <v>41</v>
      </c>
      <c r="B9" s="140">
        <v>44949</v>
      </c>
      <c r="C9">
        <v>16</v>
      </c>
      <c r="D9">
        <v>1</v>
      </c>
      <c r="E9" t="str">
        <f>TEXT(ACTUAL_EXPENSES[[#This Row],[Date]],"mmm")</f>
        <v>Jan</v>
      </c>
    </row>
    <row r="10" spans="1:5" x14ac:dyDescent="0.2">
      <c r="A10" s="139" t="s">
        <v>41</v>
      </c>
      <c r="B10" s="140">
        <v>44950</v>
      </c>
      <c r="C10">
        <v>15</v>
      </c>
      <c r="D10">
        <v>1</v>
      </c>
      <c r="E10" t="str">
        <f>TEXT(ACTUAL_EXPENSES[[#This Row],[Date]],"mmm")</f>
        <v>Jan</v>
      </c>
    </row>
    <row r="11" spans="1:5" x14ac:dyDescent="0.2">
      <c r="A11" s="139" t="s">
        <v>41</v>
      </c>
      <c r="B11" s="140">
        <v>44951</v>
      </c>
      <c r="C11">
        <v>66.210000000000008</v>
      </c>
      <c r="D11">
        <v>1</v>
      </c>
      <c r="E11" t="str">
        <f>TEXT(ACTUAL_EXPENSES[[#This Row],[Date]],"mmm")</f>
        <v>Jan</v>
      </c>
    </row>
    <row r="12" spans="1:5" x14ac:dyDescent="0.2">
      <c r="A12" s="139" t="s">
        <v>41</v>
      </c>
      <c r="B12" s="140">
        <v>44952</v>
      </c>
      <c r="C12">
        <v>8</v>
      </c>
      <c r="D12">
        <v>1</v>
      </c>
      <c r="E12" t="str">
        <f>TEXT(ACTUAL_EXPENSES[[#This Row],[Date]],"mmm")</f>
        <v>Jan</v>
      </c>
    </row>
    <row r="13" spans="1:5" x14ac:dyDescent="0.2">
      <c r="A13" s="139" t="s">
        <v>41</v>
      </c>
      <c r="B13" s="140">
        <v>44953</v>
      </c>
      <c r="C13">
        <v>35.5</v>
      </c>
      <c r="D13">
        <v>1</v>
      </c>
      <c r="E13" t="str">
        <f>TEXT(ACTUAL_EXPENSES[[#This Row],[Date]],"mmm")</f>
        <v>Jan</v>
      </c>
    </row>
    <row r="14" spans="1:5" x14ac:dyDescent="0.2">
      <c r="A14" s="139" t="s">
        <v>41</v>
      </c>
      <c r="B14" s="140">
        <v>44955</v>
      </c>
      <c r="C14">
        <v>35</v>
      </c>
      <c r="D14">
        <v>1</v>
      </c>
      <c r="E14" t="str">
        <f>TEXT(ACTUAL_EXPENSES[[#This Row],[Date]],"mmm")</f>
        <v>Jan</v>
      </c>
    </row>
    <row r="15" spans="1:5" x14ac:dyDescent="0.2">
      <c r="A15" s="139" t="s">
        <v>61</v>
      </c>
      <c r="B15" s="140">
        <v>44942</v>
      </c>
      <c r="C15">
        <v>25</v>
      </c>
      <c r="D15">
        <v>1</v>
      </c>
      <c r="E15" t="str">
        <f>TEXT(ACTUAL_EXPENSES[[#This Row],[Date]],"mmm")</f>
        <v>Jan</v>
      </c>
    </row>
    <row r="16" spans="1:5" x14ac:dyDescent="0.2">
      <c r="A16" s="139" t="s">
        <v>45</v>
      </c>
      <c r="B16" s="140">
        <v>44954</v>
      </c>
      <c r="C16">
        <v>230</v>
      </c>
      <c r="D16">
        <v>1</v>
      </c>
      <c r="E16" t="str">
        <f>TEXT(ACTUAL_EXPENSES[[#This Row],[Date]],"mmm")</f>
        <v>Jan</v>
      </c>
    </row>
    <row r="17" spans="1:5" x14ac:dyDescent="0.2">
      <c r="A17" s="139" t="s">
        <v>43</v>
      </c>
      <c r="B17" s="140">
        <v>44943</v>
      </c>
      <c r="C17">
        <v>50</v>
      </c>
      <c r="D17">
        <v>1</v>
      </c>
      <c r="E17" t="str">
        <f>TEXT(ACTUAL_EXPENSES[[#This Row],[Date]],"mmm")</f>
        <v>Jan</v>
      </c>
    </row>
    <row r="18" spans="1:5" x14ac:dyDescent="0.2">
      <c r="A18" s="139" t="s">
        <v>43</v>
      </c>
      <c r="B18" s="140">
        <v>44944</v>
      </c>
      <c r="C18">
        <v>7</v>
      </c>
      <c r="D18">
        <v>1</v>
      </c>
      <c r="E18" t="str">
        <f>TEXT(ACTUAL_EXPENSES[[#This Row],[Date]],"mmm")</f>
        <v>Jan</v>
      </c>
    </row>
    <row r="19" spans="1:5" x14ac:dyDescent="0.2">
      <c r="A19" s="139" t="s">
        <v>53</v>
      </c>
      <c r="B19" s="140">
        <v>44946</v>
      </c>
      <c r="C19">
        <v>5</v>
      </c>
      <c r="D19">
        <v>1</v>
      </c>
      <c r="E19" t="str">
        <f>TEXT(ACTUAL_EXPENSES[[#This Row],[Date]],"mmm")</f>
        <v>Jan</v>
      </c>
    </row>
    <row r="20" spans="1:5" x14ac:dyDescent="0.2">
      <c r="A20" s="139" t="s">
        <v>53</v>
      </c>
      <c r="B20" s="140">
        <v>44952</v>
      </c>
      <c r="C20">
        <v>24</v>
      </c>
      <c r="D20">
        <v>1</v>
      </c>
      <c r="E20" t="str">
        <f>TEXT(ACTUAL_EXPENSES[[#This Row],[Date]],"mmm")</f>
        <v>Jan</v>
      </c>
    </row>
    <row r="21" spans="1:5" x14ac:dyDescent="0.2">
      <c r="A21" s="139" t="s">
        <v>53</v>
      </c>
      <c r="B21" s="140">
        <v>44954</v>
      </c>
      <c r="C21">
        <v>733</v>
      </c>
      <c r="D21">
        <v>1</v>
      </c>
      <c r="E21" t="str">
        <f>TEXT(ACTUAL_EXPENSES[[#This Row],[Date]],"mmm")</f>
        <v>Jan</v>
      </c>
    </row>
    <row r="22" spans="1:5" x14ac:dyDescent="0.2">
      <c r="A22" s="139" t="s">
        <v>39</v>
      </c>
      <c r="B22" s="140">
        <v>44933</v>
      </c>
      <c r="C22">
        <v>23</v>
      </c>
      <c r="D22">
        <v>1</v>
      </c>
      <c r="E22" t="str">
        <f>TEXT(ACTUAL_EXPENSES[[#This Row],[Date]],"mmm")</f>
        <v>Jan</v>
      </c>
    </row>
    <row r="23" spans="1:5" x14ac:dyDescent="0.2">
      <c r="A23" s="139" t="s">
        <v>39</v>
      </c>
      <c r="B23" s="140">
        <v>44936</v>
      </c>
      <c r="C23">
        <v>63</v>
      </c>
      <c r="D23">
        <v>1</v>
      </c>
      <c r="E23" t="str">
        <f>TEXT(ACTUAL_EXPENSES[[#This Row],[Date]],"mmm")</f>
        <v>Jan</v>
      </c>
    </row>
    <row r="24" spans="1:5" x14ac:dyDescent="0.2">
      <c r="A24" s="139" t="s">
        <v>39</v>
      </c>
      <c r="B24" s="140">
        <v>44945</v>
      </c>
      <c r="C24">
        <v>63</v>
      </c>
      <c r="D24">
        <v>1</v>
      </c>
      <c r="E24" t="str">
        <f>TEXT(ACTUAL_EXPENSES[[#This Row],[Date]],"mmm")</f>
        <v>Jan</v>
      </c>
    </row>
    <row r="25" spans="1:5" x14ac:dyDescent="0.2">
      <c r="A25" s="139" t="s">
        <v>39</v>
      </c>
      <c r="B25" s="140">
        <v>44946</v>
      </c>
      <c r="C25">
        <v>73</v>
      </c>
      <c r="D25">
        <v>1</v>
      </c>
      <c r="E25" t="str">
        <f>TEXT(ACTUAL_EXPENSES[[#This Row],[Date]],"mmm")</f>
        <v>Jan</v>
      </c>
    </row>
    <row r="26" spans="1:5" x14ac:dyDescent="0.2">
      <c r="A26" s="139" t="s">
        <v>39</v>
      </c>
      <c r="B26" s="140">
        <v>44949</v>
      </c>
      <c r="C26">
        <v>48</v>
      </c>
      <c r="D26">
        <v>1</v>
      </c>
      <c r="E26" t="str">
        <f>TEXT(ACTUAL_EXPENSES[[#This Row],[Date]],"mmm")</f>
        <v>Jan</v>
      </c>
    </row>
    <row r="27" spans="1:5" x14ac:dyDescent="0.2">
      <c r="A27" s="139" t="s">
        <v>39</v>
      </c>
      <c r="B27" s="140">
        <v>44950</v>
      </c>
      <c r="C27">
        <v>7</v>
      </c>
      <c r="D27">
        <v>1</v>
      </c>
      <c r="E27" t="str">
        <f>TEXT(ACTUAL_EXPENSES[[#This Row],[Date]],"mmm")</f>
        <v>Jan</v>
      </c>
    </row>
    <row r="28" spans="1:5" x14ac:dyDescent="0.2">
      <c r="A28" s="139" t="s">
        <v>39</v>
      </c>
      <c r="B28" s="140">
        <v>44951</v>
      </c>
      <c r="C28">
        <v>12.5</v>
      </c>
      <c r="D28">
        <v>1</v>
      </c>
      <c r="E28" t="str">
        <f>TEXT(ACTUAL_EXPENSES[[#This Row],[Date]],"mmm")</f>
        <v>Jan</v>
      </c>
    </row>
    <row r="29" spans="1:5" x14ac:dyDescent="0.2">
      <c r="A29" s="139" t="s">
        <v>39</v>
      </c>
      <c r="B29" s="140">
        <v>44952</v>
      </c>
      <c r="C29">
        <v>15</v>
      </c>
      <c r="D29">
        <v>1</v>
      </c>
      <c r="E29" t="str">
        <f>TEXT(ACTUAL_EXPENSES[[#This Row],[Date]],"mmm")</f>
        <v>Jan</v>
      </c>
    </row>
    <row r="30" spans="1:5" x14ac:dyDescent="0.2">
      <c r="A30" s="139" t="s">
        <v>39</v>
      </c>
      <c r="B30" s="140">
        <v>44953</v>
      </c>
      <c r="C30">
        <v>40</v>
      </c>
      <c r="D30">
        <v>1</v>
      </c>
      <c r="E30" t="str">
        <f>TEXT(ACTUAL_EXPENSES[[#This Row],[Date]],"mmm")</f>
        <v>Jan</v>
      </c>
    </row>
    <row r="31" spans="1:5" x14ac:dyDescent="0.2">
      <c r="A31" s="139" t="s">
        <v>39</v>
      </c>
      <c r="B31" s="140">
        <v>44954</v>
      </c>
      <c r="C31">
        <v>22</v>
      </c>
      <c r="D31">
        <v>1</v>
      </c>
      <c r="E31" t="str">
        <f>TEXT(ACTUAL_EXPENSES[[#This Row],[Date]],"mmm")</f>
        <v>Jan</v>
      </c>
    </row>
    <row r="32" spans="1:5" x14ac:dyDescent="0.2">
      <c r="A32" s="139" t="s">
        <v>39</v>
      </c>
      <c r="B32" s="140">
        <v>44955</v>
      </c>
      <c r="C32">
        <v>86</v>
      </c>
      <c r="D32">
        <v>1</v>
      </c>
      <c r="E32" t="str">
        <f>TEXT(ACTUAL_EXPENSES[[#This Row],[Date]],"mmm")</f>
        <v>Jan</v>
      </c>
    </row>
    <row r="33" spans="1:5" x14ac:dyDescent="0.2">
      <c r="A33" s="139" t="s">
        <v>39</v>
      </c>
      <c r="B33" s="140">
        <v>44957</v>
      </c>
      <c r="C33">
        <v>39</v>
      </c>
      <c r="D33">
        <v>1</v>
      </c>
      <c r="E33" t="str">
        <f>TEXT(ACTUAL_EXPENSES[[#This Row],[Date]],"mmm")</f>
        <v>Jan</v>
      </c>
    </row>
    <row r="34" spans="1:5" x14ac:dyDescent="0.2">
      <c r="A34" s="139" t="s">
        <v>127</v>
      </c>
      <c r="B34" s="140">
        <v>44927</v>
      </c>
      <c r="C34">
        <v>55</v>
      </c>
      <c r="D34">
        <v>1</v>
      </c>
      <c r="E34" t="str">
        <f>TEXT(ACTUAL_EXPENSES[[#This Row],[Date]],"mmm")</f>
        <v>Jan</v>
      </c>
    </row>
    <row r="35" spans="1:5" x14ac:dyDescent="0.2">
      <c r="A35" s="139" t="s">
        <v>127</v>
      </c>
      <c r="B35" s="140">
        <v>44929</v>
      </c>
      <c r="C35">
        <v>600</v>
      </c>
      <c r="D35">
        <v>1</v>
      </c>
      <c r="E35" t="str">
        <f>TEXT(ACTUAL_EXPENSES[[#This Row],[Date]],"mmm")</f>
        <v>Jan</v>
      </c>
    </row>
    <row r="36" spans="1:5" x14ac:dyDescent="0.2">
      <c r="A36" s="139" t="s">
        <v>127</v>
      </c>
      <c r="B36" s="140">
        <v>44934</v>
      </c>
      <c r="C36">
        <v>61</v>
      </c>
      <c r="D36">
        <v>1</v>
      </c>
      <c r="E36" t="str">
        <f>TEXT(ACTUAL_EXPENSES[[#This Row],[Date]],"mmm")</f>
        <v>Jan</v>
      </c>
    </row>
    <row r="37" spans="1:5" x14ac:dyDescent="0.2">
      <c r="A37" s="139" t="s">
        <v>127</v>
      </c>
      <c r="B37" s="140">
        <v>44939</v>
      </c>
      <c r="C37">
        <v>100</v>
      </c>
      <c r="D37">
        <v>1</v>
      </c>
      <c r="E37" t="str">
        <f>TEXT(ACTUAL_EXPENSES[[#This Row],[Date]],"mmm")</f>
        <v>Jan</v>
      </c>
    </row>
    <row r="38" spans="1:5" x14ac:dyDescent="0.2">
      <c r="A38" s="139" t="s">
        <v>127</v>
      </c>
      <c r="B38" s="140">
        <v>44940</v>
      </c>
      <c r="C38">
        <v>51</v>
      </c>
      <c r="D38">
        <v>1</v>
      </c>
      <c r="E38" t="str">
        <f>TEXT(ACTUAL_EXPENSES[[#This Row],[Date]],"mmm")</f>
        <v>Jan</v>
      </c>
    </row>
    <row r="39" spans="1:5" x14ac:dyDescent="0.2">
      <c r="A39" s="139" t="s">
        <v>127</v>
      </c>
      <c r="B39" s="140">
        <v>44954</v>
      </c>
      <c r="C39">
        <v>128.25</v>
      </c>
      <c r="D39">
        <v>1</v>
      </c>
      <c r="E39" t="str">
        <f>TEXT(ACTUAL_EXPENSES[[#This Row],[Date]],"mmm")</f>
        <v>Jan</v>
      </c>
    </row>
    <row r="40" spans="1:5" x14ac:dyDescent="0.2">
      <c r="A40" s="139" t="s">
        <v>48</v>
      </c>
      <c r="B40" s="140">
        <v>44945</v>
      </c>
      <c r="C40">
        <v>45.06</v>
      </c>
      <c r="D40">
        <v>1</v>
      </c>
      <c r="E40" t="str">
        <f>TEXT(ACTUAL_EXPENSES[[#This Row],[Date]],"mmm")</f>
        <v>Jan</v>
      </c>
    </row>
    <row r="41" spans="1:5" x14ac:dyDescent="0.2">
      <c r="A41" s="139" t="s">
        <v>48</v>
      </c>
      <c r="B41" s="140">
        <v>44953</v>
      </c>
      <c r="C41">
        <v>13.56</v>
      </c>
      <c r="D41">
        <v>1</v>
      </c>
      <c r="E41" t="str">
        <f>TEXT(ACTUAL_EXPENSES[[#This Row],[Date]],"mmm")</f>
        <v>Jan</v>
      </c>
    </row>
    <row r="42" spans="1:5" x14ac:dyDescent="0.2">
      <c r="A42" s="139" t="s">
        <v>49</v>
      </c>
      <c r="B42" s="140">
        <v>44936</v>
      </c>
      <c r="C42">
        <v>9</v>
      </c>
      <c r="D42">
        <v>1</v>
      </c>
      <c r="E42" t="str">
        <f>TEXT(ACTUAL_EXPENSES[[#This Row],[Date]],"mmm")</f>
        <v>Jan</v>
      </c>
    </row>
    <row r="43" spans="1:5" x14ac:dyDescent="0.2">
      <c r="A43" s="139" t="s">
        <v>126</v>
      </c>
      <c r="B43" s="140">
        <v>44945</v>
      </c>
      <c r="C43">
        <v>133.62</v>
      </c>
      <c r="D43">
        <v>1</v>
      </c>
      <c r="E43" t="str">
        <f>TEXT(ACTUAL_EXPENSES[[#This Row],[Date]],"mmm")</f>
        <v>Jan</v>
      </c>
    </row>
    <row r="44" spans="1:5" x14ac:dyDescent="0.2">
      <c r="A44" s="139" t="s">
        <v>73</v>
      </c>
      <c r="B44" s="140">
        <v>44946</v>
      </c>
      <c r="C44">
        <v>101</v>
      </c>
      <c r="D44">
        <v>1</v>
      </c>
      <c r="E44" t="str">
        <f>TEXT(ACTUAL_EXPENSES[[#This Row],[Date]],"mmm")</f>
        <v>Jan</v>
      </c>
    </row>
    <row r="45" spans="1:5" x14ac:dyDescent="0.2">
      <c r="A45" s="139" t="s">
        <v>51</v>
      </c>
      <c r="B45" s="140">
        <v>44947</v>
      </c>
      <c r="C45">
        <v>10</v>
      </c>
      <c r="D45">
        <v>1</v>
      </c>
      <c r="E45" t="str">
        <f>TEXT(ACTUAL_EXPENSES[[#This Row],[Date]],"mmm")</f>
        <v>Jan</v>
      </c>
    </row>
    <row r="46" spans="1:5" x14ac:dyDescent="0.2">
      <c r="A46" s="139" t="s">
        <v>52</v>
      </c>
      <c r="B46" s="140">
        <v>44958</v>
      </c>
      <c r="C46">
        <v>300</v>
      </c>
      <c r="D46">
        <v>2</v>
      </c>
      <c r="E46" t="str">
        <f>TEXT(ACTUAL_EXPENSES[[#This Row],[Date]],"mmm")</f>
        <v>Feb</v>
      </c>
    </row>
    <row r="47" spans="1:5" x14ac:dyDescent="0.2">
      <c r="A47" s="139" t="s">
        <v>44</v>
      </c>
      <c r="B47" s="140">
        <v>44980</v>
      </c>
      <c r="C47">
        <v>200</v>
      </c>
      <c r="D47">
        <v>2</v>
      </c>
      <c r="E47" t="str">
        <f>TEXT(ACTUAL_EXPENSES[[#This Row],[Date]],"mmm")</f>
        <v>Feb</v>
      </c>
    </row>
    <row r="48" spans="1:5" x14ac:dyDescent="0.2">
      <c r="A48" s="139" t="s">
        <v>161</v>
      </c>
      <c r="B48" s="140">
        <v>44985</v>
      </c>
      <c r="C48">
        <v>20</v>
      </c>
      <c r="D48">
        <v>2</v>
      </c>
      <c r="E48" t="str">
        <f>TEXT(ACTUAL_EXPENSES[[#This Row],[Date]],"mmm")</f>
        <v>Feb</v>
      </c>
    </row>
    <row r="49" spans="1:5" x14ac:dyDescent="0.2">
      <c r="A49" s="139" t="s">
        <v>41</v>
      </c>
      <c r="B49" s="140">
        <v>44958</v>
      </c>
      <c r="C49">
        <v>10</v>
      </c>
      <c r="D49">
        <v>2</v>
      </c>
      <c r="E49" t="str">
        <f>TEXT(ACTUAL_EXPENSES[[#This Row],[Date]],"mmm")</f>
        <v>Feb</v>
      </c>
    </row>
    <row r="50" spans="1:5" x14ac:dyDescent="0.2">
      <c r="A50" s="139" t="s">
        <v>41</v>
      </c>
      <c r="B50" s="140">
        <v>44959</v>
      </c>
      <c r="C50">
        <v>15</v>
      </c>
      <c r="D50">
        <v>2</v>
      </c>
      <c r="E50" t="str">
        <f>TEXT(ACTUAL_EXPENSES[[#This Row],[Date]],"mmm")</f>
        <v>Feb</v>
      </c>
    </row>
    <row r="51" spans="1:5" x14ac:dyDescent="0.2">
      <c r="A51" s="139" t="s">
        <v>41</v>
      </c>
      <c r="B51" s="140">
        <v>44961</v>
      </c>
      <c r="C51">
        <v>112</v>
      </c>
      <c r="D51">
        <v>2</v>
      </c>
      <c r="E51" t="str">
        <f>TEXT(ACTUAL_EXPENSES[[#This Row],[Date]],"mmm")</f>
        <v>Feb</v>
      </c>
    </row>
    <row r="52" spans="1:5" x14ac:dyDescent="0.2">
      <c r="A52" s="139" t="s">
        <v>41</v>
      </c>
      <c r="B52" s="140">
        <v>44963</v>
      </c>
      <c r="C52">
        <v>10</v>
      </c>
      <c r="D52">
        <v>2</v>
      </c>
      <c r="E52" t="str">
        <f>TEXT(ACTUAL_EXPENSES[[#This Row],[Date]],"mmm")</f>
        <v>Feb</v>
      </c>
    </row>
    <row r="53" spans="1:5" x14ac:dyDescent="0.2">
      <c r="A53" s="139" t="s">
        <v>41</v>
      </c>
      <c r="B53" s="140">
        <v>44964</v>
      </c>
      <c r="C53">
        <v>60</v>
      </c>
      <c r="D53">
        <v>2</v>
      </c>
      <c r="E53" t="str">
        <f>TEXT(ACTUAL_EXPENSES[[#This Row],[Date]],"mmm")</f>
        <v>Feb</v>
      </c>
    </row>
    <row r="54" spans="1:5" x14ac:dyDescent="0.2">
      <c r="A54" s="139" t="s">
        <v>41</v>
      </c>
      <c r="B54" s="140">
        <v>44965</v>
      </c>
      <c r="C54">
        <v>10</v>
      </c>
      <c r="D54">
        <v>2</v>
      </c>
      <c r="E54" t="str">
        <f>TEXT(ACTUAL_EXPENSES[[#This Row],[Date]],"mmm")</f>
        <v>Feb</v>
      </c>
    </row>
    <row r="55" spans="1:5" x14ac:dyDescent="0.2">
      <c r="A55" s="139" t="s">
        <v>41</v>
      </c>
      <c r="B55" s="140">
        <v>44966</v>
      </c>
      <c r="C55">
        <v>36.5</v>
      </c>
      <c r="D55">
        <v>2</v>
      </c>
      <c r="E55" t="str">
        <f>TEXT(ACTUAL_EXPENSES[[#This Row],[Date]],"mmm")</f>
        <v>Feb</v>
      </c>
    </row>
    <row r="56" spans="1:5" x14ac:dyDescent="0.2">
      <c r="A56" s="139" t="s">
        <v>41</v>
      </c>
      <c r="B56" s="140">
        <v>44969</v>
      </c>
      <c r="C56">
        <v>10</v>
      </c>
      <c r="D56">
        <v>2</v>
      </c>
      <c r="E56" t="str">
        <f>TEXT(ACTUAL_EXPENSES[[#This Row],[Date]],"mmm")</f>
        <v>Feb</v>
      </c>
    </row>
    <row r="57" spans="1:5" x14ac:dyDescent="0.2">
      <c r="A57" s="139" t="s">
        <v>41</v>
      </c>
      <c r="B57" s="140">
        <v>44971</v>
      </c>
      <c r="C57">
        <v>128</v>
      </c>
      <c r="D57">
        <v>2</v>
      </c>
      <c r="E57" t="str">
        <f>TEXT(ACTUAL_EXPENSES[[#This Row],[Date]],"mmm")</f>
        <v>Feb</v>
      </c>
    </row>
    <row r="58" spans="1:5" x14ac:dyDescent="0.2">
      <c r="A58" s="139" t="s">
        <v>41</v>
      </c>
      <c r="B58" s="140">
        <v>44972</v>
      </c>
      <c r="C58">
        <v>15</v>
      </c>
      <c r="D58">
        <v>2</v>
      </c>
      <c r="E58" t="str">
        <f>TEXT(ACTUAL_EXPENSES[[#This Row],[Date]],"mmm")</f>
        <v>Feb</v>
      </c>
    </row>
    <row r="59" spans="1:5" x14ac:dyDescent="0.2">
      <c r="A59" s="139" t="s">
        <v>41</v>
      </c>
      <c r="B59" s="140">
        <v>44975</v>
      </c>
      <c r="C59">
        <v>10</v>
      </c>
      <c r="D59">
        <v>2</v>
      </c>
      <c r="E59" t="str">
        <f>TEXT(ACTUAL_EXPENSES[[#This Row],[Date]],"mmm")</f>
        <v>Feb</v>
      </c>
    </row>
    <row r="60" spans="1:5" x14ac:dyDescent="0.2">
      <c r="A60" s="139" t="s">
        <v>41</v>
      </c>
      <c r="B60" s="140">
        <v>44978</v>
      </c>
      <c r="C60">
        <v>40</v>
      </c>
      <c r="D60">
        <v>2</v>
      </c>
      <c r="E60" t="str">
        <f>TEXT(ACTUAL_EXPENSES[[#This Row],[Date]],"mmm")</f>
        <v>Feb</v>
      </c>
    </row>
    <row r="61" spans="1:5" x14ac:dyDescent="0.2">
      <c r="A61" s="139" t="s">
        <v>41</v>
      </c>
      <c r="B61" s="140">
        <v>44979</v>
      </c>
      <c r="C61">
        <v>38</v>
      </c>
      <c r="D61">
        <v>2</v>
      </c>
      <c r="E61" t="str">
        <f>TEXT(ACTUAL_EXPENSES[[#This Row],[Date]],"mmm")</f>
        <v>Feb</v>
      </c>
    </row>
    <row r="62" spans="1:5" x14ac:dyDescent="0.2">
      <c r="A62" s="139" t="s">
        <v>41</v>
      </c>
      <c r="B62" s="140">
        <v>44980</v>
      </c>
      <c r="C62">
        <v>10</v>
      </c>
      <c r="D62">
        <v>2</v>
      </c>
      <c r="E62" t="str">
        <f>TEXT(ACTUAL_EXPENSES[[#This Row],[Date]],"mmm")</f>
        <v>Feb</v>
      </c>
    </row>
    <row r="63" spans="1:5" x14ac:dyDescent="0.2">
      <c r="A63" s="139" t="s">
        <v>41</v>
      </c>
      <c r="B63" s="140">
        <v>44981</v>
      </c>
      <c r="C63">
        <v>75</v>
      </c>
      <c r="D63">
        <v>2</v>
      </c>
      <c r="E63" t="str">
        <f>TEXT(ACTUAL_EXPENSES[[#This Row],[Date]],"mmm")</f>
        <v>Feb</v>
      </c>
    </row>
    <row r="64" spans="1:5" x14ac:dyDescent="0.2">
      <c r="A64" s="139" t="s">
        <v>41</v>
      </c>
      <c r="B64" s="140">
        <v>44985</v>
      </c>
      <c r="C64">
        <v>30</v>
      </c>
      <c r="D64">
        <v>2</v>
      </c>
      <c r="E64" t="str">
        <f>TEXT(ACTUAL_EXPENSES[[#This Row],[Date]],"mmm")</f>
        <v>Feb</v>
      </c>
    </row>
    <row r="65" spans="1:5" x14ac:dyDescent="0.2">
      <c r="A65" s="139" t="s">
        <v>61</v>
      </c>
      <c r="B65" s="140">
        <v>44961</v>
      </c>
      <c r="C65">
        <v>52</v>
      </c>
      <c r="D65">
        <v>2</v>
      </c>
      <c r="E65" t="str">
        <f>TEXT(ACTUAL_EXPENSES[[#This Row],[Date]],"mmm")</f>
        <v>Feb</v>
      </c>
    </row>
    <row r="66" spans="1:5" x14ac:dyDescent="0.2">
      <c r="A66" s="139" t="s">
        <v>61</v>
      </c>
      <c r="B66" s="140">
        <v>44966</v>
      </c>
      <c r="C66" t="s">
        <v>151</v>
      </c>
      <c r="D66">
        <v>2</v>
      </c>
      <c r="E66" t="str">
        <f>TEXT(ACTUAL_EXPENSES[[#This Row],[Date]],"mmm")</f>
        <v>Feb</v>
      </c>
    </row>
    <row r="67" spans="1:5" x14ac:dyDescent="0.2">
      <c r="A67" s="139" t="s">
        <v>61</v>
      </c>
      <c r="B67" s="140">
        <v>44973</v>
      </c>
      <c r="C67">
        <v>13.5</v>
      </c>
      <c r="D67">
        <v>2</v>
      </c>
      <c r="E67" t="str">
        <f>TEXT(ACTUAL_EXPENSES[[#This Row],[Date]],"mmm")</f>
        <v>Feb</v>
      </c>
    </row>
    <row r="68" spans="1:5" x14ac:dyDescent="0.2">
      <c r="A68" s="139" t="s">
        <v>61</v>
      </c>
      <c r="B68" s="140">
        <v>44980</v>
      </c>
      <c r="C68">
        <v>13.5</v>
      </c>
      <c r="D68">
        <v>2</v>
      </c>
      <c r="E68" t="str">
        <f>TEXT(ACTUAL_EXPENSES[[#This Row],[Date]],"mmm")</f>
        <v>Feb</v>
      </c>
    </row>
    <row r="69" spans="1:5" x14ac:dyDescent="0.2">
      <c r="A69" s="139" t="s">
        <v>61</v>
      </c>
      <c r="B69" s="140">
        <v>44984</v>
      </c>
      <c r="C69">
        <v>17</v>
      </c>
      <c r="D69">
        <v>2</v>
      </c>
      <c r="E69" t="str">
        <f>TEXT(ACTUAL_EXPENSES[[#This Row],[Date]],"mmm")</f>
        <v>Feb</v>
      </c>
    </row>
    <row r="70" spans="1:5" x14ac:dyDescent="0.2">
      <c r="A70" s="139" t="s">
        <v>45</v>
      </c>
      <c r="B70" s="140">
        <v>44979</v>
      </c>
      <c r="C70">
        <v>100</v>
      </c>
      <c r="D70">
        <v>2</v>
      </c>
      <c r="E70" t="str">
        <f>TEXT(ACTUAL_EXPENSES[[#This Row],[Date]],"mmm")</f>
        <v>Feb</v>
      </c>
    </row>
    <row r="71" spans="1:5" x14ac:dyDescent="0.2">
      <c r="A71" s="139" t="s">
        <v>53</v>
      </c>
      <c r="B71" s="140">
        <v>44966</v>
      </c>
      <c r="C71">
        <v>150</v>
      </c>
      <c r="D71">
        <v>2</v>
      </c>
      <c r="E71" t="str">
        <f>TEXT(ACTUAL_EXPENSES[[#This Row],[Date]],"mmm")</f>
        <v>Feb</v>
      </c>
    </row>
    <row r="72" spans="1:5" x14ac:dyDescent="0.2">
      <c r="A72" s="139" t="s">
        <v>53</v>
      </c>
      <c r="B72" s="140">
        <v>44985</v>
      </c>
      <c r="C72">
        <v>122</v>
      </c>
      <c r="D72">
        <v>2</v>
      </c>
      <c r="E72" t="str">
        <f>TEXT(ACTUAL_EXPENSES[[#This Row],[Date]],"mmm")</f>
        <v>Feb</v>
      </c>
    </row>
    <row r="73" spans="1:5" x14ac:dyDescent="0.2">
      <c r="A73" s="139" t="s">
        <v>39</v>
      </c>
      <c r="B73" s="140">
        <v>44958</v>
      </c>
      <c r="C73">
        <v>19</v>
      </c>
      <c r="D73">
        <v>2</v>
      </c>
      <c r="E73" t="str">
        <f>TEXT(ACTUAL_EXPENSES[[#This Row],[Date]],"mmm")</f>
        <v>Feb</v>
      </c>
    </row>
    <row r="74" spans="1:5" x14ac:dyDescent="0.2">
      <c r="A74" s="139" t="s">
        <v>39</v>
      </c>
      <c r="B74" s="140">
        <v>44960</v>
      </c>
      <c r="C74">
        <v>2.5</v>
      </c>
      <c r="D74">
        <v>2</v>
      </c>
      <c r="E74" t="str">
        <f>TEXT(ACTUAL_EXPENSES[[#This Row],[Date]],"mmm")</f>
        <v>Feb</v>
      </c>
    </row>
    <row r="75" spans="1:5" x14ac:dyDescent="0.2">
      <c r="A75" s="139" t="s">
        <v>39</v>
      </c>
      <c r="B75" s="140">
        <v>44961</v>
      </c>
      <c r="C75">
        <v>38</v>
      </c>
      <c r="D75">
        <v>2</v>
      </c>
      <c r="E75" t="str">
        <f>TEXT(ACTUAL_EXPENSES[[#This Row],[Date]],"mmm")</f>
        <v>Feb</v>
      </c>
    </row>
    <row r="76" spans="1:5" x14ac:dyDescent="0.2">
      <c r="A76" s="139" t="s">
        <v>39</v>
      </c>
      <c r="B76" s="140">
        <v>44967</v>
      </c>
      <c r="C76">
        <v>9.5</v>
      </c>
      <c r="D76">
        <v>2</v>
      </c>
      <c r="E76" t="str">
        <f>TEXT(ACTUAL_EXPENSES[[#This Row],[Date]],"mmm")</f>
        <v>Feb</v>
      </c>
    </row>
    <row r="77" spans="1:5" x14ac:dyDescent="0.2">
      <c r="A77" s="139" t="s">
        <v>39</v>
      </c>
      <c r="B77" s="140">
        <v>44969</v>
      </c>
      <c r="C77">
        <v>58</v>
      </c>
      <c r="D77">
        <v>2</v>
      </c>
      <c r="E77" t="str">
        <f>TEXT(ACTUAL_EXPENSES[[#This Row],[Date]],"mmm")</f>
        <v>Feb</v>
      </c>
    </row>
    <row r="78" spans="1:5" x14ac:dyDescent="0.2">
      <c r="A78" s="139" t="s">
        <v>39</v>
      </c>
      <c r="B78" s="140">
        <v>44971</v>
      </c>
      <c r="C78">
        <v>113</v>
      </c>
      <c r="D78">
        <v>2</v>
      </c>
      <c r="E78" t="str">
        <f>TEXT(ACTUAL_EXPENSES[[#This Row],[Date]],"mmm")</f>
        <v>Feb</v>
      </c>
    </row>
    <row r="79" spans="1:5" x14ac:dyDescent="0.2">
      <c r="A79" s="139" t="s">
        <v>39</v>
      </c>
      <c r="B79" s="140">
        <v>44972</v>
      </c>
      <c r="C79">
        <v>12</v>
      </c>
      <c r="D79">
        <v>2</v>
      </c>
      <c r="E79" t="str">
        <f>TEXT(ACTUAL_EXPENSES[[#This Row],[Date]],"mmm")</f>
        <v>Feb</v>
      </c>
    </row>
    <row r="80" spans="1:5" x14ac:dyDescent="0.2">
      <c r="A80" s="139" t="s">
        <v>39</v>
      </c>
      <c r="B80" s="140">
        <v>44978</v>
      </c>
      <c r="C80">
        <v>98</v>
      </c>
      <c r="D80">
        <v>2</v>
      </c>
      <c r="E80" t="str">
        <f>TEXT(ACTUAL_EXPENSES[[#This Row],[Date]],"mmm")</f>
        <v>Feb</v>
      </c>
    </row>
    <row r="81" spans="1:5" x14ac:dyDescent="0.2">
      <c r="A81" s="139" t="s">
        <v>39</v>
      </c>
      <c r="B81" s="140">
        <v>44979</v>
      </c>
      <c r="C81">
        <v>50</v>
      </c>
      <c r="D81">
        <v>2</v>
      </c>
      <c r="E81" t="str">
        <f>TEXT(ACTUAL_EXPENSES[[#This Row],[Date]],"mmm")</f>
        <v>Feb</v>
      </c>
    </row>
    <row r="82" spans="1:5" x14ac:dyDescent="0.2">
      <c r="A82" s="139" t="s">
        <v>39</v>
      </c>
      <c r="B82" s="140">
        <v>44980</v>
      </c>
      <c r="C82">
        <v>14</v>
      </c>
      <c r="D82">
        <v>2</v>
      </c>
      <c r="E82" t="str">
        <f>TEXT(ACTUAL_EXPENSES[[#This Row],[Date]],"mmm")</f>
        <v>Feb</v>
      </c>
    </row>
    <row r="83" spans="1:5" x14ac:dyDescent="0.2">
      <c r="A83" s="139" t="s">
        <v>39</v>
      </c>
      <c r="B83" s="140">
        <v>44981</v>
      </c>
      <c r="C83">
        <v>1</v>
      </c>
      <c r="D83">
        <v>2</v>
      </c>
      <c r="E83" t="str">
        <f>TEXT(ACTUAL_EXPENSES[[#This Row],[Date]],"mmm")</f>
        <v>Feb</v>
      </c>
    </row>
    <row r="84" spans="1:5" x14ac:dyDescent="0.2">
      <c r="A84" s="139" t="s">
        <v>39</v>
      </c>
      <c r="B84" s="140">
        <v>44982</v>
      </c>
      <c r="C84">
        <v>55</v>
      </c>
      <c r="D84">
        <v>2</v>
      </c>
      <c r="E84" t="str">
        <f>TEXT(ACTUAL_EXPENSES[[#This Row],[Date]],"mmm")</f>
        <v>Feb</v>
      </c>
    </row>
    <row r="85" spans="1:5" x14ac:dyDescent="0.2">
      <c r="A85" s="139" t="s">
        <v>39</v>
      </c>
      <c r="B85" s="140">
        <v>44983</v>
      </c>
      <c r="C85">
        <v>50</v>
      </c>
      <c r="D85">
        <v>2</v>
      </c>
      <c r="E85" t="str">
        <f>TEXT(ACTUAL_EXPENSES[[#This Row],[Date]],"mmm")</f>
        <v>Feb</v>
      </c>
    </row>
    <row r="86" spans="1:5" x14ac:dyDescent="0.2">
      <c r="A86" s="139" t="s">
        <v>39</v>
      </c>
      <c r="B86" s="140">
        <v>44985</v>
      </c>
      <c r="C86">
        <v>20</v>
      </c>
      <c r="D86">
        <v>2</v>
      </c>
      <c r="E86" t="str">
        <f>TEXT(ACTUAL_EXPENSES[[#This Row],[Date]],"mmm")</f>
        <v>Feb</v>
      </c>
    </row>
    <row r="87" spans="1:5" x14ac:dyDescent="0.2">
      <c r="A87" s="139" t="s">
        <v>127</v>
      </c>
      <c r="B87" s="140">
        <v>44966</v>
      </c>
      <c r="C87">
        <v>63</v>
      </c>
      <c r="D87">
        <v>2</v>
      </c>
      <c r="E87" t="str">
        <f>TEXT(ACTUAL_EXPENSES[[#This Row],[Date]],"mmm")</f>
        <v>Feb</v>
      </c>
    </row>
    <row r="88" spans="1:5" x14ac:dyDescent="0.2">
      <c r="A88" s="139" t="s">
        <v>127</v>
      </c>
      <c r="B88" s="140">
        <v>44969</v>
      </c>
      <c r="C88">
        <v>50</v>
      </c>
      <c r="D88">
        <v>2</v>
      </c>
      <c r="E88" t="str">
        <f>TEXT(ACTUAL_EXPENSES[[#This Row],[Date]],"mmm")</f>
        <v>Feb</v>
      </c>
    </row>
    <row r="89" spans="1:5" x14ac:dyDescent="0.2">
      <c r="A89" s="139" t="s">
        <v>48</v>
      </c>
      <c r="B89" s="140">
        <v>44983</v>
      </c>
      <c r="C89">
        <v>14</v>
      </c>
      <c r="D89">
        <v>2</v>
      </c>
      <c r="E89" t="str">
        <f>TEXT(ACTUAL_EXPENSES[[#This Row],[Date]],"mmm")</f>
        <v>Feb</v>
      </c>
    </row>
    <row r="90" spans="1:5" x14ac:dyDescent="0.2">
      <c r="A90" s="139" t="s">
        <v>49</v>
      </c>
      <c r="B90" s="140">
        <v>44967</v>
      </c>
      <c r="C90">
        <v>9</v>
      </c>
      <c r="D90">
        <v>2</v>
      </c>
      <c r="E90" t="str">
        <f>TEXT(ACTUAL_EXPENSES[[#This Row],[Date]],"mmm")</f>
        <v>Feb</v>
      </c>
    </row>
    <row r="91" spans="1:5" x14ac:dyDescent="0.2">
      <c r="A91" s="139" t="s">
        <v>126</v>
      </c>
      <c r="B91" s="140">
        <v>44979</v>
      </c>
      <c r="C91">
        <v>140</v>
      </c>
      <c r="D91">
        <v>2</v>
      </c>
      <c r="E91" t="str">
        <f>TEXT(ACTUAL_EXPENSES[[#This Row],[Date]],"mmm")</f>
        <v>Feb</v>
      </c>
    </row>
    <row r="92" spans="1:5" x14ac:dyDescent="0.2">
      <c r="A92" s="139" t="s">
        <v>51</v>
      </c>
      <c r="B92" s="140">
        <v>44980</v>
      </c>
      <c r="C92">
        <v>10</v>
      </c>
      <c r="D92">
        <v>2</v>
      </c>
      <c r="E92" t="str">
        <f>TEXT(ACTUAL_EXPENSES[[#This Row],[Date]],"mmm")</f>
        <v>Feb</v>
      </c>
    </row>
    <row r="93" spans="1:5" x14ac:dyDescent="0.2">
      <c r="A93" s="139" t="s">
        <v>189</v>
      </c>
      <c r="B93" s="140">
        <v>44986</v>
      </c>
      <c r="C93">
        <v>1</v>
      </c>
      <c r="D93">
        <v>3</v>
      </c>
      <c r="E93" t="str">
        <f>TEXT(ACTUAL_EXPENSES[[#This Row],[Date]],"mmm")</f>
        <v>Mar</v>
      </c>
    </row>
    <row r="94" spans="1:5" x14ac:dyDescent="0.2">
      <c r="A94" s="139" t="s">
        <v>189</v>
      </c>
      <c r="B94" s="140">
        <v>44987</v>
      </c>
      <c r="C94">
        <v>2</v>
      </c>
      <c r="D94">
        <v>3</v>
      </c>
      <c r="E94" t="str">
        <f>TEXT(ACTUAL_EXPENSES[[#This Row],[Date]],"mmm")</f>
        <v>Mar</v>
      </c>
    </row>
    <row r="95" spans="1:5" x14ac:dyDescent="0.2">
      <c r="A95" s="139" t="s">
        <v>189</v>
      </c>
      <c r="B95" s="140">
        <v>44988</v>
      </c>
      <c r="C95">
        <v>3</v>
      </c>
      <c r="D95">
        <v>3</v>
      </c>
      <c r="E95" t="str">
        <f>TEXT(ACTUAL_EXPENSES[[#This Row],[Date]],"mmm")</f>
        <v>Mar</v>
      </c>
    </row>
    <row r="96" spans="1:5" x14ac:dyDescent="0.2">
      <c r="A96" s="139" t="s">
        <v>189</v>
      </c>
      <c r="B96" s="140">
        <v>44989</v>
      </c>
      <c r="C96">
        <v>4</v>
      </c>
      <c r="D96">
        <v>3</v>
      </c>
      <c r="E96" t="str">
        <f>TEXT(ACTUAL_EXPENSES[[#This Row],[Date]],"mmm")</f>
        <v>Mar</v>
      </c>
    </row>
    <row r="97" spans="1:5" x14ac:dyDescent="0.2">
      <c r="A97" s="139" t="s">
        <v>189</v>
      </c>
      <c r="B97" s="140">
        <v>44990</v>
      </c>
      <c r="C97">
        <v>5</v>
      </c>
      <c r="D97">
        <v>3</v>
      </c>
      <c r="E97" t="str">
        <f>TEXT(ACTUAL_EXPENSES[[#This Row],[Date]],"mmm")</f>
        <v>Mar</v>
      </c>
    </row>
    <row r="98" spans="1:5" x14ac:dyDescent="0.2">
      <c r="A98" s="139" t="s">
        <v>189</v>
      </c>
      <c r="B98" s="140">
        <v>44991</v>
      </c>
      <c r="C98">
        <v>6</v>
      </c>
      <c r="D98">
        <v>3</v>
      </c>
      <c r="E98" t="str">
        <f>TEXT(ACTUAL_EXPENSES[[#This Row],[Date]],"mmm")</f>
        <v>Mar</v>
      </c>
    </row>
    <row r="99" spans="1:5" x14ac:dyDescent="0.2">
      <c r="A99" s="139" t="s">
        <v>189</v>
      </c>
      <c r="B99" s="140">
        <v>44992</v>
      </c>
      <c r="C99">
        <v>7</v>
      </c>
      <c r="D99">
        <v>3</v>
      </c>
      <c r="E99" t="str">
        <f>TEXT(ACTUAL_EXPENSES[[#This Row],[Date]],"mmm")</f>
        <v>Mar</v>
      </c>
    </row>
    <row r="100" spans="1:5" x14ac:dyDescent="0.2">
      <c r="A100" s="139" t="s">
        <v>189</v>
      </c>
      <c r="B100" s="140">
        <v>44993</v>
      </c>
      <c r="C100">
        <v>8</v>
      </c>
      <c r="D100">
        <v>3</v>
      </c>
      <c r="E100" t="str">
        <f>TEXT(ACTUAL_EXPENSES[[#This Row],[Date]],"mmm")</f>
        <v>Mar</v>
      </c>
    </row>
    <row r="101" spans="1:5" x14ac:dyDescent="0.2">
      <c r="A101" s="139" t="s">
        <v>189</v>
      </c>
      <c r="B101" s="140">
        <v>44994</v>
      </c>
      <c r="C101">
        <v>9</v>
      </c>
      <c r="D101">
        <v>3</v>
      </c>
      <c r="E101" t="str">
        <f>TEXT(ACTUAL_EXPENSES[[#This Row],[Date]],"mmm")</f>
        <v>Mar</v>
      </c>
    </row>
    <row r="102" spans="1:5" x14ac:dyDescent="0.2">
      <c r="A102" s="139" t="s">
        <v>189</v>
      </c>
      <c r="B102" s="140">
        <v>44995</v>
      </c>
      <c r="C102">
        <v>10</v>
      </c>
      <c r="D102">
        <v>3</v>
      </c>
      <c r="E102" t="str">
        <f>TEXT(ACTUAL_EXPENSES[[#This Row],[Date]],"mmm")</f>
        <v>Mar</v>
      </c>
    </row>
    <row r="103" spans="1:5" x14ac:dyDescent="0.2">
      <c r="A103" s="139" t="s">
        <v>189</v>
      </c>
      <c r="B103" s="140">
        <v>44996</v>
      </c>
      <c r="C103">
        <v>11</v>
      </c>
      <c r="D103">
        <v>3</v>
      </c>
      <c r="E103" t="str">
        <f>TEXT(ACTUAL_EXPENSES[[#This Row],[Date]],"mmm")</f>
        <v>Mar</v>
      </c>
    </row>
    <row r="104" spans="1:5" x14ac:dyDescent="0.2">
      <c r="A104" s="139" t="s">
        <v>189</v>
      </c>
      <c r="B104" s="140">
        <v>44997</v>
      </c>
      <c r="C104">
        <v>12</v>
      </c>
      <c r="D104">
        <v>3</v>
      </c>
      <c r="E104" t="str">
        <f>TEXT(ACTUAL_EXPENSES[[#This Row],[Date]],"mmm")</f>
        <v>Mar</v>
      </c>
    </row>
    <row r="105" spans="1:5" x14ac:dyDescent="0.2">
      <c r="A105" s="139" t="s">
        <v>189</v>
      </c>
      <c r="B105" s="140">
        <v>44998</v>
      </c>
      <c r="C105">
        <v>13</v>
      </c>
      <c r="D105">
        <v>3</v>
      </c>
      <c r="E105" t="str">
        <f>TEXT(ACTUAL_EXPENSES[[#This Row],[Date]],"mmm")</f>
        <v>Mar</v>
      </c>
    </row>
    <row r="106" spans="1:5" x14ac:dyDescent="0.2">
      <c r="A106" s="139" t="s">
        <v>189</v>
      </c>
      <c r="B106" s="140">
        <v>44999</v>
      </c>
      <c r="C106">
        <v>14</v>
      </c>
      <c r="D106">
        <v>3</v>
      </c>
      <c r="E106" t="str">
        <f>TEXT(ACTUAL_EXPENSES[[#This Row],[Date]],"mmm")</f>
        <v>Mar</v>
      </c>
    </row>
    <row r="107" spans="1:5" x14ac:dyDescent="0.2">
      <c r="A107" s="139" t="s">
        <v>189</v>
      </c>
      <c r="B107" s="140">
        <v>45000</v>
      </c>
      <c r="C107">
        <v>15</v>
      </c>
      <c r="D107">
        <v>3</v>
      </c>
      <c r="E107" t="str">
        <f>TEXT(ACTUAL_EXPENSES[[#This Row],[Date]],"mmm")</f>
        <v>Mar</v>
      </c>
    </row>
    <row r="108" spans="1:5" x14ac:dyDescent="0.2">
      <c r="A108" s="139" t="s">
        <v>189</v>
      </c>
      <c r="B108" s="140">
        <v>45001</v>
      </c>
      <c r="C108">
        <v>16</v>
      </c>
      <c r="D108">
        <v>3</v>
      </c>
      <c r="E108" t="str">
        <f>TEXT(ACTUAL_EXPENSES[[#This Row],[Date]],"mmm")</f>
        <v>Mar</v>
      </c>
    </row>
    <row r="109" spans="1:5" x14ac:dyDescent="0.2">
      <c r="A109" s="139" t="s">
        <v>189</v>
      </c>
      <c r="B109" s="140">
        <v>45002</v>
      </c>
      <c r="C109">
        <v>17</v>
      </c>
      <c r="D109">
        <v>3</v>
      </c>
      <c r="E109" t="str">
        <f>TEXT(ACTUAL_EXPENSES[[#This Row],[Date]],"mmm")</f>
        <v>Mar</v>
      </c>
    </row>
    <row r="110" spans="1:5" x14ac:dyDescent="0.2">
      <c r="A110" s="139" t="s">
        <v>189</v>
      </c>
      <c r="B110" s="140">
        <v>45003</v>
      </c>
      <c r="C110">
        <v>18</v>
      </c>
      <c r="D110">
        <v>3</v>
      </c>
      <c r="E110" t="str">
        <f>TEXT(ACTUAL_EXPENSES[[#This Row],[Date]],"mmm")</f>
        <v>Mar</v>
      </c>
    </row>
    <row r="111" spans="1:5" x14ac:dyDescent="0.2">
      <c r="A111" s="139" t="s">
        <v>189</v>
      </c>
      <c r="B111" s="140">
        <v>45004</v>
      </c>
      <c r="C111">
        <v>19</v>
      </c>
      <c r="D111">
        <v>3</v>
      </c>
      <c r="E111" t="str">
        <f>TEXT(ACTUAL_EXPENSES[[#This Row],[Date]],"mmm")</f>
        <v>Mar</v>
      </c>
    </row>
    <row r="112" spans="1:5" x14ac:dyDescent="0.2">
      <c r="A112" s="139" t="s">
        <v>189</v>
      </c>
      <c r="B112" s="140">
        <v>45005</v>
      </c>
      <c r="C112">
        <v>20</v>
      </c>
      <c r="D112">
        <v>3</v>
      </c>
      <c r="E112" t="str">
        <f>TEXT(ACTUAL_EXPENSES[[#This Row],[Date]],"mmm")</f>
        <v>Mar</v>
      </c>
    </row>
    <row r="113" spans="1:5" x14ac:dyDescent="0.2">
      <c r="A113" s="139" t="s">
        <v>189</v>
      </c>
      <c r="B113" s="140">
        <v>45006</v>
      </c>
      <c r="C113">
        <v>21</v>
      </c>
      <c r="D113">
        <v>3</v>
      </c>
      <c r="E113" t="str">
        <f>TEXT(ACTUAL_EXPENSES[[#This Row],[Date]],"mmm")</f>
        <v>Mar</v>
      </c>
    </row>
    <row r="114" spans="1:5" x14ac:dyDescent="0.2">
      <c r="A114" s="139" t="s">
        <v>189</v>
      </c>
      <c r="B114" s="140">
        <v>45007</v>
      </c>
      <c r="C114">
        <v>22</v>
      </c>
      <c r="D114">
        <v>3</v>
      </c>
      <c r="E114" t="str">
        <f>TEXT(ACTUAL_EXPENSES[[#This Row],[Date]],"mmm")</f>
        <v>Mar</v>
      </c>
    </row>
    <row r="115" spans="1:5" x14ac:dyDescent="0.2">
      <c r="A115" s="139" t="s">
        <v>189</v>
      </c>
      <c r="B115" s="140">
        <v>45008</v>
      </c>
      <c r="C115">
        <v>23</v>
      </c>
      <c r="D115">
        <v>3</v>
      </c>
      <c r="E115" t="str">
        <f>TEXT(ACTUAL_EXPENSES[[#This Row],[Date]],"mmm")</f>
        <v>Mar</v>
      </c>
    </row>
    <row r="116" spans="1:5" x14ac:dyDescent="0.2">
      <c r="A116" s="139" t="s">
        <v>189</v>
      </c>
      <c r="B116" s="140">
        <v>45009</v>
      </c>
      <c r="C116">
        <v>24</v>
      </c>
      <c r="D116">
        <v>3</v>
      </c>
      <c r="E116" t="str">
        <f>TEXT(ACTUAL_EXPENSES[[#This Row],[Date]],"mmm")</f>
        <v>Mar</v>
      </c>
    </row>
    <row r="117" spans="1:5" x14ac:dyDescent="0.2">
      <c r="A117" s="139" t="s">
        <v>189</v>
      </c>
      <c r="B117" s="140">
        <v>45010</v>
      </c>
      <c r="C117">
        <v>25</v>
      </c>
      <c r="D117">
        <v>3</v>
      </c>
      <c r="E117" t="str">
        <f>TEXT(ACTUAL_EXPENSES[[#This Row],[Date]],"mmm")</f>
        <v>Mar</v>
      </c>
    </row>
    <row r="118" spans="1:5" x14ac:dyDescent="0.2">
      <c r="A118" s="139" t="s">
        <v>189</v>
      </c>
      <c r="B118" s="140">
        <v>45011</v>
      </c>
      <c r="C118">
        <v>26</v>
      </c>
      <c r="D118">
        <v>3</v>
      </c>
      <c r="E118" t="str">
        <f>TEXT(ACTUAL_EXPENSES[[#This Row],[Date]],"mmm")</f>
        <v>Mar</v>
      </c>
    </row>
    <row r="119" spans="1:5" x14ac:dyDescent="0.2">
      <c r="A119" s="139" t="s">
        <v>189</v>
      </c>
      <c r="B119" s="140">
        <v>45012</v>
      </c>
      <c r="C119">
        <v>27</v>
      </c>
      <c r="D119">
        <v>3</v>
      </c>
      <c r="E119" t="str">
        <f>TEXT(ACTUAL_EXPENSES[[#This Row],[Date]],"mmm")</f>
        <v>Mar</v>
      </c>
    </row>
    <row r="120" spans="1:5" x14ac:dyDescent="0.2">
      <c r="A120" s="139" t="s">
        <v>189</v>
      </c>
      <c r="B120" s="140">
        <v>45013</v>
      </c>
      <c r="C120">
        <v>28</v>
      </c>
      <c r="D120">
        <v>3</v>
      </c>
      <c r="E120" t="str">
        <f>TEXT(ACTUAL_EXPENSES[[#This Row],[Date]],"mmm")</f>
        <v>Mar</v>
      </c>
    </row>
    <row r="121" spans="1:5" x14ac:dyDescent="0.2">
      <c r="A121" s="139" t="s">
        <v>189</v>
      </c>
      <c r="B121" s="140">
        <v>45014</v>
      </c>
      <c r="C121">
        <v>29</v>
      </c>
      <c r="D121">
        <v>3</v>
      </c>
      <c r="E121" t="str">
        <f>TEXT(ACTUAL_EXPENSES[[#This Row],[Date]],"mmm")</f>
        <v>Mar</v>
      </c>
    </row>
    <row r="122" spans="1:5" x14ac:dyDescent="0.2">
      <c r="A122" s="139" t="s">
        <v>189</v>
      </c>
      <c r="B122" s="140">
        <v>45015</v>
      </c>
      <c r="C122">
        <v>30</v>
      </c>
      <c r="D122">
        <v>3</v>
      </c>
      <c r="E122" t="str">
        <f>TEXT(ACTUAL_EXPENSES[[#This Row],[Date]],"mmm")</f>
        <v>Mar</v>
      </c>
    </row>
    <row r="123" spans="1:5" x14ac:dyDescent="0.2">
      <c r="A123" s="139" t="s">
        <v>189</v>
      </c>
      <c r="B123" s="140">
        <v>45016</v>
      </c>
      <c r="C123">
        <v>31</v>
      </c>
      <c r="D123">
        <v>3</v>
      </c>
      <c r="E123" t="str">
        <f>TEXT(ACTUAL_EXPENSES[[#This Row],[Date]],"mmm")</f>
        <v>Mar</v>
      </c>
    </row>
    <row r="124" spans="1:5" x14ac:dyDescent="0.2">
      <c r="A124" s="139" t="s">
        <v>46</v>
      </c>
      <c r="B124" s="140">
        <v>44986</v>
      </c>
      <c r="C124">
        <v>0</v>
      </c>
      <c r="D124">
        <v>3</v>
      </c>
      <c r="E124" t="str">
        <f>TEXT(ACTUAL_EXPENSES[[#This Row],[Date]],"mmm")</f>
        <v>Mar</v>
      </c>
    </row>
    <row r="125" spans="1:5" x14ac:dyDescent="0.2">
      <c r="A125" s="139" t="s">
        <v>46</v>
      </c>
      <c r="B125" s="140">
        <v>44987</v>
      </c>
      <c r="C125">
        <v>0</v>
      </c>
      <c r="D125">
        <v>3</v>
      </c>
      <c r="E125" t="str">
        <f>TEXT(ACTUAL_EXPENSES[[#This Row],[Date]],"mmm")</f>
        <v>Mar</v>
      </c>
    </row>
    <row r="126" spans="1:5" x14ac:dyDescent="0.2">
      <c r="A126" s="139" t="s">
        <v>46</v>
      </c>
      <c r="B126" s="140">
        <v>45007</v>
      </c>
      <c r="C126">
        <v>1400</v>
      </c>
      <c r="D126">
        <v>3</v>
      </c>
      <c r="E126" t="str">
        <f>TEXT(ACTUAL_EXPENSES[[#This Row],[Date]],"mmm")</f>
        <v>Mar</v>
      </c>
    </row>
    <row r="127" spans="1:5" x14ac:dyDescent="0.2">
      <c r="A127" s="139" t="s">
        <v>47</v>
      </c>
      <c r="B127" s="140">
        <v>44986</v>
      </c>
      <c r="C127">
        <v>0</v>
      </c>
      <c r="D127">
        <v>3</v>
      </c>
      <c r="E127" t="str">
        <f>TEXT(ACTUAL_EXPENSES[[#This Row],[Date]],"mmm")</f>
        <v>Mar</v>
      </c>
    </row>
    <row r="128" spans="1:5" x14ac:dyDescent="0.2">
      <c r="A128" s="139" t="s">
        <v>52</v>
      </c>
      <c r="B128" s="140">
        <v>44986</v>
      </c>
      <c r="C128">
        <v>0</v>
      </c>
      <c r="D128">
        <v>3</v>
      </c>
      <c r="E128" t="str">
        <f>TEXT(ACTUAL_EXPENSES[[#This Row],[Date]],"mmm")</f>
        <v>Mar</v>
      </c>
    </row>
    <row r="129" spans="1:5" x14ac:dyDescent="0.2">
      <c r="A129" s="139" t="s">
        <v>52</v>
      </c>
      <c r="B129" s="140">
        <v>44987</v>
      </c>
      <c r="C129">
        <v>0</v>
      </c>
      <c r="D129">
        <v>3</v>
      </c>
      <c r="E129" t="str">
        <f>TEXT(ACTUAL_EXPENSES[[#This Row],[Date]],"mmm")</f>
        <v>Mar</v>
      </c>
    </row>
    <row r="130" spans="1:5" x14ac:dyDescent="0.2">
      <c r="A130" s="139" t="s">
        <v>52</v>
      </c>
      <c r="B130" s="140">
        <v>44989</v>
      </c>
      <c r="C130">
        <v>300</v>
      </c>
      <c r="D130">
        <v>3</v>
      </c>
      <c r="E130" t="str">
        <f>TEXT(ACTUAL_EXPENSES[[#This Row],[Date]],"mmm")</f>
        <v>Mar</v>
      </c>
    </row>
    <row r="131" spans="1:5" x14ac:dyDescent="0.2">
      <c r="A131" s="139" t="s">
        <v>52</v>
      </c>
      <c r="B131" s="140">
        <v>44993</v>
      </c>
      <c r="C131">
        <v>6</v>
      </c>
      <c r="D131">
        <v>3</v>
      </c>
      <c r="E131" t="str">
        <f>TEXT(ACTUAL_EXPENSES[[#This Row],[Date]],"mmm")</f>
        <v>Mar</v>
      </c>
    </row>
    <row r="132" spans="1:5" x14ac:dyDescent="0.2">
      <c r="A132" s="139" t="s">
        <v>44</v>
      </c>
      <c r="B132" s="140">
        <v>44986</v>
      </c>
      <c r="C132">
        <v>0</v>
      </c>
      <c r="D132">
        <v>3</v>
      </c>
      <c r="E132" t="str">
        <f>TEXT(ACTUAL_EXPENSES[[#This Row],[Date]],"mmm")</f>
        <v>Mar</v>
      </c>
    </row>
    <row r="133" spans="1:5" x14ac:dyDescent="0.2">
      <c r="A133" s="139" t="s">
        <v>44</v>
      </c>
      <c r="B133" s="140">
        <v>45008</v>
      </c>
      <c r="C133">
        <v>350</v>
      </c>
      <c r="D133">
        <v>3</v>
      </c>
      <c r="E133" t="str">
        <f>TEXT(ACTUAL_EXPENSES[[#This Row],[Date]],"mmm")</f>
        <v>Mar</v>
      </c>
    </row>
    <row r="134" spans="1:5" x14ac:dyDescent="0.2">
      <c r="A134" s="139" t="s">
        <v>161</v>
      </c>
      <c r="B134" s="140">
        <v>44986</v>
      </c>
      <c r="C134">
        <v>0</v>
      </c>
      <c r="D134">
        <v>3</v>
      </c>
      <c r="E134" t="str">
        <f>TEXT(ACTUAL_EXPENSES[[#This Row],[Date]],"mmm")</f>
        <v>Mar</v>
      </c>
    </row>
    <row r="135" spans="1:5" x14ac:dyDescent="0.2">
      <c r="A135" s="139" t="s">
        <v>161</v>
      </c>
      <c r="B135" s="140">
        <v>44987</v>
      </c>
      <c r="C135">
        <v>0</v>
      </c>
      <c r="D135">
        <v>3</v>
      </c>
      <c r="E135" t="str">
        <f>TEXT(ACTUAL_EXPENSES[[#This Row],[Date]],"mmm")</f>
        <v>Mar</v>
      </c>
    </row>
    <row r="136" spans="1:5" x14ac:dyDescent="0.2">
      <c r="A136" s="139" t="s">
        <v>161</v>
      </c>
      <c r="B136" s="140">
        <v>45012</v>
      </c>
      <c r="C136">
        <v>500</v>
      </c>
      <c r="D136">
        <v>3</v>
      </c>
      <c r="E136" t="str">
        <f>TEXT(ACTUAL_EXPENSES[[#This Row],[Date]],"mmm")</f>
        <v>Mar</v>
      </c>
    </row>
    <row r="137" spans="1:5" x14ac:dyDescent="0.2">
      <c r="A137" s="139" t="s">
        <v>41</v>
      </c>
      <c r="B137" s="140">
        <v>44986</v>
      </c>
      <c r="C137">
        <v>10</v>
      </c>
      <c r="D137">
        <v>3</v>
      </c>
      <c r="E137" t="str">
        <f>TEXT(ACTUAL_EXPENSES[[#This Row],[Date]],"mmm")</f>
        <v>Mar</v>
      </c>
    </row>
    <row r="138" spans="1:5" x14ac:dyDescent="0.2">
      <c r="A138" s="139" t="s">
        <v>41</v>
      </c>
      <c r="B138" s="140">
        <v>44987</v>
      </c>
      <c r="C138">
        <v>11</v>
      </c>
      <c r="D138">
        <v>3</v>
      </c>
      <c r="E138" t="str">
        <f>TEXT(ACTUAL_EXPENSES[[#This Row],[Date]],"mmm")</f>
        <v>Mar</v>
      </c>
    </row>
    <row r="139" spans="1:5" x14ac:dyDescent="0.2">
      <c r="A139" s="139" t="s">
        <v>41</v>
      </c>
      <c r="B139" s="140">
        <v>44988</v>
      </c>
      <c r="C139">
        <v>106</v>
      </c>
      <c r="D139">
        <v>3</v>
      </c>
      <c r="E139" t="str">
        <f>TEXT(ACTUAL_EXPENSES[[#This Row],[Date]],"mmm")</f>
        <v>Mar</v>
      </c>
    </row>
    <row r="140" spans="1:5" x14ac:dyDescent="0.2">
      <c r="A140" s="139" t="s">
        <v>41</v>
      </c>
      <c r="B140" s="140">
        <v>44989</v>
      </c>
      <c r="C140">
        <v>124</v>
      </c>
      <c r="D140">
        <v>3</v>
      </c>
      <c r="E140" t="str">
        <f>TEXT(ACTUAL_EXPENSES[[#This Row],[Date]],"mmm")</f>
        <v>Mar</v>
      </c>
    </row>
    <row r="141" spans="1:5" x14ac:dyDescent="0.2">
      <c r="A141" s="139" t="s">
        <v>41</v>
      </c>
      <c r="B141" s="140">
        <v>44990</v>
      </c>
      <c r="C141">
        <v>146.9</v>
      </c>
      <c r="D141">
        <v>3</v>
      </c>
      <c r="E141" t="str">
        <f>TEXT(ACTUAL_EXPENSES[[#This Row],[Date]],"mmm")</f>
        <v>Mar</v>
      </c>
    </row>
    <row r="142" spans="1:5" x14ac:dyDescent="0.2">
      <c r="A142" s="139" t="s">
        <v>41</v>
      </c>
      <c r="B142" s="140">
        <v>44991</v>
      </c>
      <c r="C142">
        <v>40</v>
      </c>
      <c r="D142">
        <v>3</v>
      </c>
      <c r="E142" t="str">
        <f>TEXT(ACTUAL_EXPENSES[[#This Row],[Date]],"mmm")</f>
        <v>Mar</v>
      </c>
    </row>
    <row r="143" spans="1:5" x14ac:dyDescent="0.2">
      <c r="A143" s="139" t="s">
        <v>41</v>
      </c>
      <c r="B143" s="140">
        <v>44992</v>
      </c>
      <c r="C143">
        <v>41</v>
      </c>
      <c r="D143">
        <v>3</v>
      </c>
      <c r="E143" t="str">
        <f>TEXT(ACTUAL_EXPENSES[[#This Row],[Date]],"mmm")</f>
        <v>Mar</v>
      </c>
    </row>
    <row r="144" spans="1:5" x14ac:dyDescent="0.2">
      <c r="A144" s="139" t="s">
        <v>41</v>
      </c>
      <c r="B144" s="140">
        <v>44994</v>
      </c>
      <c r="C144">
        <v>9</v>
      </c>
      <c r="D144">
        <v>3</v>
      </c>
      <c r="E144" t="str">
        <f>TEXT(ACTUAL_EXPENSES[[#This Row],[Date]],"mmm")</f>
        <v>Mar</v>
      </c>
    </row>
    <row r="145" spans="1:5" x14ac:dyDescent="0.2">
      <c r="A145" s="139" t="s">
        <v>41</v>
      </c>
      <c r="B145" s="140">
        <v>44995</v>
      </c>
      <c r="C145">
        <v>163</v>
      </c>
      <c r="D145">
        <v>3</v>
      </c>
      <c r="E145" t="str">
        <f>TEXT(ACTUAL_EXPENSES[[#This Row],[Date]],"mmm")</f>
        <v>Mar</v>
      </c>
    </row>
    <row r="146" spans="1:5" x14ac:dyDescent="0.2">
      <c r="A146" s="139" t="s">
        <v>41</v>
      </c>
      <c r="B146" s="140">
        <v>44996</v>
      </c>
      <c r="C146">
        <v>10</v>
      </c>
      <c r="D146">
        <v>3</v>
      </c>
      <c r="E146" t="str">
        <f>TEXT(ACTUAL_EXPENSES[[#This Row],[Date]],"mmm")</f>
        <v>Mar</v>
      </c>
    </row>
    <row r="147" spans="1:5" x14ac:dyDescent="0.2">
      <c r="A147" s="139" t="s">
        <v>41</v>
      </c>
      <c r="B147" s="140">
        <v>44997</v>
      </c>
      <c r="C147">
        <v>10</v>
      </c>
      <c r="D147">
        <v>3</v>
      </c>
      <c r="E147" t="str">
        <f>TEXT(ACTUAL_EXPENSES[[#This Row],[Date]],"mmm")</f>
        <v>Mar</v>
      </c>
    </row>
    <row r="148" spans="1:5" x14ac:dyDescent="0.2">
      <c r="A148" s="139" t="s">
        <v>41</v>
      </c>
      <c r="B148" s="140">
        <v>44998</v>
      </c>
      <c r="C148">
        <v>2</v>
      </c>
      <c r="D148">
        <v>3</v>
      </c>
      <c r="E148" t="str">
        <f>TEXT(ACTUAL_EXPENSES[[#This Row],[Date]],"mmm")</f>
        <v>Mar</v>
      </c>
    </row>
    <row r="149" spans="1:5" x14ac:dyDescent="0.2">
      <c r="A149" s="139" t="s">
        <v>41</v>
      </c>
      <c r="B149" s="140">
        <v>44999</v>
      </c>
      <c r="C149">
        <v>19</v>
      </c>
      <c r="D149">
        <v>3</v>
      </c>
      <c r="E149" t="str">
        <f>TEXT(ACTUAL_EXPENSES[[#This Row],[Date]],"mmm")</f>
        <v>Mar</v>
      </c>
    </row>
    <row r="150" spans="1:5" x14ac:dyDescent="0.2">
      <c r="A150" s="139" t="s">
        <v>41</v>
      </c>
      <c r="B150" s="140">
        <v>45000</v>
      </c>
      <c r="C150">
        <v>5.5</v>
      </c>
      <c r="D150">
        <v>3</v>
      </c>
      <c r="E150" t="str">
        <f>TEXT(ACTUAL_EXPENSES[[#This Row],[Date]],"mmm")</f>
        <v>Mar</v>
      </c>
    </row>
    <row r="151" spans="1:5" x14ac:dyDescent="0.2">
      <c r="A151" s="139" t="s">
        <v>41</v>
      </c>
      <c r="B151" s="140">
        <v>45001</v>
      </c>
      <c r="C151">
        <v>10</v>
      </c>
      <c r="D151">
        <v>3</v>
      </c>
      <c r="E151" t="str">
        <f>TEXT(ACTUAL_EXPENSES[[#This Row],[Date]],"mmm")</f>
        <v>Mar</v>
      </c>
    </row>
    <row r="152" spans="1:5" x14ac:dyDescent="0.2">
      <c r="A152" s="139" t="s">
        <v>41</v>
      </c>
      <c r="B152" s="140">
        <v>45002</v>
      </c>
      <c r="C152">
        <v>120.5</v>
      </c>
      <c r="D152">
        <v>3</v>
      </c>
      <c r="E152" t="str">
        <f>TEXT(ACTUAL_EXPENSES[[#This Row],[Date]],"mmm")</f>
        <v>Mar</v>
      </c>
    </row>
    <row r="153" spans="1:5" x14ac:dyDescent="0.2">
      <c r="A153" s="139" t="s">
        <v>41</v>
      </c>
      <c r="B153" s="140">
        <v>45003</v>
      </c>
      <c r="C153">
        <v>72.400000000000006</v>
      </c>
      <c r="D153">
        <v>3</v>
      </c>
      <c r="E153" t="str">
        <f>TEXT(ACTUAL_EXPENSES[[#This Row],[Date]],"mmm")</f>
        <v>Mar</v>
      </c>
    </row>
    <row r="154" spans="1:5" x14ac:dyDescent="0.2">
      <c r="A154" s="139" t="s">
        <v>41</v>
      </c>
      <c r="B154" s="140">
        <v>45004</v>
      </c>
      <c r="C154">
        <v>115</v>
      </c>
      <c r="D154">
        <v>3</v>
      </c>
      <c r="E154" t="str">
        <f>TEXT(ACTUAL_EXPENSES[[#This Row],[Date]],"mmm")</f>
        <v>Mar</v>
      </c>
    </row>
    <row r="155" spans="1:5" x14ac:dyDescent="0.2">
      <c r="A155" s="139" t="s">
        <v>41</v>
      </c>
      <c r="B155" s="140">
        <v>45005</v>
      </c>
      <c r="C155">
        <v>4</v>
      </c>
      <c r="D155">
        <v>3</v>
      </c>
      <c r="E155" t="str">
        <f>TEXT(ACTUAL_EXPENSES[[#This Row],[Date]],"mmm")</f>
        <v>Mar</v>
      </c>
    </row>
    <row r="156" spans="1:5" x14ac:dyDescent="0.2">
      <c r="A156" s="139" t="s">
        <v>41</v>
      </c>
      <c r="B156" s="140">
        <v>45006</v>
      </c>
      <c r="C156">
        <v>85</v>
      </c>
      <c r="D156">
        <v>3</v>
      </c>
      <c r="E156" t="str">
        <f>TEXT(ACTUAL_EXPENSES[[#This Row],[Date]],"mmm")</f>
        <v>Mar</v>
      </c>
    </row>
    <row r="157" spans="1:5" x14ac:dyDescent="0.2">
      <c r="A157" s="139" t="s">
        <v>41</v>
      </c>
      <c r="B157" s="140">
        <v>45007</v>
      </c>
      <c r="C157">
        <v>7</v>
      </c>
      <c r="D157">
        <v>3</v>
      </c>
      <c r="E157" t="str">
        <f>TEXT(ACTUAL_EXPENSES[[#This Row],[Date]],"mmm")</f>
        <v>Mar</v>
      </c>
    </row>
    <row r="158" spans="1:5" x14ac:dyDescent="0.2">
      <c r="A158" s="139" t="s">
        <v>41</v>
      </c>
      <c r="B158" s="140">
        <v>45008</v>
      </c>
      <c r="C158">
        <v>6</v>
      </c>
      <c r="D158">
        <v>3</v>
      </c>
      <c r="E158" t="str">
        <f>TEXT(ACTUAL_EXPENSES[[#This Row],[Date]],"mmm")</f>
        <v>Mar</v>
      </c>
    </row>
    <row r="159" spans="1:5" x14ac:dyDescent="0.2">
      <c r="A159" s="139" t="s">
        <v>41</v>
      </c>
      <c r="B159" s="140">
        <v>45009</v>
      </c>
      <c r="C159">
        <v>4</v>
      </c>
      <c r="D159">
        <v>3</v>
      </c>
      <c r="E159" t="str">
        <f>TEXT(ACTUAL_EXPENSES[[#This Row],[Date]],"mmm")</f>
        <v>Mar</v>
      </c>
    </row>
    <row r="160" spans="1:5" x14ac:dyDescent="0.2">
      <c r="A160" s="139" t="s">
        <v>41</v>
      </c>
      <c r="B160" s="140">
        <v>45010</v>
      </c>
      <c r="C160">
        <v>56</v>
      </c>
      <c r="D160">
        <v>3</v>
      </c>
      <c r="E160" t="str">
        <f>TEXT(ACTUAL_EXPENSES[[#This Row],[Date]],"mmm")</f>
        <v>Mar</v>
      </c>
    </row>
    <row r="161" spans="1:5" x14ac:dyDescent="0.2">
      <c r="A161" s="139" t="s">
        <v>41</v>
      </c>
      <c r="B161" s="140">
        <v>45011</v>
      </c>
      <c r="C161">
        <v>10</v>
      </c>
      <c r="D161">
        <v>3</v>
      </c>
      <c r="E161" t="str">
        <f>TEXT(ACTUAL_EXPENSES[[#This Row],[Date]],"mmm")</f>
        <v>Mar</v>
      </c>
    </row>
    <row r="162" spans="1:5" x14ac:dyDescent="0.2">
      <c r="A162" s="139" t="s">
        <v>41</v>
      </c>
      <c r="B162" s="140">
        <v>45012</v>
      </c>
      <c r="C162">
        <v>8</v>
      </c>
      <c r="D162">
        <v>3</v>
      </c>
      <c r="E162" t="str">
        <f>TEXT(ACTUAL_EXPENSES[[#This Row],[Date]],"mmm")</f>
        <v>Mar</v>
      </c>
    </row>
    <row r="163" spans="1:5" x14ac:dyDescent="0.2">
      <c r="A163" s="139" t="s">
        <v>41</v>
      </c>
      <c r="B163" s="140">
        <v>45013</v>
      </c>
      <c r="C163">
        <v>4.5</v>
      </c>
      <c r="D163">
        <v>3</v>
      </c>
      <c r="E163" t="str">
        <f>TEXT(ACTUAL_EXPENSES[[#This Row],[Date]],"mmm")</f>
        <v>Mar</v>
      </c>
    </row>
    <row r="164" spans="1:5" x14ac:dyDescent="0.2">
      <c r="A164" s="139" t="s">
        <v>41</v>
      </c>
      <c r="B164" s="140">
        <v>45014</v>
      </c>
      <c r="C164">
        <v>21</v>
      </c>
      <c r="D164">
        <v>3</v>
      </c>
      <c r="E164" t="str">
        <f>TEXT(ACTUAL_EXPENSES[[#This Row],[Date]],"mmm")</f>
        <v>Mar</v>
      </c>
    </row>
    <row r="165" spans="1:5" x14ac:dyDescent="0.2">
      <c r="A165" s="139" t="s">
        <v>41</v>
      </c>
      <c r="B165" s="140">
        <v>45015</v>
      </c>
      <c r="C165">
        <v>11.5</v>
      </c>
      <c r="D165">
        <v>3</v>
      </c>
      <c r="E165" t="str">
        <f>TEXT(ACTUAL_EXPENSES[[#This Row],[Date]],"mmm")</f>
        <v>Mar</v>
      </c>
    </row>
    <row r="166" spans="1:5" x14ac:dyDescent="0.2">
      <c r="A166" s="139" t="s">
        <v>41</v>
      </c>
      <c r="B166" s="140">
        <v>45016</v>
      </c>
      <c r="C166">
        <v>20.5</v>
      </c>
      <c r="D166">
        <v>3</v>
      </c>
      <c r="E166" t="str">
        <f>TEXT(ACTUAL_EXPENSES[[#This Row],[Date]],"mmm")</f>
        <v>Mar</v>
      </c>
    </row>
    <row r="167" spans="1:5" x14ac:dyDescent="0.2">
      <c r="A167" s="139" t="s">
        <v>61</v>
      </c>
      <c r="B167" s="140">
        <v>45000</v>
      </c>
      <c r="C167">
        <v>245</v>
      </c>
      <c r="D167">
        <v>3</v>
      </c>
      <c r="E167" t="str">
        <f>TEXT(ACTUAL_EXPENSES[[#This Row],[Date]],"mmm")</f>
        <v>Mar</v>
      </c>
    </row>
    <row r="168" spans="1:5" x14ac:dyDescent="0.2">
      <c r="A168" s="139" t="s">
        <v>45</v>
      </c>
      <c r="B168" s="140">
        <v>44986</v>
      </c>
      <c r="C168">
        <v>0</v>
      </c>
      <c r="D168">
        <v>3</v>
      </c>
      <c r="E168" t="str">
        <f>TEXT(ACTUAL_EXPENSES[[#This Row],[Date]],"mmm")</f>
        <v>Mar</v>
      </c>
    </row>
    <row r="169" spans="1:5" x14ac:dyDescent="0.2">
      <c r="A169" s="139" t="s">
        <v>45</v>
      </c>
      <c r="B169" s="140">
        <v>44994</v>
      </c>
      <c r="C169">
        <v>14</v>
      </c>
      <c r="D169">
        <v>3</v>
      </c>
      <c r="E169" t="str">
        <f>TEXT(ACTUAL_EXPENSES[[#This Row],[Date]],"mmm")</f>
        <v>Mar</v>
      </c>
    </row>
    <row r="170" spans="1:5" x14ac:dyDescent="0.2">
      <c r="A170" s="139" t="s">
        <v>45</v>
      </c>
      <c r="B170" s="140">
        <v>45007</v>
      </c>
      <c r="C170">
        <v>40</v>
      </c>
      <c r="D170">
        <v>3</v>
      </c>
      <c r="E170" t="str">
        <f>TEXT(ACTUAL_EXPENSES[[#This Row],[Date]],"mmm")</f>
        <v>Mar</v>
      </c>
    </row>
    <row r="171" spans="1:5" x14ac:dyDescent="0.2">
      <c r="A171" s="139" t="s">
        <v>45</v>
      </c>
      <c r="B171" s="140">
        <v>45008</v>
      </c>
      <c r="C171">
        <v>200</v>
      </c>
      <c r="D171">
        <v>3</v>
      </c>
      <c r="E171" t="str">
        <f>TEXT(ACTUAL_EXPENSES[[#This Row],[Date]],"mmm")</f>
        <v>Mar</v>
      </c>
    </row>
    <row r="172" spans="1:5" x14ac:dyDescent="0.2">
      <c r="A172" s="139" t="s">
        <v>45</v>
      </c>
      <c r="B172" s="140">
        <v>45012</v>
      </c>
      <c r="C172">
        <v>10</v>
      </c>
      <c r="D172">
        <v>3</v>
      </c>
      <c r="E172" t="str">
        <f>TEXT(ACTUAL_EXPENSES[[#This Row],[Date]],"mmm")</f>
        <v>Mar</v>
      </c>
    </row>
    <row r="173" spans="1:5" x14ac:dyDescent="0.2">
      <c r="A173" s="139" t="s">
        <v>128</v>
      </c>
      <c r="B173" s="140">
        <v>44986</v>
      </c>
      <c r="C173">
        <v>0</v>
      </c>
      <c r="D173">
        <v>3</v>
      </c>
      <c r="E173" t="str">
        <f>TEXT(ACTUAL_EXPENSES[[#This Row],[Date]],"mmm")</f>
        <v>Mar</v>
      </c>
    </row>
    <row r="174" spans="1:5" x14ac:dyDescent="0.2">
      <c r="A174" s="139" t="s">
        <v>128</v>
      </c>
      <c r="B174" s="140">
        <v>44987</v>
      </c>
      <c r="C174">
        <v>0</v>
      </c>
      <c r="D174">
        <v>3</v>
      </c>
      <c r="E174" t="str">
        <f>TEXT(ACTUAL_EXPENSES[[#This Row],[Date]],"mmm")</f>
        <v>Mar</v>
      </c>
    </row>
    <row r="175" spans="1:5" x14ac:dyDescent="0.2">
      <c r="A175" s="139" t="s">
        <v>42</v>
      </c>
      <c r="B175" s="140">
        <v>44986</v>
      </c>
      <c r="C175">
        <v>0</v>
      </c>
      <c r="D175">
        <v>3</v>
      </c>
      <c r="E175" t="str">
        <f>TEXT(ACTUAL_EXPENSES[[#This Row],[Date]],"mmm")</f>
        <v>Mar</v>
      </c>
    </row>
    <row r="176" spans="1:5" x14ac:dyDescent="0.2">
      <c r="A176" s="139" t="s">
        <v>43</v>
      </c>
      <c r="B176" s="140">
        <v>44986</v>
      </c>
      <c r="C176">
        <v>0</v>
      </c>
      <c r="D176">
        <v>3</v>
      </c>
      <c r="E176" t="str">
        <f>TEXT(ACTUAL_EXPENSES[[#This Row],[Date]],"mmm")</f>
        <v>Mar</v>
      </c>
    </row>
    <row r="177" spans="1:5" x14ac:dyDescent="0.2">
      <c r="A177" s="139" t="s">
        <v>43</v>
      </c>
      <c r="B177" s="140">
        <v>45001</v>
      </c>
      <c r="C177">
        <v>200</v>
      </c>
      <c r="D177">
        <v>3</v>
      </c>
      <c r="E177" t="str">
        <f>TEXT(ACTUAL_EXPENSES[[#This Row],[Date]],"mmm")</f>
        <v>Mar</v>
      </c>
    </row>
    <row r="178" spans="1:5" x14ac:dyDescent="0.2">
      <c r="A178" s="139" t="s">
        <v>53</v>
      </c>
      <c r="B178" s="140">
        <v>44986</v>
      </c>
      <c r="C178">
        <v>0</v>
      </c>
      <c r="D178">
        <v>3</v>
      </c>
      <c r="E178" t="str">
        <f>TEXT(ACTUAL_EXPENSES[[#This Row],[Date]],"mmm")</f>
        <v>Mar</v>
      </c>
    </row>
    <row r="179" spans="1:5" x14ac:dyDescent="0.2">
      <c r="A179" s="139" t="s">
        <v>53</v>
      </c>
      <c r="B179" s="140">
        <v>44988</v>
      </c>
      <c r="C179">
        <v>30</v>
      </c>
      <c r="D179">
        <v>3</v>
      </c>
      <c r="E179" t="str">
        <f>TEXT(ACTUAL_EXPENSES[[#This Row],[Date]],"mmm")</f>
        <v>Mar</v>
      </c>
    </row>
    <row r="180" spans="1:5" x14ac:dyDescent="0.2">
      <c r="A180" s="139" t="s">
        <v>53</v>
      </c>
      <c r="B180" s="140">
        <v>44991</v>
      </c>
      <c r="C180">
        <v>39</v>
      </c>
      <c r="D180">
        <v>3</v>
      </c>
      <c r="E180" t="str">
        <f>TEXT(ACTUAL_EXPENSES[[#This Row],[Date]],"mmm")</f>
        <v>Mar</v>
      </c>
    </row>
    <row r="181" spans="1:5" x14ac:dyDescent="0.2">
      <c r="A181" s="139" t="s">
        <v>53</v>
      </c>
      <c r="B181" s="140">
        <v>45009</v>
      </c>
      <c r="C181">
        <v>48.48</v>
      </c>
      <c r="D181">
        <v>3</v>
      </c>
      <c r="E181" t="str">
        <f>TEXT(ACTUAL_EXPENSES[[#This Row],[Date]],"mmm")</f>
        <v>Mar</v>
      </c>
    </row>
    <row r="182" spans="1:5" x14ac:dyDescent="0.2">
      <c r="A182" s="139" t="s">
        <v>39</v>
      </c>
      <c r="B182" s="140">
        <v>44986</v>
      </c>
      <c r="C182">
        <v>38</v>
      </c>
      <c r="D182">
        <v>3</v>
      </c>
      <c r="E182" t="str">
        <f>TEXT(ACTUAL_EXPENSES[[#This Row],[Date]],"mmm")</f>
        <v>Mar</v>
      </c>
    </row>
    <row r="183" spans="1:5" x14ac:dyDescent="0.2">
      <c r="A183" s="139" t="s">
        <v>39</v>
      </c>
      <c r="B183" s="140">
        <v>44987</v>
      </c>
      <c r="C183">
        <v>38</v>
      </c>
      <c r="D183">
        <v>3</v>
      </c>
      <c r="E183" t="str">
        <f>TEXT(ACTUAL_EXPENSES[[#This Row],[Date]],"mmm")</f>
        <v>Mar</v>
      </c>
    </row>
    <row r="184" spans="1:5" x14ac:dyDescent="0.2">
      <c r="A184" s="139" t="s">
        <v>39</v>
      </c>
      <c r="B184" s="140">
        <v>44988</v>
      </c>
      <c r="C184">
        <v>29</v>
      </c>
      <c r="D184">
        <v>3</v>
      </c>
      <c r="E184" t="str">
        <f>TEXT(ACTUAL_EXPENSES[[#This Row],[Date]],"mmm")</f>
        <v>Mar</v>
      </c>
    </row>
    <row r="185" spans="1:5" x14ac:dyDescent="0.2">
      <c r="A185" s="139" t="s">
        <v>39</v>
      </c>
      <c r="B185" s="140">
        <v>44989</v>
      </c>
      <c r="C185">
        <v>8</v>
      </c>
      <c r="D185">
        <v>3</v>
      </c>
      <c r="E185" t="str">
        <f>TEXT(ACTUAL_EXPENSES[[#This Row],[Date]],"mmm")</f>
        <v>Mar</v>
      </c>
    </row>
    <row r="186" spans="1:5" x14ac:dyDescent="0.2">
      <c r="A186" s="139" t="s">
        <v>39</v>
      </c>
      <c r="B186" s="140">
        <v>44992</v>
      </c>
      <c r="C186">
        <v>14</v>
      </c>
      <c r="D186">
        <v>3</v>
      </c>
      <c r="E186" t="str">
        <f>TEXT(ACTUAL_EXPENSES[[#This Row],[Date]],"mmm")</f>
        <v>Mar</v>
      </c>
    </row>
    <row r="187" spans="1:5" x14ac:dyDescent="0.2">
      <c r="A187" s="139" t="s">
        <v>39</v>
      </c>
      <c r="B187" s="140">
        <v>44994</v>
      </c>
      <c r="C187">
        <v>4.5</v>
      </c>
      <c r="D187">
        <v>3</v>
      </c>
      <c r="E187" t="str">
        <f>TEXT(ACTUAL_EXPENSES[[#This Row],[Date]],"mmm")</f>
        <v>Mar</v>
      </c>
    </row>
    <row r="188" spans="1:5" x14ac:dyDescent="0.2">
      <c r="A188" s="139" t="s">
        <v>39</v>
      </c>
      <c r="B188" s="140">
        <v>44995</v>
      </c>
      <c r="C188">
        <v>56</v>
      </c>
      <c r="D188">
        <v>3</v>
      </c>
      <c r="E188" t="str">
        <f>TEXT(ACTUAL_EXPENSES[[#This Row],[Date]],"mmm")</f>
        <v>Mar</v>
      </c>
    </row>
    <row r="189" spans="1:5" x14ac:dyDescent="0.2">
      <c r="A189" s="139" t="s">
        <v>39</v>
      </c>
      <c r="B189" s="140">
        <v>44999</v>
      </c>
      <c r="C189">
        <v>21</v>
      </c>
      <c r="D189">
        <v>3</v>
      </c>
      <c r="E189" t="str">
        <f>TEXT(ACTUAL_EXPENSES[[#This Row],[Date]],"mmm")</f>
        <v>Mar</v>
      </c>
    </row>
    <row r="190" spans="1:5" x14ac:dyDescent="0.2">
      <c r="A190" s="139" t="s">
        <v>39</v>
      </c>
      <c r="B190" s="140">
        <v>45000</v>
      </c>
      <c r="C190">
        <v>13</v>
      </c>
      <c r="D190">
        <v>3</v>
      </c>
      <c r="E190" t="str">
        <f>TEXT(ACTUAL_EXPENSES[[#This Row],[Date]],"mmm")</f>
        <v>Mar</v>
      </c>
    </row>
    <row r="191" spans="1:5" x14ac:dyDescent="0.2">
      <c r="A191" s="139" t="s">
        <v>39</v>
      </c>
      <c r="B191" s="140">
        <v>45002</v>
      </c>
      <c r="C191">
        <v>10</v>
      </c>
      <c r="D191">
        <v>3</v>
      </c>
      <c r="E191" t="str">
        <f>TEXT(ACTUAL_EXPENSES[[#This Row],[Date]],"mmm")</f>
        <v>Mar</v>
      </c>
    </row>
    <row r="192" spans="1:5" x14ac:dyDescent="0.2">
      <c r="A192" s="139" t="s">
        <v>39</v>
      </c>
      <c r="B192" s="140">
        <v>45005</v>
      </c>
      <c r="C192">
        <v>22.5</v>
      </c>
      <c r="D192">
        <v>3</v>
      </c>
      <c r="E192" t="str">
        <f>TEXT(ACTUAL_EXPENSES[[#This Row],[Date]],"mmm")</f>
        <v>Mar</v>
      </c>
    </row>
    <row r="193" spans="1:5" x14ac:dyDescent="0.2">
      <c r="A193" s="139" t="s">
        <v>39</v>
      </c>
      <c r="B193" s="140">
        <v>45006</v>
      </c>
      <c r="C193">
        <v>33</v>
      </c>
      <c r="D193">
        <v>3</v>
      </c>
      <c r="E193" t="str">
        <f>TEXT(ACTUAL_EXPENSES[[#This Row],[Date]],"mmm")</f>
        <v>Mar</v>
      </c>
    </row>
    <row r="194" spans="1:5" x14ac:dyDescent="0.2">
      <c r="A194" s="139" t="s">
        <v>39</v>
      </c>
      <c r="B194" s="140">
        <v>45007</v>
      </c>
      <c r="C194">
        <v>25.5</v>
      </c>
      <c r="D194">
        <v>3</v>
      </c>
      <c r="E194" t="str">
        <f>TEXT(ACTUAL_EXPENSES[[#This Row],[Date]],"mmm")</f>
        <v>Mar</v>
      </c>
    </row>
    <row r="195" spans="1:5" x14ac:dyDescent="0.2">
      <c r="A195" s="139" t="s">
        <v>39</v>
      </c>
      <c r="B195" s="140">
        <v>45008</v>
      </c>
      <c r="C195">
        <v>5.5</v>
      </c>
      <c r="D195">
        <v>3</v>
      </c>
      <c r="E195" t="str">
        <f>TEXT(ACTUAL_EXPENSES[[#This Row],[Date]],"mmm")</f>
        <v>Mar</v>
      </c>
    </row>
    <row r="196" spans="1:5" x14ac:dyDescent="0.2">
      <c r="A196" s="139" t="s">
        <v>39</v>
      </c>
      <c r="B196" s="140">
        <v>45009</v>
      </c>
      <c r="C196">
        <v>62</v>
      </c>
      <c r="D196">
        <v>3</v>
      </c>
      <c r="E196" t="str">
        <f>TEXT(ACTUAL_EXPENSES[[#This Row],[Date]],"mmm")</f>
        <v>Mar</v>
      </c>
    </row>
    <row r="197" spans="1:5" x14ac:dyDescent="0.2">
      <c r="A197" s="139" t="s">
        <v>39</v>
      </c>
      <c r="B197" s="140">
        <v>45010</v>
      </c>
      <c r="C197">
        <v>89</v>
      </c>
      <c r="D197">
        <v>3</v>
      </c>
      <c r="E197" t="str">
        <f>TEXT(ACTUAL_EXPENSES[[#This Row],[Date]],"mmm")</f>
        <v>Mar</v>
      </c>
    </row>
    <row r="198" spans="1:5" x14ac:dyDescent="0.2">
      <c r="A198" s="139" t="s">
        <v>39</v>
      </c>
      <c r="B198" s="140">
        <v>45012</v>
      </c>
      <c r="C198">
        <v>25.5</v>
      </c>
      <c r="D198">
        <v>3</v>
      </c>
      <c r="E198" t="str">
        <f>TEXT(ACTUAL_EXPENSES[[#This Row],[Date]],"mmm")</f>
        <v>Mar</v>
      </c>
    </row>
    <row r="199" spans="1:5" x14ac:dyDescent="0.2">
      <c r="A199" s="139" t="s">
        <v>39</v>
      </c>
      <c r="B199" s="140">
        <v>45013</v>
      </c>
      <c r="C199">
        <v>26</v>
      </c>
      <c r="D199">
        <v>3</v>
      </c>
      <c r="E199" t="str">
        <f>TEXT(ACTUAL_EXPENSES[[#This Row],[Date]],"mmm")</f>
        <v>Mar</v>
      </c>
    </row>
    <row r="200" spans="1:5" x14ac:dyDescent="0.2">
      <c r="A200" s="139" t="s">
        <v>39</v>
      </c>
      <c r="B200" s="140">
        <v>45014</v>
      </c>
      <c r="C200">
        <v>27</v>
      </c>
      <c r="D200">
        <v>3</v>
      </c>
      <c r="E200" t="str">
        <f>TEXT(ACTUAL_EXPENSES[[#This Row],[Date]],"mmm")</f>
        <v>Mar</v>
      </c>
    </row>
    <row r="201" spans="1:5" x14ac:dyDescent="0.2">
      <c r="A201" s="139" t="s">
        <v>39</v>
      </c>
      <c r="B201" s="140">
        <v>45015</v>
      </c>
      <c r="C201">
        <v>26</v>
      </c>
      <c r="D201">
        <v>3</v>
      </c>
      <c r="E201" t="str">
        <f>TEXT(ACTUAL_EXPENSES[[#This Row],[Date]],"mmm")</f>
        <v>Mar</v>
      </c>
    </row>
    <row r="202" spans="1:5" x14ac:dyDescent="0.2">
      <c r="A202" s="139" t="s">
        <v>39</v>
      </c>
      <c r="B202" s="140">
        <v>45016</v>
      </c>
      <c r="C202">
        <v>70.5</v>
      </c>
      <c r="D202">
        <v>3</v>
      </c>
      <c r="E202" t="str">
        <f>TEXT(ACTUAL_EXPENSES[[#This Row],[Date]],"mmm")</f>
        <v>Mar</v>
      </c>
    </row>
    <row r="203" spans="1:5" x14ac:dyDescent="0.2">
      <c r="A203" s="139" t="s">
        <v>127</v>
      </c>
      <c r="B203" s="140">
        <v>44986</v>
      </c>
      <c r="C203">
        <v>0</v>
      </c>
      <c r="D203">
        <v>3</v>
      </c>
      <c r="E203" t="str">
        <f>TEXT(ACTUAL_EXPENSES[[#This Row],[Date]],"mmm")</f>
        <v>Mar</v>
      </c>
    </row>
    <row r="204" spans="1:5" x14ac:dyDescent="0.2">
      <c r="A204" s="139" t="s">
        <v>127</v>
      </c>
      <c r="B204" s="140">
        <v>44992</v>
      </c>
      <c r="C204">
        <v>95</v>
      </c>
      <c r="D204">
        <v>3</v>
      </c>
      <c r="E204" t="str">
        <f>TEXT(ACTUAL_EXPENSES[[#This Row],[Date]],"mmm")</f>
        <v>Mar</v>
      </c>
    </row>
    <row r="205" spans="1:5" x14ac:dyDescent="0.2">
      <c r="A205" s="139" t="s">
        <v>127</v>
      </c>
      <c r="B205" s="140">
        <v>44995</v>
      </c>
      <c r="C205">
        <v>50</v>
      </c>
      <c r="D205">
        <v>3</v>
      </c>
      <c r="E205" t="str">
        <f>TEXT(ACTUAL_EXPENSES[[#This Row],[Date]],"mmm")</f>
        <v>Mar</v>
      </c>
    </row>
    <row r="206" spans="1:5" x14ac:dyDescent="0.2">
      <c r="A206" s="139" t="s">
        <v>127</v>
      </c>
      <c r="B206" s="140">
        <v>44996</v>
      </c>
      <c r="C206">
        <v>65</v>
      </c>
      <c r="D206">
        <v>3</v>
      </c>
      <c r="E206" t="str">
        <f>TEXT(ACTUAL_EXPENSES[[#This Row],[Date]],"mmm")</f>
        <v>Mar</v>
      </c>
    </row>
    <row r="207" spans="1:5" x14ac:dyDescent="0.2">
      <c r="A207" s="139" t="s">
        <v>127</v>
      </c>
      <c r="B207" s="140">
        <v>44999</v>
      </c>
      <c r="C207">
        <v>2</v>
      </c>
      <c r="D207">
        <v>3</v>
      </c>
      <c r="E207" t="str">
        <f>TEXT(ACTUAL_EXPENSES[[#This Row],[Date]],"mmm")</f>
        <v>Mar</v>
      </c>
    </row>
    <row r="208" spans="1:5" x14ac:dyDescent="0.2">
      <c r="A208" s="139" t="s">
        <v>48</v>
      </c>
      <c r="B208" s="140">
        <v>44986</v>
      </c>
      <c r="C208">
        <v>0</v>
      </c>
      <c r="D208">
        <v>3</v>
      </c>
      <c r="E208" t="str">
        <f>TEXT(ACTUAL_EXPENSES[[#This Row],[Date]],"mmm")</f>
        <v>Mar</v>
      </c>
    </row>
    <row r="209" spans="1:5" x14ac:dyDescent="0.2">
      <c r="A209" s="139" t="s">
        <v>48</v>
      </c>
      <c r="B209" s="140">
        <v>45011</v>
      </c>
      <c r="C209">
        <v>13.25</v>
      </c>
      <c r="D209">
        <v>3</v>
      </c>
      <c r="E209" t="str">
        <f>TEXT(ACTUAL_EXPENSES[[#This Row],[Date]],"mmm")</f>
        <v>Mar</v>
      </c>
    </row>
    <row r="210" spans="1:5" x14ac:dyDescent="0.2">
      <c r="A210" s="139" t="s">
        <v>49</v>
      </c>
      <c r="B210" s="140">
        <v>44986</v>
      </c>
      <c r="C210">
        <v>0</v>
      </c>
      <c r="D210">
        <v>3</v>
      </c>
      <c r="E210" t="str">
        <f>TEXT(ACTUAL_EXPENSES[[#This Row],[Date]],"mmm")</f>
        <v>Mar</v>
      </c>
    </row>
    <row r="211" spans="1:5" x14ac:dyDescent="0.2">
      <c r="A211" s="139" t="s">
        <v>49</v>
      </c>
      <c r="B211" s="140">
        <v>44995</v>
      </c>
      <c r="C211">
        <v>9</v>
      </c>
      <c r="D211">
        <v>3</v>
      </c>
      <c r="E211" t="str">
        <f>TEXT(ACTUAL_EXPENSES[[#This Row],[Date]],"mmm")</f>
        <v>Mar</v>
      </c>
    </row>
    <row r="212" spans="1:5" x14ac:dyDescent="0.2">
      <c r="A212" s="139" t="s">
        <v>126</v>
      </c>
      <c r="B212" s="140">
        <v>44986</v>
      </c>
      <c r="C212">
        <v>0</v>
      </c>
      <c r="D212">
        <v>3</v>
      </c>
      <c r="E212" t="str">
        <f>TEXT(ACTUAL_EXPENSES[[#This Row],[Date]],"mmm")</f>
        <v>Mar</v>
      </c>
    </row>
    <row r="213" spans="1:5" x14ac:dyDescent="0.2">
      <c r="A213" s="139" t="s">
        <v>126</v>
      </c>
      <c r="B213" s="140">
        <v>45004</v>
      </c>
      <c r="C213">
        <v>108.57</v>
      </c>
      <c r="D213">
        <v>3</v>
      </c>
      <c r="E213" t="str">
        <f>TEXT(ACTUAL_EXPENSES[[#This Row],[Date]],"mmm")</f>
        <v>Mar</v>
      </c>
    </row>
    <row r="214" spans="1:5" x14ac:dyDescent="0.2">
      <c r="A214" s="139" t="s">
        <v>50</v>
      </c>
      <c r="B214" s="140">
        <v>44986</v>
      </c>
      <c r="C214">
        <v>0</v>
      </c>
      <c r="D214">
        <v>3</v>
      </c>
      <c r="E214" t="str">
        <f>TEXT(ACTUAL_EXPENSES[[#This Row],[Date]],"mmm")</f>
        <v>Mar</v>
      </c>
    </row>
    <row r="215" spans="1:5" x14ac:dyDescent="0.2">
      <c r="A215" s="139" t="s">
        <v>73</v>
      </c>
      <c r="B215" s="140">
        <v>44986</v>
      </c>
      <c r="C215">
        <v>0</v>
      </c>
      <c r="D215">
        <v>3</v>
      </c>
      <c r="E215" t="str">
        <f>TEXT(ACTUAL_EXPENSES[[#This Row],[Date]],"mmm")</f>
        <v>Mar</v>
      </c>
    </row>
    <row r="216" spans="1:5" x14ac:dyDescent="0.2">
      <c r="A216" s="139" t="s">
        <v>51</v>
      </c>
      <c r="B216" s="140">
        <v>44986</v>
      </c>
      <c r="C216">
        <v>0</v>
      </c>
      <c r="D216">
        <v>3</v>
      </c>
      <c r="E216" t="str">
        <f>TEXT(ACTUAL_EXPENSES[[#This Row],[Date]],"mmm")</f>
        <v>Mar</v>
      </c>
    </row>
    <row r="217" spans="1:5" x14ac:dyDescent="0.2">
      <c r="A217" s="139" t="s">
        <v>51</v>
      </c>
      <c r="B217" s="140">
        <v>45006</v>
      </c>
      <c r="C217">
        <v>10</v>
      </c>
      <c r="D217">
        <v>3</v>
      </c>
      <c r="E217" t="str">
        <f>TEXT(ACTUAL_EXPENSES[[#This Row],[Date]],"mmm")</f>
        <v>Mar</v>
      </c>
    </row>
    <row r="218" spans="1:5" x14ac:dyDescent="0.2">
      <c r="A218" s="139" t="s">
        <v>51</v>
      </c>
      <c r="B218" s="140">
        <v>45007</v>
      </c>
      <c r="C218">
        <v>14</v>
      </c>
      <c r="D218">
        <v>3</v>
      </c>
      <c r="E218" t="str">
        <f>TEXT(ACTUAL_EXPENSES[[#This Row],[Date]],"mmm")</f>
        <v>Mar</v>
      </c>
    </row>
    <row r="219" spans="1:5" x14ac:dyDescent="0.2">
      <c r="A219" s="139" t="s">
        <v>51</v>
      </c>
      <c r="B219" s="140">
        <v>45008</v>
      </c>
      <c r="C219">
        <v>4</v>
      </c>
      <c r="D219">
        <v>3</v>
      </c>
      <c r="E219" t="str">
        <f>TEXT(ACTUAL_EXPENSES[[#This Row],[Date]],"mmm")</f>
        <v>Mar</v>
      </c>
    </row>
    <row r="220" spans="1:5" x14ac:dyDescent="0.2">
      <c r="A220" s="139" t="s">
        <v>190</v>
      </c>
      <c r="B220" s="140">
        <v>45017</v>
      </c>
      <c r="C220">
        <v>1</v>
      </c>
      <c r="D220">
        <v>4</v>
      </c>
      <c r="E220" t="str">
        <f>TEXT(ACTUAL_EXPENSES[[#This Row],[Date]],"mmm")</f>
        <v>Apr</v>
      </c>
    </row>
    <row r="221" spans="1:5" x14ac:dyDescent="0.2">
      <c r="A221" s="139" t="s">
        <v>190</v>
      </c>
      <c r="B221" s="140">
        <v>45018</v>
      </c>
      <c r="C221">
        <v>2</v>
      </c>
      <c r="D221">
        <v>4</v>
      </c>
      <c r="E221" t="str">
        <f>TEXT(ACTUAL_EXPENSES[[#This Row],[Date]],"mmm")</f>
        <v>Apr</v>
      </c>
    </row>
    <row r="222" spans="1:5" x14ac:dyDescent="0.2">
      <c r="A222" s="139" t="s">
        <v>190</v>
      </c>
      <c r="B222" s="140">
        <v>45019</v>
      </c>
      <c r="C222">
        <v>3</v>
      </c>
      <c r="D222">
        <v>4</v>
      </c>
      <c r="E222" t="str">
        <f>TEXT(ACTUAL_EXPENSES[[#This Row],[Date]],"mmm")</f>
        <v>Apr</v>
      </c>
    </row>
    <row r="223" spans="1:5" x14ac:dyDescent="0.2">
      <c r="A223" s="139" t="s">
        <v>190</v>
      </c>
      <c r="B223" s="140">
        <v>45020</v>
      </c>
      <c r="C223">
        <v>4</v>
      </c>
      <c r="D223">
        <v>4</v>
      </c>
      <c r="E223" t="str">
        <f>TEXT(ACTUAL_EXPENSES[[#This Row],[Date]],"mmm")</f>
        <v>Apr</v>
      </c>
    </row>
    <row r="224" spans="1:5" x14ac:dyDescent="0.2">
      <c r="A224" s="139" t="s">
        <v>190</v>
      </c>
      <c r="B224" s="140">
        <v>45021</v>
      </c>
      <c r="C224">
        <v>5</v>
      </c>
      <c r="D224">
        <v>4</v>
      </c>
      <c r="E224" t="str">
        <f>TEXT(ACTUAL_EXPENSES[[#This Row],[Date]],"mmm")</f>
        <v>Apr</v>
      </c>
    </row>
    <row r="225" spans="1:5" x14ac:dyDescent="0.2">
      <c r="A225" s="139" t="s">
        <v>190</v>
      </c>
      <c r="B225" s="140">
        <v>45022</v>
      </c>
      <c r="C225">
        <v>6</v>
      </c>
      <c r="D225">
        <v>4</v>
      </c>
      <c r="E225" t="str">
        <f>TEXT(ACTUAL_EXPENSES[[#This Row],[Date]],"mmm")</f>
        <v>Apr</v>
      </c>
    </row>
    <row r="226" spans="1:5" x14ac:dyDescent="0.2">
      <c r="A226" s="139" t="s">
        <v>190</v>
      </c>
      <c r="B226" s="140">
        <v>45023</v>
      </c>
      <c r="C226">
        <v>7</v>
      </c>
      <c r="D226">
        <v>4</v>
      </c>
      <c r="E226" t="str">
        <f>TEXT(ACTUAL_EXPENSES[[#This Row],[Date]],"mmm")</f>
        <v>Apr</v>
      </c>
    </row>
    <row r="227" spans="1:5" x14ac:dyDescent="0.2">
      <c r="A227" s="139" t="s">
        <v>190</v>
      </c>
      <c r="B227" s="140">
        <v>45024</v>
      </c>
      <c r="C227">
        <v>8</v>
      </c>
      <c r="D227">
        <v>4</v>
      </c>
      <c r="E227" t="str">
        <f>TEXT(ACTUAL_EXPENSES[[#This Row],[Date]],"mmm")</f>
        <v>Apr</v>
      </c>
    </row>
    <row r="228" spans="1:5" x14ac:dyDescent="0.2">
      <c r="A228" s="139" t="s">
        <v>190</v>
      </c>
      <c r="B228" s="140">
        <v>45025</v>
      </c>
      <c r="C228">
        <v>9</v>
      </c>
      <c r="D228">
        <v>4</v>
      </c>
      <c r="E228" t="str">
        <f>TEXT(ACTUAL_EXPENSES[[#This Row],[Date]],"mmm")</f>
        <v>Apr</v>
      </c>
    </row>
    <row r="229" spans="1:5" x14ac:dyDescent="0.2">
      <c r="A229" s="139" t="s">
        <v>190</v>
      </c>
      <c r="B229" s="140">
        <v>45026</v>
      </c>
      <c r="C229">
        <v>10</v>
      </c>
      <c r="D229">
        <v>4</v>
      </c>
      <c r="E229" t="str">
        <f>TEXT(ACTUAL_EXPENSES[[#This Row],[Date]],"mmm")</f>
        <v>Apr</v>
      </c>
    </row>
    <row r="230" spans="1:5" x14ac:dyDescent="0.2">
      <c r="A230" s="139" t="s">
        <v>190</v>
      </c>
      <c r="B230" s="140">
        <v>45027</v>
      </c>
      <c r="C230">
        <v>11</v>
      </c>
      <c r="D230">
        <v>4</v>
      </c>
      <c r="E230" t="str">
        <f>TEXT(ACTUAL_EXPENSES[[#This Row],[Date]],"mmm")</f>
        <v>Apr</v>
      </c>
    </row>
    <row r="231" spans="1:5" x14ac:dyDescent="0.2">
      <c r="A231" s="139" t="s">
        <v>190</v>
      </c>
      <c r="B231" s="140">
        <v>45028</v>
      </c>
      <c r="C231">
        <v>12</v>
      </c>
      <c r="D231">
        <v>4</v>
      </c>
      <c r="E231" t="str">
        <f>TEXT(ACTUAL_EXPENSES[[#This Row],[Date]],"mmm")</f>
        <v>Apr</v>
      </c>
    </row>
    <row r="232" spans="1:5" x14ac:dyDescent="0.2">
      <c r="A232" s="139" t="s">
        <v>190</v>
      </c>
      <c r="B232" s="140">
        <v>45029</v>
      </c>
      <c r="C232">
        <v>13</v>
      </c>
      <c r="D232">
        <v>4</v>
      </c>
      <c r="E232" t="str">
        <f>TEXT(ACTUAL_EXPENSES[[#This Row],[Date]],"mmm")</f>
        <v>Apr</v>
      </c>
    </row>
    <row r="233" spans="1:5" x14ac:dyDescent="0.2">
      <c r="A233" s="139" t="s">
        <v>190</v>
      </c>
      <c r="B233" s="140">
        <v>45030</v>
      </c>
      <c r="C233">
        <v>14</v>
      </c>
      <c r="D233">
        <v>4</v>
      </c>
      <c r="E233" t="str">
        <f>TEXT(ACTUAL_EXPENSES[[#This Row],[Date]],"mmm")</f>
        <v>Apr</v>
      </c>
    </row>
    <row r="234" spans="1:5" x14ac:dyDescent="0.2">
      <c r="A234" s="139" t="s">
        <v>190</v>
      </c>
      <c r="B234" s="140">
        <v>45031</v>
      </c>
      <c r="C234">
        <v>15</v>
      </c>
      <c r="D234">
        <v>4</v>
      </c>
      <c r="E234" t="str">
        <f>TEXT(ACTUAL_EXPENSES[[#This Row],[Date]],"mmm")</f>
        <v>Apr</v>
      </c>
    </row>
    <row r="235" spans="1:5" x14ac:dyDescent="0.2">
      <c r="A235" s="139" t="s">
        <v>190</v>
      </c>
      <c r="B235" s="140">
        <v>45032</v>
      </c>
      <c r="C235">
        <v>16</v>
      </c>
      <c r="D235">
        <v>4</v>
      </c>
      <c r="E235" t="str">
        <f>TEXT(ACTUAL_EXPENSES[[#This Row],[Date]],"mmm")</f>
        <v>Apr</v>
      </c>
    </row>
    <row r="236" spans="1:5" x14ac:dyDescent="0.2">
      <c r="A236" s="139" t="s">
        <v>190</v>
      </c>
      <c r="B236" s="140">
        <v>45033</v>
      </c>
      <c r="C236">
        <v>17</v>
      </c>
      <c r="D236">
        <v>4</v>
      </c>
      <c r="E236" t="str">
        <f>TEXT(ACTUAL_EXPENSES[[#This Row],[Date]],"mmm")</f>
        <v>Apr</v>
      </c>
    </row>
    <row r="237" spans="1:5" x14ac:dyDescent="0.2">
      <c r="A237" s="139" t="s">
        <v>190</v>
      </c>
      <c r="B237" s="140">
        <v>45034</v>
      </c>
      <c r="C237">
        <v>18</v>
      </c>
      <c r="D237">
        <v>4</v>
      </c>
      <c r="E237" t="str">
        <f>TEXT(ACTUAL_EXPENSES[[#This Row],[Date]],"mmm")</f>
        <v>Apr</v>
      </c>
    </row>
    <row r="238" spans="1:5" x14ac:dyDescent="0.2">
      <c r="A238" s="139" t="s">
        <v>190</v>
      </c>
      <c r="B238" s="140">
        <v>45035</v>
      </c>
      <c r="C238">
        <v>19</v>
      </c>
      <c r="D238">
        <v>4</v>
      </c>
      <c r="E238" t="str">
        <f>TEXT(ACTUAL_EXPENSES[[#This Row],[Date]],"mmm")</f>
        <v>Apr</v>
      </c>
    </row>
    <row r="239" spans="1:5" x14ac:dyDescent="0.2">
      <c r="A239" s="139" t="s">
        <v>190</v>
      </c>
      <c r="B239" s="140">
        <v>45036</v>
      </c>
      <c r="C239">
        <v>20</v>
      </c>
      <c r="D239">
        <v>4</v>
      </c>
      <c r="E239" t="str">
        <f>TEXT(ACTUAL_EXPENSES[[#This Row],[Date]],"mmm")</f>
        <v>Apr</v>
      </c>
    </row>
    <row r="240" spans="1:5" x14ac:dyDescent="0.2">
      <c r="A240" s="139" t="s">
        <v>190</v>
      </c>
      <c r="B240" s="140">
        <v>45037</v>
      </c>
      <c r="C240">
        <v>21</v>
      </c>
      <c r="D240">
        <v>4</v>
      </c>
      <c r="E240" t="str">
        <f>TEXT(ACTUAL_EXPENSES[[#This Row],[Date]],"mmm")</f>
        <v>Apr</v>
      </c>
    </row>
    <row r="241" spans="1:5" x14ac:dyDescent="0.2">
      <c r="A241" s="139" t="s">
        <v>190</v>
      </c>
      <c r="B241" s="140">
        <v>45038</v>
      </c>
      <c r="C241">
        <v>22</v>
      </c>
      <c r="D241">
        <v>4</v>
      </c>
      <c r="E241" t="str">
        <f>TEXT(ACTUAL_EXPENSES[[#This Row],[Date]],"mmm")</f>
        <v>Apr</v>
      </c>
    </row>
    <row r="242" spans="1:5" x14ac:dyDescent="0.2">
      <c r="A242" s="139" t="s">
        <v>190</v>
      </c>
      <c r="B242" s="140">
        <v>45039</v>
      </c>
      <c r="C242">
        <v>23</v>
      </c>
      <c r="D242">
        <v>4</v>
      </c>
      <c r="E242" t="str">
        <f>TEXT(ACTUAL_EXPENSES[[#This Row],[Date]],"mmm")</f>
        <v>Apr</v>
      </c>
    </row>
    <row r="243" spans="1:5" x14ac:dyDescent="0.2">
      <c r="A243" s="139" t="s">
        <v>190</v>
      </c>
      <c r="B243" s="140">
        <v>45040</v>
      </c>
      <c r="C243">
        <v>24</v>
      </c>
      <c r="D243">
        <v>4</v>
      </c>
      <c r="E243" t="str">
        <f>TEXT(ACTUAL_EXPENSES[[#This Row],[Date]],"mmm")</f>
        <v>Apr</v>
      </c>
    </row>
    <row r="244" spans="1:5" x14ac:dyDescent="0.2">
      <c r="A244" s="139" t="s">
        <v>190</v>
      </c>
      <c r="B244" s="140">
        <v>45041</v>
      </c>
      <c r="C244">
        <v>25</v>
      </c>
      <c r="D244">
        <v>4</v>
      </c>
      <c r="E244" t="str">
        <f>TEXT(ACTUAL_EXPENSES[[#This Row],[Date]],"mmm")</f>
        <v>Apr</v>
      </c>
    </row>
    <row r="245" spans="1:5" x14ac:dyDescent="0.2">
      <c r="A245" s="139" t="s">
        <v>190</v>
      </c>
      <c r="B245" s="140">
        <v>45042</v>
      </c>
      <c r="C245">
        <v>26</v>
      </c>
      <c r="D245">
        <v>4</v>
      </c>
      <c r="E245" t="str">
        <f>TEXT(ACTUAL_EXPENSES[[#This Row],[Date]],"mmm")</f>
        <v>Apr</v>
      </c>
    </row>
    <row r="246" spans="1:5" x14ac:dyDescent="0.2">
      <c r="A246" s="139" t="s">
        <v>190</v>
      </c>
      <c r="B246" s="140">
        <v>45043</v>
      </c>
      <c r="C246">
        <v>27</v>
      </c>
      <c r="D246">
        <v>4</v>
      </c>
      <c r="E246" t="str">
        <f>TEXT(ACTUAL_EXPENSES[[#This Row],[Date]],"mmm")</f>
        <v>Apr</v>
      </c>
    </row>
    <row r="247" spans="1:5" x14ac:dyDescent="0.2">
      <c r="A247" s="139" t="s">
        <v>190</v>
      </c>
      <c r="B247" s="140">
        <v>45044</v>
      </c>
      <c r="C247">
        <v>28</v>
      </c>
      <c r="D247">
        <v>4</v>
      </c>
      <c r="E247" t="str">
        <f>TEXT(ACTUAL_EXPENSES[[#This Row],[Date]],"mmm")</f>
        <v>Apr</v>
      </c>
    </row>
    <row r="248" spans="1:5" x14ac:dyDescent="0.2">
      <c r="A248" s="139" t="s">
        <v>190</v>
      </c>
      <c r="B248" s="140">
        <v>45045</v>
      </c>
      <c r="C248">
        <v>29</v>
      </c>
      <c r="D248">
        <v>4</v>
      </c>
      <c r="E248" t="str">
        <f>TEXT(ACTUAL_EXPENSES[[#This Row],[Date]],"mmm")</f>
        <v>Apr</v>
      </c>
    </row>
    <row r="249" spans="1:5" x14ac:dyDescent="0.2">
      <c r="A249" s="139" t="s">
        <v>190</v>
      </c>
      <c r="B249" s="140">
        <v>45046</v>
      </c>
      <c r="C249">
        <v>30</v>
      </c>
      <c r="D249">
        <v>4</v>
      </c>
      <c r="E249" t="str">
        <f>TEXT(ACTUAL_EXPENSES[[#This Row],[Date]],"mmm")</f>
        <v>Apr</v>
      </c>
    </row>
    <row r="250" spans="1:5" x14ac:dyDescent="0.2">
      <c r="A250" s="139" t="s">
        <v>190</v>
      </c>
      <c r="B250" s="140"/>
      <c r="C250">
        <v>31</v>
      </c>
      <c r="E250" t="str">
        <f>TEXT(ACTUAL_EXPENSES[[#This Row],[Date]],"mmm")</f>
        <v>Jan</v>
      </c>
    </row>
    <row r="251" spans="1:5" x14ac:dyDescent="0.2">
      <c r="A251" s="139" t="s">
        <v>46</v>
      </c>
      <c r="B251" s="140">
        <v>45017</v>
      </c>
      <c r="C251">
        <v>0</v>
      </c>
      <c r="D251">
        <v>4</v>
      </c>
      <c r="E251" t="str">
        <f>TEXT(ACTUAL_EXPENSES[[#This Row],[Date]],"mmm")</f>
        <v>Apr</v>
      </c>
    </row>
    <row r="252" spans="1:5" x14ac:dyDescent="0.2">
      <c r="A252" s="139" t="s">
        <v>46</v>
      </c>
      <c r="B252" s="140">
        <v>45018</v>
      </c>
      <c r="C252">
        <v>0</v>
      </c>
      <c r="D252">
        <v>4</v>
      </c>
      <c r="E252" t="str">
        <f>TEXT(ACTUAL_EXPENSES[[#This Row],[Date]],"mmm")</f>
        <v>Apr</v>
      </c>
    </row>
    <row r="253" spans="1:5" x14ac:dyDescent="0.2">
      <c r="A253" s="139" t="s">
        <v>46</v>
      </c>
      <c r="B253" s="140">
        <v>45019</v>
      </c>
      <c r="C253">
        <v>0</v>
      </c>
      <c r="D253">
        <v>4</v>
      </c>
      <c r="E253" t="str">
        <f>TEXT(ACTUAL_EXPENSES[[#This Row],[Date]],"mmm")</f>
        <v>Apr</v>
      </c>
    </row>
    <row r="254" spans="1:5" x14ac:dyDescent="0.2">
      <c r="A254" s="139" t="s">
        <v>46</v>
      </c>
      <c r="B254" s="140">
        <v>45020</v>
      </c>
      <c r="C254">
        <v>0</v>
      </c>
      <c r="D254">
        <v>4</v>
      </c>
      <c r="E254" t="str">
        <f>TEXT(ACTUAL_EXPENSES[[#This Row],[Date]],"mmm")</f>
        <v>Apr</v>
      </c>
    </row>
    <row r="255" spans="1:5" x14ac:dyDescent="0.2">
      <c r="A255" s="139" t="s">
        <v>46</v>
      </c>
      <c r="B255" s="140">
        <v>45021</v>
      </c>
      <c r="C255">
        <v>0</v>
      </c>
      <c r="D255">
        <v>4</v>
      </c>
      <c r="E255" t="str">
        <f>TEXT(ACTUAL_EXPENSES[[#This Row],[Date]],"mmm")</f>
        <v>Apr</v>
      </c>
    </row>
    <row r="256" spans="1:5" x14ac:dyDescent="0.2">
      <c r="A256" s="139" t="s">
        <v>46</v>
      </c>
      <c r="B256" s="140">
        <v>45022</v>
      </c>
      <c r="C256">
        <v>0</v>
      </c>
      <c r="D256">
        <v>4</v>
      </c>
      <c r="E256" t="str">
        <f>TEXT(ACTUAL_EXPENSES[[#This Row],[Date]],"mmm")</f>
        <v>Apr</v>
      </c>
    </row>
    <row r="257" spans="1:5" x14ac:dyDescent="0.2">
      <c r="A257" s="139" t="s">
        <v>46</v>
      </c>
      <c r="B257" s="140">
        <v>45023</v>
      </c>
      <c r="C257">
        <v>0</v>
      </c>
      <c r="D257">
        <v>4</v>
      </c>
      <c r="E257" t="str">
        <f>TEXT(ACTUAL_EXPENSES[[#This Row],[Date]],"mmm")</f>
        <v>Apr</v>
      </c>
    </row>
    <row r="258" spans="1:5" x14ac:dyDescent="0.2">
      <c r="A258" s="139" t="s">
        <v>46</v>
      </c>
      <c r="B258" s="140">
        <v>45024</v>
      </c>
      <c r="C258">
        <v>0</v>
      </c>
      <c r="D258">
        <v>4</v>
      </c>
      <c r="E258" t="str">
        <f>TEXT(ACTUAL_EXPENSES[[#This Row],[Date]],"mmm")</f>
        <v>Apr</v>
      </c>
    </row>
    <row r="259" spans="1:5" x14ac:dyDescent="0.2">
      <c r="A259" s="139" t="s">
        <v>46</v>
      </c>
      <c r="B259" s="140">
        <v>45025</v>
      </c>
      <c r="C259">
        <v>0</v>
      </c>
      <c r="D259">
        <v>4</v>
      </c>
      <c r="E259" t="str">
        <f>TEXT(ACTUAL_EXPENSES[[#This Row],[Date]],"mmm")</f>
        <v>Apr</v>
      </c>
    </row>
    <row r="260" spans="1:5" x14ac:dyDescent="0.2">
      <c r="A260" s="139" t="s">
        <v>46</v>
      </c>
      <c r="B260" s="140">
        <v>45026</v>
      </c>
      <c r="C260">
        <v>0</v>
      </c>
      <c r="D260">
        <v>4</v>
      </c>
      <c r="E260" t="str">
        <f>TEXT(ACTUAL_EXPENSES[[#This Row],[Date]],"mmm")</f>
        <v>Apr</v>
      </c>
    </row>
    <row r="261" spans="1:5" x14ac:dyDescent="0.2">
      <c r="A261" s="139" t="s">
        <v>46</v>
      </c>
      <c r="B261" s="140">
        <v>45027</v>
      </c>
      <c r="C261">
        <v>0</v>
      </c>
      <c r="D261">
        <v>4</v>
      </c>
      <c r="E261" t="str">
        <f>TEXT(ACTUAL_EXPENSES[[#This Row],[Date]],"mmm")</f>
        <v>Apr</v>
      </c>
    </row>
    <row r="262" spans="1:5" x14ac:dyDescent="0.2">
      <c r="A262" s="139" t="s">
        <v>46</v>
      </c>
      <c r="B262" s="140">
        <v>45028</v>
      </c>
      <c r="C262">
        <v>0</v>
      </c>
      <c r="D262">
        <v>4</v>
      </c>
      <c r="E262" t="str">
        <f>TEXT(ACTUAL_EXPENSES[[#This Row],[Date]],"mmm")</f>
        <v>Apr</v>
      </c>
    </row>
    <row r="263" spans="1:5" x14ac:dyDescent="0.2">
      <c r="A263" s="139" t="s">
        <v>46</v>
      </c>
      <c r="B263" s="140">
        <v>45029</v>
      </c>
      <c r="C263">
        <v>0</v>
      </c>
      <c r="D263">
        <v>4</v>
      </c>
      <c r="E263" t="str">
        <f>TEXT(ACTUAL_EXPENSES[[#This Row],[Date]],"mmm")</f>
        <v>Apr</v>
      </c>
    </row>
    <row r="264" spans="1:5" x14ac:dyDescent="0.2">
      <c r="A264" s="139" t="s">
        <v>46</v>
      </c>
      <c r="B264" s="140">
        <v>45030</v>
      </c>
      <c r="C264">
        <v>0</v>
      </c>
      <c r="D264">
        <v>4</v>
      </c>
      <c r="E264" t="str">
        <f>TEXT(ACTUAL_EXPENSES[[#This Row],[Date]],"mmm")</f>
        <v>Apr</v>
      </c>
    </row>
    <row r="265" spans="1:5" x14ac:dyDescent="0.2">
      <c r="A265" s="139" t="s">
        <v>46</v>
      </c>
      <c r="B265" s="140">
        <v>45031</v>
      </c>
      <c r="C265">
        <v>0</v>
      </c>
      <c r="D265">
        <v>4</v>
      </c>
      <c r="E265" t="str">
        <f>TEXT(ACTUAL_EXPENSES[[#This Row],[Date]],"mmm")</f>
        <v>Apr</v>
      </c>
    </row>
    <row r="266" spans="1:5" x14ac:dyDescent="0.2">
      <c r="A266" s="139" t="s">
        <v>46</v>
      </c>
      <c r="B266" s="140">
        <v>45032</v>
      </c>
      <c r="C266">
        <v>0</v>
      </c>
      <c r="D266">
        <v>4</v>
      </c>
      <c r="E266" t="str">
        <f>TEXT(ACTUAL_EXPENSES[[#This Row],[Date]],"mmm")</f>
        <v>Apr</v>
      </c>
    </row>
    <row r="267" spans="1:5" x14ac:dyDescent="0.2">
      <c r="A267" s="139" t="s">
        <v>46</v>
      </c>
      <c r="B267" s="140">
        <v>45033</v>
      </c>
      <c r="C267">
        <v>0</v>
      </c>
      <c r="D267">
        <v>4</v>
      </c>
      <c r="E267" t="str">
        <f>TEXT(ACTUAL_EXPENSES[[#This Row],[Date]],"mmm")</f>
        <v>Apr</v>
      </c>
    </row>
    <row r="268" spans="1:5" x14ac:dyDescent="0.2">
      <c r="A268" s="139" t="s">
        <v>46</v>
      </c>
      <c r="B268" s="140">
        <v>45034</v>
      </c>
      <c r="C268">
        <v>0</v>
      </c>
      <c r="D268">
        <v>4</v>
      </c>
      <c r="E268" t="str">
        <f>TEXT(ACTUAL_EXPENSES[[#This Row],[Date]],"mmm")</f>
        <v>Apr</v>
      </c>
    </row>
    <row r="269" spans="1:5" x14ac:dyDescent="0.2">
      <c r="A269" s="139" t="s">
        <v>46</v>
      </c>
      <c r="B269" s="140">
        <v>45035</v>
      </c>
      <c r="C269">
        <v>0</v>
      </c>
      <c r="D269">
        <v>4</v>
      </c>
      <c r="E269" t="str">
        <f>TEXT(ACTUAL_EXPENSES[[#This Row],[Date]],"mmm")</f>
        <v>Apr</v>
      </c>
    </row>
    <row r="270" spans="1:5" x14ac:dyDescent="0.2">
      <c r="A270" s="139" t="s">
        <v>46</v>
      </c>
      <c r="B270" s="140">
        <v>45036</v>
      </c>
      <c r="C270">
        <v>0</v>
      </c>
      <c r="D270">
        <v>4</v>
      </c>
      <c r="E270" t="str">
        <f>TEXT(ACTUAL_EXPENSES[[#This Row],[Date]],"mmm")</f>
        <v>Apr</v>
      </c>
    </row>
    <row r="271" spans="1:5" x14ac:dyDescent="0.2">
      <c r="A271" s="139" t="s">
        <v>46</v>
      </c>
      <c r="B271" s="140">
        <v>45037</v>
      </c>
      <c r="C271">
        <v>0</v>
      </c>
      <c r="D271">
        <v>4</v>
      </c>
      <c r="E271" t="str">
        <f>TEXT(ACTUAL_EXPENSES[[#This Row],[Date]],"mmm")</f>
        <v>Apr</v>
      </c>
    </row>
    <row r="272" spans="1:5" x14ac:dyDescent="0.2">
      <c r="A272" s="139" t="s">
        <v>46</v>
      </c>
      <c r="B272" s="140">
        <v>45038</v>
      </c>
      <c r="C272">
        <v>0</v>
      </c>
      <c r="D272">
        <v>4</v>
      </c>
      <c r="E272" t="str">
        <f>TEXT(ACTUAL_EXPENSES[[#This Row],[Date]],"mmm")</f>
        <v>Apr</v>
      </c>
    </row>
    <row r="273" spans="1:5" x14ac:dyDescent="0.2">
      <c r="A273" s="139" t="s">
        <v>46</v>
      </c>
      <c r="B273" s="140">
        <v>45039</v>
      </c>
      <c r="C273">
        <v>0</v>
      </c>
      <c r="D273">
        <v>4</v>
      </c>
      <c r="E273" t="str">
        <f>TEXT(ACTUAL_EXPENSES[[#This Row],[Date]],"mmm")</f>
        <v>Apr</v>
      </c>
    </row>
    <row r="274" spans="1:5" x14ac:dyDescent="0.2">
      <c r="A274" s="139" t="s">
        <v>46</v>
      </c>
      <c r="B274" s="140">
        <v>45040</v>
      </c>
      <c r="C274">
        <v>0</v>
      </c>
      <c r="D274">
        <v>4</v>
      </c>
      <c r="E274" t="str">
        <f>TEXT(ACTUAL_EXPENSES[[#This Row],[Date]],"mmm")</f>
        <v>Apr</v>
      </c>
    </row>
    <row r="275" spans="1:5" x14ac:dyDescent="0.2">
      <c r="A275" s="139" t="s">
        <v>46</v>
      </c>
      <c r="B275" s="140">
        <v>45041</v>
      </c>
      <c r="C275">
        <v>0</v>
      </c>
      <c r="D275">
        <v>4</v>
      </c>
      <c r="E275" t="str">
        <f>TEXT(ACTUAL_EXPENSES[[#This Row],[Date]],"mmm")</f>
        <v>Apr</v>
      </c>
    </row>
    <row r="276" spans="1:5" x14ac:dyDescent="0.2">
      <c r="A276" s="139" t="s">
        <v>46</v>
      </c>
      <c r="B276" s="140">
        <v>45042</v>
      </c>
      <c r="C276">
        <v>0</v>
      </c>
      <c r="D276">
        <v>4</v>
      </c>
      <c r="E276" t="str">
        <f>TEXT(ACTUAL_EXPENSES[[#This Row],[Date]],"mmm")</f>
        <v>Apr</v>
      </c>
    </row>
    <row r="277" spans="1:5" x14ac:dyDescent="0.2">
      <c r="A277" s="139" t="s">
        <v>46</v>
      </c>
      <c r="B277" s="140">
        <v>45043</v>
      </c>
      <c r="C277">
        <v>0</v>
      </c>
      <c r="D277">
        <v>4</v>
      </c>
      <c r="E277" t="str">
        <f>TEXT(ACTUAL_EXPENSES[[#This Row],[Date]],"mmm")</f>
        <v>Apr</v>
      </c>
    </row>
    <row r="278" spans="1:5" x14ac:dyDescent="0.2">
      <c r="A278" s="139" t="s">
        <v>46</v>
      </c>
      <c r="B278" s="140">
        <v>45044</v>
      </c>
      <c r="C278">
        <v>0</v>
      </c>
      <c r="D278">
        <v>4</v>
      </c>
      <c r="E278" t="str">
        <f>TEXT(ACTUAL_EXPENSES[[#This Row],[Date]],"mmm")</f>
        <v>Apr</v>
      </c>
    </row>
    <row r="279" spans="1:5" x14ac:dyDescent="0.2">
      <c r="A279" s="139" t="s">
        <v>46</v>
      </c>
      <c r="B279" s="140">
        <v>45045</v>
      </c>
      <c r="C279">
        <v>0</v>
      </c>
      <c r="D279">
        <v>4</v>
      </c>
      <c r="E279" t="str">
        <f>TEXT(ACTUAL_EXPENSES[[#This Row],[Date]],"mmm")</f>
        <v>Apr</v>
      </c>
    </row>
    <row r="280" spans="1:5" x14ac:dyDescent="0.2">
      <c r="A280" s="139" t="s">
        <v>46</v>
      </c>
      <c r="B280" s="140">
        <v>45046</v>
      </c>
      <c r="C280">
        <v>0</v>
      </c>
      <c r="D280">
        <v>4</v>
      </c>
      <c r="E280" t="str">
        <f>TEXT(ACTUAL_EXPENSES[[#This Row],[Date]],"mmm")</f>
        <v>Apr</v>
      </c>
    </row>
    <row r="281" spans="1:5" x14ac:dyDescent="0.2">
      <c r="A281" s="139" t="s">
        <v>46</v>
      </c>
      <c r="B281" s="140"/>
      <c r="C281">
        <v>0</v>
      </c>
      <c r="E281" t="str">
        <f>TEXT(ACTUAL_EXPENSES[[#This Row],[Date]],"mmm")</f>
        <v>Jan</v>
      </c>
    </row>
    <row r="282" spans="1:5" x14ac:dyDescent="0.2">
      <c r="A282" s="139" t="s">
        <v>47</v>
      </c>
      <c r="B282" s="140">
        <v>45018</v>
      </c>
      <c r="C282">
        <v>0</v>
      </c>
      <c r="D282">
        <v>4</v>
      </c>
      <c r="E282" t="str">
        <f>TEXT(ACTUAL_EXPENSES[[#This Row],[Date]],"mmm")</f>
        <v>Apr</v>
      </c>
    </row>
    <row r="283" spans="1:5" x14ac:dyDescent="0.2">
      <c r="A283" s="139" t="s">
        <v>47</v>
      </c>
      <c r="B283" s="140">
        <v>45019</v>
      </c>
      <c r="C283">
        <v>0</v>
      </c>
      <c r="D283">
        <v>4</v>
      </c>
      <c r="E283" t="str">
        <f>TEXT(ACTUAL_EXPENSES[[#This Row],[Date]],"mmm")</f>
        <v>Apr</v>
      </c>
    </row>
    <row r="284" spans="1:5" x14ac:dyDescent="0.2">
      <c r="A284" s="139" t="s">
        <v>47</v>
      </c>
      <c r="B284" s="140">
        <v>45020</v>
      </c>
      <c r="C284">
        <v>0</v>
      </c>
      <c r="D284">
        <v>4</v>
      </c>
      <c r="E284" t="str">
        <f>TEXT(ACTUAL_EXPENSES[[#This Row],[Date]],"mmm")</f>
        <v>Apr</v>
      </c>
    </row>
    <row r="285" spans="1:5" x14ac:dyDescent="0.2">
      <c r="A285" s="139" t="s">
        <v>47</v>
      </c>
      <c r="B285" s="140">
        <v>45021</v>
      </c>
      <c r="C285">
        <v>0</v>
      </c>
      <c r="D285">
        <v>4</v>
      </c>
      <c r="E285" t="str">
        <f>TEXT(ACTUAL_EXPENSES[[#This Row],[Date]],"mmm")</f>
        <v>Apr</v>
      </c>
    </row>
    <row r="286" spans="1:5" x14ac:dyDescent="0.2">
      <c r="A286" s="139" t="s">
        <v>47</v>
      </c>
      <c r="B286" s="140">
        <v>45022</v>
      </c>
      <c r="C286">
        <v>0</v>
      </c>
      <c r="D286">
        <v>4</v>
      </c>
      <c r="E286" t="str">
        <f>TEXT(ACTUAL_EXPENSES[[#This Row],[Date]],"mmm")</f>
        <v>Apr</v>
      </c>
    </row>
    <row r="287" spans="1:5" x14ac:dyDescent="0.2">
      <c r="A287" s="139" t="s">
        <v>47</v>
      </c>
      <c r="B287" s="140">
        <v>45023</v>
      </c>
      <c r="C287">
        <v>0</v>
      </c>
      <c r="D287">
        <v>4</v>
      </c>
      <c r="E287" t="str">
        <f>TEXT(ACTUAL_EXPENSES[[#This Row],[Date]],"mmm")</f>
        <v>Apr</v>
      </c>
    </row>
    <row r="288" spans="1:5" x14ac:dyDescent="0.2">
      <c r="A288" s="139" t="s">
        <v>47</v>
      </c>
      <c r="B288" s="140">
        <v>45024</v>
      </c>
      <c r="C288">
        <v>0</v>
      </c>
      <c r="D288">
        <v>4</v>
      </c>
      <c r="E288" t="str">
        <f>TEXT(ACTUAL_EXPENSES[[#This Row],[Date]],"mmm")</f>
        <v>Apr</v>
      </c>
    </row>
    <row r="289" spans="1:5" x14ac:dyDescent="0.2">
      <c r="A289" s="139" t="s">
        <v>47</v>
      </c>
      <c r="B289" s="140">
        <v>45025</v>
      </c>
      <c r="C289">
        <v>0</v>
      </c>
      <c r="D289">
        <v>4</v>
      </c>
      <c r="E289" t="str">
        <f>TEXT(ACTUAL_EXPENSES[[#This Row],[Date]],"mmm")</f>
        <v>Apr</v>
      </c>
    </row>
    <row r="290" spans="1:5" x14ac:dyDescent="0.2">
      <c r="A290" s="139" t="s">
        <v>47</v>
      </c>
      <c r="B290" s="140">
        <v>45026</v>
      </c>
      <c r="C290">
        <v>0</v>
      </c>
      <c r="D290">
        <v>4</v>
      </c>
      <c r="E290" t="str">
        <f>TEXT(ACTUAL_EXPENSES[[#This Row],[Date]],"mmm")</f>
        <v>Apr</v>
      </c>
    </row>
    <row r="291" spans="1:5" x14ac:dyDescent="0.2">
      <c r="A291" s="139" t="s">
        <v>47</v>
      </c>
      <c r="B291" s="140">
        <v>45027</v>
      </c>
      <c r="C291">
        <v>0</v>
      </c>
      <c r="D291">
        <v>4</v>
      </c>
      <c r="E291" t="str">
        <f>TEXT(ACTUAL_EXPENSES[[#This Row],[Date]],"mmm")</f>
        <v>Apr</v>
      </c>
    </row>
    <row r="292" spans="1:5" x14ac:dyDescent="0.2">
      <c r="A292" s="139" t="s">
        <v>47</v>
      </c>
      <c r="B292" s="140">
        <v>45028</v>
      </c>
      <c r="C292">
        <v>0</v>
      </c>
      <c r="D292">
        <v>4</v>
      </c>
      <c r="E292" t="str">
        <f>TEXT(ACTUAL_EXPENSES[[#This Row],[Date]],"mmm")</f>
        <v>Apr</v>
      </c>
    </row>
    <row r="293" spans="1:5" x14ac:dyDescent="0.2">
      <c r="A293" s="139" t="s">
        <v>47</v>
      </c>
      <c r="B293" s="140">
        <v>45029</v>
      </c>
      <c r="C293">
        <v>0</v>
      </c>
      <c r="D293">
        <v>4</v>
      </c>
      <c r="E293" t="str">
        <f>TEXT(ACTUAL_EXPENSES[[#This Row],[Date]],"mmm")</f>
        <v>Apr</v>
      </c>
    </row>
    <row r="294" spans="1:5" x14ac:dyDescent="0.2">
      <c r="A294" s="139" t="s">
        <v>47</v>
      </c>
      <c r="B294" s="140">
        <v>45030</v>
      </c>
      <c r="C294">
        <v>0</v>
      </c>
      <c r="D294">
        <v>4</v>
      </c>
      <c r="E294" t="str">
        <f>TEXT(ACTUAL_EXPENSES[[#This Row],[Date]],"mmm")</f>
        <v>Apr</v>
      </c>
    </row>
    <row r="295" spans="1:5" x14ac:dyDescent="0.2">
      <c r="A295" s="139" t="s">
        <v>47</v>
      </c>
      <c r="B295" s="140">
        <v>45031</v>
      </c>
      <c r="C295">
        <v>0</v>
      </c>
      <c r="D295">
        <v>4</v>
      </c>
      <c r="E295" t="str">
        <f>TEXT(ACTUAL_EXPENSES[[#This Row],[Date]],"mmm")</f>
        <v>Apr</v>
      </c>
    </row>
    <row r="296" spans="1:5" x14ac:dyDescent="0.2">
      <c r="A296" s="139" t="s">
        <v>47</v>
      </c>
      <c r="B296" s="140">
        <v>45032</v>
      </c>
      <c r="C296">
        <v>0</v>
      </c>
      <c r="D296">
        <v>4</v>
      </c>
      <c r="E296" t="str">
        <f>TEXT(ACTUAL_EXPENSES[[#This Row],[Date]],"mmm")</f>
        <v>Apr</v>
      </c>
    </row>
    <row r="297" spans="1:5" x14ac:dyDescent="0.2">
      <c r="A297" s="139" t="s">
        <v>47</v>
      </c>
      <c r="B297" s="140">
        <v>45033</v>
      </c>
      <c r="C297">
        <v>0</v>
      </c>
      <c r="D297">
        <v>4</v>
      </c>
      <c r="E297" t="str">
        <f>TEXT(ACTUAL_EXPENSES[[#This Row],[Date]],"mmm")</f>
        <v>Apr</v>
      </c>
    </row>
    <row r="298" spans="1:5" x14ac:dyDescent="0.2">
      <c r="A298" s="139" t="s">
        <v>47</v>
      </c>
      <c r="B298" s="140">
        <v>45034</v>
      </c>
      <c r="C298">
        <v>0</v>
      </c>
      <c r="D298">
        <v>4</v>
      </c>
      <c r="E298" t="str">
        <f>TEXT(ACTUAL_EXPENSES[[#This Row],[Date]],"mmm")</f>
        <v>Apr</v>
      </c>
    </row>
    <row r="299" spans="1:5" x14ac:dyDescent="0.2">
      <c r="A299" s="139" t="s">
        <v>47</v>
      </c>
      <c r="B299" s="140">
        <v>45035</v>
      </c>
      <c r="C299">
        <v>0</v>
      </c>
      <c r="D299">
        <v>4</v>
      </c>
      <c r="E299" t="str">
        <f>TEXT(ACTUAL_EXPENSES[[#This Row],[Date]],"mmm")</f>
        <v>Apr</v>
      </c>
    </row>
    <row r="300" spans="1:5" x14ac:dyDescent="0.2">
      <c r="A300" s="139" t="s">
        <v>47</v>
      </c>
      <c r="B300" s="140">
        <v>45036</v>
      </c>
      <c r="C300">
        <v>0</v>
      </c>
      <c r="D300">
        <v>4</v>
      </c>
      <c r="E300" t="str">
        <f>TEXT(ACTUAL_EXPENSES[[#This Row],[Date]],"mmm")</f>
        <v>Apr</v>
      </c>
    </row>
    <row r="301" spans="1:5" x14ac:dyDescent="0.2">
      <c r="A301" s="139" t="s">
        <v>47</v>
      </c>
      <c r="B301" s="140">
        <v>45037</v>
      </c>
      <c r="C301">
        <v>0</v>
      </c>
      <c r="D301">
        <v>4</v>
      </c>
      <c r="E301" t="str">
        <f>TEXT(ACTUAL_EXPENSES[[#This Row],[Date]],"mmm")</f>
        <v>Apr</v>
      </c>
    </row>
    <row r="302" spans="1:5" x14ac:dyDescent="0.2">
      <c r="A302" s="139" t="s">
        <v>47</v>
      </c>
      <c r="B302" s="140">
        <v>45038</v>
      </c>
      <c r="C302">
        <v>0</v>
      </c>
      <c r="D302">
        <v>4</v>
      </c>
      <c r="E302" t="str">
        <f>TEXT(ACTUAL_EXPENSES[[#This Row],[Date]],"mmm")</f>
        <v>Apr</v>
      </c>
    </row>
    <row r="303" spans="1:5" x14ac:dyDescent="0.2">
      <c r="A303" s="139" t="s">
        <v>47</v>
      </c>
      <c r="B303" s="140">
        <v>45039</v>
      </c>
      <c r="C303">
        <v>385</v>
      </c>
      <c r="D303">
        <v>4</v>
      </c>
      <c r="E303" t="str">
        <f>TEXT(ACTUAL_EXPENSES[[#This Row],[Date]],"mmm")</f>
        <v>Apr</v>
      </c>
    </row>
    <row r="304" spans="1:5" x14ac:dyDescent="0.2">
      <c r="A304" s="139" t="s">
        <v>47</v>
      </c>
      <c r="B304" s="140">
        <v>45040</v>
      </c>
      <c r="C304">
        <v>0</v>
      </c>
      <c r="D304">
        <v>4</v>
      </c>
      <c r="E304" t="str">
        <f>TEXT(ACTUAL_EXPENSES[[#This Row],[Date]],"mmm")</f>
        <v>Apr</v>
      </c>
    </row>
    <row r="305" spans="1:5" x14ac:dyDescent="0.2">
      <c r="A305" s="139" t="s">
        <v>47</v>
      </c>
      <c r="B305" s="140">
        <v>45041</v>
      </c>
      <c r="C305">
        <v>0</v>
      </c>
      <c r="D305">
        <v>4</v>
      </c>
      <c r="E305" t="str">
        <f>TEXT(ACTUAL_EXPENSES[[#This Row],[Date]],"mmm")</f>
        <v>Apr</v>
      </c>
    </row>
    <row r="306" spans="1:5" x14ac:dyDescent="0.2">
      <c r="A306" s="139" t="s">
        <v>47</v>
      </c>
      <c r="B306" s="140">
        <v>45042</v>
      </c>
      <c r="C306">
        <v>0</v>
      </c>
      <c r="D306">
        <v>4</v>
      </c>
      <c r="E306" t="str">
        <f>TEXT(ACTUAL_EXPENSES[[#This Row],[Date]],"mmm")</f>
        <v>Apr</v>
      </c>
    </row>
    <row r="307" spans="1:5" x14ac:dyDescent="0.2">
      <c r="A307" s="139" t="s">
        <v>47</v>
      </c>
      <c r="B307" s="140">
        <v>45043</v>
      </c>
      <c r="C307">
        <v>0</v>
      </c>
      <c r="D307">
        <v>4</v>
      </c>
      <c r="E307" t="str">
        <f>TEXT(ACTUAL_EXPENSES[[#This Row],[Date]],"mmm")</f>
        <v>Apr</v>
      </c>
    </row>
    <row r="308" spans="1:5" x14ac:dyDescent="0.2">
      <c r="A308" s="139" t="s">
        <v>47</v>
      </c>
      <c r="B308" s="140">
        <v>45044</v>
      </c>
      <c r="C308">
        <v>0</v>
      </c>
      <c r="D308">
        <v>4</v>
      </c>
      <c r="E308" t="str">
        <f>TEXT(ACTUAL_EXPENSES[[#This Row],[Date]],"mmm")</f>
        <v>Apr</v>
      </c>
    </row>
    <row r="309" spans="1:5" x14ac:dyDescent="0.2">
      <c r="A309" s="139" t="s">
        <v>47</v>
      </c>
      <c r="B309" s="140">
        <v>45045</v>
      </c>
      <c r="C309">
        <v>0</v>
      </c>
      <c r="D309">
        <v>4</v>
      </c>
      <c r="E309" t="str">
        <f>TEXT(ACTUAL_EXPENSES[[#This Row],[Date]],"mmm")</f>
        <v>Apr</v>
      </c>
    </row>
    <row r="310" spans="1:5" x14ac:dyDescent="0.2">
      <c r="A310" s="139" t="s">
        <v>47</v>
      </c>
      <c r="B310" s="140">
        <v>45046</v>
      </c>
      <c r="C310">
        <v>0</v>
      </c>
      <c r="D310">
        <v>4</v>
      </c>
      <c r="E310" t="str">
        <f>TEXT(ACTUAL_EXPENSES[[#This Row],[Date]],"mmm")</f>
        <v>Apr</v>
      </c>
    </row>
    <row r="311" spans="1:5" x14ac:dyDescent="0.2">
      <c r="A311" s="139" t="s">
        <v>47</v>
      </c>
      <c r="B311" s="140"/>
      <c r="C311">
        <v>0</v>
      </c>
      <c r="E311" t="str">
        <f>TEXT(ACTUAL_EXPENSES[[#This Row],[Date]],"mmm")</f>
        <v>Jan</v>
      </c>
    </row>
    <row r="312" spans="1:5" x14ac:dyDescent="0.2">
      <c r="A312" s="139" t="s">
        <v>52</v>
      </c>
      <c r="B312" s="140">
        <v>45017</v>
      </c>
      <c r="C312">
        <v>0</v>
      </c>
      <c r="D312">
        <v>4</v>
      </c>
      <c r="E312" t="str">
        <f>TEXT(ACTUAL_EXPENSES[[#This Row],[Date]],"mmm")</f>
        <v>Apr</v>
      </c>
    </row>
    <row r="313" spans="1:5" x14ac:dyDescent="0.2">
      <c r="A313" s="139" t="s">
        <v>52</v>
      </c>
      <c r="B313" s="140">
        <v>45018</v>
      </c>
      <c r="C313">
        <v>0</v>
      </c>
      <c r="D313">
        <v>4</v>
      </c>
      <c r="E313" t="str">
        <f>TEXT(ACTUAL_EXPENSES[[#This Row],[Date]],"mmm")</f>
        <v>Apr</v>
      </c>
    </row>
    <row r="314" spans="1:5" x14ac:dyDescent="0.2">
      <c r="A314" s="139" t="s">
        <v>52</v>
      </c>
      <c r="B314" s="140">
        <v>45019</v>
      </c>
      <c r="C314">
        <v>0</v>
      </c>
      <c r="D314">
        <v>4</v>
      </c>
      <c r="E314" t="str">
        <f>TEXT(ACTUAL_EXPENSES[[#This Row],[Date]],"mmm")</f>
        <v>Apr</v>
      </c>
    </row>
    <row r="315" spans="1:5" x14ac:dyDescent="0.2">
      <c r="A315" s="139" t="s">
        <v>52</v>
      </c>
      <c r="B315" s="140">
        <v>45020</v>
      </c>
      <c r="C315">
        <v>0</v>
      </c>
      <c r="D315">
        <v>4</v>
      </c>
      <c r="E315" t="str">
        <f>TEXT(ACTUAL_EXPENSES[[#This Row],[Date]],"mmm")</f>
        <v>Apr</v>
      </c>
    </row>
    <row r="316" spans="1:5" x14ac:dyDescent="0.2">
      <c r="A316" s="139" t="s">
        <v>52</v>
      </c>
      <c r="B316" s="140">
        <v>45021</v>
      </c>
      <c r="C316">
        <v>0</v>
      </c>
      <c r="D316">
        <v>4</v>
      </c>
      <c r="E316" t="str">
        <f>TEXT(ACTUAL_EXPENSES[[#This Row],[Date]],"mmm")</f>
        <v>Apr</v>
      </c>
    </row>
    <row r="317" spans="1:5" x14ac:dyDescent="0.2">
      <c r="A317" s="139" t="s">
        <v>52</v>
      </c>
      <c r="B317" s="140">
        <v>45022</v>
      </c>
      <c r="C317">
        <v>300</v>
      </c>
      <c r="D317">
        <v>4</v>
      </c>
      <c r="E317" t="str">
        <f>TEXT(ACTUAL_EXPENSES[[#This Row],[Date]],"mmm")</f>
        <v>Apr</v>
      </c>
    </row>
    <row r="318" spans="1:5" x14ac:dyDescent="0.2">
      <c r="A318" s="139" t="s">
        <v>52</v>
      </c>
      <c r="B318" s="140">
        <v>45023</v>
      </c>
      <c r="C318">
        <v>0</v>
      </c>
      <c r="D318">
        <v>4</v>
      </c>
      <c r="E318" t="str">
        <f>TEXT(ACTUAL_EXPENSES[[#This Row],[Date]],"mmm")</f>
        <v>Apr</v>
      </c>
    </row>
    <row r="319" spans="1:5" x14ac:dyDescent="0.2">
      <c r="A319" s="139" t="s">
        <v>52</v>
      </c>
      <c r="B319" s="140">
        <v>45024</v>
      </c>
      <c r="C319">
        <v>0</v>
      </c>
      <c r="D319">
        <v>4</v>
      </c>
      <c r="E319" t="str">
        <f>TEXT(ACTUAL_EXPENSES[[#This Row],[Date]],"mmm")</f>
        <v>Apr</v>
      </c>
    </row>
    <row r="320" spans="1:5" x14ac:dyDescent="0.2">
      <c r="A320" s="139" t="s">
        <v>52</v>
      </c>
      <c r="B320" s="140">
        <v>45025</v>
      </c>
      <c r="C320">
        <v>0</v>
      </c>
      <c r="D320">
        <v>4</v>
      </c>
      <c r="E320" t="str">
        <f>TEXT(ACTUAL_EXPENSES[[#This Row],[Date]],"mmm")</f>
        <v>Apr</v>
      </c>
    </row>
    <row r="321" spans="1:5" x14ac:dyDescent="0.2">
      <c r="A321" s="139" t="s">
        <v>52</v>
      </c>
      <c r="B321" s="140">
        <v>45026</v>
      </c>
      <c r="C321">
        <v>0</v>
      </c>
      <c r="D321">
        <v>4</v>
      </c>
      <c r="E321" t="str">
        <f>TEXT(ACTUAL_EXPENSES[[#This Row],[Date]],"mmm")</f>
        <v>Apr</v>
      </c>
    </row>
    <row r="322" spans="1:5" x14ac:dyDescent="0.2">
      <c r="A322" s="139" t="s">
        <v>52</v>
      </c>
      <c r="B322" s="140">
        <v>45027</v>
      </c>
      <c r="C322">
        <v>0</v>
      </c>
      <c r="D322">
        <v>4</v>
      </c>
      <c r="E322" t="str">
        <f>TEXT(ACTUAL_EXPENSES[[#This Row],[Date]],"mmm")</f>
        <v>Apr</v>
      </c>
    </row>
    <row r="323" spans="1:5" x14ac:dyDescent="0.2">
      <c r="A323" s="139" t="s">
        <v>52</v>
      </c>
      <c r="B323" s="140">
        <v>45028</v>
      </c>
      <c r="C323">
        <v>0</v>
      </c>
      <c r="D323">
        <v>4</v>
      </c>
      <c r="E323" t="str">
        <f>TEXT(ACTUAL_EXPENSES[[#This Row],[Date]],"mmm")</f>
        <v>Apr</v>
      </c>
    </row>
    <row r="324" spans="1:5" x14ac:dyDescent="0.2">
      <c r="A324" s="139" t="s">
        <v>52</v>
      </c>
      <c r="B324" s="140">
        <v>45029</v>
      </c>
      <c r="C324">
        <v>0</v>
      </c>
      <c r="D324">
        <v>4</v>
      </c>
      <c r="E324" t="str">
        <f>TEXT(ACTUAL_EXPENSES[[#This Row],[Date]],"mmm")</f>
        <v>Apr</v>
      </c>
    </row>
    <row r="325" spans="1:5" x14ac:dyDescent="0.2">
      <c r="A325" s="139" t="s">
        <v>52</v>
      </c>
      <c r="B325" s="140">
        <v>45030</v>
      </c>
      <c r="C325">
        <v>0</v>
      </c>
      <c r="D325">
        <v>4</v>
      </c>
      <c r="E325" t="str">
        <f>TEXT(ACTUAL_EXPENSES[[#This Row],[Date]],"mmm")</f>
        <v>Apr</v>
      </c>
    </row>
    <row r="326" spans="1:5" x14ac:dyDescent="0.2">
      <c r="A326" s="139" t="s">
        <v>52</v>
      </c>
      <c r="B326" s="140">
        <v>45031</v>
      </c>
      <c r="C326">
        <v>0</v>
      </c>
      <c r="D326">
        <v>4</v>
      </c>
      <c r="E326" t="str">
        <f>TEXT(ACTUAL_EXPENSES[[#This Row],[Date]],"mmm")</f>
        <v>Apr</v>
      </c>
    </row>
    <row r="327" spans="1:5" x14ac:dyDescent="0.2">
      <c r="A327" s="139" t="s">
        <v>52</v>
      </c>
      <c r="B327" s="140">
        <v>45032</v>
      </c>
      <c r="C327">
        <v>0</v>
      </c>
      <c r="D327">
        <v>4</v>
      </c>
      <c r="E327" t="str">
        <f>TEXT(ACTUAL_EXPENSES[[#This Row],[Date]],"mmm")</f>
        <v>Apr</v>
      </c>
    </row>
    <row r="328" spans="1:5" x14ac:dyDescent="0.2">
      <c r="A328" s="139" t="s">
        <v>52</v>
      </c>
      <c r="B328" s="140">
        <v>45033</v>
      </c>
      <c r="C328">
        <v>0</v>
      </c>
      <c r="D328">
        <v>4</v>
      </c>
      <c r="E328" t="str">
        <f>TEXT(ACTUAL_EXPENSES[[#This Row],[Date]],"mmm")</f>
        <v>Apr</v>
      </c>
    </row>
    <row r="329" spans="1:5" x14ac:dyDescent="0.2">
      <c r="A329" s="139" t="s">
        <v>52</v>
      </c>
      <c r="B329" s="140">
        <v>45034</v>
      </c>
      <c r="C329">
        <v>0</v>
      </c>
      <c r="D329">
        <v>4</v>
      </c>
      <c r="E329" t="str">
        <f>TEXT(ACTUAL_EXPENSES[[#This Row],[Date]],"mmm")</f>
        <v>Apr</v>
      </c>
    </row>
    <row r="330" spans="1:5" x14ac:dyDescent="0.2">
      <c r="A330" s="139" t="s">
        <v>52</v>
      </c>
      <c r="B330" s="140">
        <v>45035</v>
      </c>
      <c r="C330">
        <v>0</v>
      </c>
      <c r="D330">
        <v>4</v>
      </c>
      <c r="E330" t="str">
        <f>TEXT(ACTUAL_EXPENSES[[#This Row],[Date]],"mmm")</f>
        <v>Apr</v>
      </c>
    </row>
    <row r="331" spans="1:5" x14ac:dyDescent="0.2">
      <c r="A331" s="139" t="s">
        <v>52</v>
      </c>
      <c r="B331" s="140">
        <v>45036</v>
      </c>
      <c r="C331">
        <v>0</v>
      </c>
      <c r="D331">
        <v>4</v>
      </c>
      <c r="E331" t="str">
        <f>TEXT(ACTUAL_EXPENSES[[#This Row],[Date]],"mmm")</f>
        <v>Apr</v>
      </c>
    </row>
    <row r="332" spans="1:5" x14ac:dyDescent="0.2">
      <c r="A332" s="139" t="s">
        <v>52</v>
      </c>
      <c r="B332" s="140">
        <v>45037</v>
      </c>
      <c r="C332">
        <v>0</v>
      </c>
      <c r="D332">
        <v>4</v>
      </c>
      <c r="E332" t="str">
        <f>TEXT(ACTUAL_EXPENSES[[#This Row],[Date]],"mmm")</f>
        <v>Apr</v>
      </c>
    </row>
    <row r="333" spans="1:5" x14ac:dyDescent="0.2">
      <c r="A333" s="139" t="s">
        <v>52</v>
      </c>
      <c r="B333" s="140">
        <v>45038</v>
      </c>
      <c r="C333">
        <v>0</v>
      </c>
      <c r="D333">
        <v>4</v>
      </c>
      <c r="E333" t="str">
        <f>TEXT(ACTUAL_EXPENSES[[#This Row],[Date]],"mmm")</f>
        <v>Apr</v>
      </c>
    </row>
    <row r="334" spans="1:5" x14ac:dyDescent="0.2">
      <c r="A334" s="139" t="s">
        <v>52</v>
      </c>
      <c r="B334" s="140">
        <v>45039</v>
      </c>
      <c r="C334">
        <v>0</v>
      </c>
      <c r="D334">
        <v>4</v>
      </c>
      <c r="E334" t="str">
        <f>TEXT(ACTUAL_EXPENSES[[#This Row],[Date]],"mmm")</f>
        <v>Apr</v>
      </c>
    </row>
    <row r="335" spans="1:5" x14ac:dyDescent="0.2">
      <c r="A335" s="139" t="s">
        <v>52</v>
      </c>
      <c r="B335" s="140">
        <v>45040</v>
      </c>
      <c r="C335">
        <v>0</v>
      </c>
      <c r="D335">
        <v>4</v>
      </c>
      <c r="E335" t="str">
        <f>TEXT(ACTUAL_EXPENSES[[#This Row],[Date]],"mmm")</f>
        <v>Apr</v>
      </c>
    </row>
    <row r="336" spans="1:5" x14ac:dyDescent="0.2">
      <c r="A336" s="139" t="s">
        <v>52</v>
      </c>
      <c r="B336" s="140">
        <v>45041</v>
      </c>
      <c r="C336">
        <v>0</v>
      </c>
      <c r="D336">
        <v>4</v>
      </c>
      <c r="E336" t="str">
        <f>TEXT(ACTUAL_EXPENSES[[#This Row],[Date]],"mmm")</f>
        <v>Apr</v>
      </c>
    </row>
    <row r="337" spans="1:5" x14ac:dyDescent="0.2">
      <c r="A337" s="139" t="s">
        <v>52</v>
      </c>
      <c r="B337" s="140">
        <v>45042</v>
      </c>
      <c r="C337">
        <v>0</v>
      </c>
      <c r="D337">
        <v>4</v>
      </c>
      <c r="E337" t="str">
        <f>TEXT(ACTUAL_EXPENSES[[#This Row],[Date]],"mmm")</f>
        <v>Apr</v>
      </c>
    </row>
    <row r="338" spans="1:5" x14ac:dyDescent="0.2">
      <c r="A338" s="139" t="s">
        <v>52</v>
      </c>
      <c r="B338" s="140">
        <v>45043</v>
      </c>
      <c r="C338">
        <v>0</v>
      </c>
      <c r="D338">
        <v>4</v>
      </c>
      <c r="E338" t="str">
        <f>TEXT(ACTUAL_EXPENSES[[#This Row],[Date]],"mmm")</f>
        <v>Apr</v>
      </c>
    </row>
    <row r="339" spans="1:5" x14ac:dyDescent="0.2">
      <c r="A339" s="139" t="s">
        <v>52</v>
      </c>
      <c r="B339" s="140">
        <v>45044</v>
      </c>
      <c r="C339">
        <v>0</v>
      </c>
      <c r="D339">
        <v>4</v>
      </c>
      <c r="E339" t="str">
        <f>TEXT(ACTUAL_EXPENSES[[#This Row],[Date]],"mmm")</f>
        <v>Apr</v>
      </c>
    </row>
    <row r="340" spans="1:5" x14ac:dyDescent="0.2">
      <c r="A340" s="139" t="s">
        <v>52</v>
      </c>
      <c r="B340" s="140">
        <v>45045</v>
      </c>
      <c r="C340">
        <v>0</v>
      </c>
      <c r="D340">
        <v>4</v>
      </c>
      <c r="E340" t="str">
        <f>TEXT(ACTUAL_EXPENSES[[#This Row],[Date]],"mmm")</f>
        <v>Apr</v>
      </c>
    </row>
    <row r="341" spans="1:5" x14ac:dyDescent="0.2">
      <c r="A341" s="139" t="s">
        <v>52</v>
      </c>
      <c r="B341" s="140">
        <v>45046</v>
      </c>
      <c r="C341">
        <v>0</v>
      </c>
      <c r="D341">
        <v>4</v>
      </c>
      <c r="E341" t="str">
        <f>TEXT(ACTUAL_EXPENSES[[#This Row],[Date]],"mmm")</f>
        <v>Apr</v>
      </c>
    </row>
    <row r="342" spans="1:5" x14ac:dyDescent="0.2">
      <c r="A342" s="139" t="s">
        <v>52</v>
      </c>
      <c r="B342" s="140"/>
      <c r="C342">
        <v>0</v>
      </c>
      <c r="E342" t="str">
        <f>TEXT(ACTUAL_EXPENSES[[#This Row],[Date]],"mmm")</f>
        <v>Jan</v>
      </c>
    </row>
    <row r="343" spans="1:5" x14ac:dyDescent="0.2">
      <c r="A343" s="139" t="s">
        <v>44</v>
      </c>
      <c r="B343" s="140">
        <v>45018</v>
      </c>
      <c r="C343">
        <v>0</v>
      </c>
      <c r="D343">
        <v>4</v>
      </c>
      <c r="E343" t="str">
        <f>TEXT(ACTUAL_EXPENSES[[#This Row],[Date]],"mmm")</f>
        <v>Apr</v>
      </c>
    </row>
    <row r="344" spans="1:5" x14ac:dyDescent="0.2">
      <c r="A344" s="139" t="s">
        <v>44</v>
      </c>
      <c r="B344" s="140">
        <v>45019</v>
      </c>
      <c r="C344">
        <v>0</v>
      </c>
      <c r="D344">
        <v>4</v>
      </c>
      <c r="E344" t="str">
        <f>TEXT(ACTUAL_EXPENSES[[#This Row],[Date]],"mmm")</f>
        <v>Apr</v>
      </c>
    </row>
    <row r="345" spans="1:5" x14ac:dyDescent="0.2">
      <c r="A345" s="139" t="s">
        <v>44</v>
      </c>
      <c r="B345" s="140">
        <v>45020</v>
      </c>
      <c r="C345">
        <v>0</v>
      </c>
      <c r="D345">
        <v>4</v>
      </c>
      <c r="E345" t="str">
        <f>TEXT(ACTUAL_EXPENSES[[#This Row],[Date]],"mmm")</f>
        <v>Apr</v>
      </c>
    </row>
    <row r="346" spans="1:5" x14ac:dyDescent="0.2">
      <c r="A346" s="139" t="s">
        <v>44</v>
      </c>
      <c r="B346" s="140">
        <v>45021</v>
      </c>
      <c r="C346">
        <v>0</v>
      </c>
      <c r="D346">
        <v>4</v>
      </c>
      <c r="E346" t="str">
        <f>TEXT(ACTUAL_EXPENSES[[#This Row],[Date]],"mmm")</f>
        <v>Apr</v>
      </c>
    </row>
    <row r="347" spans="1:5" x14ac:dyDescent="0.2">
      <c r="A347" s="139" t="s">
        <v>44</v>
      </c>
      <c r="B347" s="140">
        <v>45022</v>
      </c>
      <c r="C347">
        <v>0</v>
      </c>
      <c r="D347">
        <v>4</v>
      </c>
      <c r="E347" t="str">
        <f>TEXT(ACTUAL_EXPENSES[[#This Row],[Date]],"mmm")</f>
        <v>Apr</v>
      </c>
    </row>
    <row r="348" spans="1:5" x14ac:dyDescent="0.2">
      <c r="A348" s="139" t="s">
        <v>44</v>
      </c>
      <c r="B348" s="140">
        <v>45023</v>
      </c>
      <c r="C348">
        <v>0</v>
      </c>
      <c r="D348">
        <v>4</v>
      </c>
      <c r="E348" t="str">
        <f>TEXT(ACTUAL_EXPENSES[[#This Row],[Date]],"mmm")</f>
        <v>Apr</v>
      </c>
    </row>
    <row r="349" spans="1:5" x14ac:dyDescent="0.2">
      <c r="A349" s="139" t="s">
        <v>44</v>
      </c>
      <c r="B349" s="140">
        <v>45024</v>
      </c>
      <c r="C349">
        <v>0</v>
      </c>
      <c r="D349">
        <v>4</v>
      </c>
      <c r="E349" t="str">
        <f>TEXT(ACTUAL_EXPENSES[[#This Row],[Date]],"mmm")</f>
        <v>Apr</v>
      </c>
    </row>
    <row r="350" spans="1:5" x14ac:dyDescent="0.2">
      <c r="A350" s="139" t="s">
        <v>44</v>
      </c>
      <c r="B350" s="140">
        <v>45025</v>
      </c>
      <c r="C350">
        <v>0</v>
      </c>
      <c r="D350">
        <v>4</v>
      </c>
      <c r="E350" t="str">
        <f>TEXT(ACTUAL_EXPENSES[[#This Row],[Date]],"mmm")</f>
        <v>Apr</v>
      </c>
    </row>
    <row r="351" spans="1:5" x14ac:dyDescent="0.2">
      <c r="A351" s="139" t="s">
        <v>44</v>
      </c>
      <c r="B351" s="140">
        <v>45026</v>
      </c>
      <c r="C351">
        <v>0</v>
      </c>
      <c r="D351">
        <v>4</v>
      </c>
      <c r="E351" t="str">
        <f>TEXT(ACTUAL_EXPENSES[[#This Row],[Date]],"mmm")</f>
        <v>Apr</v>
      </c>
    </row>
    <row r="352" spans="1:5" x14ac:dyDescent="0.2">
      <c r="A352" s="139" t="s">
        <v>44</v>
      </c>
      <c r="B352" s="140">
        <v>45027</v>
      </c>
      <c r="C352">
        <v>0</v>
      </c>
      <c r="D352">
        <v>4</v>
      </c>
      <c r="E352" t="str">
        <f>TEXT(ACTUAL_EXPENSES[[#This Row],[Date]],"mmm")</f>
        <v>Apr</v>
      </c>
    </row>
    <row r="353" spans="1:5" x14ac:dyDescent="0.2">
      <c r="A353" s="139" t="s">
        <v>44</v>
      </c>
      <c r="B353" s="140">
        <v>45028</v>
      </c>
      <c r="C353">
        <v>0</v>
      </c>
      <c r="D353">
        <v>4</v>
      </c>
      <c r="E353" t="str">
        <f>TEXT(ACTUAL_EXPENSES[[#This Row],[Date]],"mmm")</f>
        <v>Apr</v>
      </c>
    </row>
    <row r="354" spans="1:5" x14ac:dyDescent="0.2">
      <c r="A354" s="139" t="s">
        <v>44</v>
      </c>
      <c r="B354" s="140">
        <v>45029</v>
      </c>
      <c r="C354">
        <v>0</v>
      </c>
      <c r="D354">
        <v>4</v>
      </c>
      <c r="E354" t="str">
        <f>TEXT(ACTUAL_EXPENSES[[#This Row],[Date]],"mmm")</f>
        <v>Apr</v>
      </c>
    </row>
    <row r="355" spans="1:5" x14ac:dyDescent="0.2">
      <c r="A355" s="139" t="s">
        <v>44</v>
      </c>
      <c r="B355" s="140">
        <v>45030</v>
      </c>
      <c r="C355">
        <v>0</v>
      </c>
      <c r="D355">
        <v>4</v>
      </c>
      <c r="E355" t="str">
        <f>TEXT(ACTUAL_EXPENSES[[#This Row],[Date]],"mmm")</f>
        <v>Apr</v>
      </c>
    </row>
    <row r="356" spans="1:5" x14ac:dyDescent="0.2">
      <c r="A356" s="139" t="s">
        <v>44</v>
      </c>
      <c r="B356" s="140">
        <v>45031</v>
      </c>
      <c r="C356">
        <v>0</v>
      </c>
      <c r="D356">
        <v>4</v>
      </c>
      <c r="E356" t="str">
        <f>TEXT(ACTUAL_EXPENSES[[#This Row],[Date]],"mmm")</f>
        <v>Apr</v>
      </c>
    </row>
    <row r="357" spans="1:5" x14ac:dyDescent="0.2">
      <c r="A357" s="139" t="s">
        <v>44</v>
      </c>
      <c r="B357" s="140">
        <v>45032</v>
      </c>
      <c r="C357">
        <v>0</v>
      </c>
      <c r="D357">
        <v>4</v>
      </c>
      <c r="E357" t="str">
        <f>TEXT(ACTUAL_EXPENSES[[#This Row],[Date]],"mmm")</f>
        <v>Apr</v>
      </c>
    </row>
    <row r="358" spans="1:5" x14ac:dyDescent="0.2">
      <c r="A358" s="139" t="s">
        <v>44</v>
      </c>
      <c r="B358" s="140">
        <v>45033</v>
      </c>
      <c r="C358">
        <v>0</v>
      </c>
      <c r="D358">
        <v>4</v>
      </c>
      <c r="E358" t="str">
        <f>TEXT(ACTUAL_EXPENSES[[#This Row],[Date]],"mmm")</f>
        <v>Apr</v>
      </c>
    </row>
    <row r="359" spans="1:5" x14ac:dyDescent="0.2">
      <c r="A359" s="139" t="s">
        <v>44</v>
      </c>
      <c r="B359" s="140">
        <v>45034</v>
      </c>
      <c r="C359">
        <v>0</v>
      </c>
      <c r="D359">
        <v>4</v>
      </c>
      <c r="E359" t="str">
        <f>TEXT(ACTUAL_EXPENSES[[#This Row],[Date]],"mmm")</f>
        <v>Apr</v>
      </c>
    </row>
    <row r="360" spans="1:5" x14ac:dyDescent="0.2">
      <c r="A360" s="139" t="s">
        <v>44</v>
      </c>
      <c r="B360" s="140">
        <v>45035</v>
      </c>
      <c r="C360">
        <v>0</v>
      </c>
      <c r="D360">
        <v>4</v>
      </c>
      <c r="E360" t="str">
        <f>TEXT(ACTUAL_EXPENSES[[#This Row],[Date]],"mmm")</f>
        <v>Apr</v>
      </c>
    </row>
    <row r="361" spans="1:5" x14ac:dyDescent="0.2">
      <c r="A361" s="139" t="s">
        <v>44</v>
      </c>
      <c r="B361" s="140">
        <v>45036</v>
      </c>
      <c r="C361">
        <v>500</v>
      </c>
      <c r="D361">
        <v>4</v>
      </c>
      <c r="E361" t="str">
        <f>TEXT(ACTUAL_EXPENSES[[#This Row],[Date]],"mmm")</f>
        <v>Apr</v>
      </c>
    </row>
    <row r="362" spans="1:5" x14ac:dyDescent="0.2">
      <c r="A362" s="139" t="s">
        <v>44</v>
      </c>
      <c r="B362" s="140">
        <v>45037</v>
      </c>
      <c r="C362">
        <v>0</v>
      </c>
      <c r="D362">
        <v>4</v>
      </c>
      <c r="E362" t="str">
        <f>TEXT(ACTUAL_EXPENSES[[#This Row],[Date]],"mmm")</f>
        <v>Apr</v>
      </c>
    </row>
    <row r="363" spans="1:5" x14ac:dyDescent="0.2">
      <c r="A363" s="139" t="s">
        <v>44</v>
      </c>
      <c r="B363" s="140">
        <v>45038</v>
      </c>
      <c r="C363">
        <v>0</v>
      </c>
      <c r="D363">
        <v>4</v>
      </c>
      <c r="E363" t="str">
        <f>TEXT(ACTUAL_EXPENSES[[#This Row],[Date]],"mmm")</f>
        <v>Apr</v>
      </c>
    </row>
    <row r="364" spans="1:5" x14ac:dyDescent="0.2">
      <c r="A364" s="139" t="s">
        <v>44</v>
      </c>
      <c r="B364" s="140">
        <v>45039</v>
      </c>
      <c r="C364">
        <v>0</v>
      </c>
      <c r="D364">
        <v>4</v>
      </c>
      <c r="E364" t="str">
        <f>TEXT(ACTUAL_EXPENSES[[#This Row],[Date]],"mmm")</f>
        <v>Apr</v>
      </c>
    </row>
    <row r="365" spans="1:5" x14ac:dyDescent="0.2">
      <c r="A365" s="139" t="s">
        <v>44</v>
      </c>
      <c r="B365" s="140">
        <v>45040</v>
      </c>
      <c r="C365">
        <v>0</v>
      </c>
      <c r="D365">
        <v>4</v>
      </c>
      <c r="E365" t="str">
        <f>TEXT(ACTUAL_EXPENSES[[#This Row],[Date]],"mmm")</f>
        <v>Apr</v>
      </c>
    </row>
    <row r="366" spans="1:5" x14ac:dyDescent="0.2">
      <c r="A366" s="139" t="s">
        <v>44</v>
      </c>
      <c r="B366" s="140">
        <v>45041</v>
      </c>
      <c r="C366">
        <v>0</v>
      </c>
      <c r="D366">
        <v>4</v>
      </c>
      <c r="E366" t="str">
        <f>TEXT(ACTUAL_EXPENSES[[#This Row],[Date]],"mmm")</f>
        <v>Apr</v>
      </c>
    </row>
    <row r="367" spans="1:5" x14ac:dyDescent="0.2">
      <c r="A367" s="139" t="s">
        <v>44</v>
      </c>
      <c r="B367" s="140">
        <v>45042</v>
      </c>
      <c r="C367">
        <v>0</v>
      </c>
      <c r="D367">
        <v>4</v>
      </c>
      <c r="E367" t="str">
        <f>TEXT(ACTUAL_EXPENSES[[#This Row],[Date]],"mmm")</f>
        <v>Apr</v>
      </c>
    </row>
    <row r="368" spans="1:5" x14ac:dyDescent="0.2">
      <c r="A368" s="139" t="s">
        <v>44</v>
      </c>
      <c r="B368" s="140">
        <v>45043</v>
      </c>
      <c r="C368">
        <v>0</v>
      </c>
      <c r="D368">
        <v>4</v>
      </c>
      <c r="E368" t="str">
        <f>TEXT(ACTUAL_EXPENSES[[#This Row],[Date]],"mmm")</f>
        <v>Apr</v>
      </c>
    </row>
    <row r="369" spans="1:5" x14ac:dyDescent="0.2">
      <c r="A369" s="139" t="s">
        <v>44</v>
      </c>
      <c r="B369" s="140">
        <v>45044</v>
      </c>
      <c r="C369">
        <v>0</v>
      </c>
      <c r="D369">
        <v>4</v>
      </c>
      <c r="E369" t="str">
        <f>TEXT(ACTUAL_EXPENSES[[#This Row],[Date]],"mmm")</f>
        <v>Apr</v>
      </c>
    </row>
    <row r="370" spans="1:5" x14ac:dyDescent="0.2">
      <c r="A370" s="139" t="s">
        <v>44</v>
      </c>
      <c r="B370" s="140">
        <v>45045</v>
      </c>
      <c r="C370">
        <v>0</v>
      </c>
      <c r="D370">
        <v>4</v>
      </c>
      <c r="E370" t="str">
        <f>TEXT(ACTUAL_EXPENSES[[#This Row],[Date]],"mmm")</f>
        <v>Apr</v>
      </c>
    </row>
    <row r="371" spans="1:5" x14ac:dyDescent="0.2">
      <c r="A371" s="139" t="s">
        <v>44</v>
      </c>
      <c r="B371" s="140">
        <v>45046</v>
      </c>
      <c r="C371">
        <v>0</v>
      </c>
      <c r="D371">
        <v>4</v>
      </c>
      <c r="E371" t="str">
        <f>TEXT(ACTUAL_EXPENSES[[#This Row],[Date]],"mmm")</f>
        <v>Apr</v>
      </c>
    </row>
    <row r="372" spans="1:5" x14ac:dyDescent="0.2">
      <c r="A372" s="139" t="s">
        <v>44</v>
      </c>
      <c r="B372" s="140"/>
      <c r="C372">
        <v>0</v>
      </c>
      <c r="E372" t="str">
        <f>TEXT(ACTUAL_EXPENSES[[#This Row],[Date]],"mmm")</f>
        <v>Jan</v>
      </c>
    </row>
    <row r="373" spans="1:5" x14ac:dyDescent="0.2">
      <c r="A373" s="139" t="s">
        <v>161</v>
      </c>
      <c r="B373" s="140">
        <v>45017</v>
      </c>
      <c r="C373">
        <v>0</v>
      </c>
      <c r="D373">
        <v>4</v>
      </c>
      <c r="E373" t="str">
        <f>TEXT(ACTUAL_EXPENSES[[#This Row],[Date]],"mmm")</f>
        <v>Apr</v>
      </c>
    </row>
    <row r="374" spans="1:5" x14ac:dyDescent="0.2">
      <c r="A374" s="139" t="s">
        <v>161</v>
      </c>
      <c r="B374" s="140">
        <v>45018</v>
      </c>
      <c r="C374">
        <v>0</v>
      </c>
      <c r="D374">
        <v>4</v>
      </c>
      <c r="E374" t="str">
        <f>TEXT(ACTUAL_EXPENSES[[#This Row],[Date]],"mmm")</f>
        <v>Apr</v>
      </c>
    </row>
    <row r="375" spans="1:5" x14ac:dyDescent="0.2">
      <c r="A375" s="139" t="s">
        <v>161</v>
      </c>
      <c r="B375" s="140">
        <v>45019</v>
      </c>
      <c r="C375">
        <v>0</v>
      </c>
      <c r="D375">
        <v>4</v>
      </c>
      <c r="E375" t="str">
        <f>TEXT(ACTUAL_EXPENSES[[#This Row],[Date]],"mmm")</f>
        <v>Apr</v>
      </c>
    </row>
    <row r="376" spans="1:5" x14ac:dyDescent="0.2">
      <c r="A376" s="139" t="s">
        <v>161</v>
      </c>
      <c r="B376" s="140">
        <v>45020</v>
      </c>
      <c r="C376">
        <v>0</v>
      </c>
      <c r="D376">
        <v>4</v>
      </c>
      <c r="E376" t="str">
        <f>TEXT(ACTUAL_EXPENSES[[#This Row],[Date]],"mmm")</f>
        <v>Apr</v>
      </c>
    </row>
    <row r="377" spans="1:5" x14ac:dyDescent="0.2">
      <c r="A377" s="139" t="s">
        <v>161</v>
      </c>
      <c r="B377" s="140">
        <v>45021</v>
      </c>
      <c r="C377">
        <v>0</v>
      </c>
      <c r="D377">
        <v>4</v>
      </c>
      <c r="E377" t="str">
        <f>TEXT(ACTUAL_EXPENSES[[#This Row],[Date]],"mmm")</f>
        <v>Apr</v>
      </c>
    </row>
    <row r="378" spans="1:5" x14ac:dyDescent="0.2">
      <c r="A378" s="139" t="s">
        <v>161</v>
      </c>
      <c r="B378" s="140">
        <v>45022</v>
      </c>
      <c r="C378">
        <v>0</v>
      </c>
      <c r="D378">
        <v>4</v>
      </c>
      <c r="E378" t="str">
        <f>TEXT(ACTUAL_EXPENSES[[#This Row],[Date]],"mmm")</f>
        <v>Apr</v>
      </c>
    </row>
    <row r="379" spans="1:5" x14ac:dyDescent="0.2">
      <c r="A379" s="139" t="s">
        <v>161</v>
      </c>
      <c r="B379" s="140">
        <v>45023</v>
      </c>
      <c r="C379">
        <v>0</v>
      </c>
      <c r="D379">
        <v>4</v>
      </c>
      <c r="E379" t="str">
        <f>TEXT(ACTUAL_EXPENSES[[#This Row],[Date]],"mmm")</f>
        <v>Apr</v>
      </c>
    </row>
    <row r="380" spans="1:5" x14ac:dyDescent="0.2">
      <c r="A380" s="139" t="s">
        <v>161</v>
      </c>
      <c r="B380" s="140">
        <v>45024</v>
      </c>
      <c r="C380">
        <v>0</v>
      </c>
      <c r="D380">
        <v>4</v>
      </c>
      <c r="E380" t="str">
        <f>TEXT(ACTUAL_EXPENSES[[#This Row],[Date]],"mmm")</f>
        <v>Apr</v>
      </c>
    </row>
    <row r="381" spans="1:5" x14ac:dyDescent="0.2">
      <c r="A381" s="139" t="s">
        <v>161</v>
      </c>
      <c r="B381" s="140">
        <v>45025</v>
      </c>
      <c r="C381">
        <v>0</v>
      </c>
      <c r="D381">
        <v>4</v>
      </c>
      <c r="E381" t="str">
        <f>TEXT(ACTUAL_EXPENSES[[#This Row],[Date]],"mmm")</f>
        <v>Apr</v>
      </c>
    </row>
    <row r="382" spans="1:5" x14ac:dyDescent="0.2">
      <c r="A382" s="139" t="s">
        <v>161</v>
      </c>
      <c r="B382" s="140">
        <v>45026</v>
      </c>
      <c r="C382">
        <v>0</v>
      </c>
      <c r="D382">
        <v>4</v>
      </c>
      <c r="E382" t="str">
        <f>TEXT(ACTUAL_EXPENSES[[#This Row],[Date]],"mmm")</f>
        <v>Apr</v>
      </c>
    </row>
    <row r="383" spans="1:5" x14ac:dyDescent="0.2">
      <c r="A383" s="139" t="s">
        <v>161</v>
      </c>
      <c r="B383" s="140">
        <v>45027</v>
      </c>
      <c r="C383">
        <v>0</v>
      </c>
      <c r="D383">
        <v>4</v>
      </c>
      <c r="E383" t="str">
        <f>TEXT(ACTUAL_EXPENSES[[#This Row],[Date]],"mmm")</f>
        <v>Apr</v>
      </c>
    </row>
    <row r="384" spans="1:5" x14ac:dyDescent="0.2">
      <c r="A384" s="139" t="s">
        <v>161</v>
      </c>
      <c r="B384" s="140">
        <v>45028</v>
      </c>
      <c r="C384">
        <v>0</v>
      </c>
      <c r="D384">
        <v>4</v>
      </c>
      <c r="E384" t="str">
        <f>TEXT(ACTUAL_EXPENSES[[#This Row],[Date]],"mmm")</f>
        <v>Apr</v>
      </c>
    </row>
    <row r="385" spans="1:5" x14ac:dyDescent="0.2">
      <c r="A385" s="139" t="s">
        <v>161</v>
      </c>
      <c r="B385" s="140">
        <v>45029</v>
      </c>
      <c r="C385">
        <v>0</v>
      </c>
      <c r="D385">
        <v>4</v>
      </c>
      <c r="E385" t="str">
        <f>TEXT(ACTUAL_EXPENSES[[#This Row],[Date]],"mmm")</f>
        <v>Apr</v>
      </c>
    </row>
    <row r="386" spans="1:5" x14ac:dyDescent="0.2">
      <c r="A386" s="139" t="s">
        <v>161</v>
      </c>
      <c r="B386" s="140">
        <v>45030</v>
      </c>
      <c r="C386">
        <v>0</v>
      </c>
      <c r="D386">
        <v>4</v>
      </c>
      <c r="E386" t="str">
        <f>TEXT(ACTUAL_EXPENSES[[#This Row],[Date]],"mmm")</f>
        <v>Apr</v>
      </c>
    </row>
    <row r="387" spans="1:5" x14ac:dyDescent="0.2">
      <c r="A387" s="139" t="s">
        <v>161</v>
      </c>
      <c r="B387" s="140">
        <v>45031</v>
      </c>
      <c r="C387">
        <v>0</v>
      </c>
      <c r="D387">
        <v>4</v>
      </c>
      <c r="E387" t="str">
        <f>TEXT(ACTUAL_EXPENSES[[#This Row],[Date]],"mmm")</f>
        <v>Apr</v>
      </c>
    </row>
    <row r="388" spans="1:5" x14ac:dyDescent="0.2">
      <c r="A388" s="139" t="s">
        <v>161</v>
      </c>
      <c r="B388" s="140">
        <v>45032</v>
      </c>
      <c r="C388">
        <v>0</v>
      </c>
      <c r="D388">
        <v>4</v>
      </c>
      <c r="E388" t="str">
        <f>TEXT(ACTUAL_EXPENSES[[#This Row],[Date]],"mmm")</f>
        <v>Apr</v>
      </c>
    </row>
    <row r="389" spans="1:5" x14ac:dyDescent="0.2">
      <c r="A389" s="139" t="s">
        <v>161</v>
      </c>
      <c r="B389" s="140">
        <v>45033</v>
      </c>
      <c r="C389">
        <v>0</v>
      </c>
      <c r="D389">
        <v>4</v>
      </c>
      <c r="E389" t="str">
        <f>TEXT(ACTUAL_EXPENSES[[#This Row],[Date]],"mmm")</f>
        <v>Apr</v>
      </c>
    </row>
    <row r="390" spans="1:5" x14ac:dyDescent="0.2">
      <c r="A390" s="139" t="s">
        <v>161</v>
      </c>
      <c r="B390" s="140">
        <v>45034</v>
      </c>
      <c r="C390">
        <v>0</v>
      </c>
      <c r="D390">
        <v>4</v>
      </c>
      <c r="E390" t="str">
        <f>TEXT(ACTUAL_EXPENSES[[#This Row],[Date]],"mmm")</f>
        <v>Apr</v>
      </c>
    </row>
    <row r="391" spans="1:5" x14ac:dyDescent="0.2">
      <c r="A391" s="139" t="s">
        <v>161</v>
      </c>
      <c r="B391" s="140">
        <v>45035</v>
      </c>
      <c r="C391">
        <v>0</v>
      </c>
      <c r="D391">
        <v>4</v>
      </c>
      <c r="E391" t="str">
        <f>TEXT(ACTUAL_EXPENSES[[#This Row],[Date]],"mmm")</f>
        <v>Apr</v>
      </c>
    </row>
    <row r="392" spans="1:5" x14ac:dyDescent="0.2">
      <c r="A392" s="139" t="s">
        <v>161</v>
      </c>
      <c r="B392" s="140">
        <v>45036</v>
      </c>
      <c r="C392">
        <v>20</v>
      </c>
      <c r="D392">
        <v>4</v>
      </c>
      <c r="E392" t="str">
        <f>TEXT(ACTUAL_EXPENSES[[#This Row],[Date]],"mmm")</f>
        <v>Apr</v>
      </c>
    </row>
    <row r="393" spans="1:5" x14ac:dyDescent="0.2">
      <c r="A393" s="139" t="s">
        <v>161</v>
      </c>
      <c r="B393" s="140">
        <v>45037</v>
      </c>
      <c r="C393">
        <v>0</v>
      </c>
      <c r="D393">
        <v>4</v>
      </c>
      <c r="E393" t="str">
        <f>TEXT(ACTUAL_EXPENSES[[#This Row],[Date]],"mmm")</f>
        <v>Apr</v>
      </c>
    </row>
    <row r="394" spans="1:5" x14ac:dyDescent="0.2">
      <c r="A394" s="139" t="s">
        <v>161</v>
      </c>
      <c r="B394" s="140">
        <v>45038</v>
      </c>
      <c r="C394">
        <v>0</v>
      </c>
      <c r="D394">
        <v>4</v>
      </c>
      <c r="E394" t="str">
        <f>TEXT(ACTUAL_EXPENSES[[#This Row],[Date]],"mmm")</f>
        <v>Apr</v>
      </c>
    </row>
    <row r="395" spans="1:5" x14ac:dyDescent="0.2">
      <c r="A395" s="139" t="s">
        <v>161</v>
      </c>
      <c r="B395" s="140">
        <v>45039</v>
      </c>
      <c r="C395">
        <v>0</v>
      </c>
      <c r="D395">
        <v>4</v>
      </c>
      <c r="E395" t="str">
        <f>TEXT(ACTUAL_EXPENSES[[#This Row],[Date]],"mmm")</f>
        <v>Apr</v>
      </c>
    </row>
    <row r="396" spans="1:5" x14ac:dyDescent="0.2">
      <c r="A396" s="139" t="s">
        <v>161</v>
      </c>
      <c r="B396" s="140">
        <v>45040</v>
      </c>
      <c r="C396">
        <v>0</v>
      </c>
      <c r="D396">
        <v>4</v>
      </c>
      <c r="E396" t="str">
        <f>TEXT(ACTUAL_EXPENSES[[#This Row],[Date]],"mmm")</f>
        <v>Apr</v>
      </c>
    </row>
    <row r="397" spans="1:5" x14ac:dyDescent="0.2">
      <c r="A397" s="139" t="s">
        <v>161</v>
      </c>
      <c r="B397" s="140">
        <v>45041</v>
      </c>
      <c r="C397">
        <v>0</v>
      </c>
      <c r="D397">
        <v>4</v>
      </c>
      <c r="E397" t="str">
        <f>TEXT(ACTUAL_EXPENSES[[#This Row],[Date]],"mmm")</f>
        <v>Apr</v>
      </c>
    </row>
    <row r="398" spans="1:5" x14ac:dyDescent="0.2">
      <c r="A398" s="139" t="s">
        <v>161</v>
      </c>
      <c r="B398" s="140">
        <v>45042</v>
      </c>
      <c r="C398">
        <v>0</v>
      </c>
      <c r="D398">
        <v>4</v>
      </c>
      <c r="E398" t="str">
        <f>TEXT(ACTUAL_EXPENSES[[#This Row],[Date]],"mmm")</f>
        <v>Apr</v>
      </c>
    </row>
    <row r="399" spans="1:5" x14ac:dyDescent="0.2">
      <c r="A399" s="139" t="s">
        <v>161</v>
      </c>
      <c r="B399" s="140">
        <v>45043</v>
      </c>
      <c r="C399">
        <v>0</v>
      </c>
      <c r="D399">
        <v>4</v>
      </c>
      <c r="E399" t="str">
        <f>TEXT(ACTUAL_EXPENSES[[#This Row],[Date]],"mmm")</f>
        <v>Apr</v>
      </c>
    </row>
    <row r="400" spans="1:5" x14ac:dyDescent="0.2">
      <c r="A400" s="139" t="s">
        <v>161</v>
      </c>
      <c r="B400" s="140">
        <v>45044</v>
      </c>
      <c r="C400">
        <v>0</v>
      </c>
      <c r="D400">
        <v>4</v>
      </c>
      <c r="E400" t="str">
        <f>TEXT(ACTUAL_EXPENSES[[#This Row],[Date]],"mmm")</f>
        <v>Apr</v>
      </c>
    </row>
    <row r="401" spans="1:5" x14ac:dyDescent="0.2">
      <c r="A401" s="139" t="s">
        <v>161</v>
      </c>
      <c r="B401" s="140">
        <v>45045</v>
      </c>
      <c r="C401">
        <v>0</v>
      </c>
      <c r="D401">
        <v>4</v>
      </c>
      <c r="E401" t="str">
        <f>TEXT(ACTUAL_EXPENSES[[#This Row],[Date]],"mmm")</f>
        <v>Apr</v>
      </c>
    </row>
    <row r="402" spans="1:5" x14ac:dyDescent="0.2">
      <c r="A402" s="139" t="s">
        <v>161</v>
      </c>
      <c r="B402" s="140">
        <v>45046</v>
      </c>
      <c r="C402">
        <v>0</v>
      </c>
      <c r="D402">
        <v>4</v>
      </c>
      <c r="E402" t="str">
        <f>TEXT(ACTUAL_EXPENSES[[#This Row],[Date]],"mmm")</f>
        <v>Apr</v>
      </c>
    </row>
    <row r="403" spans="1:5" x14ac:dyDescent="0.2">
      <c r="A403" s="139" t="s">
        <v>161</v>
      </c>
      <c r="B403" s="140"/>
      <c r="C403">
        <v>0</v>
      </c>
      <c r="E403" t="str">
        <f>TEXT(ACTUAL_EXPENSES[[#This Row],[Date]],"mmm")</f>
        <v>Jan</v>
      </c>
    </row>
    <row r="404" spans="1:5" x14ac:dyDescent="0.2">
      <c r="A404" s="139" t="s">
        <v>41</v>
      </c>
      <c r="B404" s="140">
        <v>45017</v>
      </c>
      <c r="C404">
        <v>108.35</v>
      </c>
      <c r="D404">
        <v>4</v>
      </c>
      <c r="E404" t="str">
        <f>TEXT(ACTUAL_EXPENSES[[#This Row],[Date]],"mmm")</f>
        <v>Apr</v>
      </c>
    </row>
    <row r="405" spans="1:5" x14ac:dyDescent="0.2">
      <c r="A405" s="139" t="s">
        <v>41</v>
      </c>
      <c r="B405" s="140">
        <v>45018</v>
      </c>
      <c r="C405">
        <v>0</v>
      </c>
      <c r="D405">
        <v>4</v>
      </c>
      <c r="E405" t="str">
        <f>TEXT(ACTUAL_EXPENSES[[#This Row],[Date]],"mmm")</f>
        <v>Apr</v>
      </c>
    </row>
    <row r="406" spans="1:5" x14ac:dyDescent="0.2">
      <c r="A406" s="139" t="s">
        <v>41</v>
      </c>
      <c r="B406" s="140">
        <v>45019</v>
      </c>
      <c r="C406">
        <v>21</v>
      </c>
      <c r="D406">
        <v>4</v>
      </c>
      <c r="E406" t="str">
        <f>TEXT(ACTUAL_EXPENSES[[#This Row],[Date]],"mmm")</f>
        <v>Apr</v>
      </c>
    </row>
    <row r="407" spans="1:5" x14ac:dyDescent="0.2">
      <c r="A407" s="139" t="s">
        <v>41</v>
      </c>
      <c r="B407" s="140">
        <v>45020</v>
      </c>
      <c r="C407">
        <v>7.5</v>
      </c>
      <c r="D407">
        <v>4</v>
      </c>
      <c r="E407" t="str">
        <f>TEXT(ACTUAL_EXPENSES[[#This Row],[Date]],"mmm")</f>
        <v>Apr</v>
      </c>
    </row>
    <row r="408" spans="1:5" x14ac:dyDescent="0.2">
      <c r="A408" s="139" t="s">
        <v>41</v>
      </c>
      <c r="B408" s="140">
        <v>45021</v>
      </c>
      <c r="C408">
        <v>20</v>
      </c>
      <c r="D408">
        <v>4</v>
      </c>
      <c r="E408" t="str">
        <f>TEXT(ACTUAL_EXPENSES[[#This Row],[Date]],"mmm")</f>
        <v>Apr</v>
      </c>
    </row>
    <row r="409" spans="1:5" x14ac:dyDescent="0.2">
      <c r="A409" s="139" t="s">
        <v>41</v>
      </c>
      <c r="B409" s="140">
        <v>45022</v>
      </c>
      <c r="C409">
        <v>0</v>
      </c>
      <c r="D409">
        <v>4</v>
      </c>
      <c r="E409" t="str">
        <f>TEXT(ACTUAL_EXPENSES[[#This Row],[Date]],"mmm")</f>
        <v>Apr</v>
      </c>
    </row>
    <row r="410" spans="1:5" x14ac:dyDescent="0.2">
      <c r="A410" s="139" t="s">
        <v>41</v>
      </c>
      <c r="B410" s="140">
        <v>45023</v>
      </c>
      <c r="C410">
        <v>17</v>
      </c>
      <c r="D410">
        <v>4</v>
      </c>
      <c r="E410" t="str">
        <f>TEXT(ACTUAL_EXPENSES[[#This Row],[Date]],"mmm")</f>
        <v>Apr</v>
      </c>
    </row>
    <row r="411" spans="1:5" x14ac:dyDescent="0.2">
      <c r="A411" s="139" t="s">
        <v>41</v>
      </c>
      <c r="B411" s="140">
        <v>45024</v>
      </c>
      <c r="C411">
        <v>0</v>
      </c>
      <c r="D411">
        <v>4</v>
      </c>
      <c r="E411" t="str">
        <f>TEXT(ACTUAL_EXPENSES[[#This Row],[Date]],"mmm")</f>
        <v>Apr</v>
      </c>
    </row>
    <row r="412" spans="1:5" x14ac:dyDescent="0.2">
      <c r="A412" s="139" t="s">
        <v>41</v>
      </c>
      <c r="B412" s="140">
        <v>45025</v>
      </c>
      <c r="C412">
        <v>0</v>
      </c>
      <c r="D412">
        <v>4</v>
      </c>
      <c r="E412" t="str">
        <f>TEXT(ACTUAL_EXPENSES[[#This Row],[Date]],"mmm")</f>
        <v>Apr</v>
      </c>
    </row>
    <row r="413" spans="1:5" x14ac:dyDescent="0.2">
      <c r="A413" s="139" t="s">
        <v>41</v>
      </c>
      <c r="B413" s="140">
        <v>45026</v>
      </c>
      <c r="C413">
        <v>20</v>
      </c>
      <c r="D413">
        <v>4</v>
      </c>
      <c r="E413" t="str">
        <f>TEXT(ACTUAL_EXPENSES[[#This Row],[Date]],"mmm")</f>
        <v>Apr</v>
      </c>
    </row>
    <row r="414" spans="1:5" x14ac:dyDescent="0.2">
      <c r="A414" s="139" t="s">
        <v>41</v>
      </c>
      <c r="B414" s="140">
        <v>45027</v>
      </c>
      <c r="C414">
        <v>0</v>
      </c>
      <c r="D414">
        <v>4</v>
      </c>
      <c r="E414" t="str">
        <f>TEXT(ACTUAL_EXPENSES[[#This Row],[Date]],"mmm")</f>
        <v>Apr</v>
      </c>
    </row>
    <row r="415" spans="1:5" x14ac:dyDescent="0.2">
      <c r="A415" s="139" t="s">
        <v>41</v>
      </c>
      <c r="B415" s="140">
        <v>45028</v>
      </c>
      <c r="C415">
        <v>20</v>
      </c>
      <c r="D415">
        <v>4</v>
      </c>
      <c r="E415" t="str">
        <f>TEXT(ACTUAL_EXPENSES[[#This Row],[Date]],"mmm")</f>
        <v>Apr</v>
      </c>
    </row>
    <row r="416" spans="1:5" x14ac:dyDescent="0.2">
      <c r="A416" s="139" t="s">
        <v>41</v>
      </c>
      <c r="B416" s="140">
        <v>45029</v>
      </c>
      <c r="C416">
        <v>8</v>
      </c>
      <c r="D416">
        <v>4</v>
      </c>
      <c r="E416" t="str">
        <f>TEXT(ACTUAL_EXPENSES[[#This Row],[Date]],"mmm")</f>
        <v>Apr</v>
      </c>
    </row>
    <row r="417" spans="1:5" x14ac:dyDescent="0.2">
      <c r="A417" s="139" t="s">
        <v>41</v>
      </c>
      <c r="B417" s="140">
        <v>45030</v>
      </c>
      <c r="C417">
        <v>15</v>
      </c>
      <c r="D417">
        <v>4</v>
      </c>
      <c r="E417" t="str">
        <f>TEXT(ACTUAL_EXPENSES[[#This Row],[Date]],"mmm")</f>
        <v>Apr</v>
      </c>
    </row>
    <row r="418" spans="1:5" x14ac:dyDescent="0.2">
      <c r="A418" s="139" t="s">
        <v>41</v>
      </c>
      <c r="B418" s="140">
        <v>45031</v>
      </c>
      <c r="C418">
        <v>0</v>
      </c>
      <c r="D418">
        <v>4</v>
      </c>
      <c r="E418" t="str">
        <f>TEXT(ACTUAL_EXPENSES[[#This Row],[Date]],"mmm")</f>
        <v>Apr</v>
      </c>
    </row>
    <row r="419" spans="1:5" x14ac:dyDescent="0.2">
      <c r="A419" s="139" t="s">
        <v>41</v>
      </c>
      <c r="B419" s="140">
        <v>45032</v>
      </c>
      <c r="C419">
        <v>32.5</v>
      </c>
      <c r="D419">
        <v>4</v>
      </c>
      <c r="E419" t="str">
        <f>TEXT(ACTUAL_EXPENSES[[#This Row],[Date]],"mmm")</f>
        <v>Apr</v>
      </c>
    </row>
    <row r="420" spans="1:5" x14ac:dyDescent="0.2">
      <c r="A420" s="139" t="s">
        <v>41</v>
      </c>
      <c r="B420" s="140">
        <v>45033</v>
      </c>
      <c r="C420">
        <v>0</v>
      </c>
      <c r="D420">
        <v>4</v>
      </c>
      <c r="E420" t="str">
        <f>TEXT(ACTUAL_EXPENSES[[#This Row],[Date]],"mmm")</f>
        <v>Apr</v>
      </c>
    </row>
    <row r="421" spans="1:5" x14ac:dyDescent="0.2">
      <c r="A421" s="139" t="s">
        <v>41</v>
      </c>
      <c r="B421" s="140">
        <v>45034</v>
      </c>
      <c r="C421">
        <v>0</v>
      </c>
      <c r="D421">
        <v>4</v>
      </c>
      <c r="E421" t="str">
        <f>TEXT(ACTUAL_EXPENSES[[#This Row],[Date]],"mmm")</f>
        <v>Apr</v>
      </c>
    </row>
    <row r="422" spans="1:5" x14ac:dyDescent="0.2">
      <c r="A422" s="139" t="s">
        <v>41</v>
      </c>
      <c r="B422" s="140">
        <v>45035</v>
      </c>
      <c r="C422">
        <v>40</v>
      </c>
      <c r="D422">
        <v>4</v>
      </c>
      <c r="E422" t="str">
        <f>TEXT(ACTUAL_EXPENSES[[#This Row],[Date]],"mmm")</f>
        <v>Apr</v>
      </c>
    </row>
    <row r="423" spans="1:5" x14ac:dyDescent="0.2">
      <c r="A423" s="139" t="s">
        <v>41</v>
      </c>
      <c r="B423" s="140">
        <v>45036</v>
      </c>
      <c r="C423">
        <v>13</v>
      </c>
      <c r="D423">
        <v>4</v>
      </c>
      <c r="E423" t="str">
        <f>TEXT(ACTUAL_EXPENSES[[#This Row],[Date]],"mmm")</f>
        <v>Apr</v>
      </c>
    </row>
    <row r="424" spans="1:5" x14ac:dyDescent="0.2">
      <c r="A424" s="139" t="s">
        <v>41</v>
      </c>
      <c r="B424" s="140">
        <v>45037</v>
      </c>
      <c r="C424">
        <v>101</v>
      </c>
      <c r="D424">
        <v>4</v>
      </c>
      <c r="E424" t="str">
        <f>TEXT(ACTUAL_EXPENSES[[#This Row],[Date]],"mmm")</f>
        <v>Apr</v>
      </c>
    </row>
    <row r="425" spans="1:5" x14ac:dyDescent="0.2">
      <c r="A425" s="139" t="s">
        <v>41</v>
      </c>
      <c r="B425" s="140">
        <v>45038</v>
      </c>
      <c r="C425">
        <v>231</v>
      </c>
      <c r="D425">
        <v>4</v>
      </c>
      <c r="E425" t="str">
        <f>TEXT(ACTUAL_EXPENSES[[#This Row],[Date]],"mmm")</f>
        <v>Apr</v>
      </c>
    </row>
    <row r="426" spans="1:5" x14ac:dyDescent="0.2">
      <c r="A426" s="139" t="s">
        <v>41</v>
      </c>
      <c r="B426" s="140">
        <v>45039</v>
      </c>
      <c r="C426">
        <v>12</v>
      </c>
      <c r="D426">
        <v>4</v>
      </c>
      <c r="E426" t="str">
        <f>TEXT(ACTUAL_EXPENSES[[#This Row],[Date]],"mmm")</f>
        <v>Apr</v>
      </c>
    </row>
    <row r="427" spans="1:5" x14ac:dyDescent="0.2">
      <c r="A427" s="139" t="s">
        <v>41</v>
      </c>
      <c r="B427" s="140">
        <v>45040</v>
      </c>
      <c r="C427">
        <v>48</v>
      </c>
      <c r="D427">
        <v>4</v>
      </c>
      <c r="E427" t="str">
        <f>TEXT(ACTUAL_EXPENSES[[#This Row],[Date]],"mmm")</f>
        <v>Apr</v>
      </c>
    </row>
    <row r="428" spans="1:5" x14ac:dyDescent="0.2">
      <c r="A428" s="139" t="s">
        <v>41</v>
      </c>
      <c r="B428" s="140">
        <v>45041</v>
      </c>
      <c r="C428">
        <v>14</v>
      </c>
      <c r="D428">
        <v>4</v>
      </c>
      <c r="E428" t="str">
        <f>TEXT(ACTUAL_EXPENSES[[#This Row],[Date]],"mmm")</f>
        <v>Apr</v>
      </c>
    </row>
    <row r="429" spans="1:5" x14ac:dyDescent="0.2">
      <c r="A429" s="139" t="s">
        <v>41</v>
      </c>
      <c r="B429" s="140">
        <v>45042</v>
      </c>
      <c r="C429">
        <v>5</v>
      </c>
      <c r="D429">
        <v>4</v>
      </c>
      <c r="E429" t="str">
        <f>TEXT(ACTUAL_EXPENSES[[#This Row],[Date]],"mmm")</f>
        <v>Apr</v>
      </c>
    </row>
    <row r="430" spans="1:5" x14ac:dyDescent="0.2">
      <c r="A430" s="139" t="s">
        <v>41</v>
      </c>
      <c r="B430" s="140">
        <v>45043</v>
      </c>
      <c r="C430">
        <v>20</v>
      </c>
      <c r="D430">
        <v>4</v>
      </c>
      <c r="E430" t="str">
        <f>TEXT(ACTUAL_EXPENSES[[#This Row],[Date]],"mmm")</f>
        <v>Apr</v>
      </c>
    </row>
    <row r="431" spans="1:5" x14ac:dyDescent="0.2">
      <c r="A431" s="139" t="s">
        <v>41</v>
      </c>
      <c r="B431" s="140">
        <v>45044</v>
      </c>
      <c r="C431">
        <v>97</v>
      </c>
      <c r="D431">
        <v>4</v>
      </c>
      <c r="E431" t="str">
        <f>TEXT(ACTUAL_EXPENSES[[#This Row],[Date]],"mmm")</f>
        <v>Apr</v>
      </c>
    </row>
    <row r="432" spans="1:5" x14ac:dyDescent="0.2">
      <c r="A432" s="139" t="s">
        <v>41</v>
      </c>
      <c r="B432" s="140">
        <v>45045</v>
      </c>
      <c r="C432">
        <v>0</v>
      </c>
      <c r="D432">
        <v>4</v>
      </c>
      <c r="E432" t="str">
        <f>TEXT(ACTUAL_EXPENSES[[#This Row],[Date]],"mmm")</f>
        <v>Apr</v>
      </c>
    </row>
    <row r="433" spans="1:5" x14ac:dyDescent="0.2">
      <c r="A433" s="139" t="s">
        <v>41</v>
      </c>
      <c r="B433" s="140">
        <v>45046</v>
      </c>
      <c r="C433">
        <v>0</v>
      </c>
      <c r="D433">
        <v>4</v>
      </c>
      <c r="E433" t="str">
        <f>TEXT(ACTUAL_EXPENSES[[#This Row],[Date]],"mmm")</f>
        <v>Apr</v>
      </c>
    </row>
    <row r="434" spans="1:5" x14ac:dyDescent="0.2">
      <c r="A434" s="139" t="s">
        <v>41</v>
      </c>
      <c r="B434" s="140"/>
      <c r="C434">
        <v>0</v>
      </c>
      <c r="E434" t="str">
        <f>TEXT(ACTUAL_EXPENSES[[#This Row],[Date]],"mmm")</f>
        <v>Jan</v>
      </c>
    </row>
    <row r="435" spans="1:5" x14ac:dyDescent="0.2">
      <c r="A435" s="139" t="s">
        <v>61</v>
      </c>
      <c r="B435" s="140">
        <v>45017</v>
      </c>
      <c r="C435">
        <v>0</v>
      </c>
      <c r="D435">
        <v>4</v>
      </c>
      <c r="E435" t="str">
        <f>TEXT(ACTUAL_EXPENSES[[#This Row],[Date]],"mmm")</f>
        <v>Apr</v>
      </c>
    </row>
    <row r="436" spans="1:5" x14ac:dyDescent="0.2">
      <c r="A436" s="139" t="s">
        <v>61</v>
      </c>
      <c r="B436" s="140">
        <v>45018</v>
      </c>
      <c r="C436">
        <v>0</v>
      </c>
      <c r="D436">
        <v>4</v>
      </c>
      <c r="E436" t="str">
        <f>TEXT(ACTUAL_EXPENSES[[#This Row],[Date]],"mmm")</f>
        <v>Apr</v>
      </c>
    </row>
    <row r="437" spans="1:5" x14ac:dyDescent="0.2">
      <c r="A437" s="139" t="s">
        <v>61</v>
      </c>
      <c r="B437" s="140">
        <v>45019</v>
      </c>
      <c r="C437">
        <v>0</v>
      </c>
      <c r="D437">
        <v>4</v>
      </c>
      <c r="E437" t="str">
        <f>TEXT(ACTUAL_EXPENSES[[#This Row],[Date]],"mmm")</f>
        <v>Apr</v>
      </c>
    </row>
    <row r="438" spans="1:5" x14ac:dyDescent="0.2">
      <c r="A438" s="139" t="s">
        <v>61</v>
      </c>
      <c r="B438" s="140">
        <v>45020</v>
      </c>
      <c r="C438">
        <v>0</v>
      </c>
      <c r="D438">
        <v>4</v>
      </c>
      <c r="E438" t="str">
        <f>TEXT(ACTUAL_EXPENSES[[#This Row],[Date]],"mmm")</f>
        <v>Apr</v>
      </c>
    </row>
    <row r="439" spans="1:5" x14ac:dyDescent="0.2">
      <c r="A439" s="139" t="s">
        <v>61</v>
      </c>
      <c r="B439" s="140">
        <v>45021</v>
      </c>
      <c r="C439">
        <v>0</v>
      </c>
      <c r="D439">
        <v>4</v>
      </c>
      <c r="E439" t="str">
        <f>TEXT(ACTUAL_EXPENSES[[#This Row],[Date]],"mmm")</f>
        <v>Apr</v>
      </c>
    </row>
    <row r="440" spans="1:5" x14ac:dyDescent="0.2">
      <c r="A440" s="139" t="s">
        <v>61</v>
      </c>
      <c r="B440" s="140">
        <v>45022</v>
      </c>
      <c r="C440">
        <v>0</v>
      </c>
      <c r="D440">
        <v>4</v>
      </c>
      <c r="E440" t="str">
        <f>TEXT(ACTUAL_EXPENSES[[#This Row],[Date]],"mmm")</f>
        <v>Apr</v>
      </c>
    </row>
    <row r="441" spans="1:5" x14ac:dyDescent="0.2">
      <c r="A441" s="139" t="s">
        <v>61</v>
      </c>
      <c r="B441" s="140">
        <v>45023</v>
      </c>
      <c r="C441">
        <v>0</v>
      </c>
      <c r="D441">
        <v>4</v>
      </c>
      <c r="E441" t="str">
        <f>TEXT(ACTUAL_EXPENSES[[#This Row],[Date]],"mmm")</f>
        <v>Apr</v>
      </c>
    </row>
    <row r="442" spans="1:5" x14ac:dyDescent="0.2">
      <c r="A442" s="139" t="s">
        <v>61</v>
      </c>
      <c r="B442" s="140">
        <v>45024</v>
      </c>
      <c r="C442">
        <v>0</v>
      </c>
      <c r="D442">
        <v>4</v>
      </c>
      <c r="E442" t="str">
        <f>TEXT(ACTUAL_EXPENSES[[#This Row],[Date]],"mmm")</f>
        <v>Apr</v>
      </c>
    </row>
    <row r="443" spans="1:5" x14ac:dyDescent="0.2">
      <c r="A443" s="139" t="s">
        <v>61</v>
      </c>
      <c r="B443" s="140">
        <v>45025</v>
      </c>
      <c r="C443">
        <v>0</v>
      </c>
      <c r="D443">
        <v>4</v>
      </c>
      <c r="E443" t="str">
        <f>TEXT(ACTUAL_EXPENSES[[#This Row],[Date]],"mmm")</f>
        <v>Apr</v>
      </c>
    </row>
    <row r="444" spans="1:5" x14ac:dyDescent="0.2">
      <c r="A444" s="139" t="s">
        <v>61</v>
      </c>
      <c r="B444" s="140">
        <v>45026</v>
      </c>
      <c r="C444">
        <v>0</v>
      </c>
      <c r="D444">
        <v>4</v>
      </c>
      <c r="E444" t="str">
        <f>TEXT(ACTUAL_EXPENSES[[#This Row],[Date]],"mmm")</f>
        <v>Apr</v>
      </c>
    </row>
    <row r="445" spans="1:5" x14ac:dyDescent="0.2">
      <c r="A445" s="139" t="s">
        <v>61</v>
      </c>
      <c r="B445" s="140">
        <v>45027</v>
      </c>
      <c r="C445">
        <v>0</v>
      </c>
      <c r="D445">
        <v>4</v>
      </c>
      <c r="E445" t="str">
        <f>TEXT(ACTUAL_EXPENSES[[#This Row],[Date]],"mmm")</f>
        <v>Apr</v>
      </c>
    </row>
    <row r="446" spans="1:5" x14ac:dyDescent="0.2">
      <c r="A446" s="139" t="s">
        <v>61</v>
      </c>
      <c r="B446" s="140">
        <v>45028</v>
      </c>
      <c r="C446">
        <v>0</v>
      </c>
      <c r="D446">
        <v>4</v>
      </c>
      <c r="E446" t="str">
        <f>TEXT(ACTUAL_EXPENSES[[#This Row],[Date]],"mmm")</f>
        <v>Apr</v>
      </c>
    </row>
    <row r="447" spans="1:5" x14ac:dyDescent="0.2">
      <c r="A447" s="139" t="s">
        <v>61</v>
      </c>
      <c r="B447" s="140">
        <v>45029</v>
      </c>
      <c r="C447">
        <v>0</v>
      </c>
      <c r="D447">
        <v>4</v>
      </c>
      <c r="E447" t="str">
        <f>TEXT(ACTUAL_EXPENSES[[#This Row],[Date]],"mmm")</f>
        <v>Apr</v>
      </c>
    </row>
    <row r="448" spans="1:5" x14ac:dyDescent="0.2">
      <c r="A448" s="139" t="s">
        <v>61</v>
      </c>
      <c r="B448" s="140">
        <v>45030</v>
      </c>
      <c r="C448">
        <v>0</v>
      </c>
      <c r="D448">
        <v>4</v>
      </c>
      <c r="E448" t="str">
        <f>TEXT(ACTUAL_EXPENSES[[#This Row],[Date]],"mmm")</f>
        <v>Apr</v>
      </c>
    </row>
    <row r="449" spans="1:5" x14ac:dyDescent="0.2">
      <c r="A449" s="139" t="s">
        <v>61</v>
      </c>
      <c r="B449" s="140">
        <v>45031</v>
      </c>
      <c r="C449">
        <v>0</v>
      </c>
      <c r="D449">
        <v>4</v>
      </c>
      <c r="E449" t="str">
        <f>TEXT(ACTUAL_EXPENSES[[#This Row],[Date]],"mmm")</f>
        <v>Apr</v>
      </c>
    </row>
    <row r="450" spans="1:5" x14ac:dyDescent="0.2">
      <c r="A450" s="139" t="s">
        <v>61</v>
      </c>
      <c r="B450" s="140">
        <v>45032</v>
      </c>
      <c r="C450">
        <v>0</v>
      </c>
      <c r="D450">
        <v>4</v>
      </c>
      <c r="E450" t="str">
        <f>TEXT(ACTUAL_EXPENSES[[#This Row],[Date]],"mmm")</f>
        <v>Apr</v>
      </c>
    </row>
    <row r="451" spans="1:5" x14ac:dyDescent="0.2">
      <c r="A451" s="139" t="s">
        <v>61</v>
      </c>
      <c r="B451" s="140">
        <v>45033</v>
      </c>
      <c r="C451">
        <v>0</v>
      </c>
      <c r="D451">
        <v>4</v>
      </c>
      <c r="E451" t="str">
        <f>TEXT(ACTUAL_EXPENSES[[#This Row],[Date]],"mmm")</f>
        <v>Apr</v>
      </c>
    </row>
    <row r="452" spans="1:5" x14ac:dyDescent="0.2">
      <c r="A452" s="139" t="s">
        <v>61</v>
      </c>
      <c r="B452" s="140">
        <v>45034</v>
      </c>
      <c r="C452">
        <v>17</v>
      </c>
      <c r="D452">
        <v>4</v>
      </c>
      <c r="E452" t="str">
        <f>TEXT(ACTUAL_EXPENSES[[#This Row],[Date]],"mmm")</f>
        <v>Apr</v>
      </c>
    </row>
    <row r="453" spans="1:5" x14ac:dyDescent="0.2">
      <c r="A453" s="139" t="s">
        <v>61</v>
      </c>
      <c r="B453" s="140">
        <v>45035</v>
      </c>
      <c r="C453">
        <v>0</v>
      </c>
      <c r="D453">
        <v>4</v>
      </c>
      <c r="E453" t="str">
        <f>TEXT(ACTUAL_EXPENSES[[#This Row],[Date]],"mmm")</f>
        <v>Apr</v>
      </c>
    </row>
    <row r="454" spans="1:5" x14ac:dyDescent="0.2">
      <c r="A454" s="139" t="s">
        <v>61</v>
      </c>
      <c r="B454" s="140">
        <v>45036</v>
      </c>
      <c r="C454">
        <v>0</v>
      </c>
      <c r="D454">
        <v>4</v>
      </c>
      <c r="E454" t="str">
        <f>TEXT(ACTUAL_EXPENSES[[#This Row],[Date]],"mmm")</f>
        <v>Apr</v>
      </c>
    </row>
    <row r="455" spans="1:5" x14ac:dyDescent="0.2">
      <c r="A455" s="139" t="s">
        <v>61</v>
      </c>
      <c r="B455" s="140">
        <v>45037</v>
      </c>
      <c r="C455">
        <v>0</v>
      </c>
      <c r="D455">
        <v>4</v>
      </c>
      <c r="E455" t="str">
        <f>TEXT(ACTUAL_EXPENSES[[#This Row],[Date]],"mmm")</f>
        <v>Apr</v>
      </c>
    </row>
    <row r="456" spans="1:5" x14ac:dyDescent="0.2">
      <c r="A456" s="139" t="s">
        <v>61</v>
      </c>
      <c r="B456" s="140">
        <v>45039</v>
      </c>
      <c r="C456">
        <v>0</v>
      </c>
      <c r="D456">
        <v>4</v>
      </c>
      <c r="E456" t="str">
        <f>TEXT(ACTUAL_EXPENSES[[#This Row],[Date]],"mmm")</f>
        <v>Apr</v>
      </c>
    </row>
    <row r="457" spans="1:5" x14ac:dyDescent="0.2">
      <c r="A457" s="139" t="s">
        <v>61</v>
      </c>
      <c r="B457" s="140">
        <v>45040</v>
      </c>
      <c r="C457">
        <v>0</v>
      </c>
      <c r="D457">
        <v>4</v>
      </c>
      <c r="E457" t="str">
        <f>TEXT(ACTUAL_EXPENSES[[#This Row],[Date]],"mmm")</f>
        <v>Apr</v>
      </c>
    </row>
    <row r="458" spans="1:5" x14ac:dyDescent="0.2">
      <c r="A458" s="139" t="s">
        <v>61</v>
      </c>
      <c r="B458" s="140">
        <v>45041</v>
      </c>
      <c r="C458">
        <v>0</v>
      </c>
      <c r="D458">
        <v>4</v>
      </c>
      <c r="E458" t="str">
        <f>TEXT(ACTUAL_EXPENSES[[#This Row],[Date]],"mmm")</f>
        <v>Apr</v>
      </c>
    </row>
    <row r="459" spans="1:5" x14ac:dyDescent="0.2">
      <c r="A459" s="139" t="s">
        <v>61</v>
      </c>
      <c r="B459" s="140">
        <v>45042</v>
      </c>
      <c r="C459">
        <v>0</v>
      </c>
      <c r="D459">
        <v>4</v>
      </c>
      <c r="E459" t="str">
        <f>TEXT(ACTUAL_EXPENSES[[#This Row],[Date]],"mmm")</f>
        <v>Apr</v>
      </c>
    </row>
    <row r="460" spans="1:5" x14ac:dyDescent="0.2">
      <c r="A460" s="139" t="s">
        <v>61</v>
      </c>
      <c r="B460" s="140">
        <v>45043</v>
      </c>
      <c r="C460">
        <v>0</v>
      </c>
      <c r="D460">
        <v>4</v>
      </c>
      <c r="E460" t="str">
        <f>TEXT(ACTUAL_EXPENSES[[#This Row],[Date]],"mmm")</f>
        <v>Apr</v>
      </c>
    </row>
    <row r="461" spans="1:5" x14ac:dyDescent="0.2">
      <c r="A461" s="139" t="s">
        <v>61</v>
      </c>
      <c r="B461" s="140">
        <v>45044</v>
      </c>
      <c r="C461">
        <v>0</v>
      </c>
      <c r="D461">
        <v>4</v>
      </c>
      <c r="E461" t="str">
        <f>TEXT(ACTUAL_EXPENSES[[#This Row],[Date]],"mmm")</f>
        <v>Apr</v>
      </c>
    </row>
    <row r="462" spans="1:5" x14ac:dyDescent="0.2">
      <c r="A462" s="139" t="s">
        <v>61</v>
      </c>
      <c r="B462" s="140">
        <v>45045</v>
      </c>
      <c r="C462">
        <v>0</v>
      </c>
      <c r="D462">
        <v>4</v>
      </c>
      <c r="E462" t="str">
        <f>TEXT(ACTUAL_EXPENSES[[#This Row],[Date]],"mmm")</f>
        <v>Apr</v>
      </c>
    </row>
    <row r="463" spans="1:5" x14ac:dyDescent="0.2">
      <c r="A463" s="139" t="s">
        <v>61</v>
      </c>
      <c r="B463" s="140">
        <v>45046</v>
      </c>
      <c r="C463">
        <v>0</v>
      </c>
      <c r="D463">
        <v>4</v>
      </c>
      <c r="E463" t="str">
        <f>TEXT(ACTUAL_EXPENSES[[#This Row],[Date]],"mmm")</f>
        <v>Apr</v>
      </c>
    </row>
    <row r="464" spans="1:5" x14ac:dyDescent="0.2">
      <c r="A464" s="139" t="s">
        <v>61</v>
      </c>
      <c r="B464" s="140"/>
      <c r="C464">
        <v>0</v>
      </c>
      <c r="E464" t="str">
        <f>TEXT(ACTUAL_EXPENSES[[#This Row],[Date]],"mmm")</f>
        <v>Jan</v>
      </c>
    </row>
    <row r="465" spans="1:5" x14ac:dyDescent="0.2">
      <c r="A465" s="139" t="s">
        <v>45</v>
      </c>
      <c r="B465" s="140">
        <v>45018</v>
      </c>
      <c r="C465">
        <v>0</v>
      </c>
      <c r="D465">
        <v>4</v>
      </c>
      <c r="E465" t="str">
        <f>TEXT(ACTUAL_EXPENSES[[#This Row],[Date]],"mmm")</f>
        <v>Apr</v>
      </c>
    </row>
    <row r="466" spans="1:5" x14ac:dyDescent="0.2">
      <c r="A466" s="139" t="s">
        <v>45</v>
      </c>
      <c r="B466" s="140">
        <v>45019</v>
      </c>
      <c r="C466">
        <v>0</v>
      </c>
      <c r="D466">
        <v>4</v>
      </c>
      <c r="E466" t="str">
        <f>TEXT(ACTUAL_EXPENSES[[#This Row],[Date]],"mmm")</f>
        <v>Apr</v>
      </c>
    </row>
    <row r="467" spans="1:5" x14ac:dyDescent="0.2">
      <c r="A467" s="139" t="s">
        <v>45</v>
      </c>
      <c r="B467" s="140">
        <v>45020</v>
      </c>
      <c r="C467">
        <v>0</v>
      </c>
      <c r="D467">
        <v>4</v>
      </c>
      <c r="E467" t="str">
        <f>TEXT(ACTUAL_EXPENSES[[#This Row],[Date]],"mmm")</f>
        <v>Apr</v>
      </c>
    </row>
    <row r="468" spans="1:5" x14ac:dyDescent="0.2">
      <c r="A468" s="139" t="s">
        <v>45</v>
      </c>
      <c r="B468" s="140">
        <v>45021</v>
      </c>
      <c r="C468">
        <v>0</v>
      </c>
      <c r="D468">
        <v>4</v>
      </c>
      <c r="E468" t="str">
        <f>TEXT(ACTUAL_EXPENSES[[#This Row],[Date]],"mmm")</f>
        <v>Apr</v>
      </c>
    </row>
    <row r="469" spans="1:5" x14ac:dyDescent="0.2">
      <c r="A469" s="139" t="s">
        <v>45</v>
      </c>
      <c r="B469" s="140">
        <v>45022</v>
      </c>
      <c r="C469">
        <v>0</v>
      </c>
      <c r="D469">
        <v>4</v>
      </c>
      <c r="E469" t="str">
        <f>TEXT(ACTUAL_EXPENSES[[#This Row],[Date]],"mmm")</f>
        <v>Apr</v>
      </c>
    </row>
    <row r="470" spans="1:5" x14ac:dyDescent="0.2">
      <c r="A470" s="139" t="s">
        <v>45</v>
      </c>
      <c r="B470" s="140">
        <v>45023</v>
      </c>
      <c r="C470">
        <v>0</v>
      </c>
      <c r="D470">
        <v>4</v>
      </c>
      <c r="E470" t="str">
        <f>TEXT(ACTUAL_EXPENSES[[#This Row],[Date]],"mmm")</f>
        <v>Apr</v>
      </c>
    </row>
    <row r="471" spans="1:5" x14ac:dyDescent="0.2">
      <c r="A471" s="139" t="s">
        <v>45</v>
      </c>
      <c r="B471" s="140">
        <v>45024</v>
      </c>
      <c r="C471">
        <v>0</v>
      </c>
      <c r="D471">
        <v>4</v>
      </c>
      <c r="E471" t="str">
        <f>TEXT(ACTUAL_EXPENSES[[#This Row],[Date]],"mmm")</f>
        <v>Apr</v>
      </c>
    </row>
    <row r="472" spans="1:5" x14ac:dyDescent="0.2">
      <c r="A472" s="139" t="s">
        <v>45</v>
      </c>
      <c r="B472" s="140">
        <v>45025</v>
      </c>
      <c r="C472">
        <v>0</v>
      </c>
      <c r="D472">
        <v>4</v>
      </c>
      <c r="E472" t="str">
        <f>TEXT(ACTUAL_EXPENSES[[#This Row],[Date]],"mmm")</f>
        <v>Apr</v>
      </c>
    </row>
    <row r="473" spans="1:5" x14ac:dyDescent="0.2">
      <c r="A473" s="139" t="s">
        <v>45</v>
      </c>
      <c r="B473" s="140">
        <v>45026</v>
      </c>
      <c r="C473">
        <v>0</v>
      </c>
      <c r="D473">
        <v>4</v>
      </c>
      <c r="E473" t="str">
        <f>TEXT(ACTUAL_EXPENSES[[#This Row],[Date]],"mmm")</f>
        <v>Apr</v>
      </c>
    </row>
    <row r="474" spans="1:5" x14ac:dyDescent="0.2">
      <c r="A474" s="139" t="s">
        <v>45</v>
      </c>
      <c r="B474" s="140">
        <v>45027</v>
      </c>
      <c r="C474">
        <v>0</v>
      </c>
      <c r="D474">
        <v>4</v>
      </c>
      <c r="E474" t="str">
        <f>TEXT(ACTUAL_EXPENSES[[#This Row],[Date]],"mmm")</f>
        <v>Apr</v>
      </c>
    </row>
    <row r="475" spans="1:5" x14ac:dyDescent="0.2">
      <c r="A475" s="139" t="s">
        <v>45</v>
      </c>
      <c r="B475" s="140">
        <v>45028</v>
      </c>
      <c r="C475">
        <v>0</v>
      </c>
      <c r="D475">
        <v>4</v>
      </c>
      <c r="E475" t="str">
        <f>TEXT(ACTUAL_EXPENSES[[#This Row],[Date]],"mmm")</f>
        <v>Apr</v>
      </c>
    </row>
    <row r="476" spans="1:5" x14ac:dyDescent="0.2">
      <c r="A476" s="139" t="s">
        <v>45</v>
      </c>
      <c r="B476" s="140">
        <v>45029</v>
      </c>
      <c r="C476">
        <v>0</v>
      </c>
      <c r="D476">
        <v>4</v>
      </c>
      <c r="E476" t="str">
        <f>TEXT(ACTUAL_EXPENSES[[#This Row],[Date]],"mmm")</f>
        <v>Apr</v>
      </c>
    </row>
    <row r="477" spans="1:5" x14ac:dyDescent="0.2">
      <c r="A477" s="139" t="s">
        <v>45</v>
      </c>
      <c r="B477" s="140">
        <v>45030</v>
      </c>
      <c r="C477">
        <v>0</v>
      </c>
      <c r="D477">
        <v>4</v>
      </c>
      <c r="E477" t="str">
        <f>TEXT(ACTUAL_EXPENSES[[#This Row],[Date]],"mmm")</f>
        <v>Apr</v>
      </c>
    </row>
    <row r="478" spans="1:5" x14ac:dyDescent="0.2">
      <c r="A478" s="139" t="s">
        <v>45</v>
      </c>
      <c r="B478" s="140">
        <v>45031</v>
      </c>
      <c r="C478">
        <v>0</v>
      </c>
      <c r="D478">
        <v>4</v>
      </c>
      <c r="E478" t="str">
        <f>TEXT(ACTUAL_EXPENSES[[#This Row],[Date]],"mmm")</f>
        <v>Apr</v>
      </c>
    </row>
    <row r="479" spans="1:5" x14ac:dyDescent="0.2">
      <c r="A479" s="139" t="s">
        <v>45</v>
      </c>
      <c r="B479" s="140">
        <v>45032</v>
      </c>
      <c r="C479">
        <v>0</v>
      </c>
      <c r="D479">
        <v>4</v>
      </c>
      <c r="E479" t="str">
        <f>TEXT(ACTUAL_EXPENSES[[#This Row],[Date]],"mmm")</f>
        <v>Apr</v>
      </c>
    </row>
    <row r="480" spans="1:5" x14ac:dyDescent="0.2">
      <c r="A480" s="139" t="s">
        <v>45</v>
      </c>
      <c r="B480" s="140">
        <v>45033</v>
      </c>
      <c r="C480">
        <v>0</v>
      </c>
      <c r="D480">
        <v>4</v>
      </c>
      <c r="E480" t="str">
        <f>TEXT(ACTUAL_EXPENSES[[#This Row],[Date]],"mmm")</f>
        <v>Apr</v>
      </c>
    </row>
    <row r="481" spans="1:5" x14ac:dyDescent="0.2">
      <c r="A481" s="139" t="s">
        <v>45</v>
      </c>
      <c r="B481" s="140">
        <v>45034</v>
      </c>
      <c r="C481">
        <v>0</v>
      </c>
      <c r="D481">
        <v>4</v>
      </c>
      <c r="E481" t="str">
        <f>TEXT(ACTUAL_EXPENSES[[#This Row],[Date]],"mmm")</f>
        <v>Apr</v>
      </c>
    </row>
    <row r="482" spans="1:5" x14ac:dyDescent="0.2">
      <c r="A482" s="139" t="s">
        <v>45</v>
      </c>
      <c r="B482" s="140">
        <v>45035</v>
      </c>
      <c r="C482">
        <v>0</v>
      </c>
      <c r="D482">
        <v>4</v>
      </c>
      <c r="E482" t="str">
        <f>TEXT(ACTUAL_EXPENSES[[#This Row],[Date]],"mmm")</f>
        <v>Apr</v>
      </c>
    </row>
    <row r="483" spans="1:5" x14ac:dyDescent="0.2">
      <c r="A483" s="139" t="s">
        <v>45</v>
      </c>
      <c r="B483" s="140">
        <v>45036</v>
      </c>
      <c r="C483">
        <v>470</v>
      </c>
      <c r="D483">
        <v>4</v>
      </c>
      <c r="E483" t="str">
        <f>TEXT(ACTUAL_EXPENSES[[#This Row],[Date]],"mmm")</f>
        <v>Apr</v>
      </c>
    </row>
    <row r="484" spans="1:5" x14ac:dyDescent="0.2">
      <c r="A484" s="139" t="s">
        <v>45</v>
      </c>
      <c r="B484" s="140">
        <v>45037</v>
      </c>
      <c r="C484">
        <v>0</v>
      </c>
      <c r="D484">
        <v>4</v>
      </c>
      <c r="E484" t="str">
        <f>TEXT(ACTUAL_EXPENSES[[#This Row],[Date]],"mmm")</f>
        <v>Apr</v>
      </c>
    </row>
    <row r="485" spans="1:5" x14ac:dyDescent="0.2">
      <c r="A485" s="139" t="s">
        <v>45</v>
      </c>
      <c r="B485" s="140">
        <v>45038</v>
      </c>
      <c r="C485">
        <v>0</v>
      </c>
      <c r="D485">
        <v>4</v>
      </c>
      <c r="E485" t="str">
        <f>TEXT(ACTUAL_EXPENSES[[#This Row],[Date]],"mmm")</f>
        <v>Apr</v>
      </c>
    </row>
    <row r="486" spans="1:5" x14ac:dyDescent="0.2">
      <c r="A486" s="139" t="s">
        <v>45</v>
      </c>
      <c r="B486" s="140">
        <v>45039</v>
      </c>
      <c r="C486">
        <v>0</v>
      </c>
      <c r="D486">
        <v>4</v>
      </c>
      <c r="E486" t="str">
        <f>TEXT(ACTUAL_EXPENSES[[#This Row],[Date]],"mmm")</f>
        <v>Apr</v>
      </c>
    </row>
    <row r="487" spans="1:5" x14ac:dyDescent="0.2">
      <c r="A487" s="139" t="s">
        <v>45</v>
      </c>
      <c r="B487" s="140">
        <v>45040</v>
      </c>
      <c r="C487">
        <v>0</v>
      </c>
      <c r="D487">
        <v>4</v>
      </c>
      <c r="E487" t="str">
        <f>TEXT(ACTUAL_EXPENSES[[#This Row],[Date]],"mmm")</f>
        <v>Apr</v>
      </c>
    </row>
    <row r="488" spans="1:5" x14ac:dyDescent="0.2">
      <c r="A488" s="139" t="s">
        <v>45</v>
      </c>
      <c r="B488" s="140">
        <v>45041</v>
      </c>
      <c r="C488">
        <v>0</v>
      </c>
      <c r="D488">
        <v>4</v>
      </c>
      <c r="E488" t="str">
        <f>TEXT(ACTUAL_EXPENSES[[#This Row],[Date]],"mmm")</f>
        <v>Apr</v>
      </c>
    </row>
    <row r="489" spans="1:5" x14ac:dyDescent="0.2">
      <c r="A489" s="139" t="s">
        <v>45</v>
      </c>
      <c r="B489" s="140">
        <v>45042</v>
      </c>
      <c r="C489">
        <v>0</v>
      </c>
      <c r="D489">
        <v>4</v>
      </c>
      <c r="E489" t="str">
        <f>TEXT(ACTUAL_EXPENSES[[#This Row],[Date]],"mmm")</f>
        <v>Apr</v>
      </c>
    </row>
    <row r="490" spans="1:5" x14ac:dyDescent="0.2">
      <c r="A490" s="139" t="s">
        <v>45</v>
      </c>
      <c r="B490" s="140">
        <v>45043</v>
      </c>
      <c r="C490">
        <v>0</v>
      </c>
      <c r="D490">
        <v>4</v>
      </c>
      <c r="E490" t="str">
        <f>TEXT(ACTUAL_EXPENSES[[#This Row],[Date]],"mmm")</f>
        <v>Apr</v>
      </c>
    </row>
    <row r="491" spans="1:5" x14ac:dyDescent="0.2">
      <c r="A491" s="139" t="s">
        <v>45</v>
      </c>
      <c r="B491" s="140">
        <v>45044</v>
      </c>
      <c r="C491">
        <v>0</v>
      </c>
      <c r="D491">
        <v>4</v>
      </c>
      <c r="E491" t="str">
        <f>TEXT(ACTUAL_EXPENSES[[#This Row],[Date]],"mmm")</f>
        <v>Apr</v>
      </c>
    </row>
    <row r="492" spans="1:5" x14ac:dyDescent="0.2">
      <c r="A492" s="139" t="s">
        <v>45</v>
      </c>
      <c r="B492" s="140">
        <v>45045</v>
      </c>
      <c r="C492">
        <v>0</v>
      </c>
      <c r="D492">
        <v>4</v>
      </c>
      <c r="E492" t="str">
        <f>TEXT(ACTUAL_EXPENSES[[#This Row],[Date]],"mmm")</f>
        <v>Apr</v>
      </c>
    </row>
    <row r="493" spans="1:5" x14ac:dyDescent="0.2">
      <c r="A493" s="139" t="s">
        <v>45</v>
      </c>
      <c r="B493" s="140">
        <v>45046</v>
      </c>
      <c r="C493">
        <v>0</v>
      </c>
      <c r="D493">
        <v>4</v>
      </c>
      <c r="E493" t="str">
        <f>TEXT(ACTUAL_EXPENSES[[#This Row],[Date]],"mmm")</f>
        <v>Apr</v>
      </c>
    </row>
    <row r="494" spans="1:5" x14ac:dyDescent="0.2">
      <c r="A494" s="139" t="s">
        <v>45</v>
      </c>
      <c r="B494" s="140"/>
      <c r="C494">
        <v>0</v>
      </c>
      <c r="E494" t="str">
        <f>TEXT(ACTUAL_EXPENSES[[#This Row],[Date]],"mmm")</f>
        <v>Jan</v>
      </c>
    </row>
    <row r="495" spans="1:5" x14ac:dyDescent="0.2">
      <c r="A495" s="139" t="s">
        <v>128</v>
      </c>
      <c r="B495" s="140">
        <v>45017</v>
      </c>
      <c r="C495">
        <v>0</v>
      </c>
      <c r="D495">
        <v>4</v>
      </c>
      <c r="E495" t="str">
        <f>TEXT(ACTUAL_EXPENSES[[#This Row],[Date]],"mmm")</f>
        <v>Apr</v>
      </c>
    </row>
    <row r="496" spans="1:5" x14ac:dyDescent="0.2">
      <c r="A496" s="139" t="s">
        <v>128</v>
      </c>
      <c r="B496" s="140">
        <v>45018</v>
      </c>
      <c r="C496">
        <v>0</v>
      </c>
      <c r="D496">
        <v>4</v>
      </c>
      <c r="E496" t="str">
        <f>TEXT(ACTUAL_EXPENSES[[#This Row],[Date]],"mmm")</f>
        <v>Apr</v>
      </c>
    </row>
    <row r="497" spans="1:5" x14ac:dyDescent="0.2">
      <c r="A497" s="139" t="s">
        <v>128</v>
      </c>
      <c r="B497" s="140">
        <v>45019</v>
      </c>
      <c r="C497">
        <v>0</v>
      </c>
      <c r="D497">
        <v>4</v>
      </c>
      <c r="E497" t="str">
        <f>TEXT(ACTUAL_EXPENSES[[#This Row],[Date]],"mmm")</f>
        <v>Apr</v>
      </c>
    </row>
    <row r="498" spans="1:5" x14ac:dyDescent="0.2">
      <c r="A498" s="139" t="s">
        <v>128</v>
      </c>
      <c r="B498" s="140">
        <v>45020</v>
      </c>
      <c r="C498">
        <v>0</v>
      </c>
      <c r="D498">
        <v>4</v>
      </c>
      <c r="E498" t="str">
        <f>TEXT(ACTUAL_EXPENSES[[#This Row],[Date]],"mmm")</f>
        <v>Apr</v>
      </c>
    </row>
    <row r="499" spans="1:5" x14ac:dyDescent="0.2">
      <c r="A499" s="139" t="s">
        <v>128</v>
      </c>
      <c r="B499" s="140">
        <v>45021</v>
      </c>
      <c r="C499">
        <v>0</v>
      </c>
      <c r="D499">
        <v>4</v>
      </c>
      <c r="E499" t="str">
        <f>TEXT(ACTUAL_EXPENSES[[#This Row],[Date]],"mmm")</f>
        <v>Apr</v>
      </c>
    </row>
    <row r="500" spans="1:5" x14ac:dyDescent="0.2">
      <c r="A500" s="139" t="s">
        <v>128</v>
      </c>
      <c r="B500" s="140">
        <v>45022</v>
      </c>
      <c r="C500">
        <v>0</v>
      </c>
      <c r="D500">
        <v>4</v>
      </c>
      <c r="E500" t="str">
        <f>TEXT(ACTUAL_EXPENSES[[#This Row],[Date]],"mmm")</f>
        <v>Apr</v>
      </c>
    </row>
    <row r="501" spans="1:5" x14ac:dyDescent="0.2">
      <c r="A501" s="139" t="s">
        <v>128</v>
      </c>
      <c r="B501" s="140">
        <v>45023</v>
      </c>
      <c r="C501">
        <v>0</v>
      </c>
      <c r="D501">
        <v>4</v>
      </c>
      <c r="E501" t="str">
        <f>TEXT(ACTUAL_EXPENSES[[#This Row],[Date]],"mmm")</f>
        <v>Apr</v>
      </c>
    </row>
    <row r="502" spans="1:5" x14ac:dyDescent="0.2">
      <c r="A502" s="139" t="s">
        <v>128</v>
      </c>
      <c r="B502" s="140">
        <v>45024</v>
      </c>
      <c r="C502">
        <v>0</v>
      </c>
      <c r="D502">
        <v>4</v>
      </c>
      <c r="E502" t="str">
        <f>TEXT(ACTUAL_EXPENSES[[#This Row],[Date]],"mmm")</f>
        <v>Apr</v>
      </c>
    </row>
    <row r="503" spans="1:5" x14ac:dyDescent="0.2">
      <c r="A503" s="139" t="s">
        <v>128</v>
      </c>
      <c r="B503" s="140">
        <v>45025</v>
      </c>
      <c r="C503">
        <v>0</v>
      </c>
      <c r="D503">
        <v>4</v>
      </c>
      <c r="E503" t="str">
        <f>TEXT(ACTUAL_EXPENSES[[#This Row],[Date]],"mmm")</f>
        <v>Apr</v>
      </c>
    </row>
    <row r="504" spans="1:5" x14ac:dyDescent="0.2">
      <c r="A504" s="139" t="s">
        <v>128</v>
      </c>
      <c r="B504" s="140">
        <v>45026</v>
      </c>
      <c r="C504">
        <v>0</v>
      </c>
      <c r="D504">
        <v>4</v>
      </c>
      <c r="E504" t="str">
        <f>TEXT(ACTUAL_EXPENSES[[#This Row],[Date]],"mmm")</f>
        <v>Apr</v>
      </c>
    </row>
    <row r="505" spans="1:5" x14ac:dyDescent="0.2">
      <c r="A505" s="139" t="s">
        <v>128</v>
      </c>
      <c r="B505" s="140">
        <v>45027</v>
      </c>
      <c r="C505">
        <v>0</v>
      </c>
      <c r="D505">
        <v>4</v>
      </c>
      <c r="E505" t="str">
        <f>TEXT(ACTUAL_EXPENSES[[#This Row],[Date]],"mmm")</f>
        <v>Apr</v>
      </c>
    </row>
    <row r="506" spans="1:5" x14ac:dyDescent="0.2">
      <c r="A506" s="139" t="s">
        <v>128</v>
      </c>
      <c r="B506" s="140">
        <v>45028</v>
      </c>
      <c r="C506">
        <v>0</v>
      </c>
      <c r="D506">
        <v>4</v>
      </c>
      <c r="E506" t="str">
        <f>TEXT(ACTUAL_EXPENSES[[#This Row],[Date]],"mmm")</f>
        <v>Apr</v>
      </c>
    </row>
    <row r="507" spans="1:5" x14ac:dyDescent="0.2">
      <c r="A507" s="139" t="s">
        <v>128</v>
      </c>
      <c r="B507" s="140">
        <v>45029</v>
      </c>
      <c r="C507">
        <v>0</v>
      </c>
      <c r="D507">
        <v>4</v>
      </c>
      <c r="E507" t="str">
        <f>TEXT(ACTUAL_EXPENSES[[#This Row],[Date]],"mmm")</f>
        <v>Apr</v>
      </c>
    </row>
    <row r="508" spans="1:5" x14ac:dyDescent="0.2">
      <c r="A508" s="139" t="s">
        <v>128</v>
      </c>
      <c r="B508" s="140">
        <v>45030</v>
      </c>
      <c r="C508">
        <v>0</v>
      </c>
      <c r="D508">
        <v>4</v>
      </c>
      <c r="E508" t="str">
        <f>TEXT(ACTUAL_EXPENSES[[#This Row],[Date]],"mmm")</f>
        <v>Apr</v>
      </c>
    </row>
    <row r="509" spans="1:5" x14ac:dyDescent="0.2">
      <c r="A509" s="139" t="s">
        <v>128</v>
      </c>
      <c r="B509" s="140">
        <v>45031</v>
      </c>
      <c r="C509">
        <v>0</v>
      </c>
      <c r="D509">
        <v>4</v>
      </c>
      <c r="E509" t="str">
        <f>TEXT(ACTUAL_EXPENSES[[#This Row],[Date]],"mmm")</f>
        <v>Apr</v>
      </c>
    </row>
    <row r="510" spans="1:5" x14ac:dyDescent="0.2">
      <c r="A510" s="139" t="s">
        <v>128</v>
      </c>
      <c r="B510" s="140">
        <v>45032</v>
      </c>
      <c r="C510">
        <v>0</v>
      </c>
      <c r="D510">
        <v>4</v>
      </c>
      <c r="E510" t="str">
        <f>TEXT(ACTUAL_EXPENSES[[#This Row],[Date]],"mmm")</f>
        <v>Apr</v>
      </c>
    </row>
    <row r="511" spans="1:5" x14ac:dyDescent="0.2">
      <c r="A511" s="139" t="s">
        <v>128</v>
      </c>
      <c r="B511" s="140">
        <v>45033</v>
      </c>
      <c r="C511">
        <v>0</v>
      </c>
      <c r="D511">
        <v>4</v>
      </c>
      <c r="E511" t="str">
        <f>TEXT(ACTUAL_EXPENSES[[#This Row],[Date]],"mmm")</f>
        <v>Apr</v>
      </c>
    </row>
    <row r="512" spans="1:5" x14ac:dyDescent="0.2">
      <c r="A512" s="139" t="s">
        <v>128</v>
      </c>
      <c r="B512" s="140">
        <v>45034</v>
      </c>
      <c r="C512">
        <v>0</v>
      </c>
      <c r="D512">
        <v>4</v>
      </c>
      <c r="E512" t="str">
        <f>TEXT(ACTUAL_EXPENSES[[#This Row],[Date]],"mmm")</f>
        <v>Apr</v>
      </c>
    </row>
    <row r="513" spans="1:5" x14ac:dyDescent="0.2">
      <c r="A513" s="139" t="s">
        <v>128</v>
      </c>
      <c r="B513" s="140">
        <v>45035</v>
      </c>
      <c r="C513">
        <v>0</v>
      </c>
      <c r="D513">
        <v>4</v>
      </c>
      <c r="E513" t="str">
        <f>TEXT(ACTUAL_EXPENSES[[#This Row],[Date]],"mmm")</f>
        <v>Apr</v>
      </c>
    </row>
    <row r="514" spans="1:5" x14ac:dyDescent="0.2">
      <c r="A514" s="139" t="s">
        <v>128</v>
      </c>
      <c r="B514" s="140">
        <v>45036</v>
      </c>
      <c r="C514">
        <v>0</v>
      </c>
      <c r="D514">
        <v>4</v>
      </c>
      <c r="E514" t="str">
        <f>TEXT(ACTUAL_EXPENSES[[#This Row],[Date]],"mmm")</f>
        <v>Apr</v>
      </c>
    </row>
    <row r="515" spans="1:5" x14ac:dyDescent="0.2">
      <c r="A515" s="139" t="s">
        <v>128</v>
      </c>
      <c r="B515" s="140">
        <v>45037</v>
      </c>
      <c r="C515">
        <v>0</v>
      </c>
      <c r="D515">
        <v>4</v>
      </c>
      <c r="E515" t="str">
        <f>TEXT(ACTUAL_EXPENSES[[#This Row],[Date]],"mmm")</f>
        <v>Apr</v>
      </c>
    </row>
    <row r="516" spans="1:5" x14ac:dyDescent="0.2">
      <c r="A516" s="139" t="s">
        <v>128</v>
      </c>
      <c r="B516" s="140">
        <v>45038</v>
      </c>
      <c r="C516">
        <v>0</v>
      </c>
      <c r="D516">
        <v>4</v>
      </c>
      <c r="E516" t="str">
        <f>TEXT(ACTUAL_EXPENSES[[#This Row],[Date]],"mmm")</f>
        <v>Apr</v>
      </c>
    </row>
    <row r="517" spans="1:5" x14ac:dyDescent="0.2">
      <c r="A517" s="139" t="s">
        <v>128</v>
      </c>
      <c r="B517" s="140">
        <v>45039</v>
      </c>
      <c r="C517">
        <v>0</v>
      </c>
      <c r="D517">
        <v>4</v>
      </c>
      <c r="E517" t="str">
        <f>TEXT(ACTUAL_EXPENSES[[#This Row],[Date]],"mmm")</f>
        <v>Apr</v>
      </c>
    </row>
    <row r="518" spans="1:5" x14ac:dyDescent="0.2">
      <c r="A518" s="139" t="s">
        <v>128</v>
      </c>
      <c r="B518" s="140">
        <v>45040</v>
      </c>
      <c r="C518">
        <v>0</v>
      </c>
      <c r="D518">
        <v>4</v>
      </c>
      <c r="E518" t="str">
        <f>TEXT(ACTUAL_EXPENSES[[#This Row],[Date]],"mmm")</f>
        <v>Apr</v>
      </c>
    </row>
    <row r="519" spans="1:5" x14ac:dyDescent="0.2">
      <c r="A519" s="139" t="s">
        <v>128</v>
      </c>
      <c r="B519" s="140">
        <v>45041</v>
      </c>
      <c r="C519">
        <v>0</v>
      </c>
      <c r="D519">
        <v>4</v>
      </c>
      <c r="E519" t="str">
        <f>TEXT(ACTUAL_EXPENSES[[#This Row],[Date]],"mmm")</f>
        <v>Apr</v>
      </c>
    </row>
    <row r="520" spans="1:5" x14ac:dyDescent="0.2">
      <c r="A520" s="139" t="s">
        <v>128</v>
      </c>
      <c r="B520" s="140">
        <v>45042</v>
      </c>
      <c r="C520">
        <v>0</v>
      </c>
      <c r="D520">
        <v>4</v>
      </c>
      <c r="E520" t="str">
        <f>TEXT(ACTUAL_EXPENSES[[#This Row],[Date]],"mmm")</f>
        <v>Apr</v>
      </c>
    </row>
    <row r="521" spans="1:5" x14ac:dyDescent="0.2">
      <c r="A521" s="139" t="s">
        <v>128</v>
      </c>
      <c r="B521" s="140">
        <v>45043</v>
      </c>
      <c r="C521">
        <v>0</v>
      </c>
      <c r="D521">
        <v>4</v>
      </c>
      <c r="E521" t="str">
        <f>TEXT(ACTUAL_EXPENSES[[#This Row],[Date]],"mmm")</f>
        <v>Apr</v>
      </c>
    </row>
    <row r="522" spans="1:5" x14ac:dyDescent="0.2">
      <c r="A522" s="139" t="s">
        <v>128</v>
      </c>
      <c r="B522" s="140">
        <v>45044</v>
      </c>
      <c r="C522">
        <v>0</v>
      </c>
      <c r="D522">
        <v>4</v>
      </c>
      <c r="E522" t="str">
        <f>TEXT(ACTUAL_EXPENSES[[#This Row],[Date]],"mmm")</f>
        <v>Apr</v>
      </c>
    </row>
    <row r="523" spans="1:5" x14ac:dyDescent="0.2">
      <c r="A523" s="139" t="s">
        <v>128</v>
      </c>
      <c r="B523" s="140">
        <v>45045</v>
      </c>
      <c r="C523">
        <v>0</v>
      </c>
      <c r="D523">
        <v>4</v>
      </c>
      <c r="E523" t="str">
        <f>TEXT(ACTUAL_EXPENSES[[#This Row],[Date]],"mmm")</f>
        <v>Apr</v>
      </c>
    </row>
    <row r="524" spans="1:5" x14ac:dyDescent="0.2">
      <c r="A524" s="139" t="s">
        <v>128</v>
      </c>
      <c r="B524" s="140">
        <v>45046</v>
      </c>
      <c r="C524">
        <v>0</v>
      </c>
      <c r="D524">
        <v>4</v>
      </c>
      <c r="E524" t="str">
        <f>TEXT(ACTUAL_EXPENSES[[#This Row],[Date]],"mmm")</f>
        <v>Apr</v>
      </c>
    </row>
    <row r="525" spans="1:5" x14ac:dyDescent="0.2">
      <c r="A525" s="139" t="s">
        <v>128</v>
      </c>
      <c r="B525" s="140"/>
      <c r="C525">
        <v>0</v>
      </c>
      <c r="E525" t="str">
        <f>TEXT(ACTUAL_EXPENSES[[#This Row],[Date]],"mmm")</f>
        <v>Jan</v>
      </c>
    </row>
    <row r="526" spans="1:5" x14ac:dyDescent="0.2">
      <c r="A526" s="139" t="s">
        <v>42</v>
      </c>
      <c r="B526" s="140">
        <v>45018</v>
      </c>
      <c r="C526">
        <v>0</v>
      </c>
      <c r="D526">
        <v>4</v>
      </c>
      <c r="E526" t="str">
        <f>TEXT(ACTUAL_EXPENSES[[#This Row],[Date]],"mmm")</f>
        <v>Apr</v>
      </c>
    </row>
    <row r="527" spans="1:5" x14ac:dyDescent="0.2">
      <c r="A527" s="139" t="s">
        <v>42</v>
      </c>
      <c r="B527" s="140">
        <v>45019</v>
      </c>
      <c r="C527">
        <v>0</v>
      </c>
      <c r="D527">
        <v>4</v>
      </c>
      <c r="E527" t="str">
        <f>TEXT(ACTUAL_EXPENSES[[#This Row],[Date]],"mmm")</f>
        <v>Apr</v>
      </c>
    </row>
    <row r="528" spans="1:5" x14ac:dyDescent="0.2">
      <c r="A528" s="139" t="s">
        <v>42</v>
      </c>
      <c r="B528" s="140">
        <v>45020</v>
      </c>
      <c r="C528">
        <v>0</v>
      </c>
      <c r="D528">
        <v>4</v>
      </c>
      <c r="E528" t="str">
        <f>TEXT(ACTUAL_EXPENSES[[#This Row],[Date]],"mmm")</f>
        <v>Apr</v>
      </c>
    </row>
    <row r="529" spans="1:5" x14ac:dyDescent="0.2">
      <c r="A529" s="139" t="s">
        <v>42</v>
      </c>
      <c r="B529" s="140">
        <v>45021</v>
      </c>
      <c r="C529">
        <v>0</v>
      </c>
      <c r="D529">
        <v>4</v>
      </c>
      <c r="E529" t="str">
        <f>TEXT(ACTUAL_EXPENSES[[#This Row],[Date]],"mmm")</f>
        <v>Apr</v>
      </c>
    </row>
    <row r="530" spans="1:5" x14ac:dyDescent="0.2">
      <c r="A530" s="139" t="s">
        <v>42</v>
      </c>
      <c r="B530" s="140">
        <v>45022</v>
      </c>
      <c r="C530">
        <v>0</v>
      </c>
      <c r="D530">
        <v>4</v>
      </c>
      <c r="E530" t="str">
        <f>TEXT(ACTUAL_EXPENSES[[#This Row],[Date]],"mmm")</f>
        <v>Apr</v>
      </c>
    </row>
    <row r="531" spans="1:5" x14ac:dyDescent="0.2">
      <c r="A531" s="139" t="s">
        <v>42</v>
      </c>
      <c r="B531" s="140">
        <v>45023</v>
      </c>
      <c r="C531">
        <v>0</v>
      </c>
      <c r="D531">
        <v>4</v>
      </c>
      <c r="E531" t="str">
        <f>TEXT(ACTUAL_EXPENSES[[#This Row],[Date]],"mmm")</f>
        <v>Apr</v>
      </c>
    </row>
    <row r="532" spans="1:5" x14ac:dyDescent="0.2">
      <c r="A532" s="139" t="s">
        <v>42</v>
      </c>
      <c r="B532" s="140">
        <v>45024</v>
      </c>
      <c r="C532">
        <v>0</v>
      </c>
      <c r="D532">
        <v>4</v>
      </c>
      <c r="E532" t="str">
        <f>TEXT(ACTUAL_EXPENSES[[#This Row],[Date]],"mmm")</f>
        <v>Apr</v>
      </c>
    </row>
    <row r="533" spans="1:5" x14ac:dyDescent="0.2">
      <c r="A533" s="139" t="s">
        <v>42</v>
      </c>
      <c r="B533" s="140">
        <v>45025</v>
      </c>
      <c r="C533">
        <v>0</v>
      </c>
      <c r="D533">
        <v>4</v>
      </c>
      <c r="E533" t="str">
        <f>TEXT(ACTUAL_EXPENSES[[#This Row],[Date]],"mmm")</f>
        <v>Apr</v>
      </c>
    </row>
    <row r="534" spans="1:5" x14ac:dyDescent="0.2">
      <c r="A534" s="139" t="s">
        <v>42</v>
      </c>
      <c r="B534" s="140">
        <v>45026</v>
      </c>
      <c r="C534">
        <v>0</v>
      </c>
      <c r="D534">
        <v>4</v>
      </c>
      <c r="E534" t="str">
        <f>TEXT(ACTUAL_EXPENSES[[#This Row],[Date]],"mmm")</f>
        <v>Apr</v>
      </c>
    </row>
    <row r="535" spans="1:5" x14ac:dyDescent="0.2">
      <c r="A535" s="139" t="s">
        <v>42</v>
      </c>
      <c r="B535" s="140">
        <v>45027</v>
      </c>
      <c r="C535">
        <v>0</v>
      </c>
      <c r="D535">
        <v>4</v>
      </c>
      <c r="E535" t="str">
        <f>TEXT(ACTUAL_EXPENSES[[#This Row],[Date]],"mmm")</f>
        <v>Apr</v>
      </c>
    </row>
    <row r="536" spans="1:5" x14ac:dyDescent="0.2">
      <c r="A536" s="139" t="s">
        <v>42</v>
      </c>
      <c r="B536" s="140">
        <v>45028</v>
      </c>
      <c r="C536">
        <v>0</v>
      </c>
      <c r="D536">
        <v>4</v>
      </c>
      <c r="E536" t="str">
        <f>TEXT(ACTUAL_EXPENSES[[#This Row],[Date]],"mmm")</f>
        <v>Apr</v>
      </c>
    </row>
    <row r="537" spans="1:5" x14ac:dyDescent="0.2">
      <c r="A537" s="139" t="s">
        <v>42</v>
      </c>
      <c r="B537" s="140">
        <v>45029</v>
      </c>
      <c r="C537">
        <v>0</v>
      </c>
      <c r="D537">
        <v>4</v>
      </c>
      <c r="E537" t="str">
        <f>TEXT(ACTUAL_EXPENSES[[#This Row],[Date]],"mmm")</f>
        <v>Apr</v>
      </c>
    </row>
    <row r="538" spans="1:5" x14ac:dyDescent="0.2">
      <c r="A538" s="139" t="s">
        <v>42</v>
      </c>
      <c r="B538" s="140">
        <v>45030</v>
      </c>
      <c r="C538">
        <v>0</v>
      </c>
      <c r="D538">
        <v>4</v>
      </c>
      <c r="E538" t="str">
        <f>TEXT(ACTUAL_EXPENSES[[#This Row],[Date]],"mmm")</f>
        <v>Apr</v>
      </c>
    </row>
    <row r="539" spans="1:5" x14ac:dyDescent="0.2">
      <c r="A539" s="139" t="s">
        <v>42</v>
      </c>
      <c r="B539" s="140">
        <v>45031</v>
      </c>
      <c r="C539">
        <v>0</v>
      </c>
      <c r="D539">
        <v>4</v>
      </c>
      <c r="E539" t="str">
        <f>TEXT(ACTUAL_EXPENSES[[#This Row],[Date]],"mmm")</f>
        <v>Apr</v>
      </c>
    </row>
    <row r="540" spans="1:5" x14ac:dyDescent="0.2">
      <c r="A540" s="139" t="s">
        <v>42</v>
      </c>
      <c r="B540" s="140">
        <v>45032</v>
      </c>
      <c r="C540">
        <v>0</v>
      </c>
      <c r="D540">
        <v>4</v>
      </c>
      <c r="E540" t="str">
        <f>TEXT(ACTUAL_EXPENSES[[#This Row],[Date]],"mmm")</f>
        <v>Apr</v>
      </c>
    </row>
    <row r="541" spans="1:5" x14ac:dyDescent="0.2">
      <c r="A541" s="139" t="s">
        <v>42</v>
      </c>
      <c r="B541" s="140">
        <v>45033</v>
      </c>
      <c r="C541">
        <v>0</v>
      </c>
      <c r="D541">
        <v>4</v>
      </c>
      <c r="E541" t="str">
        <f>TEXT(ACTUAL_EXPENSES[[#This Row],[Date]],"mmm")</f>
        <v>Apr</v>
      </c>
    </row>
    <row r="542" spans="1:5" x14ac:dyDescent="0.2">
      <c r="A542" s="139" t="s">
        <v>42</v>
      </c>
      <c r="B542" s="140">
        <v>45034</v>
      </c>
      <c r="C542">
        <v>0</v>
      </c>
      <c r="D542">
        <v>4</v>
      </c>
      <c r="E542" t="str">
        <f>TEXT(ACTUAL_EXPENSES[[#This Row],[Date]],"mmm")</f>
        <v>Apr</v>
      </c>
    </row>
    <row r="543" spans="1:5" x14ac:dyDescent="0.2">
      <c r="A543" s="139" t="s">
        <v>42</v>
      </c>
      <c r="B543" s="140">
        <v>45035</v>
      </c>
      <c r="C543">
        <v>0</v>
      </c>
      <c r="D543">
        <v>4</v>
      </c>
      <c r="E543" t="str">
        <f>TEXT(ACTUAL_EXPENSES[[#This Row],[Date]],"mmm")</f>
        <v>Apr</v>
      </c>
    </row>
    <row r="544" spans="1:5" x14ac:dyDescent="0.2">
      <c r="A544" s="139" t="s">
        <v>42</v>
      </c>
      <c r="B544" s="140">
        <v>45036</v>
      </c>
      <c r="C544">
        <v>0</v>
      </c>
      <c r="D544">
        <v>4</v>
      </c>
      <c r="E544" t="str">
        <f>TEXT(ACTUAL_EXPENSES[[#This Row],[Date]],"mmm")</f>
        <v>Apr</v>
      </c>
    </row>
    <row r="545" spans="1:5" x14ac:dyDescent="0.2">
      <c r="A545" s="139" t="s">
        <v>42</v>
      </c>
      <c r="B545" s="140">
        <v>45037</v>
      </c>
      <c r="C545">
        <v>0</v>
      </c>
      <c r="D545">
        <v>4</v>
      </c>
      <c r="E545" t="str">
        <f>TEXT(ACTUAL_EXPENSES[[#This Row],[Date]],"mmm")</f>
        <v>Apr</v>
      </c>
    </row>
    <row r="546" spans="1:5" x14ac:dyDescent="0.2">
      <c r="A546" s="139" t="s">
        <v>42</v>
      </c>
      <c r="B546" s="140">
        <v>45038</v>
      </c>
      <c r="C546">
        <v>0</v>
      </c>
      <c r="D546">
        <v>4</v>
      </c>
      <c r="E546" t="str">
        <f>TEXT(ACTUAL_EXPENSES[[#This Row],[Date]],"mmm")</f>
        <v>Apr</v>
      </c>
    </row>
    <row r="547" spans="1:5" x14ac:dyDescent="0.2">
      <c r="A547" s="139" t="s">
        <v>42</v>
      </c>
      <c r="B547" s="140">
        <v>45039</v>
      </c>
      <c r="C547">
        <v>0</v>
      </c>
      <c r="D547">
        <v>4</v>
      </c>
      <c r="E547" t="str">
        <f>TEXT(ACTUAL_EXPENSES[[#This Row],[Date]],"mmm")</f>
        <v>Apr</v>
      </c>
    </row>
    <row r="548" spans="1:5" x14ac:dyDescent="0.2">
      <c r="A548" s="139" t="s">
        <v>42</v>
      </c>
      <c r="B548" s="140">
        <v>45040</v>
      </c>
      <c r="C548">
        <v>0</v>
      </c>
      <c r="D548">
        <v>4</v>
      </c>
      <c r="E548" t="str">
        <f>TEXT(ACTUAL_EXPENSES[[#This Row],[Date]],"mmm")</f>
        <v>Apr</v>
      </c>
    </row>
    <row r="549" spans="1:5" x14ac:dyDescent="0.2">
      <c r="A549" s="139" t="s">
        <v>42</v>
      </c>
      <c r="B549" s="140">
        <v>45041</v>
      </c>
      <c r="C549">
        <v>0</v>
      </c>
      <c r="D549">
        <v>4</v>
      </c>
      <c r="E549" t="str">
        <f>TEXT(ACTUAL_EXPENSES[[#This Row],[Date]],"mmm")</f>
        <v>Apr</v>
      </c>
    </row>
    <row r="550" spans="1:5" x14ac:dyDescent="0.2">
      <c r="A550" s="139" t="s">
        <v>42</v>
      </c>
      <c r="B550" s="140">
        <v>45042</v>
      </c>
      <c r="C550">
        <v>0</v>
      </c>
      <c r="D550">
        <v>4</v>
      </c>
      <c r="E550" t="str">
        <f>TEXT(ACTUAL_EXPENSES[[#This Row],[Date]],"mmm")</f>
        <v>Apr</v>
      </c>
    </row>
    <row r="551" spans="1:5" x14ac:dyDescent="0.2">
      <c r="A551" s="139" t="s">
        <v>42</v>
      </c>
      <c r="B551" s="140">
        <v>45043</v>
      </c>
      <c r="C551">
        <v>0</v>
      </c>
      <c r="D551">
        <v>4</v>
      </c>
      <c r="E551" t="str">
        <f>TEXT(ACTUAL_EXPENSES[[#This Row],[Date]],"mmm")</f>
        <v>Apr</v>
      </c>
    </row>
    <row r="552" spans="1:5" x14ac:dyDescent="0.2">
      <c r="A552" s="139" t="s">
        <v>42</v>
      </c>
      <c r="B552" s="140">
        <v>45044</v>
      </c>
      <c r="C552">
        <v>0</v>
      </c>
      <c r="D552">
        <v>4</v>
      </c>
      <c r="E552" t="str">
        <f>TEXT(ACTUAL_EXPENSES[[#This Row],[Date]],"mmm")</f>
        <v>Apr</v>
      </c>
    </row>
    <row r="553" spans="1:5" x14ac:dyDescent="0.2">
      <c r="A553" s="139" t="s">
        <v>42</v>
      </c>
      <c r="B553" s="140">
        <v>45045</v>
      </c>
      <c r="C553">
        <v>0</v>
      </c>
      <c r="D553">
        <v>4</v>
      </c>
      <c r="E553" t="str">
        <f>TEXT(ACTUAL_EXPENSES[[#This Row],[Date]],"mmm")</f>
        <v>Apr</v>
      </c>
    </row>
    <row r="554" spans="1:5" x14ac:dyDescent="0.2">
      <c r="A554" s="139" t="s">
        <v>42</v>
      </c>
      <c r="B554" s="140">
        <v>45046</v>
      </c>
      <c r="C554">
        <v>0</v>
      </c>
      <c r="D554">
        <v>4</v>
      </c>
      <c r="E554" t="str">
        <f>TEXT(ACTUAL_EXPENSES[[#This Row],[Date]],"mmm")</f>
        <v>Apr</v>
      </c>
    </row>
    <row r="555" spans="1:5" x14ac:dyDescent="0.2">
      <c r="A555" s="139" t="s">
        <v>42</v>
      </c>
      <c r="B555" s="140"/>
      <c r="C555">
        <v>0</v>
      </c>
      <c r="E555" t="str">
        <f>TEXT(ACTUAL_EXPENSES[[#This Row],[Date]],"mmm")</f>
        <v>Jan</v>
      </c>
    </row>
    <row r="556" spans="1:5" x14ac:dyDescent="0.2">
      <c r="A556" s="139" t="s">
        <v>43</v>
      </c>
      <c r="B556" s="140">
        <v>45018</v>
      </c>
      <c r="C556">
        <v>0</v>
      </c>
      <c r="D556">
        <v>4</v>
      </c>
      <c r="E556" t="str">
        <f>TEXT(ACTUAL_EXPENSES[[#This Row],[Date]],"mmm")</f>
        <v>Apr</v>
      </c>
    </row>
    <row r="557" spans="1:5" x14ac:dyDescent="0.2">
      <c r="A557" s="139" t="s">
        <v>43</v>
      </c>
      <c r="B557" s="140">
        <v>45019</v>
      </c>
      <c r="C557">
        <v>0</v>
      </c>
      <c r="D557">
        <v>4</v>
      </c>
      <c r="E557" t="str">
        <f>TEXT(ACTUAL_EXPENSES[[#This Row],[Date]],"mmm")</f>
        <v>Apr</v>
      </c>
    </row>
    <row r="558" spans="1:5" x14ac:dyDescent="0.2">
      <c r="A558" s="139" t="s">
        <v>43</v>
      </c>
      <c r="B558" s="140">
        <v>45020</v>
      </c>
      <c r="C558">
        <v>100</v>
      </c>
      <c r="D558">
        <v>4</v>
      </c>
      <c r="E558" t="str">
        <f>TEXT(ACTUAL_EXPENSES[[#This Row],[Date]],"mmm")</f>
        <v>Apr</v>
      </c>
    </row>
    <row r="559" spans="1:5" x14ac:dyDescent="0.2">
      <c r="A559" s="139" t="s">
        <v>43</v>
      </c>
      <c r="B559" s="140">
        <v>45021</v>
      </c>
      <c r="C559">
        <v>0</v>
      </c>
      <c r="D559">
        <v>4</v>
      </c>
      <c r="E559" t="str">
        <f>TEXT(ACTUAL_EXPENSES[[#This Row],[Date]],"mmm")</f>
        <v>Apr</v>
      </c>
    </row>
    <row r="560" spans="1:5" x14ac:dyDescent="0.2">
      <c r="A560" s="139" t="s">
        <v>43</v>
      </c>
      <c r="B560" s="140">
        <v>45022</v>
      </c>
      <c r="C560">
        <v>0</v>
      </c>
      <c r="D560">
        <v>4</v>
      </c>
      <c r="E560" t="str">
        <f>TEXT(ACTUAL_EXPENSES[[#This Row],[Date]],"mmm")</f>
        <v>Apr</v>
      </c>
    </row>
    <row r="561" spans="1:5" x14ac:dyDescent="0.2">
      <c r="A561" s="139" t="s">
        <v>43</v>
      </c>
      <c r="B561" s="140">
        <v>45023</v>
      </c>
      <c r="C561">
        <v>0</v>
      </c>
      <c r="D561">
        <v>4</v>
      </c>
      <c r="E561" t="str">
        <f>TEXT(ACTUAL_EXPENSES[[#This Row],[Date]],"mmm")</f>
        <v>Apr</v>
      </c>
    </row>
    <row r="562" spans="1:5" x14ac:dyDescent="0.2">
      <c r="A562" s="139" t="s">
        <v>43</v>
      </c>
      <c r="B562" s="140">
        <v>45024</v>
      </c>
      <c r="C562">
        <v>0</v>
      </c>
      <c r="D562">
        <v>4</v>
      </c>
      <c r="E562" t="str">
        <f>TEXT(ACTUAL_EXPENSES[[#This Row],[Date]],"mmm")</f>
        <v>Apr</v>
      </c>
    </row>
    <row r="563" spans="1:5" x14ac:dyDescent="0.2">
      <c r="A563" s="139" t="s">
        <v>43</v>
      </c>
      <c r="B563" s="140">
        <v>45025</v>
      </c>
      <c r="C563">
        <v>0</v>
      </c>
      <c r="D563">
        <v>4</v>
      </c>
      <c r="E563" t="str">
        <f>TEXT(ACTUAL_EXPENSES[[#This Row],[Date]],"mmm")</f>
        <v>Apr</v>
      </c>
    </row>
    <row r="564" spans="1:5" x14ac:dyDescent="0.2">
      <c r="A564" s="139" t="s">
        <v>43</v>
      </c>
      <c r="B564" s="140">
        <v>45026</v>
      </c>
      <c r="C564">
        <v>0</v>
      </c>
      <c r="D564">
        <v>4</v>
      </c>
      <c r="E564" t="str">
        <f>TEXT(ACTUAL_EXPENSES[[#This Row],[Date]],"mmm")</f>
        <v>Apr</v>
      </c>
    </row>
    <row r="565" spans="1:5" x14ac:dyDescent="0.2">
      <c r="A565" s="139" t="s">
        <v>43</v>
      </c>
      <c r="B565" s="140">
        <v>45027</v>
      </c>
      <c r="C565">
        <v>0</v>
      </c>
      <c r="D565">
        <v>4</v>
      </c>
      <c r="E565" t="str">
        <f>TEXT(ACTUAL_EXPENSES[[#This Row],[Date]],"mmm")</f>
        <v>Apr</v>
      </c>
    </row>
    <row r="566" spans="1:5" x14ac:dyDescent="0.2">
      <c r="A566" s="139" t="s">
        <v>43</v>
      </c>
      <c r="B566" s="140">
        <v>45028</v>
      </c>
      <c r="C566">
        <v>0</v>
      </c>
      <c r="D566">
        <v>4</v>
      </c>
      <c r="E566" t="str">
        <f>TEXT(ACTUAL_EXPENSES[[#This Row],[Date]],"mmm")</f>
        <v>Apr</v>
      </c>
    </row>
    <row r="567" spans="1:5" x14ac:dyDescent="0.2">
      <c r="A567" s="139" t="s">
        <v>43</v>
      </c>
      <c r="B567" s="140">
        <v>45029</v>
      </c>
      <c r="C567">
        <v>0</v>
      </c>
      <c r="D567">
        <v>4</v>
      </c>
      <c r="E567" t="str">
        <f>TEXT(ACTUAL_EXPENSES[[#This Row],[Date]],"mmm")</f>
        <v>Apr</v>
      </c>
    </row>
    <row r="568" spans="1:5" x14ac:dyDescent="0.2">
      <c r="A568" s="139" t="s">
        <v>43</v>
      </c>
      <c r="B568" s="140">
        <v>45030</v>
      </c>
      <c r="C568">
        <v>0</v>
      </c>
      <c r="D568">
        <v>4</v>
      </c>
      <c r="E568" t="str">
        <f>TEXT(ACTUAL_EXPENSES[[#This Row],[Date]],"mmm")</f>
        <v>Apr</v>
      </c>
    </row>
    <row r="569" spans="1:5" x14ac:dyDescent="0.2">
      <c r="A569" s="139" t="s">
        <v>43</v>
      </c>
      <c r="B569" s="140">
        <v>45031</v>
      </c>
      <c r="C569">
        <v>0</v>
      </c>
      <c r="D569">
        <v>4</v>
      </c>
      <c r="E569" t="str">
        <f>TEXT(ACTUAL_EXPENSES[[#This Row],[Date]],"mmm")</f>
        <v>Apr</v>
      </c>
    </row>
    <row r="570" spans="1:5" x14ac:dyDescent="0.2">
      <c r="A570" s="139" t="s">
        <v>43</v>
      </c>
      <c r="B570" s="140">
        <v>45032</v>
      </c>
      <c r="C570">
        <v>0</v>
      </c>
      <c r="D570">
        <v>4</v>
      </c>
      <c r="E570" t="str">
        <f>TEXT(ACTUAL_EXPENSES[[#This Row],[Date]],"mmm")</f>
        <v>Apr</v>
      </c>
    </row>
    <row r="571" spans="1:5" x14ac:dyDescent="0.2">
      <c r="A571" s="139" t="s">
        <v>43</v>
      </c>
      <c r="B571" s="140">
        <v>45033</v>
      </c>
      <c r="C571">
        <v>0</v>
      </c>
      <c r="D571">
        <v>4</v>
      </c>
      <c r="E571" t="str">
        <f>TEXT(ACTUAL_EXPENSES[[#This Row],[Date]],"mmm")</f>
        <v>Apr</v>
      </c>
    </row>
    <row r="572" spans="1:5" x14ac:dyDescent="0.2">
      <c r="A572" s="139" t="s">
        <v>43</v>
      </c>
      <c r="B572" s="140">
        <v>45034</v>
      </c>
      <c r="C572">
        <v>0</v>
      </c>
      <c r="D572">
        <v>4</v>
      </c>
      <c r="E572" t="str">
        <f>TEXT(ACTUAL_EXPENSES[[#This Row],[Date]],"mmm")</f>
        <v>Apr</v>
      </c>
    </row>
    <row r="573" spans="1:5" x14ac:dyDescent="0.2">
      <c r="A573" s="139" t="s">
        <v>43</v>
      </c>
      <c r="B573" s="140">
        <v>45035</v>
      </c>
      <c r="C573">
        <v>0</v>
      </c>
      <c r="D573">
        <v>4</v>
      </c>
      <c r="E573" t="str">
        <f>TEXT(ACTUAL_EXPENSES[[#This Row],[Date]],"mmm")</f>
        <v>Apr</v>
      </c>
    </row>
    <row r="574" spans="1:5" x14ac:dyDescent="0.2">
      <c r="A574" s="139" t="s">
        <v>43</v>
      </c>
      <c r="B574" s="140">
        <v>45036</v>
      </c>
      <c r="C574">
        <v>0</v>
      </c>
      <c r="D574">
        <v>4</v>
      </c>
      <c r="E574" t="str">
        <f>TEXT(ACTUAL_EXPENSES[[#This Row],[Date]],"mmm")</f>
        <v>Apr</v>
      </c>
    </row>
    <row r="575" spans="1:5" x14ac:dyDescent="0.2">
      <c r="A575" s="139" t="s">
        <v>43</v>
      </c>
      <c r="B575" s="140">
        <v>45037</v>
      </c>
      <c r="C575">
        <v>0</v>
      </c>
      <c r="D575">
        <v>4</v>
      </c>
      <c r="E575" t="str">
        <f>TEXT(ACTUAL_EXPENSES[[#This Row],[Date]],"mmm")</f>
        <v>Apr</v>
      </c>
    </row>
    <row r="576" spans="1:5" x14ac:dyDescent="0.2">
      <c r="A576" s="139" t="s">
        <v>43</v>
      </c>
      <c r="B576" s="140">
        <v>45038</v>
      </c>
      <c r="C576">
        <v>0</v>
      </c>
      <c r="D576">
        <v>4</v>
      </c>
      <c r="E576" t="str">
        <f>TEXT(ACTUAL_EXPENSES[[#This Row],[Date]],"mmm")</f>
        <v>Apr</v>
      </c>
    </row>
    <row r="577" spans="1:5" x14ac:dyDescent="0.2">
      <c r="A577" s="139" t="s">
        <v>43</v>
      </c>
      <c r="B577" s="140">
        <v>45039</v>
      </c>
      <c r="C577">
        <v>0</v>
      </c>
      <c r="D577">
        <v>4</v>
      </c>
      <c r="E577" t="str">
        <f>TEXT(ACTUAL_EXPENSES[[#This Row],[Date]],"mmm")</f>
        <v>Apr</v>
      </c>
    </row>
    <row r="578" spans="1:5" x14ac:dyDescent="0.2">
      <c r="A578" s="139" t="s">
        <v>43</v>
      </c>
      <c r="B578" s="140">
        <v>45040</v>
      </c>
      <c r="C578">
        <v>0</v>
      </c>
      <c r="D578">
        <v>4</v>
      </c>
      <c r="E578" t="str">
        <f>TEXT(ACTUAL_EXPENSES[[#This Row],[Date]],"mmm")</f>
        <v>Apr</v>
      </c>
    </row>
    <row r="579" spans="1:5" x14ac:dyDescent="0.2">
      <c r="A579" s="139" t="s">
        <v>43</v>
      </c>
      <c r="B579" s="140">
        <v>45041</v>
      </c>
      <c r="C579">
        <v>0</v>
      </c>
      <c r="D579">
        <v>4</v>
      </c>
      <c r="E579" t="str">
        <f>TEXT(ACTUAL_EXPENSES[[#This Row],[Date]],"mmm")</f>
        <v>Apr</v>
      </c>
    </row>
    <row r="580" spans="1:5" x14ac:dyDescent="0.2">
      <c r="A580" s="139" t="s">
        <v>43</v>
      </c>
      <c r="B580" s="140">
        <v>45042</v>
      </c>
      <c r="C580">
        <v>0</v>
      </c>
      <c r="D580">
        <v>4</v>
      </c>
      <c r="E580" t="str">
        <f>TEXT(ACTUAL_EXPENSES[[#This Row],[Date]],"mmm")</f>
        <v>Apr</v>
      </c>
    </row>
    <row r="581" spans="1:5" x14ac:dyDescent="0.2">
      <c r="A581" s="139" t="s">
        <v>43</v>
      </c>
      <c r="B581" s="140">
        <v>45043</v>
      </c>
      <c r="C581">
        <v>0</v>
      </c>
      <c r="D581">
        <v>4</v>
      </c>
      <c r="E581" t="str">
        <f>TEXT(ACTUAL_EXPENSES[[#This Row],[Date]],"mmm")</f>
        <v>Apr</v>
      </c>
    </row>
    <row r="582" spans="1:5" x14ac:dyDescent="0.2">
      <c r="A582" s="139" t="s">
        <v>43</v>
      </c>
      <c r="B582" s="140">
        <v>45044</v>
      </c>
      <c r="C582">
        <v>0</v>
      </c>
      <c r="D582">
        <v>4</v>
      </c>
      <c r="E582" t="str">
        <f>TEXT(ACTUAL_EXPENSES[[#This Row],[Date]],"mmm")</f>
        <v>Apr</v>
      </c>
    </row>
    <row r="583" spans="1:5" x14ac:dyDescent="0.2">
      <c r="A583" s="139" t="s">
        <v>43</v>
      </c>
      <c r="B583" s="140">
        <v>45045</v>
      </c>
      <c r="C583">
        <v>0</v>
      </c>
      <c r="D583">
        <v>4</v>
      </c>
      <c r="E583" t="str">
        <f>TEXT(ACTUAL_EXPENSES[[#This Row],[Date]],"mmm")</f>
        <v>Apr</v>
      </c>
    </row>
    <row r="584" spans="1:5" x14ac:dyDescent="0.2">
      <c r="A584" s="139" t="s">
        <v>43</v>
      </c>
      <c r="B584" s="140">
        <v>45046</v>
      </c>
      <c r="C584">
        <v>0</v>
      </c>
      <c r="D584">
        <v>4</v>
      </c>
      <c r="E584" t="str">
        <f>TEXT(ACTUAL_EXPENSES[[#This Row],[Date]],"mmm")</f>
        <v>Apr</v>
      </c>
    </row>
    <row r="585" spans="1:5" x14ac:dyDescent="0.2">
      <c r="A585" s="139" t="s">
        <v>43</v>
      </c>
      <c r="B585" s="140"/>
      <c r="C585">
        <v>0</v>
      </c>
      <c r="E585" t="str">
        <f>TEXT(ACTUAL_EXPENSES[[#This Row],[Date]],"mmm")</f>
        <v>Jan</v>
      </c>
    </row>
    <row r="586" spans="1:5" x14ac:dyDescent="0.2">
      <c r="A586" s="139" t="s">
        <v>53</v>
      </c>
      <c r="B586" s="140">
        <v>45018</v>
      </c>
      <c r="C586">
        <v>136.91999999999999</v>
      </c>
      <c r="D586">
        <v>4</v>
      </c>
      <c r="E586" t="str">
        <f>TEXT(ACTUAL_EXPENSES[[#This Row],[Date]],"mmm")</f>
        <v>Apr</v>
      </c>
    </row>
    <row r="587" spans="1:5" x14ac:dyDescent="0.2">
      <c r="A587" s="139" t="s">
        <v>53</v>
      </c>
      <c r="B587" s="140">
        <v>45019</v>
      </c>
      <c r="C587">
        <v>39</v>
      </c>
      <c r="D587">
        <v>4</v>
      </c>
      <c r="E587" t="str">
        <f>TEXT(ACTUAL_EXPENSES[[#This Row],[Date]],"mmm")</f>
        <v>Apr</v>
      </c>
    </row>
    <row r="588" spans="1:5" x14ac:dyDescent="0.2">
      <c r="A588" s="139" t="s">
        <v>53</v>
      </c>
      <c r="B588" s="140">
        <v>45020</v>
      </c>
      <c r="C588">
        <v>0</v>
      </c>
      <c r="D588">
        <v>4</v>
      </c>
      <c r="E588" t="str">
        <f>TEXT(ACTUAL_EXPENSES[[#This Row],[Date]],"mmm")</f>
        <v>Apr</v>
      </c>
    </row>
    <row r="589" spans="1:5" x14ac:dyDescent="0.2">
      <c r="A589" s="139" t="s">
        <v>53</v>
      </c>
      <c r="B589" s="140">
        <v>45021</v>
      </c>
      <c r="C589">
        <v>0</v>
      </c>
      <c r="D589">
        <v>4</v>
      </c>
      <c r="E589" t="str">
        <f>TEXT(ACTUAL_EXPENSES[[#This Row],[Date]],"mmm")</f>
        <v>Apr</v>
      </c>
    </row>
    <row r="590" spans="1:5" x14ac:dyDescent="0.2">
      <c r="A590" s="139" t="s">
        <v>53</v>
      </c>
      <c r="B590" s="140">
        <v>45022</v>
      </c>
      <c r="C590">
        <v>0</v>
      </c>
      <c r="D590">
        <v>4</v>
      </c>
      <c r="E590" t="str">
        <f>TEXT(ACTUAL_EXPENSES[[#This Row],[Date]],"mmm")</f>
        <v>Apr</v>
      </c>
    </row>
    <row r="591" spans="1:5" x14ac:dyDescent="0.2">
      <c r="A591" s="139" t="s">
        <v>53</v>
      </c>
      <c r="B591" s="140">
        <v>45023</v>
      </c>
      <c r="C591">
        <v>0</v>
      </c>
      <c r="D591">
        <v>4</v>
      </c>
      <c r="E591" t="str">
        <f>TEXT(ACTUAL_EXPENSES[[#This Row],[Date]],"mmm")</f>
        <v>Apr</v>
      </c>
    </row>
    <row r="592" spans="1:5" x14ac:dyDescent="0.2">
      <c r="A592" s="139" t="s">
        <v>53</v>
      </c>
      <c r="B592" s="140">
        <v>45024</v>
      </c>
      <c r="C592">
        <v>0</v>
      </c>
      <c r="D592">
        <v>4</v>
      </c>
      <c r="E592" t="str">
        <f>TEXT(ACTUAL_EXPENSES[[#This Row],[Date]],"mmm")</f>
        <v>Apr</v>
      </c>
    </row>
    <row r="593" spans="1:5" x14ac:dyDescent="0.2">
      <c r="A593" s="139" t="s">
        <v>53</v>
      </c>
      <c r="B593" s="140">
        <v>45025</v>
      </c>
      <c r="C593">
        <v>4</v>
      </c>
      <c r="D593">
        <v>4</v>
      </c>
      <c r="E593" t="str">
        <f>TEXT(ACTUAL_EXPENSES[[#This Row],[Date]],"mmm")</f>
        <v>Apr</v>
      </c>
    </row>
    <row r="594" spans="1:5" x14ac:dyDescent="0.2">
      <c r="A594" s="139" t="s">
        <v>53</v>
      </c>
      <c r="B594" s="140">
        <v>45026</v>
      </c>
      <c r="C594">
        <v>4.5</v>
      </c>
      <c r="D594">
        <v>4</v>
      </c>
      <c r="E594" t="str">
        <f>TEXT(ACTUAL_EXPENSES[[#This Row],[Date]],"mmm")</f>
        <v>Apr</v>
      </c>
    </row>
    <row r="595" spans="1:5" x14ac:dyDescent="0.2">
      <c r="A595" s="139" t="s">
        <v>53</v>
      </c>
      <c r="B595" s="140">
        <v>45027</v>
      </c>
      <c r="C595">
        <v>0</v>
      </c>
      <c r="D595">
        <v>4</v>
      </c>
      <c r="E595" t="str">
        <f>TEXT(ACTUAL_EXPENSES[[#This Row],[Date]],"mmm")</f>
        <v>Apr</v>
      </c>
    </row>
    <row r="596" spans="1:5" x14ac:dyDescent="0.2">
      <c r="A596" s="139" t="s">
        <v>53</v>
      </c>
      <c r="B596" s="140">
        <v>45028</v>
      </c>
      <c r="C596">
        <v>0</v>
      </c>
      <c r="D596">
        <v>4</v>
      </c>
      <c r="E596" t="str">
        <f>TEXT(ACTUAL_EXPENSES[[#This Row],[Date]],"mmm")</f>
        <v>Apr</v>
      </c>
    </row>
    <row r="597" spans="1:5" x14ac:dyDescent="0.2">
      <c r="A597" s="139" t="s">
        <v>53</v>
      </c>
      <c r="B597" s="140">
        <v>45029</v>
      </c>
      <c r="C597">
        <v>0</v>
      </c>
      <c r="D597">
        <v>4</v>
      </c>
      <c r="E597" t="str">
        <f>TEXT(ACTUAL_EXPENSES[[#This Row],[Date]],"mmm")</f>
        <v>Apr</v>
      </c>
    </row>
    <row r="598" spans="1:5" x14ac:dyDescent="0.2">
      <c r="A598" s="139" t="s">
        <v>53</v>
      </c>
      <c r="B598" s="140">
        <v>45030</v>
      </c>
      <c r="C598">
        <v>0</v>
      </c>
      <c r="D598">
        <v>4</v>
      </c>
      <c r="E598" t="str">
        <f>TEXT(ACTUAL_EXPENSES[[#This Row],[Date]],"mmm")</f>
        <v>Apr</v>
      </c>
    </row>
    <row r="599" spans="1:5" x14ac:dyDescent="0.2">
      <c r="A599" s="139" t="s">
        <v>53</v>
      </c>
      <c r="B599" s="140">
        <v>45031</v>
      </c>
      <c r="C599">
        <v>0</v>
      </c>
      <c r="D599">
        <v>4</v>
      </c>
      <c r="E599" t="str">
        <f>TEXT(ACTUAL_EXPENSES[[#This Row],[Date]],"mmm")</f>
        <v>Apr</v>
      </c>
    </row>
    <row r="600" spans="1:5" x14ac:dyDescent="0.2">
      <c r="A600" s="139" t="s">
        <v>53</v>
      </c>
      <c r="B600" s="140">
        <v>45032</v>
      </c>
      <c r="C600">
        <v>0</v>
      </c>
      <c r="D600">
        <v>4</v>
      </c>
      <c r="E600" t="str">
        <f>TEXT(ACTUAL_EXPENSES[[#This Row],[Date]],"mmm")</f>
        <v>Apr</v>
      </c>
    </row>
    <row r="601" spans="1:5" x14ac:dyDescent="0.2">
      <c r="A601" s="139" t="s">
        <v>53</v>
      </c>
      <c r="B601" s="140">
        <v>45033</v>
      </c>
      <c r="C601">
        <v>0</v>
      </c>
      <c r="D601">
        <v>4</v>
      </c>
      <c r="E601" t="str">
        <f>TEXT(ACTUAL_EXPENSES[[#This Row],[Date]],"mmm")</f>
        <v>Apr</v>
      </c>
    </row>
    <row r="602" spans="1:5" x14ac:dyDescent="0.2">
      <c r="A602" s="139" t="s">
        <v>53</v>
      </c>
      <c r="B602" s="140">
        <v>45034</v>
      </c>
      <c r="C602">
        <v>0</v>
      </c>
      <c r="D602">
        <v>4</v>
      </c>
      <c r="E602" t="str">
        <f>TEXT(ACTUAL_EXPENSES[[#This Row],[Date]],"mmm")</f>
        <v>Apr</v>
      </c>
    </row>
    <row r="603" spans="1:5" x14ac:dyDescent="0.2">
      <c r="A603" s="139" t="s">
        <v>53</v>
      </c>
      <c r="B603" s="140">
        <v>45035</v>
      </c>
      <c r="C603">
        <v>0</v>
      </c>
      <c r="D603">
        <v>4</v>
      </c>
      <c r="E603" t="str">
        <f>TEXT(ACTUAL_EXPENSES[[#This Row],[Date]],"mmm")</f>
        <v>Apr</v>
      </c>
    </row>
    <row r="604" spans="1:5" x14ac:dyDescent="0.2">
      <c r="A604" s="139" t="s">
        <v>53</v>
      </c>
      <c r="B604" s="140">
        <v>45036</v>
      </c>
      <c r="C604">
        <v>0</v>
      </c>
      <c r="D604">
        <v>4</v>
      </c>
      <c r="E604" t="str">
        <f>TEXT(ACTUAL_EXPENSES[[#This Row],[Date]],"mmm")</f>
        <v>Apr</v>
      </c>
    </row>
    <row r="605" spans="1:5" x14ac:dyDescent="0.2">
      <c r="A605" s="139" t="s">
        <v>53</v>
      </c>
      <c r="B605" s="140">
        <v>45037</v>
      </c>
      <c r="C605">
        <v>0</v>
      </c>
      <c r="D605">
        <v>4</v>
      </c>
      <c r="E605" t="str">
        <f>TEXT(ACTUAL_EXPENSES[[#This Row],[Date]],"mmm")</f>
        <v>Apr</v>
      </c>
    </row>
    <row r="606" spans="1:5" x14ac:dyDescent="0.2">
      <c r="A606" s="139" t="s">
        <v>53</v>
      </c>
      <c r="B606" s="140">
        <v>45038</v>
      </c>
      <c r="C606">
        <v>95.97</v>
      </c>
      <c r="D606">
        <v>4</v>
      </c>
      <c r="E606" t="str">
        <f>TEXT(ACTUAL_EXPENSES[[#This Row],[Date]],"mmm")</f>
        <v>Apr</v>
      </c>
    </row>
    <row r="607" spans="1:5" x14ac:dyDescent="0.2">
      <c r="A607" s="139" t="s">
        <v>53</v>
      </c>
      <c r="B607" s="140">
        <v>45039</v>
      </c>
      <c r="C607">
        <v>0</v>
      </c>
      <c r="D607">
        <v>4</v>
      </c>
      <c r="E607" t="str">
        <f>TEXT(ACTUAL_EXPENSES[[#This Row],[Date]],"mmm")</f>
        <v>Apr</v>
      </c>
    </row>
    <row r="608" spans="1:5" x14ac:dyDescent="0.2">
      <c r="A608" s="139" t="s">
        <v>53</v>
      </c>
      <c r="B608" s="140">
        <v>45040</v>
      </c>
      <c r="C608">
        <v>72.5</v>
      </c>
      <c r="D608">
        <v>4</v>
      </c>
      <c r="E608" t="str">
        <f>TEXT(ACTUAL_EXPENSES[[#This Row],[Date]],"mmm")</f>
        <v>Apr</v>
      </c>
    </row>
    <row r="609" spans="1:5" x14ac:dyDescent="0.2">
      <c r="A609" s="139" t="s">
        <v>53</v>
      </c>
      <c r="B609" s="140">
        <v>45041</v>
      </c>
      <c r="C609">
        <v>0</v>
      </c>
      <c r="D609">
        <v>4</v>
      </c>
      <c r="E609" t="str">
        <f>TEXT(ACTUAL_EXPENSES[[#This Row],[Date]],"mmm")</f>
        <v>Apr</v>
      </c>
    </row>
    <row r="610" spans="1:5" x14ac:dyDescent="0.2">
      <c r="A610" s="139" t="s">
        <v>53</v>
      </c>
      <c r="B610" s="140">
        <v>45042</v>
      </c>
      <c r="C610">
        <v>0</v>
      </c>
      <c r="D610">
        <v>4</v>
      </c>
      <c r="E610" t="str">
        <f>TEXT(ACTUAL_EXPENSES[[#This Row],[Date]],"mmm")</f>
        <v>Apr</v>
      </c>
    </row>
    <row r="611" spans="1:5" x14ac:dyDescent="0.2">
      <c r="A611" s="139" t="s">
        <v>53</v>
      </c>
      <c r="B611" s="140">
        <v>45043</v>
      </c>
      <c r="C611">
        <v>0</v>
      </c>
      <c r="D611">
        <v>4</v>
      </c>
      <c r="E611" t="str">
        <f>TEXT(ACTUAL_EXPENSES[[#This Row],[Date]],"mmm")</f>
        <v>Apr</v>
      </c>
    </row>
    <row r="612" spans="1:5" x14ac:dyDescent="0.2">
      <c r="A612" s="139" t="s">
        <v>53</v>
      </c>
      <c r="B612" s="140">
        <v>45044</v>
      </c>
      <c r="C612">
        <v>0</v>
      </c>
      <c r="D612">
        <v>4</v>
      </c>
      <c r="E612" t="str">
        <f>TEXT(ACTUAL_EXPENSES[[#This Row],[Date]],"mmm")</f>
        <v>Apr</v>
      </c>
    </row>
    <row r="613" spans="1:5" x14ac:dyDescent="0.2">
      <c r="A613" s="139" t="s">
        <v>53</v>
      </c>
      <c r="B613" s="140">
        <v>45045</v>
      </c>
      <c r="C613">
        <v>0</v>
      </c>
      <c r="D613">
        <v>4</v>
      </c>
      <c r="E613" t="str">
        <f>TEXT(ACTUAL_EXPENSES[[#This Row],[Date]],"mmm")</f>
        <v>Apr</v>
      </c>
    </row>
    <row r="614" spans="1:5" x14ac:dyDescent="0.2">
      <c r="A614" s="139" t="s">
        <v>53</v>
      </c>
      <c r="B614" s="140">
        <v>45046</v>
      </c>
      <c r="C614">
        <v>0</v>
      </c>
      <c r="D614">
        <v>4</v>
      </c>
      <c r="E614" t="str">
        <f>TEXT(ACTUAL_EXPENSES[[#This Row],[Date]],"mmm")</f>
        <v>Apr</v>
      </c>
    </row>
    <row r="615" spans="1:5" x14ac:dyDescent="0.2">
      <c r="A615" s="139" t="s">
        <v>53</v>
      </c>
      <c r="B615" s="140"/>
      <c r="C615">
        <v>0</v>
      </c>
      <c r="E615" t="str">
        <f>TEXT(ACTUAL_EXPENSES[[#This Row],[Date]],"mmm")</f>
        <v>Jan</v>
      </c>
    </row>
    <row r="616" spans="1:5" x14ac:dyDescent="0.2">
      <c r="A616" s="139" t="s">
        <v>39</v>
      </c>
      <c r="B616" s="140">
        <v>45018</v>
      </c>
      <c r="C616">
        <v>62</v>
      </c>
      <c r="D616">
        <v>4</v>
      </c>
      <c r="E616" t="str">
        <f>TEXT(ACTUAL_EXPENSES[[#This Row],[Date]],"mmm")</f>
        <v>Apr</v>
      </c>
    </row>
    <row r="617" spans="1:5" x14ac:dyDescent="0.2">
      <c r="A617" s="139" t="s">
        <v>39</v>
      </c>
      <c r="B617" s="140">
        <v>45019</v>
      </c>
      <c r="C617">
        <v>0</v>
      </c>
      <c r="D617">
        <v>4</v>
      </c>
      <c r="E617" t="str">
        <f>TEXT(ACTUAL_EXPENSES[[#This Row],[Date]],"mmm")</f>
        <v>Apr</v>
      </c>
    </row>
    <row r="618" spans="1:5" x14ac:dyDescent="0.2">
      <c r="A618" s="139" t="s">
        <v>39</v>
      </c>
      <c r="B618" s="140">
        <v>45020</v>
      </c>
      <c r="C618">
        <v>17</v>
      </c>
      <c r="D618">
        <v>4</v>
      </c>
      <c r="E618" t="str">
        <f>TEXT(ACTUAL_EXPENSES[[#This Row],[Date]],"mmm")</f>
        <v>Apr</v>
      </c>
    </row>
    <row r="619" spans="1:5" x14ac:dyDescent="0.2">
      <c r="A619" s="139" t="s">
        <v>39</v>
      </c>
      <c r="B619" s="140">
        <v>45021</v>
      </c>
      <c r="C619">
        <v>20</v>
      </c>
      <c r="D619">
        <v>4</v>
      </c>
      <c r="E619" t="str">
        <f>TEXT(ACTUAL_EXPENSES[[#This Row],[Date]],"mmm")</f>
        <v>Apr</v>
      </c>
    </row>
    <row r="620" spans="1:5" x14ac:dyDescent="0.2">
      <c r="A620" s="139" t="s">
        <v>39</v>
      </c>
      <c r="B620" s="140">
        <v>45022</v>
      </c>
      <c r="C620">
        <v>13</v>
      </c>
      <c r="D620">
        <v>4</v>
      </c>
      <c r="E620" t="str">
        <f>TEXT(ACTUAL_EXPENSES[[#This Row],[Date]],"mmm")</f>
        <v>Apr</v>
      </c>
    </row>
    <row r="621" spans="1:5" x14ac:dyDescent="0.2">
      <c r="A621" s="139" t="s">
        <v>39</v>
      </c>
      <c r="B621" s="140">
        <v>45023</v>
      </c>
      <c r="C621">
        <v>13</v>
      </c>
      <c r="D621">
        <v>4</v>
      </c>
      <c r="E621" t="str">
        <f>TEXT(ACTUAL_EXPENSES[[#This Row],[Date]],"mmm")</f>
        <v>Apr</v>
      </c>
    </row>
    <row r="622" spans="1:5" x14ac:dyDescent="0.2">
      <c r="A622" s="139" t="s">
        <v>39</v>
      </c>
      <c r="B622" s="140">
        <v>45024</v>
      </c>
      <c r="C622">
        <v>0</v>
      </c>
      <c r="D622">
        <v>4</v>
      </c>
      <c r="E622" t="str">
        <f>TEXT(ACTUAL_EXPENSES[[#This Row],[Date]],"mmm")</f>
        <v>Apr</v>
      </c>
    </row>
    <row r="623" spans="1:5" x14ac:dyDescent="0.2">
      <c r="A623" s="139" t="s">
        <v>39</v>
      </c>
      <c r="B623" s="140">
        <v>45025</v>
      </c>
      <c r="C623">
        <v>45</v>
      </c>
      <c r="D623">
        <v>4</v>
      </c>
      <c r="E623" t="str">
        <f>TEXT(ACTUAL_EXPENSES[[#This Row],[Date]],"mmm")</f>
        <v>Apr</v>
      </c>
    </row>
    <row r="624" spans="1:5" x14ac:dyDescent="0.2">
      <c r="A624" s="139" t="s">
        <v>39</v>
      </c>
      <c r="B624" s="140">
        <v>45026</v>
      </c>
      <c r="C624">
        <v>32</v>
      </c>
      <c r="D624">
        <v>4</v>
      </c>
      <c r="E624" t="str">
        <f>TEXT(ACTUAL_EXPENSES[[#This Row],[Date]],"mmm")</f>
        <v>Apr</v>
      </c>
    </row>
    <row r="625" spans="1:5" x14ac:dyDescent="0.2">
      <c r="A625" s="139" t="s">
        <v>39</v>
      </c>
      <c r="B625" s="140">
        <v>45027</v>
      </c>
      <c r="C625">
        <v>0</v>
      </c>
      <c r="D625">
        <v>4</v>
      </c>
      <c r="E625" t="str">
        <f>TEXT(ACTUAL_EXPENSES[[#This Row],[Date]],"mmm")</f>
        <v>Apr</v>
      </c>
    </row>
    <row r="626" spans="1:5" x14ac:dyDescent="0.2">
      <c r="A626" s="139" t="s">
        <v>39</v>
      </c>
      <c r="B626" s="140">
        <v>45028</v>
      </c>
      <c r="C626">
        <v>0</v>
      </c>
      <c r="D626">
        <v>4</v>
      </c>
      <c r="E626" t="str">
        <f>TEXT(ACTUAL_EXPENSES[[#This Row],[Date]],"mmm")</f>
        <v>Apr</v>
      </c>
    </row>
    <row r="627" spans="1:5" x14ac:dyDescent="0.2">
      <c r="A627" s="139" t="s">
        <v>39</v>
      </c>
      <c r="B627" s="140">
        <v>45029</v>
      </c>
      <c r="C627">
        <v>0</v>
      </c>
      <c r="D627">
        <v>4</v>
      </c>
      <c r="E627" t="str">
        <f>TEXT(ACTUAL_EXPENSES[[#This Row],[Date]],"mmm")</f>
        <v>Apr</v>
      </c>
    </row>
    <row r="628" spans="1:5" x14ac:dyDescent="0.2">
      <c r="A628" s="139" t="s">
        <v>39</v>
      </c>
      <c r="B628" s="140">
        <v>45030</v>
      </c>
      <c r="C628">
        <v>14</v>
      </c>
      <c r="D628">
        <v>4</v>
      </c>
      <c r="E628" t="str">
        <f>TEXT(ACTUAL_EXPENSES[[#This Row],[Date]],"mmm")</f>
        <v>Apr</v>
      </c>
    </row>
    <row r="629" spans="1:5" x14ac:dyDescent="0.2">
      <c r="A629" s="139" t="s">
        <v>39</v>
      </c>
      <c r="B629" s="140">
        <v>45031</v>
      </c>
      <c r="C629">
        <v>50</v>
      </c>
      <c r="D629">
        <v>4</v>
      </c>
      <c r="E629" t="str">
        <f>TEXT(ACTUAL_EXPENSES[[#This Row],[Date]],"mmm")</f>
        <v>Apr</v>
      </c>
    </row>
    <row r="630" spans="1:5" x14ac:dyDescent="0.2">
      <c r="A630" s="139" t="s">
        <v>39</v>
      </c>
      <c r="B630" s="140">
        <v>45032</v>
      </c>
      <c r="C630">
        <v>49</v>
      </c>
      <c r="D630">
        <v>4</v>
      </c>
      <c r="E630" t="str">
        <f>TEXT(ACTUAL_EXPENSES[[#This Row],[Date]],"mmm")</f>
        <v>Apr</v>
      </c>
    </row>
    <row r="631" spans="1:5" x14ac:dyDescent="0.2">
      <c r="A631" s="139" t="s">
        <v>39</v>
      </c>
      <c r="B631" s="140">
        <v>45033</v>
      </c>
      <c r="C631">
        <v>0</v>
      </c>
      <c r="D631">
        <v>4</v>
      </c>
      <c r="E631" t="str">
        <f>TEXT(ACTUAL_EXPENSES[[#This Row],[Date]],"mmm")</f>
        <v>Apr</v>
      </c>
    </row>
    <row r="632" spans="1:5" x14ac:dyDescent="0.2">
      <c r="A632" s="139" t="s">
        <v>39</v>
      </c>
      <c r="B632" s="140">
        <v>45034</v>
      </c>
      <c r="C632">
        <v>0</v>
      </c>
      <c r="D632">
        <v>4</v>
      </c>
      <c r="E632" t="str">
        <f>TEXT(ACTUAL_EXPENSES[[#This Row],[Date]],"mmm")</f>
        <v>Apr</v>
      </c>
    </row>
    <row r="633" spans="1:5" x14ac:dyDescent="0.2">
      <c r="A633" s="139" t="s">
        <v>39</v>
      </c>
      <c r="B633" s="140">
        <v>45035</v>
      </c>
      <c r="C633">
        <v>30</v>
      </c>
      <c r="D633">
        <v>4</v>
      </c>
      <c r="E633" t="str">
        <f>TEXT(ACTUAL_EXPENSES[[#This Row],[Date]],"mmm")</f>
        <v>Apr</v>
      </c>
    </row>
    <row r="634" spans="1:5" x14ac:dyDescent="0.2">
      <c r="A634" s="139" t="s">
        <v>39</v>
      </c>
      <c r="B634" s="140">
        <v>45036</v>
      </c>
      <c r="C634">
        <v>0</v>
      </c>
      <c r="D634">
        <v>4</v>
      </c>
      <c r="E634" t="str">
        <f>TEXT(ACTUAL_EXPENSES[[#This Row],[Date]],"mmm")</f>
        <v>Apr</v>
      </c>
    </row>
    <row r="635" spans="1:5" x14ac:dyDescent="0.2">
      <c r="A635" s="139" t="s">
        <v>39</v>
      </c>
      <c r="B635" s="140">
        <v>45037</v>
      </c>
      <c r="C635">
        <v>53</v>
      </c>
      <c r="D635">
        <v>4</v>
      </c>
      <c r="E635" t="str">
        <f>TEXT(ACTUAL_EXPENSES[[#This Row],[Date]],"mmm")</f>
        <v>Apr</v>
      </c>
    </row>
    <row r="636" spans="1:5" x14ac:dyDescent="0.2">
      <c r="A636" s="139" t="s">
        <v>39</v>
      </c>
      <c r="B636" s="140">
        <v>45038</v>
      </c>
      <c r="C636">
        <v>16</v>
      </c>
      <c r="D636">
        <v>4</v>
      </c>
      <c r="E636" t="str">
        <f>TEXT(ACTUAL_EXPENSES[[#This Row],[Date]],"mmm")</f>
        <v>Apr</v>
      </c>
    </row>
    <row r="637" spans="1:5" x14ac:dyDescent="0.2">
      <c r="A637" s="139" t="s">
        <v>39</v>
      </c>
      <c r="B637" s="140">
        <v>45039</v>
      </c>
      <c r="C637">
        <v>40</v>
      </c>
      <c r="D637">
        <v>4</v>
      </c>
      <c r="E637" t="str">
        <f>TEXT(ACTUAL_EXPENSES[[#This Row],[Date]],"mmm")</f>
        <v>Apr</v>
      </c>
    </row>
    <row r="638" spans="1:5" x14ac:dyDescent="0.2">
      <c r="A638" s="139" t="s">
        <v>39</v>
      </c>
      <c r="B638" s="140">
        <v>45040</v>
      </c>
      <c r="C638">
        <v>0</v>
      </c>
      <c r="D638">
        <v>4</v>
      </c>
      <c r="E638" t="str">
        <f>TEXT(ACTUAL_EXPENSES[[#This Row],[Date]],"mmm")</f>
        <v>Apr</v>
      </c>
    </row>
    <row r="639" spans="1:5" x14ac:dyDescent="0.2">
      <c r="A639" s="139" t="s">
        <v>39</v>
      </c>
      <c r="B639" s="140">
        <v>45041</v>
      </c>
      <c r="C639">
        <v>0</v>
      </c>
      <c r="D639">
        <v>4</v>
      </c>
      <c r="E639" t="str">
        <f>TEXT(ACTUAL_EXPENSES[[#This Row],[Date]],"mmm")</f>
        <v>Apr</v>
      </c>
    </row>
    <row r="640" spans="1:5" x14ac:dyDescent="0.2">
      <c r="A640" s="139" t="s">
        <v>39</v>
      </c>
      <c r="B640" s="140">
        <v>45042</v>
      </c>
      <c r="C640">
        <v>0</v>
      </c>
      <c r="D640">
        <v>4</v>
      </c>
      <c r="E640" t="str">
        <f>TEXT(ACTUAL_EXPENSES[[#This Row],[Date]],"mmm")</f>
        <v>Apr</v>
      </c>
    </row>
    <row r="641" spans="1:5" x14ac:dyDescent="0.2">
      <c r="A641" s="139" t="s">
        <v>39</v>
      </c>
      <c r="B641" s="140">
        <v>45043</v>
      </c>
      <c r="C641">
        <v>0</v>
      </c>
      <c r="D641">
        <v>4</v>
      </c>
      <c r="E641" t="str">
        <f>TEXT(ACTUAL_EXPENSES[[#This Row],[Date]],"mmm")</f>
        <v>Apr</v>
      </c>
    </row>
    <row r="642" spans="1:5" x14ac:dyDescent="0.2">
      <c r="A642" s="139" t="s">
        <v>39</v>
      </c>
      <c r="B642" s="140">
        <v>45044</v>
      </c>
      <c r="C642">
        <v>6</v>
      </c>
      <c r="D642">
        <v>4</v>
      </c>
      <c r="E642" t="str">
        <f>TEXT(ACTUAL_EXPENSES[[#This Row],[Date]],"mmm")</f>
        <v>Apr</v>
      </c>
    </row>
    <row r="643" spans="1:5" x14ac:dyDescent="0.2">
      <c r="A643" s="139" t="s">
        <v>39</v>
      </c>
      <c r="B643" s="140">
        <v>45045</v>
      </c>
      <c r="C643">
        <v>0</v>
      </c>
      <c r="D643">
        <v>4</v>
      </c>
      <c r="E643" t="str">
        <f>TEXT(ACTUAL_EXPENSES[[#This Row],[Date]],"mmm")</f>
        <v>Apr</v>
      </c>
    </row>
    <row r="644" spans="1:5" x14ac:dyDescent="0.2">
      <c r="A644" s="139" t="s">
        <v>39</v>
      </c>
      <c r="B644" s="140">
        <v>45046</v>
      </c>
      <c r="C644">
        <v>0</v>
      </c>
      <c r="D644">
        <v>4</v>
      </c>
      <c r="E644" t="str">
        <f>TEXT(ACTUAL_EXPENSES[[#This Row],[Date]],"mmm")</f>
        <v>Apr</v>
      </c>
    </row>
    <row r="645" spans="1:5" x14ac:dyDescent="0.2">
      <c r="A645" s="139" t="s">
        <v>39</v>
      </c>
      <c r="B645" s="140"/>
      <c r="C645">
        <v>0</v>
      </c>
      <c r="E645" t="str">
        <f>TEXT(ACTUAL_EXPENSES[[#This Row],[Date]],"mmm")</f>
        <v>Jan</v>
      </c>
    </row>
    <row r="646" spans="1:5" x14ac:dyDescent="0.2">
      <c r="A646" s="139" t="s">
        <v>127</v>
      </c>
      <c r="B646" s="140">
        <v>45018</v>
      </c>
      <c r="C646">
        <v>0</v>
      </c>
      <c r="D646">
        <v>4</v>
      </c>
      <c r="E646" t="str">
        <f>TEXT(ACTUAL_EXPENSES[[#This Row],[Date]],"mmm")</f>
        <v>Apr</v>
      </c>
    </row>
    <row r="647" spans="1:5" x14ac:dyDescent="0.2">
      <c r="A647" s="139" t="s">
        <v>127</v>
      </c>
      <c r="B647" s="140">
        <v>45019</v>
      </c>
      <c r="C647">
        <v>0</v>
      </c>
      <c r="D647">
        <v>4</v>
      </c>
      <c r="E647" t="str">
        <f>TEXT(ACTUAL_EXPENSES[[#This Row],[Date]],"mmm")</f>
        <v>Apr</v>
      </c>
    </row>
    <row r="648" spans="1:5" x14ac:dyDescent="0.2">
      <c r="A648" s="139" t="s">
        <v>127</v>
      </c>
      <c r="B648" s="140">
        <v>45020</v>
      </c>
      <c r="C648">
        <v>0</v>
      </c>
      <c r="D648">
        <v>4</v>
      </c>
      <c r="E648" t="str">
        <f>TEXT(ACTUAL_EXPENSES[[#This Row],[Date]],"mmm")</f>
        <v>Apr</v>
      </c>
    </row>
    <row r="649" spans="1:5" x14ac:dyDescent="0.2">
      <c r="A649" s="139" t="s">
        <v>127</v>
      </c>
      <c r="B649" s="140">
        <v>45021</v>
      </c>
      <c r="C649">
        <v>5</v>
      </c>
      <c r="D649">
        <v>4</v>
      </c>
      <c r="E649" t="str">
        <f>TEXT(ACTUAL_EXPENSES[[#This Row],[Date]],"mmm")</f>
        <v>Apr</v>
      </c>
    </row>
    <row r="650" spans="1:5" x14ac:dyDescent="0.2">
      <c r="A650" s="139" t="s">
        <v>127</v>
      </c>
      <c r="B650" s="140">
        <v>45022</v>
      </c>
      <c r="C650">
        <v>0</v>
      </c>
      <c r="D650">
        <v>4</v>
      </c>
      <c r="E650" t="str">
        <f>TEXT(ACTUAL_EXPENSES[[#This Row],[Date]],"mmm")</f>
        <v>Apr</v>
      </c>
    </row>
    <row r="651" spans="1:5" x14ac:dyDescent="0.2">
      <c r="A651" s="139" t="s">
        <v>127</v>
      </c>
      <c r="B651" s="140">
        <v>45023</v>
      </c>
      <c r="C651">
        <v>208</v>
      </c>
      <c r="D651">
        <v>4</v>
      </c>
      <c r="E651" t="str">
        <f>TEXT(ACTUAL_EXPENSES[[#This Row],[Date]],"mmm")</f>
        <v>Apr</v>
      </c>
    </row>
    <row r="652" spans="1:5" x14ac:dyDescent="0.2">
      <c r="A652" s="139" t="s">
        <v>127</v>
      </c>
      <c r="B652" s="140">
        <v>45024</v>
      </c>
      <c r="C652">
        <v>0</v>
      </c>
      <c r="D652">
        <v>4</v>
      </c>
      <c r="E652" t="str">
        <f>TEXT(ACTUAL_EXPENSES[[#This Row],[Date]],"mmm")</f>
        <v>Apr</v>
      </c>
    </row>
    <row r="653" spans="1:5" x14ac:dyDescent="0.2">
      <c r="A653" s="139" t="s">
        <v>127</v>
      </c>
      <c r="B653" s="140">
        <v>45025</v>
      </c>
      <c r="C653">
        <v>100</v>
      </c>
      <c r="D653">
        <v>4</v>
      </c>
      <c r="E653" t="str">
        <f>TEXT(ACTUAL_EXPENSES[[#This Row],[Date]],"mmm")</f>
        <v>Apr</v>
      </c>
    </row>
    <row r="654" spans="1:5" x14ac:dyDescent="0.2">
      <c r="A654" s="139" t="s">
        <v>127</v>
      </c>
      <c r="B654" s="140">
        <v>45026</v>
      </c>
      <c r="C654">
        <v>35</v>
      </c>
      <c r="D654">
        <v>4</v>
      </c>
      <c r="E654" t="str">
        <f>TEXT(ACTUAL_EXPENSES[[#This Row],[Date]],"mmm")</f>
        <v>Apr</v>
      </c>
    </row>
    <row r="655" spans="1:5" x14ac:dyDescent="0.2">
      <c r="A655" s="139" t="s">
        <v>127</v>
      </c>
      <c r="B655" s="140">
        <v>45027</v>
      </c>
      <c r="C655">
        <v>0</v>
      </c>
      <c r="D655">
        <v>4</v>
      </c>
      <c r="E655" t="str">
        <f>TEXT(ACTUAL_EXPENSES[[#This Row],[Date]],"mmm")</f>
        <v>Apr</v>
      </c>
    </row>
    <row r="656" spans="1:5" x14ac:dyDescent="0.2">
      <c r="A656" s="139" t="s">
        <v>127</v>
      </c>
      <c r="B656" s="140">
        <v>45028</v>
      </c>
      <c r="C656">
        <v>0</v>
      </c>
      <c r="D656">
        <v>4</v>
      </c>
      <c r="E656" t="str">
        <f>TEXT(ACTUAL_EXPENSES[[#This Row],[Date]],"mmm")</f>
        <v>Apr</v>
      </c>
    </row>
    <row r="657" spans="1:5" x14ac:dyDescent="0.2">
      <c r="A657" s="139" t="s">
        <v>127</v>
      </c>
      <c r="B657" s="140">
        <v>45029</v>
      </c>
      <c r="C657">
        <v>0</v>
      </c>
      <c r="D657">
        <v>4</v>
      </c>
      <c r="E657" t="str">
        <f>TEXT(ACTUAL_EXPENSES[[#This Row],[Date]],"mmm")</f>
        <v>Apr</v>
      </c>
    </row>
    <row r="658" spans="1:5" x14ac:dyDescent="0.2">
      <c r="A658" s="139" t="s">
        <v>127</v>
      </c>
      <c r="B658" s="140">
        <v>45030</v>
      </c>
      <c r="C658">
        <v>0</v>
      </c>
      <c r="D658">
        <v>4</v>
      </c>
      <c r="E658" t="str">
        <f>TEXT(ACTUAL_EXPENSES[[#This Row],[Date]],"mmm")</f>
        <v>Apr</v>
      </c>
    </row>
    <row r="659" spans="1:5" x14ac:dyDescent="0.2">
      <c r="A659" s="139" t="s">
        <v>127</v>
      </c>
      <c r="B659" s="140">
        <v>45031</v>
      </c>
      <c r="C659">
        <v>0</v>
      </c>
      <c r="D659">
        <v>4</v>
      </c>
      <c r="E659" t="str">
        <f>TEXT(ACTUAL_EXPENSES[[#This Row],[Date]],"mmm")</f>
        <v>Apr</v>
      </c>
    </row>
    <row r="660" spans="1:5" x14ac:dyDescent="0.2">
      <c r="A660" s="139" t="s">
        <v>127</v>
      </c>
      <c r="B660" s="140">
        <v>45032</v>
      </c>
      <c r="C660">
        <v>0</v>
      </c>
      <c r="D660">
        <v>4</v>
      </c>
      <c r="E660" t="str">
        <f>TEXT(ACTUAL_EXPENSES[[#This Row],[Date]],"mmm")</f>
        <v>Apr</v>
      </c>
    </row>
    <row r="661" spans="1:5" x14ac:dyDescent="0.2">
      <c r="A661" s="139" t="s">
        <v>127</v>
      </c>
      <c r="B661" s="140">
        <v>45033</v>
      </c>
      <c r="C661">
        <v>50</v>
      </c>
      <c r="D661">
        <v>4</v>
      </c>
      <c r="E661" t="str">
        <f>TEXT(ACTUAL_EXPENSES[[#This Row],[Date]],"mmm")</f>
        <v>Apr</v>
      </c>
    </row>
    <row r="662" spans="1:5" x14ac:dyDescent="0.2">
      <c r="A662" s="139" t="s">
        <v>127</v>
      </c>
      <c r="B662" s="140">
        <v>45034</v>
      </c>
      <c r="C662">
        <v>0</v>
      </c>
      <c r="D662">
        <v>4</v>
      </c>
      <c r="E662" t="str">
        <f>TEXT(ACTUAL_EXPENSES[[#This Row],[Date]],"mmm")</f>
        <v>Apr</v>
      </c>
    </row>
    <row r="663" spans="1:5" x14ac:dyDescent="0.2">
      <c r="A663" s="139" t="s">
        <v>127</v>
      </c>
      <c r="B663" s="140">
        <v>45035</v>
      </c>
      <c r="C663">
        <v>0</v>
      </c>
      <c r="D663">
        <v>4</v>
      </c>
      <c r="E663" t="str">
        <f>TEXT(ACTUAL_EXPENSES[[#This Row],[Date]],"mmm")</f>
        <v>Apr</v>
      </c>
    </row>
    <row r="664" spans="1:5" x14ac:dyDescent="0.2">
      <c r="A664" s="139" t="s">
        <v>127</v>
      </c>
      <c r="B664" s="140">
        <v>45036</v>
      </c>
      <c r="C664">
        <v>15</v>
      </c>
      <c r="D664">
        <v>4</v>
      </c>
      <c r="E664" t="str">
        <f>TEXT(ACTUAL_EXPENSES[[#This Row],[Date]],"mmm")</f>
        <v>Apr</v>
      </c>
    </row>
    <row r="665" spans="1:5" x14ac:dyDescent="0.2">
      <c r="A665" s="139" t="s">
        <v>127</v>
      </c>
      <c r="B665" s="140">
        <v>45037</v>
      </c>
      <c r="C665">
        <v>0</v>
      </c>
      <c r="D665">
        <v>4</v>
      </c>
      <c r="E665" t="str">
        <f>TEXT(ACTUAL_EXPENSES[[#This Row],[Date]],"mmm")</f>
        <v>Apr</v>
      </c>
    </row>
    <row r="666" spans="1:5" x14ac:dyDescent="0.2">
      <c r="A666" s="139" t="s">
        <v>127</v>
      </c>
      <c r="B666" s="140">
        <v>45038</v>
      </c>
      <c r="C666">
        <v>0</v>
      </c>
      <c r="D666">
        <v>4</v>
      </c>
      <c r="E666" t="str">
        <f>TEXT(ACTUAL_EXPENSES[[#This Row],[Date]],"mmm")</f>
        <v>Apr</v>
      </c>
    </row>
    <row r="667" spans="1:5" x14ac:dyDescent="0.2">
      <c r="A667" s="139" t="s">
        <v>127</v>
      </c>
      <c r="B667" s="140">
        <v>45039</v>
      </c>
      <c r="C667">
        <v>0</v>
      </c>
      <c r="D667">
        <v>4</v>
      </c>
      <c r="E667" t="str">
        <f>TEXT(ACTUAL_EXPENSES[[#This Row],[Date]],"mmm")</f>
        <v>Apr</v>
      </c>
    </row>
    <row r="668" spans="1:5" x14ac:dyDescent="0.2">
      <c r="A668" s="139" t="s">
        <v>127</v>
      </c>
      <c r="B668" s="140">
        <v>45040</v>
      </c>
      <c r="C668">
        <v>0</v>
      </c>
      <c r="D668">
        <v>4</v>
      </c>
      <c r="E668" t="str">
        <f>TEXT(ACTUAL_EXPENSES[[#This Row],[Date]],"mmm")</f>
        <v>Apr</v>
      </c>
    </row>
    <row r="669" spans="1:5" x14ac:dyDescent="0.2">
      <c r="A669" s="139" t="s">
        <v>127</v>
      </c>
      <c r="B669" s="140">
        <v>45041</v>
      </c>
      <c r="C669">
        <v>0</v>
      </c>
      <c r="D669">
        <v>4</v>
      </c>
      <c r="E669" t="str">
        <f>TEXT(ACTUAL_EXPENSES[[#This Row],[Date]],"mmm")</f>
        <v>Apr</v>
      </c>
    </row>
    <row r="670" spans="1:5" x14ac:dyDescent="0.2">
      <c r="A670" s="139" t="s">
        <v>127</v>
      </c>
      <c r="B670" s="140">
        <v>45042</v>
      </c>
      <c r="C670">
        <v>0</v>
      </c>
      <c r="D670">
        <v>4</v>
      </c>
      <c r="E670" t="str">
        <f>TEXT(ACTUAL_EXPENSES[[#This Row],[Date]],"mmm")</f>
        <v>Apr</v>
      </c>
    </row>
    <row r="671" spans="1:5" x14ac:dyDescent="0.2">
      <c r="A671" s="139" t="s">
        <v>127</v>
      </c>
      <c r="B671" s="140">
        <v>45043</v>
      </c>
      <c r="C671">
        <v>0</v>
      </c>
      <c r="D671">
        <v>4</v>
      </c>
      <c r="E671" t="str">
        <f>TEXT(ACTUAL_EXPENSES[[#This Row],[Date]],"mmm")</f>
        <v>Apr</v>
      </c>
    </row>
    <row r="672" spans="1:5" x14ac:dyDescent="0.2">
      <c r="A672" s="139" t="s">
        <v>127</v>
      </c>
      <c r="B672" s="140">
        <v>45044</v>
      </c>
      <c r="C672">
        <v>150</v>
      </c>
      <c r="D672">
        <v>4</v>
      </c>
      <c r="E672" t="str">
        <f>TEXT(ACTUAL_EXPENSES[[#This Row],[Date]],"mmm")</f>
        <v>Apr</v>
      </c>
    </row>
    <row r="673" spans="1:5" x14ac:dyDescent="0.2">
      <c r="A673" s="139" t="s">
        <v>127</v>
      </c>
      <c r="B673" s="140">
        <v>45045</v>
      </c>
      <c r="C673">
        <v>0</v>
      </c>
      <c r="D673">
        <v>4</v>
      </c>
      <c r="E673" t="str">
        <f>TEXT(ACTUAL_EXPENSES[[#This Row],[Date]],"mmm")</f>
        <v>Apr</v>
      </c>
    </row>
    <row r="674" spans="1:5" x14ac:dyDescent="0.2">
      <c r="A674" s="139" t="s">
        <v>127</v>
      </c>
      <c r="B674" s="140">
        <v>45046</v>
      </c>
      <c r="C674">
        <v>0</v>
      </c>
      <c r="D674">
        <v>4</v>
      </c>
      <c r="E674" t="str">
        <f>TEXT(ACTUAL_EXPENSES[[#This Row],[Date]],"mmm")</f>
        <v>Apr</v>
      </c>
    </row>
    <row r="675" spans="1:5" x14ac:dyDescent="0.2">
      <c r="A675" s="139" t="s">
        <v>127</v>
      </c>
      <c r="B675" s="140"/>
      <c r="C675">
        <v>0</v>
      </c>
      <c r="E675" t="str">
        <f>TEXT(ACTUAL_EXPENSES[[#This Row],[Date]],"mmm")</f>
        <v>Jan</v>
      </c>
    </row>
    <row r="676" spans="1:5" x14ac:dyDescent="0.2">
      <c r="A676" s="139" t="s">
        <v>48</v>
      </c>
      <c r="B676" s="140">
        <v>45018</v>
      </c>
      <c r="C676">
        <v>0</v>
      </c>
      <c r="D676">
        <v>4</v>
      </c>
      <c r="E676" t="str">
        <f>TEXT(ACTUAL_EXPENSES[[#This Row],[Date]],"mmm")</f>
        <v>Apr</v>
      </c>
    </row>
    <row r="677" spans="1:5" x14ac:dyDescent="0.2">
      <c r="A677" s="139" t="s">
        <v>48</v>
      </c>
      <c r="B677" s="140">
        <v>45019</v>
      </c>
      <c r="C677">
        <v>0</v>
      </c>
      <c r="D677">
        <v>4</v>
      </c>
      <c r="E677" t="str">
        <f>TEXT(ACTUAL_EXPENSES[[#This Row],[Date]],"mmm")</f>
        <v>Apr</v>
      </c>
    </row>
    <row r="678" spans="1:5" x14ac:dyDescent="0.2">
      <c r="A678" s="139" t="s">
        <v>48</v>
      </c>
      <c r="B678" s="140">
        <v>45020</v>
      </c>
      <c r="C678">
        <v>0</v>
      </c>
      <c r="D678">
        <v>4</v>
      </c>
      <c r="E678" t="str">
        <f>TEXT(ACTUAL_EXPENSES[[#This Row],[Date]],"mmm")</f>
        <v>Apr</v>
      </c>
    </row>
    <row r="679" spans="1:5" x14ac:dyDescent="0.2">
      <c r="A679" s="139" t="s">
        <v>48</v>
      </c>
      <c r="B679" s="140">
        <v>45021</v>
      </c>
      <c r="C679">
        <v>0</v>
      </c>
      <c r="D679">
        <v>4</v>
      </c>
      <c r="E679" t="str">
        <f>TEXT(ACTUAL_EXPENSES[[#This Row],[Date]],"mmm")</f>
        <v>Apr</v>
      </c>
    </row>
    <row r="680" spans="1:5" x14ac:dyDescent="0.2">
      <c r="A680" s="139" t="s">
        <v>48</v>
      </c>
      <c r="B680" s="140">
        <v>45022</v>
      </c>
      <c r="C680">
        <v>0</v>
      </c>
      <c r="D680">
        <v>4</v>
      </c>
      <c r="E680" t="str">
        <f>TEXT(ACTUAL_EXPENSES[[#This Row],[Date]],"mmm")</f>
        <v>Apr</v>
      </c>
    </row>
    <row r="681" spans="1:5" x14ac:dyDescent="0.2">
      <c r="A681" s="139" t="s">
        <v>48</v>
      </c>
      <c r="B681" s="140">
        <v>45023</v>
      </c>
      <c r="C681">
        <v>0</v>
      </c>
      <c r="D681">
        <v>4</v>
      </c>
      <c r="E681" t="str">
        <f>TEXT(ACTUAL_EXPENSES[[#This Row],[Date]],"mmm")</f>
        <v>Apr</v>
      </c>
    </row>
    <row r="682" spans="1:5" x14ac:dyDescent="0.2">
      <c r="A682" s="139" t="s">
        <v>48</v>
      </c>
      <c r="B682" s="140">
        <v>45024</v>
      </c>
      <c r="C682">
        <v>0</v>
      </c>
      <c r="D682">
        <v>4</v>
      </c>
      <c r="E682" t="str">
        <f>TEXT(ACTUAL_EXPENSES[[#This Row],[Date]],"mmm")</f>
        <v>Apr</v>
      </c>
    </row>
    <row r="683" spans="1:5" x14ac:dyDescent="0.2">
      <c r="A683" s="139" t="s">
        <v>48</v>
      </c>
      <c r="B683" s="140">
        <v>45025</v>
      </c>
      <c r="C683">
        <v>0</v>
      </c>
      <c r="D683">
        <v>4</v>
      </c>
      <c r="E683" t="str">
        <f>TEXT(ACTUAL_EXPENSES[[#This Row],[Date]],"mmm")</f>
        <v>Apr</v>
      </c>
    </row>
    <row r="684" spans="1:5" x14ac:dyDescent="0.2">
      <c r="A684" s="139" t="s">
        <v>48</v>
      </c>
      <c r="B684" s="140">
        <v>45026</v>
      </c>
      <c r="C684">
        <v>0</v>
      </c>
      <c r="D684">
        <v>4</v>
      </c>
      <c r="E684" t="str">
        <f>TEXT(ACTUAL_EXPENSES[[#This Row],[Date]],"mmm")</f>
        <v>Apr</v>
      </c>
    </row>
    <row r="685" spans="1:5" x14ac:dyDescent="0.2">
      <c r="A685" s="139" t="s">
        <v>48</v>
      </c>
      <c r="B685" s="140">
        <v>45027</v>
      </c>
      <c r="C685">
        <v>0</v>
      </c>
      <c r="D685">
        <v>4</v>
      </c>
      <c r="E685" t="str">
        <f>TEXT(ACTUAL_EXPENSES[[#This Row],[Date]],"mmm")</f>
        <v>Apr</v>
      </c>
    </row>
    <row r="686" spans="1:5" x14ac:dyDescent="0.2">
      <c r="A686" s="139" t="s">
        <v>48</v>
      </c>
      <c r="B686" s="140">
        <v>45028</v>
      </c>
      <c r="C686">
        <v>0</v>
      </c>
      <c r="D686">
        <v>4</v>
      </c>
      <c r="E686" t="str">
        <f>TEXT(ACTUAL_EXPENSES[[#This Row],[Date]],"mmm")</f>
        <v>Apr</v>
      </c>
    </row>
    <row r="687" spans="1:5" x14ac:dyDescent="0.2">
      <c r="A687" s="139" t="s">
        <v>48</v>
      </c>
      <c r="B687" s="140">
        <v>45029</v>
      </c>
      <c r="C687">
        <v>0</v>
      </c>
      <c r="D687">
        <v>4</v>
      </c>
      <c r="E687" t="str">
        <f>TEXT(ACTUAL_EXPENSES[[#This Row],[Date]],"mmm")</f>
        <v>Apr</v>
      </c>
    </row>
    <row r="688" spans="1:5" x14ac:dyDescent="0.2">
      <c r="A688" s="139" t="s">
        <v>48</v>
      </c>
      <c r="B688" s="140">
        <v>45030</v>
      </c>
      <c r="C688">
        <v>0</v>
      </c>
      <c r="D688">
        <v>4</v>
      </c>
      <c r="E688" t="str">
        <f>TEXT(ACTUAL_EXPENSES[[#This Row],[Date]],"mmm")</f>
        <v>Apr</v>
      </c>
    </row>
    <row r="689" spans="1:5" x14ac:dyDescent="0.2">
      <c r="A689" s="139" t="s">
        <v>48</v>
      </c>
      <c r="B689" s="140">
        <v>45031</v>
      </c>
      <c r="C689">
        <v>0</v>
      </c>
      <c r="D689">
        <v>4</v>
      </c>
      <c r="E689" t="str">
        <f>TEXT(ACTUAL_EXPENSES[[#This Row],[Date]],"mmm")</f>
        <v>Apr</v>
      </c>
    </row>
    <row r="690" spans="1:5" x14ac:dyDescent="0.2">
      <c r="A690" s="139" t="s">
        <v>48</v>
      </c>
      <c r="B690" s="140">
        <v>45032</v>
      </c>
      <c r="C690">
        <v>0</v>
      </c>
      <c r="D690">
        <v>4</v>
      </c>
      <c r="E690" t="str">
        <f>TEXT(ACTUAL_EXPENSES[[#This Row],[Date]],"mmm")</f>
        <v>Apr</v>
      </c>
    </row>
    <row r="691" spans="1:5" x14ac:dyDescent="0.2">
      <c r="A691" s="139" t="s">
        <v>48</v>
      </c>
      <c r="B691" s="140">
        <v>45033</v>
      </c>
      <c r="C691">
        <v>0</v>
      </c>
      <c r="D691">
        <v>4</v>
      </c>
      <c r="E691" t="str">
        <f>TEXT(ACTUAL_EXPENSES[[#This Row],[Date]],"mmm")</f>
        <v>Apr</v>
      </c>
    </row>
    <row r="692" spans="1:5" x14ac:dyDescent="0.2">
      <c r="A692" s="139" t="s">
        <v>48</v>
      </c>
      <c r="B692" s="140">
        <v>45034</v>
      </c>
      <c r="C692">
        <v>0</v>
      </c>
      <c r="D692">
        <v>4</v>
      </c>
      <c r="E692" t="str">
        <f>TEXT(ACTUAL_EXPENSES[[#This Row],[Date]],"mmm")</f>
        <v>Apr</v>
      </c>
    </row>
    <row r="693" spans="1:5" x14ac:dyDescent="0.2">
      <c r="A693" s="139" t="s">
        <v>48</v>
      </c>
      <c r="B693" s="140">
        <v>45035</v>
      </c>
      <c r="C693">
        <v>0</v>
      </c>
      <c r="D693">
        <v>4</v>
      </c>
      <c r="E693" t="str">
        <f>TEXT(ACTUAL_EXPENSES[[#This Row],[Date]],"mmm")</f>
        <v>Apr</v>
      </c>
    </row>
    <row r="694" spans="1:5" x14ac:dyDescent="0.2">
      <c r="A694" s="139" t="s">
        <v>48</v>
      </c>
      <c r="B694" s="140">
        <v>45036</v>
      </c>
      <c r="C694">
        <v>0</v>
      </c>
      <c r="D694">
        <v>4</v>
      </c>
      <c r="E694" t="str">
        <f>TEXT(ACTUAL_EXPENSES[[#This Row],[Date]],"mmm")</f>
        <v>Apr</v>
      </c>
    </row>
    <row r="695" spans="1:5" x14ac:dyDescent="0.2">
      <c r="A695" s="139" t="s">
        <v>48</v>
      </c>
      <c r="B695" s="140">
        <v>45037</v>
      </c>
      <c r="C695">
        <v>0</v>
      </c>
      <c r="D695">
        <v>4</v>
      </c>
      <c r="E695" t="str">
        <f>TEXT(ACTUAL_EXPENSES[[#This Row],[Date]],"mmm")</f>
        <v>Apr</v>
      </c>
    </row>
    <row r="696" spans="1:5" x14ac:dyDescent="0.2">
      <c r="A696" s="139" t="s">
        <v>48</v>
      </c>
      <c r="B696" s="140">
        <v>45038</v>
      </c>
      <c r="C696">
        <v>0</v>
      </c>
      <c r="D696">
        <v>4</v>
      </c>
      <c r="E696" t="str">
        <f>TEXT(ACTUAL_EXPENSES[[#This Row],[Date]],"mmm")</f>
        <v>Apr</v>
      </c>
    </row>
    <row r="697" spans="1:5" x14ac:dyDescent="0.2">
      <c r="A697" s="139" t="s">
        <v>48</v>
      </c>
      <c r="B697" s="140">
        <v>45039</v>
      </c>
      <c r="C697">
        <v>0</v>
      </c>
      <c r="D697">
        <v>4</v>
      </c>
      <c r="E697" t="str">
        <f>TEXT(ACTUAL_EXPENSES[[#This Row],[Date]],"mmm")</f>
        <v>Apr</v>
      </c>
    </row>
    <row r="698" spans="1:5" x14ac:dyDescent="0.2">
      <c r="A698" s="139" t="s">
        <v>48</v>
      </c>
      <c r="B698" s="140">
        <v>45040</v>
      </c>
      <c r="C698">
        <v>0</v>
      </c>
      <c r="D698">
        <v>4</v>
      </c>
      <c r="E698" t="str">
        <f>TEXT(ACTUAL_EXPENSES[[#This Row],[Date]],"mmm")</f>
        <v>Apr</v>
      </c>
    </row>
    <row r="699" spans="1:5" x14ac:dyDescent="0.2">
      <c r="A699" s="139" t="s">
        <v>48</v>
      </c>
      <c r="B699" s="140">
        <v>45041</v>
      </c>
      <c r="C699">
        <v>0</v>
      </c>
      <c r="D699">
        <v>4</v>
      </c>
      <c r="E699" t="str">
        <f>TEXT(ACTUAL_EXPENSES[[#This Row],[Date]],"mmm")</f>
        <v>Apr</v>
      </c>
    </row>
    <row r="700" spans="1:5" x14ac:dyDescent="0.2">
      <c r="A700" s="139" t="s">
        <v>48</v>
      </c>
      <c r="B700" s="140">
        <v>45042</v>
      </c>
      <c r="C700">
        <v>12.82</v>
      </c>
      <c r="D700">
        <v>4</v>
      </c>
      <c r="E700" t="str">
        <f>TEXT(ACTUAL_EXPENSES[[#This Row],[Date]],"mmm")</f>
        <v>Apr</v>
      </c>
    </row>
    <row r="701" spans="1:5" x14ac:dyDescent="0.2">
      <c r="A701" s="139" t="s">
        <v>48</v>
      </c>
      <c r="B701" s="140">
        <v>45043</v>
      </c>
      <c r="C701">
        <v>0</v>
      </c>
      <c r="D701">
        <v>4</v>
      </c>
      <c r="E701" t="str">
        <f>TEXT(ACTUAL_EXPENSES[[#This Row],[Date]],"mmm")</f>
        <v>Apr</v>
      </c>
    </row>
    <row r="702" spans="1:5" x14ac:dyDescent="0.2">
      <c r="A702" s="139" t="s">
        <v>48</v>
      </c>
      <c r="B702" s="140">
        <v>45044</v>
      </c>
      <c r="C702">
        <v>0</v>
      </c>
      <c r="D702">
        <v>4</v>
      </c>
      <c r="E702" t="str">
        <f>TEXT(ACTUAL_EXPENSES[[#This Row],[Date]],"mmm")</f>
        <v>Apr</v>
      </c>
    </row>
    <row r="703" spans="1:5" x14ac:dyDescent="0.2">
      <c r="A703" s="139" t="s">
        <v>48</v>
      </c>
      <c r="B703" s="140">
        <v>45045</v>
      </c>
      <c r="C703">
        <v>0</v>
      </c>
      <c r="D703">
        <v>4</v>
      </c>
      <c r="E703" t="str">
        <f>TEXT(ACTUAL_EXPENSES[[#This Row],[Date]],"mmm")</f>
        <v>Apr</v>
      </c>
    </row>
    <row r="704" spans="1:5" x14ac:dyDescent="0.2">
      <c r="A704" s="139" t="s">
        <v>48</v>
      </c>
      <c r="B704" s="140">
        <v>45046</v>
      </c>
      <c r="C704">
        <v>0</v>
      </c>
      <c r="D704">
        <v>4</v>
      </c>
      <c r="E704" t="str">
        <f>TEXT(ACTUAL_EXPENSES[[#This Row],[Date]],"mmm")</f>
        <v>Apr</v>
      </c>
    </row>
    <row r="705" spans="1:5" x14ac:dyDescent="0.2">
      <c r="A705" s="139" t="s">
        <v>48</v>
      </c>
      <c r="B705" s="140"/>
      <c r="C705">
        <v>0</v>
      </c>
      <c r="E705" t="str">
        <f>TEXT(ACTUAL_EXPENSES[[#This Row],[Date]],"mmm")</f>
        <v>Jan</v>
      </c>
    </row>
    <row r="706" spans="1:5" x14ac:dyDescent="0.2">
      <c r="A706" s="139" t="s">
        <v>49</v>
      </c>
      <c r="B706" s="140">
        <v>45018</v>
      </c>
      <c r="C706">
        <v>0</v>
      </c>
      <c r="D706">
        <v>4</v>
      </c>
      <c r="E706" t="str">
        <f>TEXT(ACTUAL_EXPENSES[[#This Row],[Date]],"mmm")</f>
        <v>Apr</v>
      </c>
    </row>
    <row r="707" spans="1:5" x14ac:dyDescent="0.2">
      <c r="A707" s="139" t="s">
        <v>49</v>
      </c>
      <c r="B707" s="140">
        <v>45019</v>
      </c>
      <c r="C707">
        <v>0</v>
      </c>
      <c r="D707">
        <v>4</v>
      </c>
      <c r="E707" t="str">
        <f>TEXT(ACTUAL_EXPENSES[[#This Row],[Date]],"mmm")</f>
        <v>Apr</v>
      </c>
    </row>
    <row r="708" spans="1:5" x14ac:dyDescent="0.2">
      <c r="A708" s="139" t="s">
        <v>49</v>
      </c>
      <c r="B708" s="140">
        <v>45020</v>
      </c>
      <c r="C708">
        <v>0</v>
      </c>
      <c r="D708">
        <v>4</v>
      </c>
      <c r="E708" t="str">
        <f>TEXT(ACTUAL_EXPENSES[[#This Row],[Date]],"mmm")</f>
        <v>Apr</v>
      </c>
    </row>
    <row r="709" spans="1:5" x14ac:dyDescent="0.2">
      <c r="A709" s="139" t="s">
        <v>49</v>
      </c>
      <c r="B709" s="140">
        <v>45021</v>
      </c>
      <c r="C709">
        <v>0</v>
      </c>
      <c r="D709">
        <v>4</v>
      </c>
      <c r="E709" t="str">
        <f>TEXT(ACTUAL_EXPENSES[[#This Row],[Date]],"mmm")</f>
        <v>Apr</v>
      </c>
    </row>
    <row r="710" spans="1:5" x14ac:dyDescent="0.2">
      <c r="A710" s="139" t="s">
        <v>49</v>
      </c>
      <c r="B710" s="140">
        <v>45022</v>
      </c>
      <c r="C710">
        <v>0</v>
      </c>
      <c r="D710">
        <v>4</v>
      </c>
      <c r="E710" t="str">
        <f>TEXT(ACTUAL_EXPENSES[[#This Row],[Date]],"mmm")</f>
        <v>Apr</v>
      </c>
    </row>
    <row r="711" spans="1:5" x14ac:dyDescent="0.2">
      <c r="A711" s="139" t="s">
        <v>49</v>
      </c>
      <c r="B711" s="140">
        <v>45023</v>
      </c>
      <c r="C711">
        <v>0</v>
      </c>
      <c r="D711">
        <v>4</v>
      </c>
      <c r="E711" t="str">
        <f>TEXT(ACTUAL_EXPENSES[[#This Row],[Date]],"mmm")</f>
        <v>Apr</v>
      </c>
    </row>
    <row r="712" spans="1:5" x14ac:dyDescent="0.2">
      <c r="A712" s="139" t="s">
        <v>49</v>
      </c>
      <c r="B712" s="140">
        <v>45024</v>
      </c>
      <c r="C712">
        <v>0</v>
      </c>
      <c r="D712">
        <v>4</v>
      </c>
      <c r="E712" t="str">
        <f>TEXT(ACTUAL_EXPENSES[[#This Row],[Date]],"mmm")</f>
        <v>Apr</v>
      </c>
    </row>
    <row r="713" spans="1:5" x14ac:dyDescent="0.2">
      <c r="A713" s="139" t="s">
        <v>49</v>
      </c>
      <c r="B713" s="140">
        <v>45025</v>
      </c>
      <c r="C713">
        <v>0</v>
      </c>
      <c r="D713">
        <v>4</v>
      </c>
      <c r="E713" t="str">
        <f>TEXT(ACTUAL_EXPENSES[[#This Row],[Date]],"mmm")</f>
        <v>Apr</v>
      </c>
    </row>
    <row r="714" spans="1:5" x14ac:dyDescent="0.2">
      <c r="A714" s="139" t="s">
        <v>49</v>
      </c>
      <c r="B714" s="140">
        <v>45026</v>
      </c>
      <c r="C714">
        <v>9</v>
      </c>
      <c r="D714">
        <v>4</v>
      </c>
      <c r="E714" t="str">
        <f>TEXT(ACTUAL_EXPENSES[[#This Row],[Date]],"mmm")</f>
        <v>Apr</v>
      </c>
    </row>
    <row r="715" spans="1:5" x14ac:dyDescent="0.2">
      <c r="A715" s="139" t="s">
        <v>49</v>
      </c>
      <c r="B715" s="140">
        <v>45027</v>
      </c>
      <c r="C715">
        <v>0</v>
      </c>
      <c r="D715">
        <v>4</v>
      </c>
      <c r="E715" t="str">
        <f>TEXT(ACTUAL_EXPENSES[[#This Row],[Date]],"mmm")</f>
        <v>Apr</v>
      </c>
    </row>
    <row r="716" spans="1:5" x14ac:dyDescent="0.2">
      <c r="A716" s="139" t="s">
        <v>49</v>
      </c>
      <c r="B716" s="140">
        <v>45028</v>
      </c>
      <c r="C716">
        <v>0</v>
      </c>
      <c r="D716">
        <v>4</v>
      </c>
      <c r="E716" t="str">
        <f>TEXT(ACTUAL_EXPENSES[[#This Row],[Date]],"mmm")</f>
        <v>Apr</v>
      </c>
    </row>
    <row r="717" spans="1:5" x14ac:dyDescent="0.2">
      <c r="A717" s="139" t="s">
        <v>49</v>
      </c>
      <c r="B717" s="140">
        <v>45029</v>
      </c>
      <c r="C717">
        <v>0</v>
      </c>
      <c r="D717">
        <v>4</v>
      </c>
      <c r="E717" t="str">
        <f>TEXT(ACTUAL_EXPENSES[[#This Row],[Date]],"mmm")</f>
        <v>Apr</v>
      </c>
    </row>
    <row r="718" spans="1:5" x14ac:dyDescent="0.2">
      <c r="A718" s="139" t="s">
        <v>49</v>
      </c>
      <c r="B718" s="140">
        <v>45030</v>
      </c>
      <c r="C718">
        <v>0</v>
      </c>
      <c r="D718">
        <v>4</v>
      </c>
      <c r="E718" t="str">
        <f>TEXT(ACTUAL_EXPENSES[[#This Row],[Date]],"mmm")</f>
        <v>Apr</v>
      </c>
    </row>
    <row r="719" spans="1:5" x14ac:dyDescent="0.2">
      <c r="A719" s="139" t="s">
        <v>49</v>
      </c>
      <c r="B719" s="140">
        <v>45031</v>
      </c>
      <c r="C719">
        <v>0</v>
      </c>
      <c r="D719">
        <v>4</v>
      </c>
      <c r="E719" t="str">
        <f>TEXT(ACTUAL_EXPENSES[[#This Row],[Date]],"mmm")</f>
        <v>Apr</v>
      </c>
    </row>
    <row r="720" spans="1:5" x14ac:dyDescent="0.2">
      <c r="A720" s="139" t="s">
        <v>49</v>
      </c>
      <c r="B720" s="140">
        <v>45032</v>
      </c>
      <c r="C720">
        <v>0</v>
      </c>
      <c r="D720">
        <v>4</v>
      </c>
      <c r="E720" t="str">
        <f>TEXT(ACTUAL_EXPENSES[[#This Row],[Date]],"mmm")</f>
        <v>Apr</v>
      </c>
    </row>
    <row r="721" spans="1:5" x14ac:dyDescent="0.2">
      <c r="A721" s="139" t="s">
        <v>49</v>
      </c>
      <c r="B721" s="140">
        <v>45033</v>
      </c>
      <c r="C721">
        <v>0</v>
      </c>
      <c r="D721">
        <v>4</v>
      </c>
      <c r="E721" t="str">
        <f>TEXT(ACTUAL_EXPENSES[[#This Row],[Date]],"mmm")</f>
        <v>Apr</v>
      </c>
    </row>
    <row r="722" spans="1:5" x14ac:dyDescent="0.2">
      <c r="A722" s="139" t="s">
        <v>49</v>
      </c>
      <c r="B722" s="140">
        <v>45034</v>
      </c>
      <c r="C722">
        <v>0</v>
      </c>
      <c r="D722">
        <v>4</v>
      </c>
      <c r="E722" t="str">
        <f>TEXT(ACTUAL_EXPENSES[[#This Row],[Date]],"mmm")</f>
        <v>Apr</v>
      </c>
    </row>
    <row r="723" spans="1:5" x14ac:dyDescent="0.2">
      <c r="A723" s="139" t="s">
        <v>49</v>
      </c>
      <c r="B723" s="140">
        <v>45035</v>
      </c>
      <c r="C723">
        <v>0</v>
      </c>
      <c r="D723">
        <v>4</v>
      </c>
      <c r="E723" t="str">
        <f>TEXT(ACTUAL_EXPENSES[[#This Row],[Date]],"mmm")</f>
        <v>Apr</v>
      </c>
    </row>
    <row r="724" spans="1:5" x14ac:dyDescent="0.2">
      <c r="A724" s="139" t="s">
        <v>49</v>
      </c>
      <c r="B724" s="140">
        <v>45036</v>
      </c>
      <c r="C724">
        <v>0</v>
      </c>
      <c r="D724">
        <v>4</v>
      </c>
      <c r="E724" t="str">
        <f>TEXT(ACTUAL_EXPENSES[[#This Row],[Date]],"mmm")</f>
        <v>Apr</v>
      </c>
    </row>
    <row r="725" spans="1:5" x14ac:dyDescent="0.2">
      <c r="A725" s="139" t="s">
        <v>49</v>
      </c>
      <c r="B725" s="140">
        <v>45037</v>
      </c>
      <c r="C725">
        <v>0</v>
      </c>
      <c r="D725">
        <v>4</v>
      </c>
      <c r="E725" t="str">
        <f>TEXT(ACTUAL_EXPENSES[[#This Row],[Date]],"mmm")</f>
        <v>Apr</v>
      </c>
    </row>
    <row r="726" spans="1:5" x14ac:dyDescent="0.2">
      <c r="A726" s="139" t="s">
        <v>49</v>
      </c>
      <c r="B726" s="140">
        <v>45038</v>
      </c>
      <c r="C726">
        <v>0</v>
      </c>
      <c r="D726">
        <v>4</v>
      </c>
      <c r="E726" t="str">
        <f>TEXT(ACTUAL_EXPENSES[[#This Row],[Date]],"mmm")</f>
        <v>Apr</v>
      </c>
    </row>
    <row r="727" spans="1:5" x14ac:dyDescent="0.2">
      <c r="A727" s="139" t="s">
        <v>49</v>
      </c>
      <c r="B727" s="140">
        <v>45039</v>
      </c>
      <c r="C727">
        <v>0</v>
      </c>
      <c r="D727">
        <v>4</v>
      </c>
      <c r="E727" t="str">
        <f>TEXT(ACTUAL_EXPENSES[[#This Row],[Date]],"mmm")</f>
        <v>Apr</v>
      </c>
    </row>
    <row r="728" spans="1:5" x14ac:dyDescent="0.2">
      <c r="A728" s="139" t="s">
        <v>49</v>
      </c>
      <c r="B728" s="140">
        <v>45040</v>
      </c>
      <c r="C728">
        <v>0</v>
      </c>
      <c r="D728">
        <v>4</v>
      </c>
      <c r="E728" t="str">
        <f>TEXT(ACTUAL_EXPENSES[[#This Row],[Date]],"mmm")</f>
        <v>Apr</v>
      </c>
    </row>
    <row r="729" spans="1:5" x14ac:dyDescent="0.2">
      <c r="A729" s="139" t="s">
        <v>49</v>
      </c>
      <c r="B729" s="140">
        <v>45041</v>
      </c>
      <c r="C729">
        <v>0</v>
      </c>
      <c r="D729">
        <v>4</v>
      </c>
      <c r="E729" t="str">
        <f>TEXT(ACTUAL_EXPENSES[[#This Row],[Date]],"mmm")</f>
        <v>Apr</v>
      </c>
    </row>
    <row r="730" spans="1:5" x14ac:dyDescent="0.2">
      <c r="A730" s="139" t="s">
        <v>49</v>
      </c>
      <c r="B730" s="140">
        <v>45042</v>
      </c>
      <c r="C730">
        <v>0</v>
      </c>
      <c r="D730">
        <v>4</v>
      </c>
      <c r="E730" t="str">
        <f>TEXT(ACTUAL_EXPENSES[[#This Row],[Date]],"mmm")</f>
        <v>Apr</v>
      </c>
    </row>
    <row r="731" spans="1:5" x14ac:dyDescent="0.2">
      <c r="A731" s="139" t="s">
        <v>49</v>
      </c>
      <c r="B731" s="140">
        <v>45043</v>
      </c>
      <c r="C731">
        <v>0</v>
      </c>
      <c r="D731">
        <v>4</v>
      </c>
      <c r="E731" t="str">
        <f>TEXT(ACTUAL_EXPENSES[[#This Row],[Date]],"mmm")</f>
        <v>Apr</v>
      </c>
    </row>
    <row r="732" spans="1:5" x14ac:dyDescent="0.2">
      <c r="A732" s="139" t="s">
        <v>49</v>
      </c>
      <c r="B732" s="140">
        <v>45044</v>
      </c>
      <c r="C732">
        <v>0</v>
      </c>
      <c r="D732">
        <v>4</v>
      </c>
      <c r="E732" t="str">
        <f>TEXT(ACTUAL_EXPENSES[[#This Row],[Date]],"mmm")</f>
        <v>Apr</v>
      </c>
    </row>
    <row r="733" spans="1:5" x14ac:dyDescent="0.2">
      <c r="A733" s="139" t="s">
        <v>49</v>
      </c>
      <c r="B733" s="140">
        <v>45045</v>
      </c>
      <c r="C733">
        <v>0</v>
      </c>
      <c r="D733">
        <v>4</v>
      </c>
      <c r="E733" t="str">
        <f>TEXT(ACTUAL_EXPENSES[[#This Row],[Date]],"mmm")</f>
        <v>Apr</v>
      </c>
    </row>
    <row r="734" spans="1:5" x14ac:dyDescent="0.2">
      <c r="A734" s="139" t="s">
        <v>49</v>
      </c>
      <c r="B734" s="140">
        <v>45046</v>
      </c>
      <c r="C734">
        <v>0</v>
      </c>
      <c r="D734">
        <v>4</v>
      </c>
      <c r="E734" t="str">
        <f>TEXT(ACTUAL_EXPENSES[[#This Row],[Date]],"mmm")</f>
        <v>Apr</v>
      </c>
    </row>
    <row r="735" spans="1:5" x14ac:dyDescent="0.2">
      <c r="A735" s="139" t="s">
        <v>49</v>
      </c>
      <c r="B735" s="140"/>
      <c r="C735">
        <v>0</v>
      </c>
      <c r="E735" t="str">
        <f>TEXT(ACTUAL_EXPENSES[[#This Row],[Date]],"mmm")</f>
        <v>Jan</v>
      </c>
    </row>
    <row r="736" spans="1:5" x14ac:dyDescent="0.2">
      <c r="A736" s="139" t="s">
        <v>126</v>
      </c>
      <c r="B736" s="140">
        <v>45018</v>
      </c>
      <c r="C736">
        <v>0</v>
      </c>
      <c r="D736">
        <v>4</v>
      </c>
      <c r="E736" t="str">
        <f>TEXT(ACTUAL_EXPENSES[[#This Row],[Date]],"mmm")</f>
        <v>Apr</v>
      </c>
    </row>
    <row r="737" spans="1:5" x14ac:dyDescent="0.2">
      <c r="A737" s="139" t="s">
        <v>126</v>
      </c>
      <c r="B737" s="140">
        <v>45019</v>
      </c>
      <c r="C737">
        <v>0</v>
      </c>
      <c r="D737">
        <v>4</v>
      </c>
      <c r="E737" t="str">
        <f>TEXT(ACTUAL_EXPENSES[[#This Row],[Date]],"mmm")</f>
        <v>Apr</v>
      </c>
    </row>
    <row r="738" spans="1:5" x14ac:dyDescent="0.2">
      <c r="A738" s="139" t="s">
        <v>126</v>
      </c>
      <c r="B738" s="140">
        <v>45020</v>
      </c>
      <c r="C738">
        <v>0</v>
      </c>
      <c r="D738">
        <v>4</v>
      </c>
      <c r="E738" t="str">
        <f>TEXT(ACTUAL_EXPENSES[[#This Row],[Date]],"mmm")</f>
        <v>Apr</v>
      </c>
    </row>
    <row r="739" spans="1:5" x14ac:dyDescent="0.2">
      <c r="A739" s="139" t="s">
        <v>126</v>
      </c>
      <c r="B739" s="140">
        <v>45021</v>
      </c>
      <c r="C739">
        <v>0</v>
      </c>
      <c r="D739">
        <v>4</v>
      </c>
      <c r="E739" t="str">
        <f>TEXT(ACTUAL_EXPENSES[[#This Row],[Date]],"mmm")</f>
        <v>Apr</v>
      </c>
    </row>
    <row r="740" spans="1:5" x14ac:dyDescent="0.2">
      <c r="A740" s="139" t="s">
        <v>126</v>
      </c>
      <c r="B740" s="140">
        <v>45022</v>
      </c>
      <c r="C740">
        <v>0</v>
      </c>
      <c r="D740">
        <v>4</v>
      </c>
      <c r="E740" t="str">
        <f>TEXT(ACTUAL_EXPENSES[[#This Row],[Date]],"mmm")</f>
        <v>Apr</v>
      </c>
    </row>
    <row r="741" spans="1:5" x14ac:dyDescent="0.2">
      <c r="A741" s="139" t="s">
        <v>126</v>
      </c>
      <c r="B741" s="140">
        <v>45023</v>
      </c>
      <c r="C741">
        <v>0</v>
      </c>
      <c r="D741">
        <v>4</v>
      </c>
      <c r="E741" t="str">
        <f>TEXT(ACTUAL_EXPENSES[[#This Row],[Date]],"mmm")</f>
        <v>Apr</v>
      </c>
    </row>
    <row r="742" spans="1:5" x14ac:dyDescent="0.2">
      <c r="A742" s="139" t="s">
        <v>126</v>
      </c>
      <c r="B742" s="140">
        <v>45024</v>
      </c>
      <c r="C742">
        <v>0</v>
      </c>
      <c r="D742">
        <v>4</v>
      </c>
      <c r="E742" t="str">
        <f>TEXT(ACTUAL_EXPENSES[[#This Row],[Date]],"mmm")</f>
        <v>Apr</v>
      </c>
    </row>
    <row r="743" spans="1:5" x14ac:dyDescent="0.2">
      <c r="A743" s="139" t="s">
        <v>126</v>
      </c>
      <c r="B743" s="140">
        <v>45025</v>
      </c>
      <c r="C743">
        <v>0</v>
      </c>
      <c r="D743">
        <v>4</v>
      </c>
      <c r="E743" t="str">
        <f>TEXT(ACTUAL_EXPENSES[[#This Row],[Date]],"mmm")</f>
        <v>Apr</v>
      </c>
    </row>
    <row r="744" spans="1:5" x14ac:dyDescent="0.2">
      <c r="A744" s="139" t="s">
        <v>126</v>
      </c>
      <c r="B744" s="140">
        <v>45026</v>
      </c>
      <c r="C744">
        <v>0</v>
      </c>
      <c r="D744">
        <v>4</v>
      </c>
      <c r="E744" t="str">
        <f>TEXT(ACTUAL_EXPENSES[[#This Row],[Date]],"mmm")</f>
        <v>Apr</v>
      </c>
    </row>
    <row r="745" spans="1:5" x14ac:dyDescent="0.2">
      <c r="A745" s="139" t="s">
        <v>126</v>
      </c>
      <c r="B745" s="140">
        <v>45027</v>
      </c>
      <c r="C745">
        <v>0</v>
      </c>
      <c r="D745">
        <v>4</v>
      </c>
      <c r="E745" t="str">
        <f>TEXT(ACTUAL_EXPENSES[[#This Row],[Date]],"mmm")</f>
        <v>Apr</v>
      </c>
    </row>
    <row r="746" spans="1:5" x14ac:dyDescent="0.2">
      <c r="A746" s="139" t="s">
        <v>126</v>
      </c>
      <c r="B746" s="140">
        <v>45028</v>
      </c>
      <c r="C746">
        <v>0</v>
      </c>
      <c r="D746">
        <v>4</v>
      </c>
      <c r="E746" t="str">
        <f>TEXT(ACTUAL_EXPENSES[[#This Row],[Date]],"mmm")</f>
        <v>Apr</v>
      </c>
    </row>
    <row r="747" spans="1:5" x14ac:dyDescent="0.2">
      <c r="A747" s="139" t="s">
        <v>126</v>
      </c>
      <c r="B747" s="140">
        <v>45029</v>
      </c>
      <c r="C747">
        <v>0</v>
      </c>
      <c r="D747">
        <v>4</v>
      </c>
      <c r="E747" t="str">
        <f>TEXT(ACTUAL_EXPENSES[[#This Row],[Date]],"mmm")</f>
        <v>Apr</v>
      </c>
    </row>
    <row r="748" spans="1:5" x14ac:dyDescent="0.2">
      <c r="A748" s="139" t="s">
        <v>126</v>
      </c>
      <c r="B748" s="140">
        <v>45030</v>
      </c>
      <c r="C748">
        <v>0</v>
      </c>
      <c r="D748">
        <v>4</v>
      </c>
      <c r="E748" t="str">
        <f>TEXT(ACTUAL_EXPENSES[[#This Row],[Date]],"mmm")</f>
        <v>Apr</v>
      </c>
    </row>
    <row r="749" spans="1:5" x14ac:dyDescent="0.2">
      <c r="A749" s="139" t="s">
        <v>126</v>
      </c>
      <c r="B749" s="140">
        <v>45031</v>
      </c>
      <c r="C749">
        <v>0</v>
      </c>
      <c r="D749">
        <v>4</v>
      </c>
      <c r="E749" t="str">
        <f>TEXT(ACTUAL_EXPENSES[[#This Row],[Date]],"mmm")</f>
        <v>Apr</v>
      </c>
    </row>
    <row r="750" spans="1:5" x14ac:dyDescent="0.2">
      <c r="A750" s="139" t="s">
        <v>126</v>
      </c>
      <c r="B750" s="140">
        <v>45032</v>
      </c>
      <c r="C750">
        <v>0</v>
      </c>
      <c r="D750">
        <v>4</v>
      </c>
      <c r="E750" t="str">
        <f>TEXT(ACTUAL_EXPENSES[[#This Row],[Date]],"mmm")</f>
        <v>Apr</v>
      </c>
    </row>
    <row r="751" spans="1:5" x14ac:dyDescent="0.2">
      <c r="A751" s="139" t="s">
        <v>126</v>
      </c>
      <c r="B751" s="140">
        <v>45033</v>
      </c>
      <c r="C751">
        <v>0</v>
      </c>
      <c r="D751">
        <v>4</v>
      </c>
      <c r="E751" t="str">
        <f>TEXT(ACTUAL_EXPENSES[[#This Row],[Date]],"mmm")</f>
        <v>Apr</v>
      </c>
    </row>
    <row r="752" spans="1:5" x14ac:dyDescent="0.2">
      <c r="A752" s="139" t="s">
        <v>126</v>
      </c>
      <c r="B752" s="140">
        <v>45034</v>
      </c>
      <c r="C752">
        <v>0</v>
      </c>
      <c r="D752">
        <v>4</v>
      </c>
      <c r="E752" t="str">
        <f>TEXT(ACTUAL_EXPENSES[[#This Row],[Date]],"mmm")</f>
        <v>Apr</v>
      </c>
    </row>
    <row r="753" spans="1:5" x14ac:dyDescent="0.2">
      <c r="A753" s="139" t="s">
        <v>126</v>
      </c>
      <c r="B753" s="140">
        <v>45035</v>
      </c>
      <c r="C753">
        <v>0</v>
      </c>
      <c r="D753">
        <v>4</v>
      </c>
      <c r="E753" t="str">
        <f>TEXT(ACTUAL_EXPENSES[[#This Row],[Date]],"mmm")</f>
        <v>Apr</v>
      </c>
    </row>
    <row r="754" spans="1:5" x14ac:dyDescent="0.2">
      <c r="A754" s="139" t="s">
        <v>126</v>
      </c>
      <c r="B754" s="140">
        <v>45036</v>
      </c>
      <c r="C754">
        <v>0</v>
      </c>
      <c r="D754">
        <v>4</v>
      </c>
      <c r="E754" t="str">
        <f>TEXT(ACTUAL_EXPENSES[[#This Row],[Date]],"mmm")</f>
        <v>Apr</v>
      </c>
    </row>
    <row r="755" spans="1:5" x14ac:dyDescent="0.2">
      <c r="A755" s="139" t="s">
        <v>126</v>
      </c>
      <c r="B755" s="140">
        <v>45037</v>
      </c>
      <c r="C755">
        <v>0</v>
      </c>
      <c r="D755">
        <v>4</v>
      </c>
      <c r="E755" t="str">
        <f>TEXT(ACTUAL_EXPENSES[[#This Row],[Date]],"mmm")</f>
        <v>Apr</v>
      </c>
    </row>
    <row r="756" spans="1:5" x14ac:dyDescent="0.2">
      <c r="A756" s="139" t="s">
        <v>126</v>
      </c>
      <c r="B756" s="140">
        <v>45038</v>
      </c>
      <c r="C756">
        <v>101.74</v>
      </c>
      <c r="D756">
        <v>4</v>
      </c>
      <c r="E756" t="str">
        <f>TEXT(ACTUAL_EXPENSES[[#This Row],[Date]],"mmm")</f>
        <v>Apr</v>
      </c>
    </row>
    <row r="757" spans="1:5" x14ac:dyDescent="0.2">
      <c r="A757" s="139" t="s">
        <v>126</v>
      </c>
      <c r="B757" s="140">
        <v>45039</v>
      </c>
      <c r="C757">
        <v>0</v>
      </c>
      <c r="D757">
        <v>4</v>
      </c>
      <c r="E757" t="str">
        <f>TEXT(ACTUAL_EXPENSES[[#This Row],[Date]],"mmm")</f>
        <v>Apr</v>
      </c>
    </row>
    <row r="758" spans="1:5" x14ac:dyDescent="0.2">
      <c r="A758" s="139" t="s">
        <v>126</v>
      </c>
      <c r="B758" s="140">
        <v>45040</v>
      </c>
      <c r="C758">
        <v>0</v>
      </c>
      <c r="D758">
        <v>4</v>
      </c>
      <c r="E758" t="str">
        <f>TEXT(ACTUAL_EXPENSES[[#This Row],[Date]],"mmm")</f>
        <v>Apr</v>
      </c>
    </row>
    <row r="759" spans="1:5" x14ac:dyDescent="0.2">
      <c r="A759" s="139" t="s">
        <v>126</v>
      </c>
      <c r="B759" s="140">
        <v>45041</v>
      </c>
      <c r="C759">
        <v>0</v>
      </c>
      <c r="D759">
        <v>4</v>
      </c>
      <c r="E759" t="str">
        <f>TEXT(ACTUAL_EXPENSES[[#This Row],[Date]],"mmm")</f>
        <v>Apr</v>
      </c>
    </row>
    <row r="760" spans="1:5" x14ac:dyDescent="0.2">
      <c r="A760" s="139" t="s">
        <v>126</v>
      </c>
      <c r="B760" s="140">
        <v>45042</v>
      </c>
      <c r="C760">
        <v>0</v>
      </c>
      <c r="D760">
        <v>4</v>
      </c>
      <c r="E760" t="str">
        <f>TEXT(ACTUAL_EXPENSES[[#This Row],[Date]],"mmm")</f>
        <v>Apr</v>
      </c>
    </row>
    <row r="761" spans="1:5" x14ac:dyDescent="0.2">
      <c r="A761" s="139" t="s">
        <v>126</v>
      </c>
      <c r="B761" s="140">
        <v>45043</v>
      </c>
      <c r="C761">
        <v>0</v>
      </c>
      <c r="D761">
        <v>4</v>
      </c>
      <c r="E761" t="str">
        <f>TEXT(ACTUAL_EXPENSES[[#This Row],[Date]],"mmm")</f>
        <v>Apr</v>
      </c>
    </row>
    <row r="762" spans="1:5" x14ac:dyDescent="0.2">
      <c r="A762" s="139" t="s">
        <v>126</v>
      </c>
      <c r="B762" s="140">
        <v>45044</v>
      </c>
      <c r="C762">
        <v>0</v>
      </c>
      <c r="D762">
        <v>4</v>
      </c>
      <c r="E762" t="str">
        <f>TEXT(ACTUAL_EXPENSES[[#This Row],[Date]],"mmm")</f>
        <v>Apr</v>
      </c>
    </row>
    <row r="763" spans="1:5" x14ac:dyDescent="0.2">
      <c r="A763" s="139" t="s">
        <v>126</v>
      </c>
      <c r="B763" s="140">
        <v>45045</v>
      </c>
      <c r="C763">
        <v>0</v>
      </c>
      <c r="D763">
        <v>4</v>
      </c>
      <c r="E763" t="str">
        <f>TEXT(ACTUAL_EXPENSES[[#This Row],[Date]],"mmm")</f>
        <v>Apr</v>
      </c>
    </row>
    <row r="764" spans="1:5" x14ac:dyDescent="0.2">
      <c r="A764" s="139" t="s">
        <v>126</v>
      </c>
      <c r="B764" s="140">
        <v>45046</v>
      </c>
      <c r="C764">
        <v>0</v>
      </c>
      <c r="D764">
        <v>4</v>
      </c>
      <c r="E764" t="str">
        <f>TEXT(ACTUAL_EXPENSES[[#This Row],[Date]],"mmm")</f>
        <v>Apr</v>
      </c>
    </row>
    <row r="765" spans="1:5" x14ac:dyDescent="0.2">
      <c r="A765" s="139" t="s">
        <v>126</v>
      </c>
      <c r="B765" s="140"/>
      <c r="C765">
        <v>0</v>
      </c>
      <c r="E765" t="str">
        <f>TEXT(ACTUAL_EXPENSES[[#This Row],[Date]],"mmm")</f>
        <v>Jan</v>
      </c>
    </row>
    <row r="766" spans="1:5" x14ac:dyDescent="0.2">
      <c r="A766" s="139" t="s">
        <v>50</v>
      </c>
      <c r="B766" s="140">
        <v>45018</v>
      </c>
      <c r="C766">
        <v>0</v>
      </c>
      <c r="D766">
        <v>4</v>
      </c>
      <c r="E766" t="str">
        <f>TEXT(ACTUAL_EXPENSES[[#This Row],[Date]],"mmm")</f>
        <v>Apr</v>
      </c>
    </row>
    <row r="767" spans="1:5" x14ac:dyDescent="0.2">
      <c r="A767" s="139" t="s">
        <v>50</v>
      </c>
      <c r="B767" s="140">
        <v>45019</v>
      </c>
      <c r="C767">
        <v>0</v>
      </c>
      <c r="D767">
        <v>4</v>
      </c>
      <c r="E767" t="str">
        <f>TEXT(ACTUAL_EXPENSES[[#This Row],[Date]],"mmm")</f>
        <v>Apr</v>
      </c>
    </row>
    <row r="768" spans="1:5" x14ac:dyDescent="0.2">
      <c r="A768" s="139" t="s">
        <v>50</v>
      </c>
      <c r="B768" s="140">
        <v>45020</v>
      </c>
      <c r="C768">
        <v>0</v>
      </c>
      <c r="D768">
        <v>4</v>
      </c>
      <c r="E768" t="str">
        <f>TEXT(ACTUAL_EXPENSES[[#This Row],[Date]],"mmm")</f>
        <v>Apr</v>
      </c>
    </row>
    <row r="769" spans="1:5" x14ac:dyDescent="0.2">
      <c r="A769" s="139" t="s">
        <v>50</v>
      </c>
      <c r="B769" s="140">
        <v>45021</v>
      </c>
      <c r="C769">
        <v>0</v>
      </c>
      <c r="D769">
        <v>4</v>
      </c>
      <c r="E769" t="str">
        <f>TEXT(ACTUAL_EXPENSES[[#This Row],[Date]],"mmm")</f>
        <v>Apr</v>
      </c>
    </row>
    <row r="770" spans="1:5" x14ac:dyDescent="0.2">
      <c r="A770" s="139" t="s">
        <v>50</v>
      </c>
      <c r="B770" s="140">
        <v>45022</v>
      </c>
      <c r="C770">
        <v>0</v>
      </c>
      <c r="D770">
        <v>4</v>
      </c>
      <c r="E770" t="str">
        <f>TEXT(ACTUAL_EXPENSES[[#This Row],[Date]],"mmm")</f>
        <v>Apr</v>
      </c>
    </row>
    <row r="771" spans="1:5" x14ac:dyDescent="0.2">
      <c r="A771" s="139" t="s">
        <v>50</v>
      </c>
      <c r="B771" s="140">
        <v>45023</v>
      </c>
      <c r="C771">
        <v>0</v>
      </c>
      <c r="D771">
        <v>4</v>
      </c>
      <c r="E771" t="str">
        <f>TEXT(ACTUAL_EXPENSES[[#This Row],[Date]],"mmm")</f>
        <v>Apr</v>
      </c>
    </row>
    <row r="772" spans="1:5" x14ac:dyDescent="0.2">
      <c r="A772" s="139" t="s">
        <v>50</v>
      </c>
      <c r="B772" s="140">
        <v>45024</v>
      </c>
      <c r="C772">
        <v>0</v>
      </c>
      <c r="D772">
        <v>4</v>
      </c>
      <c r="E772" t="str">
        <f>TEXT(ACTUAL_EXPENSES[[#This Row],[Date]],"mmm")</f>
        <v>Apr</v>
      </c>
    </row>
    <row r="773" spans="1:5" x14ac:dyDescent="0.2">
      <c r="A773" s="139" t="s">
        <v>50</v>
      </c>
      <c r="B773" s="140">
        <v>45025</v>
      </c>
      <c r="C773">
        <v>0</v>
      </c>
      <c r="D773">
        <v>4</v>
      </c>
      <c r="E773" t="str">
        <f>TEXT(ACTUAL_EXPENSES[[#This Row],[Date]],"mmm")</f>
        <v>Apr</v>
      </c>
    </row>
    <row r="774" spans="1:5" x14ac:dyDescent="0.2">
      <c r="A774" s="139" t="s">
        <v>50</v>
      </c>
      <c r="B774" s="140">
        <v>45026</v>
      </c>
      <c r="C774">
        <v>0</v>
      </c>
      <c r="D774">
        <v>4</v>
      </c>
      <c r="E774" t="str">
        <f>TEXT(ACTUAL_EXPENSES[[#This Row],[Date]],"mmm")</f>
        <v>Apr</v>
      </c>
    </row>
    <row r="775" spans="1:5" x14ac:dyDescent="0.2">
      <c r="A775" s="139" t="s">
        <v>50</v>
      </c>
      <c r="B775" s="140">
        <v>45027</v>
      </c>
      <c r="C775">
        <v>0</v>
      </c>
      <c r="D775">
        <v>4</v>
      </c>
      <c r="E775" t="str">
        <f>TEXT(ACTUAL_EXPENSES[[#This Row],[Date]],"mmm")</f>
        <v>Apr</v>
      </c>
    </row>
    <row r="776" spans="1:5" x14ac:dyDescent="0.2">
      <c r="A776" s="139" t="s">
        <v>50</v>
      </c>
      <c r="B776" s="140">
        <v>45028</v>
      </c>
      <c r="C776">
        <v>0</v>
      </c>
      <c r="D776">
        <v>4</v>
      </c>
      <c r="E776" t="str">
        <f>TEXT(ACTUAL_EXPENSES[[#This Row],[Date]],"mmm")</f>
        <v>Apr</v>
      </c>
    </row>
    <row r="777" spans="1:5" x14ac:dyDescent="0.2">
      <c r="A777" s="139" t="s">
        <v>50</v>
      </c>
      <c r="B777" s="140">
        <v>45029</v>
      </c>
      <c r="C777">
        <v>0</v>
      </c>
      <c r="D777">
        <v>4</v>
      </c>
      <c r="E777" t="str">
        <f>TEXT(ACTUAL_EXPENSES[[#This Row],[Date]],"mmm")</f>
        <v>Apr</v>
      </c>
    </row>
    <row r="778" spans="1:5" x14ac:dyDescent="0.2">
      <c r="A778" s="139" t="s">
        <v>50</v>
      </c>
      <c r="B778" s="140">
        <v>45030</v>
      </c>
      <c r="C778">
        <v>0</v>
      </c>
      <c r="D778">
        <v>4</v>
      </c>
      <c r="E778" t="str">
        <f>TEXT(ACTUAL_EXPENSES[[#This Row],[Date]],"mmm")</f>
        <v>Apr</v>
      </c>
    </row>
    <row r="779" spans="1:5" x14ac:dyDescent="0.2">
      <c r="A779" s="139" t="s">
        <v>50</v>
      </c>
      <c r="B779" s="140">
        <v>45031</v>
      </c>
      <c r="C779">
        <v>0</v>
      </c>
      <c r="D779">
        <v>4</v>
      </c>
      <c r="E779" t="str">
        <f>TEXT(ACTUAL_EXPENSES[[#This Row],[Date]],"mmm")</f>
        <v>Apr</v>
      </c>
    </row>
    <row r="780" spans="1:5" x14ac:dyDescent="0.2">
      <c r="A780" s="139" t="s">
        <v>50</v>
      </c>
      <c r="B780" s="140">
        <v>45032</v>
      </c>
      <c r="C780">
        <v>0</v>
      </c>
      <c r="D780">
        <v>4</v>
      </c>
      <c r="E780" t="str">
        <f>TEXT(ACTUAL_EXPENSES[[#This Row],[Date]],"mmm")</f>
        <v>Apr</v>
      </c>
    </row>
    <row r="781" spans="1:5" x14ac:dyDescent="0.2">
      <c r="A781" s="139" t="s">
        <v>50</v>
      </c>
      <c r="B781" s="140">
        <v>45033</v>
      </c>
      <c r="C781">
        <v>0</v>
      </c>
      <c r="D781">
        <v>4</v>
      </c>
      <c r="E781" t="str">
        <f>TEXT(ACTUAL_EXPENSES[[#This Row],[Date]],"mmm")</f>
        <v>Apr</v>
      </c>
    </row>
    <row r="782" spans="1:5" x14ac:dyDescent="0.2">
      <c r="A782" s="139" t="s">
        <v>50</v>
      </c>
      <c r="B782" s="140">
        <v>45034</v>
      </c>
      <c r="C782">
        <v>0</v>
      </c>
      <c r="D782">
        <v>4</v>
      </c>
      <c r="E782" t="str">
        <f>TEXT(ACTUAL_EXPENSES[[#This Row],[Date]],"mmm")</f>
        <v>Apr</v>
      </c>
    </row>
    <row r="783" spans="1:5" x14ac:dyDescent="0.2">
      <c r="A783" s="139" t="s">
        <v>50</v>
      </c>
      <c r="B783" s="140">
        <v>45035</v>
      </c>
      <c r="C783">
        <v>0</v>
      </c>
      <c r="D783">
        <v>4</v>
      </c>
      <c r="E783" t="str">
        <f>TEXT(ACTUAL_EXPENSES[[#This Row],[Date]],"mmm")</f>
        <v>Apr</v>
      </c>
    </row>
    <row r="784" spans="1:5" x14ac:dyDescent="0.2">
      <c r="A784" s="139" t="s">
        <v>50</v>
      </c>
      <c r="B784" s="140">
        <v>45036</v>
      </c>
      <c r="C784">
        <v>0</v>
      </c>
      <c r="D784">
        <v>4</v>
      </c>
      <c r="E784" t="str">
        <f>TEXT(ACTUAL_EXPENSES[[#This Row],[Date]],"mmm")</f>
        <v>Apr</v>
      </c>
    </row>
    <row r="785" spans="1:5" x14ac:dyDescent="0.2">
      <c r="A785" s="139" t="s">
        <v>50</v>
      </c>
      <c r="B785" s="140">
        <v>45037</v>
      </c>
      <c r="C785">
        <v>0</v>
      </c>
      <c r="D785">
        <v>4</v>
      </c>
      <c r="E785" t="str">
        <f>TEXT(ACTUAL_EXPENSES[[#This Row],[Date]],"mmm")</f>
        <v>Apr</v>
      </c>
    </row>
    <row r="786" spans="1:5" x14ac:dyDescent="0.2">
      <c r="A786" s="139" t="s">
        <v>50</v>
      </c>
      <c r="B786" s="140">
        <v>45038</v>
      </c>
      <c r="C786">
        <v>0</v>
      </c>
      <c r="D786">
        <v>4</v>
      </c>
      <c r="E786" t="str">
        <f>TEXT(ACTUAL_EXPENSES[[#This Row],[Date]],"mmm")</f>
        <v>Apr</v>
      </c>
    </row>
    <row r="787" spans="1:5" x14ac:dyDescent="0.2">
      <c r="A787" s="139" t="s">
        <v>50</v>
      </c>
      <c r="B787" s="140">
        <v>45039</v>
      </c>
      <c r="C787">
        <v>0</v>
      </c>
      <c r="D787">
        <v>4</v>
      </c>
      <c r="E787" t="str">
        <f>TEXT(ACTUAL_EXPENSES[[#This Row],[Date]],"mmm")</f>
        <v>Apr</v>
      </c>
    </row>
    <row r="788" spans="1:5" x14ac:dyDescent="0.2">
      <c r="A788" s="139" t="s">
        <v>50</v>
      </c>
      <c r="B788" s="140">
        <v>45040</v>
      </c>
      <c r="C788">
        <v>0</v>
      </c>
      <c r="D788">
        <v>4</v>
      </c>
      <c r="E788" t="str">
        <f>TEXT(ACTUAL_EXPENSES[[#This Row],[Date]],"mmm")</f>
        <v>Apr</v>
      </c>
    </row>
    <row r="789" spans="1:5" x14ac:dyDescent="0.2">
      <c r="A789" s="139" t="s">
        <v>50</v>
      </c>
      <c r="B789" s="140">
        <v>45041</v>
      </c>
      <c r="C789">
        <v>0</v>
      </c>
      <c r="D789">
        <v>4</v>
      </c>
      <c r="E789" t="str">
        <f>TEXT(ACTUAL_EXPENSES[[#This Row],[Date]],"mmm")</f>
        <v>Apr</v>
      </c>
    </row>
    <row r="790" spans="1:5" x14ac:dyDescent="0.2">
      <c r="A790" s="139" t="s">
        <v>50</v>
      </c>
      <c r="B790" s="140">
        <v>45042</v>
      </c>
      <c r="C790">
        <v>0</v>
      </c>
      <c r="D790">
        <v>4</v>
      </c>
      <c r="E790" t="str">
        <f>TEXT(ACTUAL_EXPENSES[[#This Row],[Date]],"mmm")</f>
        <v>Apr</v>
      </c>
    </row>
    <row r="791" spans="1:5" x14ac:dyDescent="0.2">
      <c r="A791" s="139" t="s">
        <v>50</v>
      </c>
      <c r="B791" s="140">
        <v>45043</v>
      </c>
      <c r="C791">
        <v>0</v>
      </c>
      <c r="D791">
        <v>4</v>
      </c>
      <c r="E791" t="str">
        <f>TEXT(ACTUAL_EXPENSES[[#This Row],[Date]],"mmm")</f>
        <v>Apr</v>
      </c>
    </row>
    <row r="792" spans="1:5" x14ac:dyDescent="0.2">
      <c r="A792" s="139" t="s">
        <v>50</v>
      </c>
      <c r="B792" s="140">
        <v>45044</v>
      </c>
      <c r="C792">
        <v>0</v>
      </c>
      <c r="D792">
        <v>4</v>
      </c>
      <c r="E792" t="str">
        <f>TEXT(ACTUAL_EXPENSES[[#This Row],[Date]],"mmm")</f>
        <v>Apr</v>
      </c>
    </row>
    <row r="793" spans="1:5" x14ac:dyDescent="0.2">
      <c r="A793" s="139" t="s">
        <v>50</v>
      </c>
      <c r="B793" s="140">
        <v>45045</v>
      </c>
      <c r="C793">
        <v>0</v>
      </c>
      <c r="D793">
        <v>4</v>
      </c>
      <c r="E793" t="str">
        <f>TEXT(ACTUAL_EXPENSES[[#This Row],[Date]],"mmm")</f>
        <v>Apr</v>
      </c>
    </row>
    <row r="794" spans="1:5" x14ac:dyDescent="0.2">
      <c r="A794" s="139" t="s">
        <v>50</v>
      </c>
      <c r="B794" s="140">
        <v>45046</v>
      </c>
      <c r="C794">
        <v>0</v>
      </c>
      <c r="D794">
        <v>4</v>
      </c>
      <c r="E794" t="str">
        <f>TEXT(ACTUAL_EXPENSES[[#This Row],[Date]],"mmm")</f>
        <v>Apr</v>
      </c>
    </row>
    <row r="795" spans="1:5" x14ac:dyDescent="0.2">
      <c r="A795" s="139" t="s">
        <v>50</v>
      </c>
      <c r="B795" s="140"/>
      <c r="C795">
        <v>0</v>
      </c>
      <c r="E795" t="str">
        <f>TEXT(ACTUAL_EXPENSES[[#This Row],[Date]],"mmm")</f>
        <v>Jan</v>
      </c>
    </row>
    <row r="796" spans="1:5" x14ac:dyDescent="0.2">
      <c r="A796" s="139" t="s">
        <v>73</v>
      </c>
      <c r="B796" s="140">
        <v>45018</v>
      </c>
      <c r="C796">
        <v>0</v>
      </c>
      <c r="D796">
        <v>4</v>
      </c>
      <c r="E796" t="str">
        <f>TEXT(ACTUAL_EXPENSES[[#This Row],[Date]],"mmm")</f>
        <v>Apr</v>
      </c>
    </row>
    <row r="797" spans="1:5" x14ac:dyDescent="0.2">
      <c r="A797" s="139" t="s">
        <v>73</v>
      </c>
      <c r="B797" s="140">
        <v>45019</v>
      </c>
      <c r="C797">
        <v>0</v>
      </c>
      <c r="D797">
        <v>4</v>
      </c>
      <c r="E797" t="str">
        <f>TEXT(ACTUAL_EXPENSES[[#This Row],[Date]],"mmm")</f>
        <v>Apr</v>
      </c>
    </row>
    <row r="798" spans="1:5" x14ac:dyDescent="0.2">
      <c r="A798" s="139" t="s">
        <v>73</v>
      </c>
      <c r="B798" s="140">
        <v>45020</v>
      </c>
      <c r="C798">
        <v>0</v>
      </c>
      <c r="D798">
        <v>4</v>
      </c>
      <c r="E798" t="str">
        <f>TEXT(ACTUAL_EXPENSES[[#This Row],[Date]],"mmm")</f>
        <v>Apr</v>
      </c>
    </row>
    <row r="799" spans="1:5" x14ac:dyDescent="0.2">
      <c r="A799" s="139" t="s">
        <v>73</v>
      </c>
      <c r="B799" s="140">
        <v>45021</v>
      </c>
      <c r="C799">
        <v>0</v>
      </c>
      <c r="D799">
        <v>4</v>
      </c>
      <c r="E799" t="str">
        <f>TEXT(ACTUAL_EXPENSES[[#This Row],[Date]],"mmm")</f>
        <v>Apr</v>
      </c>
    </row>
    <row r="800" spans="1:5" x14ac:dyDescent="0.2">
      <c r="A800" s="139" t="s">
        <v>73</v>
      </c>
      <c r="B800" s="140">
        <v>45022</v>
      </c>
      <c r="C800">
        <v>0</v>
      </c>
      <c r="D800">
        <v>4</v>
      </c>
      <c r="E800" t="str">
        <f>TEXT(ACTUAL_EXPENSES[[#This Row],[Date]],"mmm")</f>
        <v>Apr</v>
      </c>
    </row>
    <row r="801" spans="1:5" x14ac:dyDescent="0.2">
      <c r="A801" s="139" t="s">
        <v>73</v>
      </c>
      <c r="B801" s="140">
        <v>45023</v>
      </c>
      <c r="C801">
        <v>0</v>
      </c>
      <c r="D801">
        <v>4</v>
      </c>
      <c r="E801" t="str">
        <f>TEXT(ACTUAL_EXPENSES[[#This Row],[Date]],"mmm")</f>
        <v>Apr</v>
      </c>
    </row>
    <row r="802" spans="1:5" x14ac:dyDescent="0.2">
      <c r="A802" s="139" t="s">
        <v>73</v>
      </c>
      <c r="B802" s="140">
        <v>45024</v>
      </c>
      <c r="C802">
        <v>0</v>
      </c>
      <c r="D802">
        <v>4</v>
      </c>
      <c r="E802" t="str">
        <f>TEXT(ACTUAL_EXPENSES[[#This Row],[Date]],"mmm")</f>
        <v>Apr</v>
      </c>
    </row>
    <row r="803" spans="1:5" x14ac:dyDescent="0.2">
      <c r="A803" s="139" t="s">
        <v>73</v>
      </c>
      <c r="B803" s="140">
        <v>45025</v>
      </c>
      <c r="C803">
        <v>0</v>
      </c>
      <c r="D803">
        <v>4</v>
      </c>
      <c r="E803" t="str">
        <f>TEXT(ACTUAL_EXPENSES[[#This Row],[Date]],"mmm")</f>
        <v>Apr</v>
      </c>
    </row>
    <row r="804" spans="1:5" x14ac:dyDescent="0.2">
      <c r="A804" s="139" t="s">
        <v>73</v>
      </c>
      <c r="B804" s="140">
        <v>45026</v>
      </c>
      <c r="C804">
        <v>0</v>
      </c>
      <c r="D804">
        <v>4</v>
      </c>
      <c r="E804" t="str">
        <f>TEXT(ACTUAL_EXPENSES[[#This Row],[Date]],"mmm")</f>
        <v>Apr</v>
      </c>
    </row>
    <row r="805" spans="1:5" x14ac:dyDescent="0.2">
      <c r="A805" s="139" t="s">
        <v>73</v>
      </c>
      <c r="B805" s="140">
        <v>45027</v>
      </c>
      <c r="C805">
        <v>0</v>
      </c>
      <c r="D805">
        <v>4</v>
      </c>
      <c r="E805" t="str">
        <f>TEXT(ACTUAL_EXPENSES[[#This Row],[Date]],"mmm")</f>
        <v>Apr</v>
      </c>
    </row>
    <row r="806" spans="1:5" x14ac:dyDescent="0.2">
      <c r="A806" s="139" t="s">
        <v>73</v>
      </c>
      <c r="B806" s="140">
        <v>45028</v>
      </c>
      <c r="C806">
        <v>0</v>
      </c>
      <c r="D806">
        <v>4</v>
      </c>
      <c r="E806" t="str">
        <f>TEXT(ACTUAL_EXPENSES[[#This Row],[Date]],"mmm")</f>
        <v>Apr</v>
      </c>
    </row>
    <row r="807" spans="1:5" x14ac:dyDescent="0.2">
      <c r="A807" s="139" t="s">
        <v>73</v>
      </c>
      <c r="B807" s="140">
        <v>45029</v>
      </c>
      <c r="C807">
        <v>0</v>
      </c>
      <c r="D807">
        <v>4</v>
      </c>
      <c r="E807" t="str">
        <f>TEXT(ACTUAL_EXPENSES[[#This Row],[Date]],"mmm")</f>
        <v>Apr</v>
      </c>
    </row>
    <row r="808" spans="1:5" x14ac:dyDescent="0.2">
      <c r="A808" s="139" t="s">
        <v>73</v>
      </c>
      <c r="B808" s="140">
        <v>45030</v>
      </c>
      <c r="C808">
        <v>0</v>
      </c>
      <c r="D808">
        <v>4</v>
      </c>
      <c r="E808" t="str">
        <f>TEXT(ACTUAL_EXPENSES[[#This Row],[Date]],"mmm")</f>
        <v>Apr</v>
      </c>
    </row>
    <row r="809" spans="1:5" x14ac:dyDescent="0.2">
      <c r="A809" s="139" t="s">
        <v>73</v>
      </c>
      <c r="B809" s="140">
        <v>45031</v>
      </c>
      <c r="C809">
        <v>0</v>
      </c>
      <c r="D809">
        <v>4</v>
      </c>
      <c r="E809" t="str">
        <f>TEXT(ACTUAL_EXPENSES[[#This Row],[Date]],"mmm")</f>
        <v>Apr</v>
      </c>
    </row>
    <row r="810" spans="1:5" x14ac:dyDescent="0.2">
      <c r="A810" s="139" t="s">
        <v>73</v>
      </c>
      <c r="B810" s="140">
        <v>45032</v>
      </c>
      <c r="C810">
        <v>0</v>
      </c>
      <c r="D810">
        <v>4</v>
      </c>
      <c r="E810" t="str">
        <f>TEXT(ACTUAL_EXPENSES[[#This Row],[Date]],"mmm")</f>
        <v>Apr</v>
      </c>
    </row>
    <row r="811" spans="1:5" x14ac:dyDescent="0.2">
      <c r="A811" s="139" t="s">
        <v>73</v>
      </c>
      <c r="B811" s="140">
        <v>45033</v>
      </c>
      <c r="C811">
        <v>0</v>
      </c>
      <c r="D811">
        <v>4</v>
      </c>
      <c r="E811" t="str">
        <f>TEXT(ACTUAL_EXPENSES[[#This Row],[Date]],"mmm")</f>
        <v>Apr</v>
      </c>
    </row>
    <row r="812" spans="1:5" x14ac:dyDescent="0.2">
      <c r="A812" s="139" t="s">
        <v>73</v>
      </c>
      <c r="B812" s="140">
        <v>45034</v>
      </c>
      <c r="C812">
        <v>0</v>
      </c>
      <c r="D812">
        <v>4</v>
      </c>
      <c r="E812" t="str">
        <f>TEXT(ACTUAL_EXPENSES[[#This Row],[Date]],"mmm")</f>
        <v>Apr</v>
      </c>
    </row>
    <row r="813" spans="1:5" x14ac:dyDescent="0.2">
      <c r="A813" s="139" t="s">
        <v>73</v>
      </c>
      <c r="B813" s="140">
        <v>45035</v>
      </c>
      <c r="C813">
        <v>0</v>
      </c>
      <c r="D813">
        <v>4</v>
      </c>
      <c r="E813" t="str">
        <f>TEXT(ACTUAL_EXPENSES[[#This Row],[Date]],"mmm")</f>
        <v>Apr</v>
      </c>
    </row>
    <row r="814" spans="1:5" x14ac:dyDescent="0.2">
      <c r="A814" s="139" t="s">
        <v>73</v>
      </c>
      <c r="B814" s="140">
        <v>45036</v>
      </c>
      <c r="C814">
        <v>0</v>
      </c>
      <c r="D814">
        <v>4</v>
      </c>
      <c r="E814" t="str">
        <f>TEXT(ACTUAL_EXPENSES[[#This Row],[Date]],"mmm")</f>
        <v>Apr</v>
      </c>
    </row>
    <row r="815" spans="1:5" x14ac:dyDescent="0.2">
      <c r="A815" s="139" t="s">
        <v>73</v>
      </c>
      <c r="B815" s="140">
        <v>45037</v>
      </c>
      <c r="C815">
        <v>0</v>
      </c>
      <c r="D815">
        <v>4</v>
      </c>
      <c r="E815" t="str">
        <f>TEXT(ACTUAL_EXPENSES[[#This Row],[Date]],"mmm")</f>
        <v>Apr</v>
      </c>
    </row>
    <row r="816" spans="1:5" x14ac:dyDescent="0.2">
      <c r="A816" s="139" t="s">
        <v>73</v>
      </c>
      <c r="B816" s="140">
        <v>45038</v>
      </c>
      <c r="C816">
        <v>0</v>
      </c>
      <c r="D816">
        <v>4</v>
      </c>
      <c r="E816" t="str">
        <f>TEXT(ACTUAL_EXPENSES[[#This Row],[Date]],"mmm")</f>
        <v>Apr</v>
      </c>
    </row>
    <row r="817" spans="1:5" x14ac:dyDescent="0.2">
      <c r="A817" s="139" t="s">
        <v>73</v>
      </c>
      <c r="B817" s="140">
        <v>45039</v>
      </c>
      <c r="C817">
        <v>0</v>
      </c>
      <c r="D817">
        <v>4</v>
      </c>
      <c r="E817" t="str">
        <f>TEXT(ACTUAL_EXPENSES[[#This Row],[Date]],"mmm")</f>
        <v>Apr</v>
      </c>
    </row>
    <row r="818" spans="1:5" x14ac:dyDescent="0.2">
      <c r="A818" s="139" t="s">
        <v>73</v>
      </c>
      <c r="B818" s="140">
        <v>45040</v>
      </c>
      <c r="C818">
        <v>0</v>
      </c>
      <c r="D818">
        <v>4</v>
      </c>
      <c r="E818" t="str">
        <f>TEXT(ACTUAL_EXPENSES[[#This Row],[Date]],"mmm")</f>
        <v>Apr</v>
      </c>
    </row>
    <row r="819" spans="1:5" x14ac:dyDescent="0.2">
      <c r="A819" s="139" t="s">
        <v>73</v>
      </c>
      <c r="B819" s="140">
        <v>45041</v>
      </c>
      <c r="C819">
        <v>0</v>
      </c>
      <c r="D819">
        <v>4</v>
      </c>
      <c r="E819" t="str">
        <f>TEXT(ACTUAL_EXPENSES[[#This Row],[Date]],"mmm")</f>
        <v>Apr</v>
      </c>
    </row>
    <row r="820" spans="1:5" x14ac:dyDescent="0.2">
      <c r="A820" s="139" t="s">
        <v>73</v>
      </c>
      <c r="B820" s="140">
        <v>45042</v>
      </c>
      <c r="C820">
        <v>0</v>
      </c>
      <c r="D820">
        <v>4</v>
      </c>
      <c r="E820" t="str">
        <f>TEXT(ACTUAL_EXPENSES[[#This Row],[Date]],"mmm")</f>
        <v>Apr</v>
      </c>
    </row>
    <row r="821" spans="1:5" x14ac:dyDescent="0.2">
      <c r="A821" s="139" t="s">
        <v>73</v>
      </c>
      <c r="B821" s="140">
        <v>45043</v>
      </c>
      <c r="C821">
        <v>0</v>
      </c>
      <c r="D821">
        <v>4</v>
      </c>
      <c r="E821" t="str">
        <f>TEXT(ACTUAL_EXPENSES[[#This Row],[Date]],"mmm")</f>
        <v>Apr</v>
      </c>
    </row>
    <row r="822" spans="1:5" x14ac:dyDescent="0.2">
      <c r="A822" s="139" t="s">
        <v>73</v>
      </c>
      <c r="B822" s="140">
        <v>45044</v>
      </c>
      <c r="C822">
        <v>0</v>
      </c>
      <c r="D822">
        <v>4</v>
      </c>
      <c r="E822" t="str">
        <f>TEXT(ACTUAL_EXPENSES[[#This Row],[Date]],"mmm")</f>
        <v>Apr</v>
      </c>
    </row>
    <row r="823" spans="1:5" x14ac:dyDescent="0.2">
      <c r="A823" s="139" t="s">
        <v>73</v>
      </c>
      <c r="B823" s="140">
        <v>45045</v>
      </c>
      <c r="C823">
        <v>0</v>
      </c>
      <c r="D823">
        <v>4</v>
      </c>
      <c r="E823" t="str">
        <f>TEXT(ACTUAL_EXPENSES[[#This Row],[Date]],"mmm")</f>
        <v>Apr</v>
      </c>
    </row>
    <row r="824" spans="1:5" x14ac:dyDescent="0.2">
      <c r="A824" s="139" t="s">
        <v>73</v>
      </c>
      <c r="B824" s="140">
        <v>45046</v>
      </c>
      <c r="C824">
        <v>0</v>
      </c>
      <c r="D824">
        <v>4</v>
      </c>
      <c r="E824" t="str">
        <f>TEXT(ACTUAL_EXPENSES[[#This Row],[Date]],"mmm")</f>
        <v>Apr</v>
      </c>
    </row>
    <row r="825" spans="1:5" x14ac:dyDescent="0.2">
      <c r="A825" s="139" t="s">
        <v>73</v>
      </c>
      <c r="B825" s="140"/>
      <c r="C825">
        <v>0</v>
      </c>
      <c r="E825" t="str">
        <f>TEXT(ACTUAL_EXPENSES[[#This Row],[Date]],"mmm")</f>
        <v>Jan</v>
      </c>
    </row>
    <row r="826" spans="1:5" x14ac:dyDescent="0.2">
      <c r="A826" s="139" t="s">
        <v>51</v>
      </c>
      <c r="B826" s="140">
        <v>45018</v>
      </c>
      <c r="C826">
        <v>0</v>
      </c>
      <c r="D826">
        <v>4</v>
      </c>
      <c r="E826" t="str">
        <f>TEXT(ACTUAL_EXPENSES[[#This Row],[Date]],"mmm")</f>
        <v>Apr</v>
      </c>
    </row>
    <row r="827" spans="1:5" x14ac:dyDescent="0.2">
      <c r="A827" s="139" t="s">
        <v>51</v>
      </c>
      <c r="B827" s="140">
        <v>45019</v>
      </c>
      <c r="C827">
        <v>0</v>
      </c>
      <c r="D827">
        <v>4</v>
      </c>
      <c r="E827" t="str">
        <f>TEXT(ACTUAL_EXPENSES[[#This Row],[Date]],"mmm")</f>
        <v>Apr</v>
      </c>
    </row>
    <row r="828" spans="1:5" x14ac:dyDescent="0.2">
      <c r="A828" s="139" t="s">
        <v>51</v>
      </c>
      <c r="B828" s="140">
        <v>45020</v>
      </c>
      <c r="C828">
        <v>0</v>
      </c>
      <c r="D828">
        <v>4</v>
      </c>
      <c r="E828" t="str">
        <f>TEXT(ACTUAL_EXPENSES[[#This Row],[Date]],"mmm")</f>
        <v>Apr</v>
      </c>
    </row>
    <row r="829" spans="1:5" x14ac:dyDescent="0.2">
      <c r="A829" s="139" t="s">
        <v>51</v>
      </c>
      <c r="B829" s="140">
        <v>45021</v>
      </c>
      <c r="C829">
        <v>0</v>
      </c>
      <c r="D829">
        <v>4</v>
      </c>
      <c r="E829" t="str">
        <f>TEXT(ACTUAL_EXPENSES[[#This Row],[Date]],"mmm")</f>
        <v>Apr</v>
      </c>
    </row>
    <row r="830" spans="1:5" x14ac:dyDescent="0.2">
      <c r="A830" s="139" t="s">
        <v>51</v>
      </c>
      <c r="B830" s="140">
        <v>45022</v>
      </c>
      <c r="C830">
        <v>0</v>
      </c>
      <c r="D830">
        <v>4</v>
      </c>
      <c r="E830" t="str">
        <f>TEXT(ACTUAL_EXPENSES[[#This Row],[Date]],"mmm")</f>
        <v>Apr</v>
      </c>
    </row>
    <row r="831" spans="1:5" x14ac:dyDescent="0.2">
      <c r="A831" s="139" t="s">
        <v>51</v>
      </c>
      <c r="B831" s="140">
        <v>45023</v>
      </c>
      <c r="C831">
        <v>0</v>
      </c>
      <c r="D831">
        <v>4</v>
      </c>
      <c r="E831" t="str">
        <f>TEXT(ACTUAL_EXPENSES[[#This Row],[Date]],"mmm")</f>
        <v>Apr</v>
      </c>
    </row>
    <row r="832" spans="1:5" x14ac:dyDescent="0.2">
      <c r="A832" s="139" t="s">
        <v>51</v>
      </c>
      <c r="B832" s="140">
        <v>45024</v>
      </c>
      <c r="C832">
        <v>0</v>
      </c>
      <c r="D832">
        <v>4</v>
      </c>
      <c r="E832" t="str">
        <f>TEXT(ACTUAL_EXPENSES[[#This Row],[Date]],"mmm")</f>
        <v>Apr</v>
      </c>
    </row>
    <row r="833" spans="1:5" x14ac:dyDescent="0.2">
      <c r="A833" s="139" t="s">
        <v>51</v>
      </c>
      <c r="B833" s="140">
        <v>45025</v>
      </c>
      <c r="C833">
        <v>0</v>
      </c>
      <c r="D833">
        <v>4</v>
      </c>
      <c r="E833" t="str">
        <f>TEXT(ACTUAL_EXPENSES[[#This Row],[Date]],"mmm")</f>
        <v>Apr</v>
      </c>
    </row>
    <row r="834" spans="1:5" x14ac:dyDescent="0.2">
      <c r="A834" s="139" t="s">
        <v>51</v>
      </c>
      <c r="B834" s="140">
        <v>45026</v>
      </c>
      <c r="C834">
        <v>0</v>
      </c>
      <c r="D834">
        <v>4</v>
      </c>
      <c r="E834" t="str">
        <f>TEXT(ACTUAL_EXPENSES[[#This Row],[Date]],"mmm")</f>
        <v>Apr</v>
      </c>
    </row>
    <row r="835" spans="1:5" x14ac:dyDescent="0.2">
      <c r="A835" s="139" t="s">
        <v>51</v>
      </c>
      <c r="B835" s="140">
        <v>45027</v>
      </c>
      <c r="C835">
        <v>0</v>
      </c>
      <c r="D835">
        <v>4</v>
      </c>
      <c r="E835" t="str">
        <f>TEXT(ACTUAL_EXPENSES[[#This Row],[Date]],"mmm")</f>
        <v>Apr</v>
      </c>
    </row>
    <row r="836" spans="1:5" x14ac:dyDescent="0.2">
      <c r="A836" s="139" t="s">
        <v>51</v>
      </c>
      <c r="B836" s="140">
        <v>45028</v>
      </c>
      <c r="C836">
        <v>0</v>
      </c>
      <c r="D836">
        <v>4</v>
      </c>
      <c r="E836" t="str">
        <f>TEXT(ACTUAL_EXPENSES[[#This Row],[Date]],"mmm")</f>
        <v>Apr</v>
      </c>
    </row>
    <row r="837" spans="1:5" x14ac:dyDescent="0.2">
      <c r="A837" s="139" t="s">
        <v>51</v>
      </c>
      <c r="B837" s="140">
        <v>45029</v>
      </c>
      <c r="C837">
        <v>0</v>
      </c>
      <c r="D837">
        <v>4</v>
      </c>
      <c r="E837" t="str">
        <f>TEXT(ACTUAL_EXPENSES[[#This Row],[Date]],"mmm")</f>
        <v>Apr</v>
      </c>
    </row>
    <row r="838" spans="1:5" x14ac:dyDescent="0.2">
      <c r="A838" s="139" t="s">
        <v>51</v>
      </c>
      <c r="B838" s="140">
        <v>45030</v>
      </c>
      <c r="C838">
        <v>0</v>
      </c>
      <c r="D838">
        <v>4</v>
      </c>
      <c r="E838" t="str">
        <f>TEXT(ACTUAL_EXPENSES[[#This Row],[Date]],"mmm")</f>
        <v>Apr</v>
      </c>
    </row>
    <row r="839" spans="1:5" x14ac:dyDescent="0.2">
      <c r="A839" s="139" t="s">
        <v>51</v>
      </c>
      <c r="B839" s="140">
        <v>45031</v>
      </c>
      <c r="C839">
        <v>0</v>
      </c>
      <c r="D839">
        <v>4</v>
      </c>
      <c r="E839" t="str">
        <f>TEXT(ACTUAL_EXPENSES[[#This Row],[Date]],"mmm")</f>
        <v>Apr</v>
      </c>
    </row>
    <row r="840" spans="1:5" x14ac:dyDescent="0.2">
      <c r="A840" s="139" t="s">
        <v>51</v>
      </c>
      <c r="B840" s="140">
        <v>45032</v>
      </c>
      <c r="C840">
        <v>0</v>
      </c>
      <c r="D840">
        <v>4</v>
      </c>
      <c r="E840" t="str">
        <f>TEXT(ACTUAL_EXPENSES[[#This Row],[Date]],"mmm")</f>
        <v>Apr</v>
      </c>
    </row>
    <row r="841" spans="1:5" x14ac:dyDescent="0.2">
      <c r="A841" s="139" t="s">
        <v>51</v>
      </c>
      <c r="B841" s="140">
        <v>45033</v>
      </c>
      <c r="C841">
        <v>0</v>
      </c>
      <c r="D841">
        <v>4</v>
      </c>
      <c r="E841" t="str">
        <f>TEXT(ACTUAL_EXPENSES[[#This Row],[Date]],"mmm")</f>
        <v>Apr</v>
      </c>
    </row>
    <row r="842" spans="1:5" x14ac:dyDescent="0.2">
      <c r="A842" s="139" t="s">
        <v>51</v>
      </c>
      <c r="B842" s="140">
        <v>45034</v>
      </c>
      <c r="C842">
        <v>0</v>
      </c>
      <c r="D842">
        <v>4</v>
      </c>
      <c r="E842" t="str">
        <f>TEXT(ACTUAL_EXPENSES[[#This Row],[Date]],"mmm")</f>
        <v>Apr</v>
      </c>
    </row>
    <row r="843" spans="1:5" x14ac:dyDescent="0.2">
      <c r="A843" s="139" t="s">
        <v>51</v>
      </c>
      <c r="B843" s="140">
        <v>45035</v>
      </c>
      <c r="C843">
        <v>0</v>
      </c>
      <c r="D843">
        <v>4</v>
      </c>
      <c r="E843" t="str">
        <f>TEXT(ACTUAL_EXPENSES[[#This Row],[Date]],"mmm")</f>
        <v>Apr</v>
      </c>
    </row>
    <row r="844" spans="1:5" x14ac:dyDescent="0.2">
      <c r="A844" s="139" t="s">
        <v>51</v>
      </c>
      <c r="B844" s="140">
        <v>45036</v>
      </c>
      <c r="C844">
        <v>5</v>
      </c>
      <c r="D844">
        <v>4</v>
      </c>
      <c r="E844" t="str">
        <f>TEXT(ACTUAL_EXPENSES[[#This Row],[Date]],"mmm")</f>
        <v>Apr</v>
      </c>
    </row>
    <row r="845" spans="1:5" x14ac:dyDescent="0.2">
      <c r="A845" s="139" t="s">
        <v>51</v>
      </c>
      <c r="B845" s="140">
        <v>45037</v>
      </c>
      <c r="C845">
        <v>0</v>
      </c>
      <c r="D845">
        <v>4</v>
      </c>
      <c r="E845" t="str">
        <f>TEXT(ACTUAL_EXPENSES[[#This Row],[Date]],"mmm")</f>
        <v>Apr</v>
      </c>
    </row>
    <row r="846" spans="1:5" x14ac:dyDescent="0.2">
      <c r="A846" s="139" t="s">
        <v>51</v>
      </c>
      <c r="B846" s="140">
        <v>45038</v>
      </c>
      <c r="C846">
        <v>0</v>
      </c>
      <c r="D846">
        <v>4</v>
      </c>
      <c r="E846" t="str">
        <f>TEXT(ACTUAL_EXPENSES[[#This Row],[Date]],"mmm")</f>
        <v>Apr</v>
      </c>
    </row>
    <row r="847" spans="1:5" x14ac:dyDescent="0.2">
      <c r="A847" s="139" t="s">
        <v>51</v>
      </c>
      <c r="B847" s="140">
        <v>45039</v>
      </c>
      <c r="C847">
        <v>3</v>
      </c>
      <c r="D847">
        <v>4</v>
      </c>
      <c r="E847" t="str">
        <f>TEXT(ACTUAL_EXPENSES[[#This Row],[Date]],"mmm")</f>
        <v>Apr</v>
      </c>
    </row>
    <row r="848" spans="1:5" x14ac:dyDescent="0.2">
      <c r="A848" s="139" t="s">
        <v>51</v>
      </c>
      <c r="B848" s="140">
        <v>45040</v>
      </c>
      <c r="C848">
        <v>0</v>
      </c>
      <c r="D848">
        <v>4</v>
      </c>
      <c r="E848" t="str">
        <f>TEXT(ACTUAL_EXPENSES[[#This Row],[Date]],"mmm")</f>
        <v>Apr</v>
      </c>
    </row>
    <row r="849" spans="1:5" x14ac:dyDescent="0.2">
      <c r="A849" s="139" t="s">
        <v>51</v>
      </c>
      <c r="B849" s="140">
        <v>45041</v>
      </c>
      <c r="C849">
        <v>0</v>
      </c>
      <c r="D849">
        <v>4</v>
      </c>
      <c r="E849" t="str">
        <f>TEXT(ACTUAL_EXPENSES[[#This Row],[Date]],"mmm")</f>
        <v>Apr</v>
      </c>
    </row>
    <row r="850" spans="1:5" x14ac:dyDescent="0.2">
      <c r="A850" s="139" t="s">
        <v>51</v>
      </c>
      <c r="B850" s="140">
        <v>45042</v>
      </c>
      <c r="C850">
        <v>0</v>
      </c>
      <c r="D850">
        <v>4</v>
      </c>
      <c r="E850" t="str">
        <f>TEXT(ACTUAL_EXPENSES[[#This Row],[Date]],"mmm")</f>
        <v>Apr</v>
      </c>
    </row>
    <row r="851" spans="1:5" x14ac:dyDescent="0.2">
      <c r="A851" s="139" t="s">
        <v>51</v>
      </c>
      <c r="B851" s="140">
        <v>45043</v>
      </c>
      <c r="C851">
        <v>0</v>
      </c>
      <c r="D851">
        <v>4</v>
      </c>
      <c r="E851" t="str">
        <f>TEXT(ACTUAL_EXPENSES[[#This Row],[Date]],"mmm")</f>
        <v>Apr</v>
      </c>
    </row>
    <row r="852" spans="1:5" x14ac:dyDescent="0.2">
      <c r="A852" s="139" t="s">
        <v>51</v>
      </c>
      <c r="B852" s="140">
        <v>45044</v>
      </c>
      <c r="C852">
        <v>6</v>
      </c>
      <c r="D852">
        <v>4</v>
      </c>
      <c r="E852" t="str">
        <f>TEXT(ACTUAL_EXPENSES[[#This Row],[Date]],"mmm")</f>
        <v>Apr</v>
      </c>
    </row>
    <row r="853" spans="1:5" x14ac:dyDescent="0.2">
      <c r="A853" s="139" t="s">
        <v>51</v>
      </c>
      <c r="B853" s="140">
        <v>45045</v>
      </c>
      <c r="C853">
        <v>0</v>
      </c>
      <c r="D853">
        <v>4</v>
      </c>
      <c r="E853" t="str">
        <f>TEXT(ACTUAL_EXPENSES[[#This Row],[Date]],"mmm")</f>
        <v>Apr</v>
      </c>
    </row>
    <row r="854" spans="1:5" x14ac:dyDescent="0.2">
      <c r="A854" s="139" t="s">
        <v>51</v>
      </c>
      <c r="B854" s="140">
        <v>45046</v>
      </c>
      <c r="C854">
        <v>0</v>
      </c>
      <c r="D854">
        <v>4</v>
      </c>
      <c r="E854" t="str">
        <f>TEXT(ACTUAL_EXPENSES[[#This Row],[Date]],"mmm")</f>
        <v>Apr</v>
      </c>
    </row>
    <row r="855" spans="1:5" x14ac:dyDescent="0.2">
      <c r="A855" s="139" t="s">
        <v>51</v>
      </c>
      <c r="B855" s="140"/>
      <c r="C855">
        <v>0</v>
      </c>
      <c r="E855" t="str">
        <f>TEXT(ACTUAL_EXPENSES[[#This Row],[Date]],"mmm")</f>
        <v>Jan</v>
      </c>
    </row>
    <row r="856" spans="1:5" x14ac:dyDescent="0.2">
      <c r="A856" s="139" t="s">
        <v>191</v>
      </c>
      <c r="B856" s="140">
        <v>45047</v>
      </c>
      <c r="C856">
        <v>1</v>
      </c>
      <c r="D856">
        <v>5</v>
      </c>
      <c r="E856" t="str">
        <f>TEXT(ACTUAL_EXPENSES[[#This Row],[Date]],"mmm")</f>
        <v>May</v>
      </c>
    </row>
    <row r="857" spans="1:5" x14ac:dyDescent="0.2">
      <c r="A857" s="139" t="s">
        <v>191</v>
      </c>
      <c r="B857" s="140">
        <v>45048</v>
      </c>
      <c r="C857">
        <v>2</v>
      </c>
      <c r="D857">
        <v>5</v>
      </c>
      <c r="E857" t="str">
        <f>TEXT(ACTUAL_EXPENSES[[#This Row],[Date]],"mmm")</f>
        <v>May</v>
      </c>
    </row>
    <row r="858" spans="1:5" x14ac:dyDescent="0.2">
      <c r="A858" s="139" t="s">
        <v>191</v>
      </c>
      <c r="B858" s="140">
        <v>45049</v>
      </c>
      <c r="C858">
        <v>3</v>
      </c>
      <c r="D858">
        <v>5</v>
      </c>
      <c r="E858" t="str">
        <f>TEXT(ACTUAL_EXPENSES[[#This Row],[Date]],"mmm")</f>
        <v>May</v>
      </c>
    </row>
    <row r="859" spans="1:5" x14ac:dyDescent="0.2">
      <c r="A859" s="139" t="s">
        <v>191</v>
      </c>
      <c r="B859" s="140">
        <v>45050</v>
      </c>
      <c r="C859">
        <v>4</v>
      </c>
      <c r="D859">
        <v>5</v>
      </c>
      <c r="E859" t="str">
        <f>TEXT(ACTUAL_EXPENSES[[#This Row],[Date]],"mmm")</f>
        <v>May</v>
      </c>
    </row>
    <row r="860" spans="1:5" x14ac:dyDescent="0.2">
      <c r="A860" s="139" t="s">
        <v>191</v>
      </c>
      <c r="B860" s="140">
        <v>45051</v>
      </c>
      <c r="C860">
        <v>5</v>
      </c>
      <c r="D860">
        <v>5</v>
      </c>
      <c r="E860" t="str">
        <f>TEXT(ACTUAL_EXPENSES[[#This Row],[Date]],"mmm")</f>
        <v>May</v>
      </c>
    </row>
    <row r="861" spans="1:5" x14ac:dyDescent="0.2">
      <c r="A861" s="139" t="s">
        <v>191</v>
      </c>
      <c r="B861" s="140">
        <v>45052</v>
      </c>
      <c r="C861">
        <v>6</v>
      </c>
      <c r="D861">
        <v>5</v>
      </c>
      <c r="E861" t="str">
        <f>TEXT(ACTUAL_EXPENSES[[#This Row],[Date]],"mmm")</f>
        <v>May</v>
      </c>
    </row>
    <row r="862" spans="1:5" x14ac:dyDescent="0.2">
      <c r="A862" s="139" t="s">
        <v>191</v>
      </c>
      <c r="B862" s="140">
        <v>45053</v>
      </c>
      <c r="C862">
        <v>7</v>
      </c>
      <c r="D862">
        <v>5</v>
      </c>
      <c r="E862" t="str">
        <f>TEXT(ACTUAL_EXPENSES[[#This Row],[Date]],"mmm")</f>
        <v>May</v>
      </c>
    </row>
    <row r="863" spans="1:5" x14ac:dyDescent="0.2">
      <c r="A863" s="139" t="s">
        <v>191</v>
      </c>
      <c r="B863" s="140">
        <v>45054</v>
      </c>
      <c r="C863">
        <v>8</v>
      </c>
      <c r="D863">
        <v>5</v>
      </c>
      <c r="E863" t="str">
        <f>TEXT(ACTUAL_EXPENSES[[#This Row],[Date]],"mmm")</f>
        <v>May</v>
      </c>
    </row>
    <row r="864" spans="1:5" x14ac:dyDescent="0.2">
      <c r="A864" s="139" t="s">
        <v>191</v>
      </c>
      <c r="B864" s="140">
        <v>45055</v>
      </c>
      <c r="C864">
        <v>9</v>
      </c>
      <c r="D864">
        <v>5</v>
      </c>
      <c r="E864" t="str">
        <f>TEXT(ACTUAL_EXPENSES[[#This Row],[Date]],"mmm")</f>
        <v>May</v>
      </c>
    </row>
    <row r="865" spans="1:5" x14ac:dyDescent="0.2">
      <c r="A865" s="139" t="s">
        <v>191</v>
      </c>
      <c r="B865" s="140">
        <v>45056</v>
      </c>
      <c r="C865">
        <v>10</v>
      </c>
      <c r="D865">
        <v>5</v>
      </c>
      <c r="E865" t="str">
        <f>TEXT(ACTUAL_EXPENSES[[#This Row],[Date]],"mmm")</f>
        <v>May</v>
      </c>
    </row>
    <row r="866" spans="1:5" x14ac:dyDescent="0.2">
      <c r="A866" s="139" t="s">
        <v>191</v>
      </c>
      <c r="B866" s="140">
        <v>45057</v>
      </c>
      <c r="C866">
        <v>11</v>
      </c>
      <c r="D866">
        <v>5</v>
      </c>
      <c r="E866" t="str">
        <f>TEXT(ACTUAL_EXPENSES[[#This Row],[Date]],"mmm")</f>
        <v>May</v>
      </c>
    </row>
    <row r="867" spans="1:5" x14ac:dyDescent="0.2">
      <c r="A867" s="139" t="s">
        <v>191</v>
      </c>
      <c r="B867" s="140">
        <v>45058</v>
      </c>
      <c r="C867">
        <v>12</v>
      </c>
      <c r="D867">
        <v>5</v>
      </c>
      <c r="E867" t="str">
        <f>TEXT(ACTUAL_EXPENSES[[#This Row],[Date]],"mmm")</f>
        <v>May</v>
      </c>
    </row>
    <row r="868" spans="1:5" x14ac:dyDescent="0.2">
      <c r="A868" s="139" t="s">
        <v>191</v>
      </c>
      <c r="B868" s="140">
        <v>45059</v>
      </c>
      <c r="C868">
        <v>13</v>
      </c>
      <c r="D868">
        <v>5</v>
      </c>
      <c r="E868" t="str">
        <f>TEXT(ACTUAL_EXPENSES[[#This Row],[Date]],"mmm")</f>
        <v>May</v>
      </c>
    </row>
    <row r="869" spans="1:5" x14ac:dyDescent="0.2">
      <c r="A869" s="139" t="s">
        <v>191</v>
      </c>
      <c r="B869" s="140">
        <v>45060</v>
      </c>
      <c r="C869">
        <v>14</v>
      </c>
      <c r="D869">
        <v>5</v>
      </c>
      <c r="E869" t="str">
        <f>TEXT(ACTUAL_EXPENSES[[#This Row],[Date]],"mmm")</f>
        <v>May</v>
      </c>
    </row>
    <row r="870" spans="1:5" x14ac:dyDescent="0.2">
      <c r="A870" s="139" t="s">
        <v>191</v>
      </c>
      <c r="B870" s="140">
        <v>45061</v>
      </c>
      <c r="C870">
        <v>15</v>
      </c>
      <c r="D870">
        <v>5</v>
      </c>
      <c r="E870" t="str">
        <f>TEXT(ACTUAL_EXPENSES[[#This Row],[Date]],"mmm")</f>
        <v>May</v>
      </c>
    </row>
    <row r="871" spans="1:5" x14ac:dyDescent="0.2">
      <c r="A871" s="139" t="s">
        <v>191</v>
      </c>
      <c r="B871" s="140">
        <v>45062</v>
      </c>
      <c r="C871">
        <v>16</v>
      </c>
      <c r="D871">
        <v>5</v>
      </c>
      <c r="E871" t="str">
        <f>TEXT(ACTUAL_EXPENSES[[#This Row],[Date]],"mmm")</f>
        <v>May</v>
      </c>
    </row>
    <row r="872" spans="1:5" x14ac:dyDescent="0.2">
      <c r="A872" s="139" t="s">
        <v>191</v>
      </c>
      <c r="B872" s="140">
        <v>45063</v>
      </c>
      <c r="C872">
        <v>17</v>
      </c>
      <c r="D872">
        <v>5</v>
      </c>
      <c r="E872" t="str">
        <f>TEXT(ACTUAL_EXPENSES[[#This Row],[Date]],"mmm")</f>
        <v>May</v>
      </c>
    </row>
    <row r="873" spans="1:5" x14ac:dyDescent="0.2">
      <c r="A873" s="139" t="s">
        <v>191</v>
      </c>
      <c r="B873" s="140">
        <v>45064</v>
      </c>
      <c r="C873">
        <v>18</v>
      </c>
      <c r="D873">
        <v>5</v>
      </c>
      <c r="E873" t="str">
        <f>TEXT(ACTUAL_EXPENSES[[#This Row],[Date]],"mmm")</f>
        <v>May</v>
      </c>
    </row>
    <row r="874" spans="1:5" x14ac:dyDescent="0.2">
      <c r="A874" s="139" t="s">
        <v>191</v>
      </c>
      <c r="B874" s="140">
        <v>45065</v>
      </c>
      <c r="C874">
        <v>19</v>
      </c>
      <c r="D874">
        <v>5</v>
      </c>
      <c r="E874" t="str">
        <f>TEXT(ACTUAL_EXPENSES[[#This Row],[Date]],"mmm")</f>
        <v>May</v>
      </c>
    </row>
    <row r="875" spans="1:5" x14ac:dyDescent="0.2">
      <c r="A875" s="139" t="s">
        <v>191</v>
      </c>
      <c r="B875" s="140">
        <v>45066</v>
      </c>
      <c r="C875">
        <v>20</v>
      </c>
      <c r="D875">
        <v>5</v>
      </c>
      <c r="E875" t="str">
        <f>TEXT(ACTUAL_EXPENSES[[#This Row],[Date]],"mmm")</f>
        <v>May</v>
      </c>
    </row>
    <row r="876" spans="1:5" x14ac:dyDescent="0.2">
      <c r="A876" s="139" t="s">
        <v>191</v>
      </c>
      <c r="B876" s="140">
        <v>45067</v>
      </c>
      <c r="C876">
        <v>21</v>
      </c>
      <c r="D876">
        <v>5</v>
      </c>
      <c r="E876" t="str">
        <f>TEXT(ACTUAL_EXPENSES[[#This Row],[Date]],"mmm")</f>
        <v>May</v>
      </c>
    </row>
    <row r="877" spans="1:5" x14ac:dyDescent="0.2">
      <c r="A877" s="139" t="s">
        <v>191</v>
      </c>
      <c r="B877" s="140">
        <v>45068</v>
      </c>
      <c r="C877">
        <v>22</v>
      </c>
      <c r="D877">
        <v>5</v>
      </c>
      <c r="E877" t="str">
        <f>TEXT(ACTUAL_EXPENSES[[#This Row],[Date]],"mmm")</f>
        <v>May</v>
      </c>
    </row>
    <row r="878" spans="1:5" x14ac:dyDescent="0.2">
      <c r="A878" s="139" t="s">
        <v>191</v>
      </c>
      <c r="B878" s="140">
        <v>45069</v>
      </c>
      <c r="C878">
        <v>23</v>
      </c>
      <c r="D878">
        <v>5</v>
      </c>
      <c r="E878" t="str">
        <f>TEXT(ACTUAL_EXPENSES[[#This Row],[Date]],"mmm")</f>
        <v>May</v>
      </c>
    </row>
    <row r="879" spans="1:5" x14ac:dyDescent="0.2">
      <c r="A879" s="139" t="s">
        <v>191</v>
      </c>
      <c r="B879" s="140">
        <v>45070</v>
      </c>
      <c r="C879">
        <v>24</v>
      </c>
      <c r="D879">
        <v>5</v>
      </c>
      <c r="E879" t="str">
        <f>TEXT(ACTUAL_EXPENSES[[#This Row],[Date]],"mmm")</f>
        <v>May</v>
      </c>
    </row>
    <row r="880" spans="1:5" x14ac:dyDescent="0.2">
      <c r="A880" s="139" t="s">
        <v>191</v>
      </c>
      <c r="B880" s="140">
        <v>45071</v>
      </c>
      <c r="C880">
        <v>25</v>
      </c>
      <c r="D880">
        <v>5</v>
      </c>
      <c r="E880" t="str">
        <f>TEXT(ACTUAL_EXPENSES[[#This Row],[Date]],"mmm")</f>
        <v>May</v>
      </c>
    </row>
    <row r="881" spans="1:5" x14ac:dyDescent="0.2">
      <c r="A881" s="139" t="s">
        <v>191</v>
      </c>
      <c r="B881" s="140">
        <v>45072</v>
      </c>
      <c r="C881">
        <v>26</v>
      </c>
      <c r="D881">
        <v>5</v>
      </c>
      <c r="E881" t="str">
        <f>TEXT(ACTUAL_EXPENSES[[#This Row],[Date]],"mmm")</f>
        <v>May</v>
      </c>
    </row>
    <row r="882" spans="1:5" x14ac:dyDescent="0.2">
      <c r="A882" s="139" t="s">
        <v>191</v>
      </c>
      <c r="B882" s="140">
        <v>45073</v>
      </c>
      <c r="C882">
        <v>27</v>
      </c>
      <c r="D882">
        <v>5</v>
      </c>
      <c r="E882" t="str">
        <f>TEXT(ACTUAL_EXPENSES[[#This Row],[Date]],"mmm")</f>
        <v>May</v>
      </c>
    </row>
    <row r="883" spans="1:5" x14ac:dyDescent="0.2">
      <c r="A883" s="139" t="s">
        <v>191</v>
      </c>
      <c r="B883" s="140">
        <v>45074</v>
      </c>
      <c r="C883">
        <v>28</v>
      </c>
      <c r="D883">
        <v>5</v>
      </c>
      <c r="E883" t="str">
        <f>TEXT(ACTUAL_EXPENSES[[#This Row],[Date]],"mmm")</f>
        <v>May</v>
      </c>
    </row>
    <row r="884" spans="1:5" x14ac:dyDescent="0.2">
      <c r="A884" s="139" t="s">
        <v>191</v>
      </c>
      <c r="B884" s="140">
        <v>45075</v>
      </c>
      <c r="C884">
        <v>29</v>
      </c>
      <c r="D884">
        <v>5</v>
      </c>
      <c r="E884" t="str">
        <f>TEXT(ACTUAL_EXPENSES[[#This Row],[Date]],"mmm")</f>
        <v>May</v>
      </c>
    </row>
    <row r="885" spans="1:5" x14ac:dyDescent="0.2">
      <c r="A885" s="139" t="s">
        <v>191</v>
      </c>
      <c r="B885" s="140">
        <v>45076</v>
      </c>
      <c r="C885">
        <v>30</v>
      </c>
      <c r="D885">
        <v>5</v>
      </c>
      <c r="E885" t="str">
        <f>TEXT(ACTUAL_EXPENSES[[#This Row],[Date]],"mmm")</f>
        <v>May</v>
      </c>
    </row>
    <row r="886" spans="1:5" x14ac:dyDescent="0.2">
      <c r="A886" s="139" t="s">
        <v>191</v>
      </c>
      <c r="B886" s="140">
        <v>45077</v>
      </c>
      <c r="C886">
        <v>31</v>
      </c>
      <c r="D886">
        <v>5</v>
      </c>
      <c r="E886" t="str">
        <f>TEXT(ACTUAL_EXPENSES[[#This Row],[Date]],"mmm")</f>
        <v>May</v>
      </c>
    </row>
    <row r="887" spans="1:5" x14ac:dyDescent="0.2">
      <c r="A887" s="139" t="s">
        <v>46</v>
      </c>
      <c r="B887" s="140">
        <v>45047</v>
      </c>
      <c r="C887">
        <v>0</v>
      </c>
      <c r="D887">
        <v>5</v>
      </c>
      <c r="E887" t="str">
        <f>TEXT(ACTUAL_EXPENSES[[#This Row],[Date]],"mmm")</f>
        <v>May</v>
      </c>
    </row>
    <row r="888" spans="1:5" x14ac:dyDescent="0.2">
      <c r="A888" s="139" t="s">
        <v>46</v>
      </c>
      <c r="B888" s="140">
        <v>45048</v>
      </c>
      <c r="C888">
        <v>0</v>
      </c>
      <c r="D888">
        <v>5</v>
      </c>
      <c r="E888" t="str">
        <f>TEXT(ACTUAL_EXPENSES[[#This Row],[Date]],"mmm")</f>
        <v>May</v>
      </c>
    </row>
    <row r="889" spans="1:5" x14ac:dyDescent="0.2">
      <c r="A889" s="139" t="s">
        <v>52</v>
      </c>
      <c r="B889" s="140">
        <v>45047</v>
      </c>
      <c r="C889">
        <v>0</v>
      </c>
      <c r="D889">
        <v>5</v>
      </c>
      <c r="E889" t="str">
        <f>TEXT(ACTUAL_EXPENSES[[#This Row],[Date]],"mmm")</f>
        <v>May</v>
      </c>
    </row>
    <row r="890" spans="1:5" x14ac:dyDescent="0.2">
      <c r="A890" s="139" t="s">
        <v>52</v>
      </c>
      <c r="B890" s="140">
        <v>45048</v>
      </c>
      <c r="C890">
        <v>0</v>
      </c>
      <c r="D890">
        <v>5</v>
      </c>
      <c r="E890" t="str">
        <f>TEXT(ACTUAL_EXPENSES[[#This Row],[Date]],"mmm")</f>
        <v>May</v>
      </c>
    </row>
    <row r="891" spans="1:5" x14ac:dyDescent="0.2">
      <c r="A891" s="139" t="s">
        <v>52</v>
      </c>
      <c r="B891" s="140">
        <v>45052</v>
      </c>
      <c r="C891">
        <v>300</v>
      </c>
      <c r="D891">
        <v>5</v>
      </c>
      <c r="E891" t="str">
        <f>TEXT(ACTUAL_EXPENSES[[#This Row],[Date]],"mmm")</f>
        <v>May</v>
      </c>
    </row>
    <row r="892" spans="1:5" x14ac:dyDescent="0.2">
      <c r="A892" s="139" t="s">
        <v>161</v>
      </c>
      <c r="B892" s="140">
        <v>45047</v>
      </c>
      <c r="C892">
        <v>0</v>
      </c>
      <c r="D892">
        <v>5</v>
      </c>
      <c r="E892" t="str">
        <f>TEXT(ACTUAL_EXPENSES[[#This Row],[Date]],"mmm")</f>
        <v>May</v>
      </c>
    </row>
    <row r="893" spans="1:5" x14ac:dyDescent="0.2">
      <c r="A893" s="139" t="s">
        <v>161</v>
      </c>
      <c r="B893" s="140">
        <v>45048</v>
      </c>
      <c r="C893">
        <v>0</v>
      </c>
      <c r="D893">
        <v>5</v>
      </c>
      <c r="E893" t="str">
        <f>TEXT(ACTUAL_EXPENSES[[#This Row],[Date]],"mmm")</f>
        <v>May</v>
      </c>
    </row>
    <row r="894" spans="1:5" x14ac:dyDescent="0.2">
      <c r="A894" s="139" t="s">
        <v>41</v>
      </c>
      <c r="B894" s="140">
        <v>45047</v>
      </c>
      <c r="C894">
        <v>40</v>
      </c>
      <c r="D894">
        <v>5</v>
      </c>
      <c r="E894" t="str">
        <f>TEXT(ACTUAL_EXPENSES[[#This Row],[Date]],"mmm")</f>
        <v>May</v>
      </c>
    </row>
    <row r="895" spans="1:5" x14ac:dyDescent="0.2">
      <c r="A895" s="139" t="s">
        <v>41</v>
      </c>
      <c r="B895" s="140">
        <v>45048</v>
      </c>
      <c r="C895">
        <v>8</v>
      </c>
      <c r="D895">
        <v>5</v>
      </c>
      <c r="E895" t="str">
        <f>TEXT(ACTUAL_EXPENSES[[#This Row],[Date]],"mmm")</f>
        <v>May</v>
      </c>
    </row>
    <row r="896" spans="1:5" x14ac:dyDescent="0.2">
      <c r="A896" s="139" t="s">
        <v>41</v>
      </c>
      <c r="B896" s="140">
        <v>45049</v>
      </c>
      <c r="C896">
        <v>100</v>
      </c>
      <c r="D896">
        <v>5</v>
      </c>
      <c r="E896" t="str">
        <f>TEXT(ACTUAL_EXPENSES[[#This Row],[Date]],"mmm")</f>
        <v>May</v>
      </c>
    </row>
    <row r="897" spans="1:5" x14ac:dyDescent="0.2">
      <c r="A897" s="139" t="s">
        <v>41</v>
      </c>
      <c r="B897" s="140">
        <v>45050</v>
      </c>
      <c r="C897">
        <v>5</v>
      </c>
      <c r="D897">
        <v>5</v>
      </c>
      <c r="E897" t="str">
        <f>TEXT(ACTUAL_EXPENSES[[#This Row],[Date]],"mmm")</f>
        <v>May</v>
      </c>
    </row>
    <row r="898" spans="1:5" x14ac:dyDescent="0.2">
      <c r="A898" s="139" t="s">
        <v>41</v>
      </c>
      <c r="B898" s="140">
        <v>45051</v>
      </c>
      <c r="C898">
        <v>5</v>
      </c>
      <c r="D898">
        <v>5</v>
      </c>
      <c r="E898" t="str">
        <f>TEXT(ACTUAL_EXPENSES[[#This Row],[Date]],"mmm")</f>
        <v>May</v>
      </c>
    </row>
    <row r="899" spans="1:5" x14ac:dyDescent="0.2">
      <c r="A899" s="139" t="s">
        <v>41</v>
      </c>
      <c r="B899" s="140">
        <v>45052</v>
      </c>
      <c r="C899">
        <v>141</v>
      </c>
      <c r="D899">
        <v>5</v>
      </c>
      <c r="E899" t="str">
        <f>TEXT(ACTUAL_EXPENSES[[#This Row],[Date]],"mmm")</f>
        <v>May</v>
      </c>
    </row>
    <row r="900" spans="1:5" x14ac:dyDescent="0.2">
      <c r="A900" s="139" t="s">
        <v>41</v>
      </c>
      <c r="B900" s="140">
        <v>45053</v>
      </c>
      <c r="C900">
        <v>10</v>
      </c>
      <c r="D900">
        <v>5</v>
      </c>
      <c r="E900" t="str">
        <f>TEXT(ACTUAL_EXPENSES[[#This Row],[Date]],"mmm")</f>
        <v>May</v>
      </c>
    </row>
    <row r="901" spans="1:5" x14ac:dyDescent="0.2">
      <c r="A901" s="139" t="s">
        <v>41</v>
      </c>
      <c r="B901" s="140">
        <v>45054</v>
      </c>
      <c r="C901">
        <v>5</v>
      </c>
      <c r="D901">
        <v>5</v>
      </c>
      <c r="E901" t="str">
        <f>TEXT(ACTUAL_EXPENSES[[#This Row],[Date]],"mmm")</f>
        <v>May</v>
      </c>
    </row>
    <row r="902" spans="1:5" x14ac:dyDescent="0.2">
      <c r="A902" s="139" t="s">
        <v>41</v>
      </c>
      <c r="B902" s="140">
        <v>45055</v>
      </c>
      <c r="C902">
        <v>22</v>
      </c>
      <c r="D902">
        <v>5</v>
      </c>
      <c r="E902" t="str">
        <f>TEXT(ACTUAL_EXPENSES[[#This Row],[Date]],"mmm")</f>
        <v>May</v>
      </c>
    </row>
    <row r="903" spans="1:5" x14ac:dyDescent="0.2">
      <c r="A903" s="139" t="s">
        <v>41</v>
      </c>
      <c r="B903" s="140">
        <v>45056</v>
      </c>
      <c r="C903">
        <v>7</v>
      </c>
      <c r="D903">
        <v>5</v>
      </c>
      <c r="E903" t="str">
        <f>TEXT(ACTUAL_EXPENSES[[#This Row],[Date]],"mmm")</f>
        <v>May</v>
      </c>
    </row>
    <row r="904" spans="1:5" x14ac:dyDescent="0.2">
      <c r="A904" s="139" t="s">
        <v>41</v>
      </c>
      <c r="B904" s="140">
        <v>45057</v>
      </c>
      <c r="C904">
        <v>7</v>
      </c>
      <c r="D904">
        <v>5</v>
      </c>
      <c r="E904" t="str">
        <f>TEXT(ACTUAL_EXPENSES[[#This Row],[Date]],"mmm")</f>
        <v>May</v>
      </c>
    </row>
    <row r="905" spans="1:5" x14ac:dyDescent="0.2">
      <c r="A905" s="139" t="s">
        <v>41</v>
      </c>
      <c r="B905" s="140">
        <v>45058</v>
      </c>
      <c r="C905">
        <v>8.5</v>
      </c>
      <c r="D905">
        <v>5</v>
      </c>
      <c r="E905" t="str">
        <f>TEXT(ACTUAL_EXPENSES[[#This Row],[Date]],"mmm")</f>
        <v>May</v>
      </c>
    </row>
    <row r="906" spans="1:5" x14ac:dyDescent="0.2">
      <c r="A906" s="139" t="s">
        <v>41</v>
      </c>
      <c r="B906" s="140">
        <v>45059</v>
      </c>
      <c r="C906">
        <v>34</v>
      </c>
      <c r="D906">
        <v>5</v>
      </c>
      <c r="E906" t="str">
        <f>TEXT(ACTUAL_EXPENSES[[#This Row],[Date]],"mmm")</f>
        <v>May</v>
      </c>
    </row>
    <row r="907" spans="1:5" x14ac:dyDescent="0.2">
      <c r="A907" s="139" t="s">
        <v>41</v>
      </c>
      <c r="B907" s="140">
        <v>45060</v>
      </c>
      <c r="C907">
        <v>16</v>
      </c>
      <c r="D907">
        <v>5</v>
      </c>
      <c r="E907" t="str">
        <f>TEXT(ACTUAL_EXPENSES[[#This Row],[Date]],"mmm")</f>
        <v>May</v>
      </c>
    </row>
    <row r="908" spans="1:5" x14ac:dyDescent="0.2">
      <c r="A908" s="139" t="s">
        <v>41</v>
      </c>
      <c r="B908" s="140">
        <v>45061</v>
      </c>
      <c r="C908">
        <v>7</v>
      </c>
      <c r="D908">
        <v>5</v>
      </c>
      <c r="E908" t="str">
        <f>TEXT(ACTUAL_EXPENSES[[#This Row],[Date]],"mmm")</f>
        <v>May</v>
      </c>
    </row>
    <row r="909" spans="1:5" x14ac:dyDescent="0.2">
      <c r="A909" s="139" t="s">
        <v>41</v>
      </c>
      <c r="B909" s="140">
        <v>45062</v>
      </c>
      <c r="C909">
        <v>8</v>
      </c>
      <c r="D909">
        <v>5</v>
      </c>
      <c r="E909" t="str">
        <f>TEXT(ACTUAL_EXPENSES[[#This Row],[Date]],"mmm")</f>
        <v>May</v>
      </c>
    </row>
    <row r="910" spans="1:5" x14ac:dyDescent="0.2">
      <c r="A910" s="139" t="s">
        <v>41</v>
      </c>
      <c r="B910" s="140">
        <v>45063</v>
      </c>
      <c r="C910">
        <v>18</v>
      </c>
      <c r="D910">
        <v>5</v>
      </c>
      <c r="E910" t="str">
        <f>TEXT(ACTUAL_EXPENSES[[#This Row],[Date]],"mmm")</f>
        <v>May</v>
      </c>
    </row>
    <row r="911" spans="1:5" x14ac:dyDescent="0.2">
      <c r="A911" s="139" t="s">
        <v>41</v>
      </c>
      <c r="B911" s="140">
        <v>45064</v>
      </c>
      <c r="C911">
        <v>7</v>
      </c>
      <c r="D911">
        <v>5</v>
      </c>
      <c r="E911" t="str">
        <f>TEXT(ACTUAL_EXPENSES[[#This Row],[Date]],"mmm")</f>
        <v>May</v>
      </c>
    </row>
    <row r="912" spans="1:5" x14ac:dyDescent="0.2">
      <c r="A912" s="139" t="s">
        <v>41</v>
      </c>
      <c r="B912" s="140">
        <v>45065</v>
      </c>
      <c r="C912">
        <v>140</v>
      </c>
      <c r="D912">
        <v>5</v>
      </c>
      <c r="E912" t="str">
        <f>TEXT(ACTUAL_EXPENSES[[#This Row],[Date]],"mmm")</f>
        <v>May</v>
      </c>
    </row>
    <row r="913" spans="1:5" x14ac:dyDescent="0.2">
      <c r="A913" s="139" t="s">
        <v>41</v>
      </c>
      <c r="B913" s="140">
        <v>45066</v>
      </c>
      <c r="C913">
        <v>50</v>
      </c>
      <c r="D913">
        <v>5</v>
      </c>
      <c r="E913" t="str">
        <f>TEXT(ACTUAL_EXPENSES[[#This Row],[Date]],"mmm")</f>
        <v>May</v>
      </c>
    </row>
    <row r="914" spans="1:5" x14ac:dyDescent="0.2">
      <c r="A914" s="139" t="s">
        <v>41</v>
      </c>
      <c r="B914" s="140">
        <v>45067</v>
      </c>
      <c r="C914">
        <v>125</v>
      </c>
      <c r="D914">
        <v>5</v>
      </c>
      <c r="E914" t="str">
        <f>TEXT(ACTUAL_EXPENSES[[#This Row],[Date]],"mmm")</f>
        <v>May</v>
      </c>
    </row>
    <row r="915" spans="1:5" x14ac:dyDescent="0.2">
      <c r="A915" s="139" t="s">
        <v>41</v>
      </c>
      <c r="B915" s="140">
        <v>45068</v>
      </c>
      <c r="C915">
        <v>165</v>
      </c>
      <c r="D915">
        <v>5</v>
      </c>
      <c r="E915" t="str">
        <f>TEXT(ACTUAL_EXPENSES[[#This Row],[Date]],"mmm")</f>
        <v>May</v>
      </c>
    </row>
    <row r="916" spans="1:5" x14ac:dyDescent="0.2">
      <c r="A916" s="139" t="s">
        <v>41</v>
      </c>
      <c r="B916" s="140">
        <v>45069</v>
      </c>
      <c r="C916">
        <v>9</v>
      </c>
      <c r="D916">
        <v>5</v>
      </c>
      <c r="E916" t="str">
        <f>TEXT(ACTUAL_EXPENSES[[#This Row],[Date]],"mmm")</f>
        <v>May</v>
      </c>
    </row>
    <row r="917" spans="1:5" x14ac:dyDescent="0.2">
      <c r="A917" s="139" t="s">
        <v>41</v>
      </c>
      <c r="B917" s="140">
        <v>45070</v>
      </c>
      <c r="C917">
        <v>16</v>
      </c>
      <c r="D917">
        <v>5</v>
      </c>
      <c r="E917" t="str">
        <f>TEXT(ACTUAL_EXPENSES[[#This Row],[Date]],"mmm")</f>
        <v>May</v>
      </c>
    </row>
    <row r="918" spans="1:5" x14ac:dyDescent="0.2">
      <c r="A918" s="139" t="s">
        <v>41</v>
      </c>
      <c r="B918" s="140">
        <v>45071</v>
      </c>
      <c r="C918">
        <v>17</v>
      </c>
      <c r="D918">
        <v>5</v>
      </c>
      <c r="E918" t="str">
        <f>TEXT(ACTUAL_EXPENSES[[#This Row],[Date]],"mmm")</f>
        <v>May</v>
      </c>
    </row>
    <row r="919" spans="1:5" x14ac:dyDescent="0.2">
      <c r="A919" s="139" t="s">
        <v>41</v>
      </c>
      <c r="B919" s="140">
        <v>45072</v>
      </c>
      <c r="C919">
        <v>20</v>
      </c>
      <c r="D919">
        <v>5</v>
      </c>
      <c r="E919" t="str">
        <f>TEXT(ACTUAL_EXPENSES[[#This Row],[Date]],"mmm")</f>
        <v>May</v>
      </c>
    </row>
    <row r="920" spans="1:5" x14ac:dyDescent="0.2">
      <c r="A920" s="139" t="s">
        <v>41</v>
      </c>
      <c r="B920" s="140">
        <v>45073</v>
      </c>
      <c r="C920">
        <v>89</v>
      </c>
      <c r="D920">
        <v>5</v>
      </c>
      <c r="E920" t="str">
        <f>TEXT(ACTUAL_EXPENSES[[#This Row],[Date]],"mmm")</f>
        <v>May</v>
      </c>
    </row>
    <row r="921" spans="1:5" x14ac:dyDescent="0.2">
      <c r="A921" s="139" t="s">
        <v>41</v>
      </c>
      <c r="B921" s="140">
        <v>45074</v>
      </c>
      <c r="C921">
        <v>10</v>
      </c>
      <c r="D921">
        <v>5</v>
      </c>
      <c r="E921" t="str">
        <f>TEXT(ACTUAL_EXPENSES[[#This Row],[Date]],"mmm")</f>
        <v>May</v>
      </c>
    </row>
    <row r="922" spans="1:5" x14ac:dyDescent="0.2">
      <c r="A922" s="139" t="s">
        <v>41</v>
      </c>
      <c r="B922" s="140">
        <v>45075</v>
      </c>
      <c r="C922">
        <v>5</v>
      </c>
      <c r="D922">
        <v>5</v>
      </c>
      <c r="E922" t="str">
        <f>TEXT(ACTUAL_EXPENSES[[#This Row],[Date]],"mmm")</f>
        <v>May</v>
      </c>
    </row>
    <row r="923" spans="1:5" x14ac:dyDescent="0.2">
      <c r="A923" s="139" t="s">
        <v>41</v>
      </c>
      <c r="B923" s="140">
        <v>45076</v>
      </c>
      <c r="C923">
        <v>10</v>
      </c>
      <c r="D923">
        <v>5</v>
      </c>
      <c r="E923" t="str">
        <f>TEXT(ACTUAL_EXPENSES[[#This Row],[Date]],"mmm")</f>
        <v>May</v>
      </c>
    </row>
    <row r="924" spans="1:5" x14ac:dyDescent="0.2">
      <c r="A924" s="139" t="s">
        <v>41</v>
      </c>
      <c r="B924" s="140">
        <v>45077</v>
      </c>
      <c r="C924">
        <v>8</v>
      </c>
      <c r="D924">
        <v>5</v>
      </c>
      <c r="E924" t="str">
        <f>TEXT(ACTUAL_EXPENSES[[#This Row],[Date]],"mmm")</f>
        <v>May</v>
      </c>
    </row>
    <row r="925" spans="1:5" x14ac:dyDescent="0.2">
      <c r="A925" s="139" t="s">
        <v>61</v>
      </c>
      <c r="B925" s="140">
        <v>45047</v>
      </c>
      <c r="C925">
        <v>0</v>
      </c>
      <c r="D925">
        <v>5</v>
      </c>
      <c r="E925" t="str">
        <f>TEXT(ACTUAL_EXPENSES[[#This Row],[Date]],"mmm")</f>
        <v>May</v>
      </c>
    </row>
    <row r="926" spans="1:5" x14ac:dyDescent="0.2">
      <c r="A926" s="139" t="s">
        <v>61</v>
      </c>
      <c r="B926" s="140">
        <v>45048</v>
      </c>
      <c r="C926">
        <v>0</v>
      </c>
      <c r="D926">
        <v>5</v>
      </c>
      <c r="E926" t="str">
        <f>TEXT(ACTUAL_EXPENSES[[#This Row],[Date]],"mmm")</f>
        <v>May</v>
      </c>
    </row>
    <row r="927" spans="1:5" x14ac:dyDescent="0.2">
      <c r="A927" s="139" t="s">
        <v>61</v>
      </c>
      <c r="B927" s="140">
        <v>45052</v>
      </c>
      <c r="C927">
        <v>52</v>
      </c>
      <c r="D927">
        <v>5</v>
      </c>
      <c r="E927" t="str">
        <f>TEXT(ACTUAL_EXPENSES[[#This Row],[Date]],"mmm")</f>
        <v>May</v>
      </c>
    </row>
    <row r="928" spans="1:5" x14ac:dyDescent="0.2">
      <c r="A928" s="139" t="s">
        <v>61</v>
      </c>
      <c r="B928" s="140">
        <v>45064</v>
      </c>
      <c r="C928" t="s">
        <v>75</v>
      </c>
      <c r="D928">
        <v>5</v>
      </c>
      <c r="E928" t="str">
        <f>TEXT(ACTUAL_EXPENSES[[#This Row],[Date]],"mmm")</f>
        <v>May</v>
      </c>
    </row>
    <row r="929" spans="1:5" x14ac:dyDescent="0.2">
      <c r="A929" s="139" t="s">
        <v>45</v>
      </c>
      <c r="B929" s="140">
        <v>45075</v>
      </c>
      <c r="C929">
        <v>290</v>
      </c>
      <c r="D929">
        <v>5</v>
      </c>
      <c r="E929" t="str">
        <f>TEXT(ACTUAL_EXPENSES[[#This Row],[Date]],"mmm")</f>
        <v>May</v>
      </c>
    </row>
    <row r="930" spans="1:5" x14ac:dyDescent="0.2">
      <c r="A930" s="139" t="s">
        <v>128</v>
      </c>
      <c r="B930" s="140">
        <v>45047</v>
      </c>
      <c r="C930">
        <v>0</v>
      </c>
      <c r="D930">
        <v>5</v>
      </c>
      <c r="E930" t="str">
        <f>TEXT(ACTUAL_EXPENSES[[#This Row],[Date]],"mmm")</f>
        <v>May</v>
      </c>
    </row>
    <row r="931" spans="1:5" x14ac:dyDescent="0.2">
      <c r="A931" s="139" t="s">
        <v>128</v>
      </c>
      <c r="B931" s="140">
        <v>45048</v>
      </c>
      <c r="C931">
        <v>0</v>
      </c>
      <c r="D931">
        <v>5</v>
      </c>
      <c r="E931" t="str">
        <f>TEXT(ACTUAL_EXPENSES[[#This Row],[Date]],"mmm")</f>
        <v>May</v>
      </c>
    </row>
    <row r="932" spans="1:5" x14ac:dyDescent="0.2">
      <c r="A932" s="139" t="s">
        <v>43</v>
      </c>
      <c r="B932" s="140">
        <v>45073</v>
      </c>
      <c r="C932">
        <v>100</v>
      </c>
      <c r="D932">
        <v>5</v>
      </c>
      <c r="E932" t="str">
        <f>TEXT(ACTUAL_EXPENSES[[#This Row],[Date]],"mmm")</f>
        <v>May</v>
      </c>
    </row>
    <row r="933" spans="1:5" x14ac:dyDescent="0.2">
      <c r="A933" s="139" t="s">
        <v>53</v>
      </c>
      <c r="B933" s="140">
        <v>45048</v>
      </c>
      <c r="C933">
        <v>39</v>
      </c>
      <c r="D933">
        <v>5</v>
      </c>
      <c r="E933" t="str">
        <f>TEXT(ACTUAL_EXPENSES[[#This Row],[Date]],"mmm")</f>
        <v>May</v>
      </c>
    </row>
    <row r="934" spans="1:5" x14ac:dyDescent="0.2">
      <c r="A934" s="139" t="s">
        <v>53</v>
      </c>
      <c r="B934" s="140">
        <v>45050</v>
      </c>
      <c r="C934">
        <v>137.94999999999999</v>
      </c>
      <c r="D934">
        <v>5</v>
      </c>
      <c r="E934" t="str">
        <f>TEXT(ACTUAL_EXPENSES[[#This Row],[Date]],"mmm")</f>
        <v>May</v>
      </c>
    </row>
    <row r="935" spans="1:5" x14ac:dyDescent="0.2">
      <c r="A935" s="139" t="s">
        <v>53</v>
      </c>
      <c r="B935" s="140">
        <v>45052</v>
      </c>
      <c r="C935">
        <v>50.489999999999995</v>
      </c>
      <c r="D935">
        <v>5</v>
      </c>
      <c r="E935" t="str">
        <f>TEXT(ACTUAL_EXPENSES[[#This Row],[Date]],"mmm")</f>
        <v>May</v>
      </c>
    </row>
    <row r="936" spans="1:5" x14ac:dyDescent="0.2">
      <c r="A936" s="139" t="s">
        <v>53</v>
      </c>
      <c r="B936" s="140">
        <v>45053</v>
      </c>
      <c r="C936">
        <v>23</v>
      </c>
      <c r="D936">
        <v>5</v>
      </c>
      <c r="E936" t="str">
        <f>TEXT(ACTUAL_EXPENSES[[#This Row],[Date]],"mmm")</f>
        <v>May</v>
      </c>
    </row>
    <row r="937" spans="1:5" x14ac:dyDescent="0.2">
      <c r="A937" s="139" t="s">
        <v>53</v>
      </c>
      <c r="B937" s="140">
        <v>45061</v>
      </c>
      <c r="C937">
        <v>16</v>
      </c>
      <c r="D937">
        <v>5</v>
      </c>
      <c r="E937" t="str">
        <f>TEXT(ACTUAL_EXPENSES[[#This Row],[Date]],"mmm")</f>
        <v>May</v>
      </c>
    </row>
    <row r="938" spans="1:5" x14ac:dyDescent="0.2">
      <c r="A938" s="139" t="s">
        <v>53</v>
      </c>
      <c r="B938" s="140">
        <v>45062</v>
      </c>
      <c r="C938">
        <v>91</v>
      </c>
      <c r="D938">
        <v>5</v>
      </c>
      <c r="E938" t="str">
        <f>TEXT(ACTUAL_EXPENSES[[#This Row],[Date]],"mmm")</f>
        <v>May</v>
      </c>
    </row>
    <row r="939" spans="1:5" x14ac:dyDescent="0.2">
      <c r="A939" s="139" t="s">
        <v>53</v>
      </c>
      <c r="B939" s="140">
        <v>45063</v>
      </c>
      <c r="C939">
        <v>13</v>
      </c>
      <c r="D939">
        <v>5</v>
      </c>
      <c r="E939" t="str">
        <f>TEXT(ACTUAL_EXPENSES[[#This Row],[Date]],"mmm")</f>
        <v>May</v>
      </c>
    </row>
    <row r="940" spans="1:5" x14ac:dyDescent="0.2">
      <c r="A940" s="139" t="s">
        <v>53</v>
      </c>
      <c r="B940" s="140">
        <v>45064</v>
      </c>
      <c r="C940">
        <v>36</v>
      </c>
      <c r="D940">
        <v>5</v>
      </c>
      <c r="E940" t="str">
        <f>TEXT(ACTUAL_EXPENSES[[#This Row],[Date]],"mmm")</f>
        <v>May</v>
      </c>
    </row>
    <row r="941" spans="1:5" x14ac:dyDescent="0.2">
      <c r="A941" s="139" t="s">
        <v>53</v>
      </c>
      <c r="B941" s="140">
        <v>45065</v>
      </c>
      <c r="C941">
        <v>57</v>
      </c>
      <c r="D941">
        <v>5</v>
      </c>
      <c r="E941" t="str">
        <f>TEXT(ACTUAL_EXPENSES[[#This Row],[Date]],"mmm")</f>
        <v>May</v>
      </c>
    </row>
    <row r="942" spans="1:5" x14ac:dyDescent="0.2">
      <c r="A942" s="139" t="s">
        <v>53</v>
      </c>
      <c r="B942" s="140">
        <v>45068</v>
      </c>
      <c r="C942">
        <v>250</v>
      </c>
      <c r="D942">
        <v>5</v>
      </c>
      <c r="E942" t="str">
        <f>TEXT(ACTUAL_EXPENSES[[#This Row],[Date]],"mmm")</f>
        <v>May</v>
      </c>
    </row>
    <row r="943" spans="1:5" x14ac:dyDescent="0.2">
      <c r="A943" s="139" t="s">
        <v>39</v>
      </c>
      <c r="B943" s="140">
        <v>45048</v>
      </c>
      <c r="C943">
        <v>70</v>
      </c>
      <c r="D943">
        <v>5</v>
      </c>
      <c r="E943" t="str">
        <f>TEXT(ACTUAL_EXPENSES[[#This Row],[Date]],"mmm")</f>
        <v>May</v>
      </c>
    </row>
    <row r="944" spans="1:5" x14ac:dyDescent="0.2">
      <c r="A944" s="139" t="s">
        <v>39</v>
      </c>
      <c r="B944" s="140">
        <v>45050</v>
      </c>
      <c r="C944">
        <v>63</v>
      </c>
      <c r="D944">
        <v>5</v>
      </c>
      <c r="E944" t="str">
        <f>TEXT(ACTUAL_EXPENSES[[#This Row],[Date]],"mmm")</f>
        <v>May</v>
      </c>
    </row>
    <row r="945" spans="1:5" x14ac:dyDescent="0.2">
      <c r="A945" s="139" t="s">
        <v>39</v>
      </c>
      <c r="B945" s="140">
        <v>45051</v>
      </c>
      <c r="C945">
        <v>209</v>
      </c>
      <c r="D945">
        <v>5</v>
      </c>
      <c r="E945" t="str">
        <f>TEXT(ACTUAL_EXPENSES[[#This Row],[Date]],"mmm")</f>
        <v>May</v>
      </c>
    </row>
    <row r="946" spans="1:5" x14ac:dyDescent="0.2">
      <c r="A946" s="139" t="s">
        <v>39</v>
      </c>
      <c r="B946" s="140">
        <v>45052</v>
      </c>
      <c r="C946">
        <v>4.5</v>
      </c>
      <c r="D946">
        <v>5</v>
      </c>
      <c r="E946" t="str">
        <f>TEXT(ACTUAL_EXPENSES[[#This Row],[Date]],"mmm")</f>
        <v>May</v>
      </c>
    </row>
    <row r="947" spans="1:5" x14ac:dyDescent="0.2">
      <c r="A947" s="139" t="s">
        <v>39</v>
      </c>
      <c r="B947" s="140">
        <v>45053</v>
      </c>
      <c r="C947">
        <v>34</v>
      </c>
      <c r="D947">
        <v>5</v>
      </c>
      <c r="E947" t="str">
        <f>TEXT(ACTUAL_EXPENSES[[#This Row],[Date]],"mmm")</f>
        <v>May</v>
      </c>
    </row>
    <row r="948" spans="1:5" x14ac:dyDescent="0.2">
      <c r="A948" s="139" t="s">
        <v>39</v>
      </c>
      <c r="B948" s="140">
        <v>45055</v>
      </c>
      <c r="C948">
        <v>52</v>
      </c>
      <c r="D948">
        <v>5</v>
      </c>
      <c r="E948" t="str">
        <f>TEXT(ACTUAL_EXPENSES[[#This Row],[Date]],"mmm")</f>
        <v>May</v>
      </c>
    </row>
    <row r="949" spans="1:5" x14ac:dyDescent="0.2">
      <c r="A949" s="139" t="s">
        <v>39</v>
      </c>
      <c r="B949" s="140">
        <v>45058</v>
      </c>
      <c r="C949">
        <v>44</v>
      </c>
      <c r="D949">
        <v>5</v>
      </c>
      <c r="E949" t="str">
        <f>TEXT(ACTUAL_EXPENSES[[#This Row],[Date]],"mmm")</f>
        <v>May</v>
      </c>
    </row>
    <row r="950" spans="1:5" x14ac:dyDescent="0.2">
      <c r="A950" s="139" t="s">
        <v>39</v>
      </c>
      <c r="B950" s="140">
        <v>45059</v>
      </c>
      <c r="C950">
        <v>24.5</v>
      </c>
      <c r="D950">
        <v>5</v>
      </c>
      <c r="E950" t="str">
        <f>TEXT(ACTUAL_EXPENSES[[#This Row],[Date]],"mmm")</f>
        <v>May</v>
      </c>
    </row>
    <row r="951" spans="1:5" x14ac:dyDescent="0.2">
      <c r="A951" s="139" t="s">
        <v>39</v>
      </c>
      <c r="B951" s="140">
        <v>45061</v>
      </c>
      <c r="C951">
        <v>56</v>
      </c>
      <c r="D951">
        <v>5</v>
      </c>
      <c r="E951" t="str">
        <f>TEXT(ACTUAL_EXPENSES[[#This Row],[Date]],"mmm")</f>
        <v>May</v>
      </c>
    </row>
    <row r="952" spans="1:5" x14ac:dyDescent="0.2">
      <c r="A952" s="139" t="s">
        <v>39</v>
      </c>
      <c r="B952" s="140">
        <v>45062</v>
      </c>
      <c r="C952">
        <v>12.5</v>
      </c>
      <c r="D952">
        <v>5</v>
      </c>
      <c r="E952" t="str">
        <f>TEXT(ACTUAL_EXPENSES[[#This Row],[Date]],"mmm")</f>
        <v>May</v>
      </c>
    </row>
    <row r="953" spans="1:5" x14ac:dyDescent="0.2">
      <c r="A953" s="139" t="s">
        <v>39</v>
      </c>
      <c r="B953" s="140">
        <v>45063</v>
      </c>
      <c r="C953">
        <v>3</v>
      </c>
      <c r="D953">
        <v>5</v>
      </c>
      <c r="E953" t="str">
        <f>TEXT(ACTUAL_EXPENSES[[#This Row],[Date]],"mmm")</f>
        <v>May</v>
      </c>
    </row>
    <row r="954" spans="1:5" x14ac:dyDescent="0.2">
      <c r="A954" s="139" t="s">
        <v>39</v>
      </c>
      <c r="B954" s="140">
        <v>45064</v>
      </c>
      <c r="C954">
        <v>55</v>
      </c>
      <c r="D954">
        <v>5</v>
      </c>
      <c r="E954" t="str">
        <f>TEXT(ACTUAL_EXPENSES[[#This Row],[Date]],"mmm")</f>
        <v>May</v>
      </c>
    </row>
    <row r="955" spans="1:5" x14ac:dyDescent="0.2">
      <c r="A955" s="139" t="s">
        <v>39</v>
      </c>
      <c r="B955" s="140">
        <v>45065</v>
      </c>
      <c r="C955">
        <v>27</v>
      </c>
      <c r="D955">
        <v>5</v>
      </c>
      <c r="E955" t="str">
        <f>TEXT(ACTUAL_EXPENSES[[#This Row],[Date]],"mmm")</f>
        <v>May</v>
      </c>
    </row>
    <row r="956" spans="1:5" x14ac:dyDescent="0.2">
      <c r="A956" s="139" t="s">
        <v>39</v>
      </c>
      <c r="B956" s="140">
        <v>45067</v>
      </c>
      <c r="C956">
        <v>47</v>
      </c>
      <c r="D956">
        <v>5</v>
      </c>
      <c r="E956" t="str">
        <f>TEXT(ACTUAL_EXPENSES[[#This Row],[Date]],"mmm")</f>
        <v>May</v>
      </c>
    </row>
    <row r="957" spans="1:5" x14ac:dyDescent="0.2">
      <c r="A957" s="139" t="s">
        <v>39</v>
      </c>
      <c r="B957" s="140">
        <v>45068</v>
      </c>
      <c r="C957">
        <v>54</v>
      </c>
      <c r="D957">
        <v>5</v>
      </c>
      <c r="E957" t="str">
        <f>TEXT(ACTUAL_EXPENSES[[#This Row],[Date]],"mmm")</f>
        <v>May</v>
      </c>
    </row>
    <row r="958" spans="1:5" x14ac:dyDescent="0.2">
      <c r="A958" s="139" t="s">
        <v>39</v>
      </c>
      <c r="B958" s="140">
        <v>45069</v>
      </c>
      <c r="C958">
        <v>107</v>
      </c>
      <c r="D958">
        <v>5</v>
      </c>
      <c r="E958" t="str">
        <f>TEXT(ACTUAL_EXPENSES[[#This Row],[Date]],"mmm")</f>
        <v>May</v>
      </c>
    </row>
    <row r="959" spans="1:5" x14ac:dyDescent="0.2">
      <c r="A959" s="139" t="s">
        <v>39</v>
      </c>
      <c r="B959" s="140">
        <v>45071</v>
      </c>
      <c r="C959">
        <v>5</v>
      </c>
      <c r="D959">
        <v>5</v>
      </c>
      <c r="E959" t="str">
        <f>TEXT(ACTUAL_EXPENSES[[#This Row],[Date]],"mmm")</f>
        <v>May</v>
      </c>
    </row>
    <row r="960" spans="1:5" x14ac:dyDescent="0.2">
      <c r="A960" s="139" t="s">
        <v>39</v>
      </c>
      <c r="B960" s="140">
        <v>45072</v>
      </c>
      <c r="C960">
        <v>40</v>
      </c>
      <c r="D960">
        <v>5</v>
      </c>
      <c r="E960" t="str">
        <f>TEXT(ACTUAL_EXPENSES[[#This Row],[Date]],"mmm")</f>
        <v>May</v>
      </c>
    </row>
    <row r="961" spans="1:5" x14ac:dyDescent="0.2">
      <c r="A961" s="139" t="s">
        <v>39</v>
      </c>
      <c r="B961" s="140">
        <v>45073</v>
      </c>
      <c r="C961">
        <v>22</v>
      </c>
      <c r="D961">
        <v>5</v>
      </c>
      <c r="E961" t="str">
        <f>TEXT(ACTUAL_EXPENSES[[#This Row],[Date]],"mmm")</f>
        <v>May</v>
      </c>
    </row>
    <row r="962" spans="1:5" x14ac:dyDescent="0.2">
      <c r="A962" s="139" t="s">
        <v>39</v>
      </c>
      <c r="B962" s="140">
        <v>45075</v>
      </c>
      <c r="C962">
        <v>123</v>
      </c>
      <c r="D962">
        <v>5</v>
      </c>
      <c r="E962" t="str">
        <f>TEXT(ACTUAL_EXPENSES[[#This Row],[Date]],"mmm")</f>
        <v>May</v>
      </c>
    </row>
    <row r="963" spans="1:5" x14ac:dyDescent="0.2">
      <c r="A963" s="139" t="s">
        <v>39</v>
      </c>
      <c r="B963" s="140">
        <v>45077</v>
      </c>
      <c r="C963">
        <v>54</v>
      </c>
      <c r="D963">
        <v>5</v>
      </c>
      <c r="E963" t="str">
        <f>TEXT(ACTUAL_EXPENSES[[#This Row],[Date]],"mmm")</f>
        <v>May</v>
      </c>
    </row>
    <row r="964" spans="1:5" x14ac:dyDescent="0.2">
      <c r="A964" s="139" t="s">
        <v>127</v>
      </c>
      <c r="B964" s="140">
        <v>45048</v>
      </c>
      <c r="C964">
        <v>260</v>
      </c>
      <c r="D964">
        <v>5</v>
      </c>
      <c r="E964" t="str">
        <f>TEXT(ACTUAL_EXPENSES[[#This Row],[Date]],"mmm")</f>
        <v>May</v>
      </c>
    </row>
    <row r="965" spans="1:5" x14ac:dyDescent="0.2">
      <c r="A965" s="139" t="s">
        <v>127</v>
      </c>
      <c r="B965" s="140">
        <v>45052</v>
      </c>
      <c r="C965">
        <v>20</v>
      </c>
      <c r="D965">
        <v>5</v>
      </c>
      <c r="E965" t="str">
        <f>TEXT(ACTUAL_EXPENSES[[#This Row],[Date]],"mmm")</f>
        <v>May</v>
      </c>
    </row>
    <row r="966" spans="1:5" x14ac:dyDescent="0.2">
      <c r="A966" s="139" t="s">
        <v>127</v>
      </c>
      <c r="B966" s="140">
        <v>45070</v>
      </c>
      <c r="C966">
        <v>20</v>
      </c>
      <c r="D966">
        <v>5</v>
      </c>
      <c r="E966" t="str">
        <f>TEXT(ACTUAL_EXPENSES[[#This Row],[Date]],"mmm")</f>
        <v>May</v>
      </c>
    </row>
    <row r="967" spans="1:5" x14ac:dyDescent="0.2">
      <c r="A967" s="139" t="s">
        <v>127</v>
      </c>
      <c r="B967" s="140">
        <v>45073</v>
      </c>
      <c r="C967">
        <v>20</v>
      </c>
      <c r="D967">
        <v>5</v>
      </c>
      <c r="E967" t="str">
        <f>TEXT(ACTUAL_EXPENSES[[#This Row],[Date]],"mmm")</f>
        <v>May</v>
      </c>
    </row>
    <row r="968" spans="1:5" x14ac:dyDescent="0.2">
      <c r="A968" s="139" t="s">
        <v>127</v>
      </c>
      <c r="B968" s="140">
        <v>45077</v>
      </c>
      <c r="C968">
        <v>750</v>
      </c>
      <c r="D968">
        <v>5</v>
      </c>
      <c r="E968" t="str">
        <f>TEXT(ACTUAL_EXPENSES[[#This Row],[Date]],"mmm")</f>
        <v>May</v>
      </c>
    </row>
    <row r="969" spans="1:5" x14ac:dyDescent="0.2">
      <c r="A969" s="139" t="s">
        <v>48</v>
      </c>
      <c r="B969" s="140">
        <v>45072</v>
      </c>
      <c r="C969">
        <v>12.19</v>
      </c>
      <c r="D969">
        <v>5</v>
      </c>
      <c r="E969" t="str">
        <f>TEXT(ACTUAL_EXPENSES[[#This Row],[Date]],"mmm")</f>
        <v>May</v>
      </c>
    </row>
    <row r="970" spans="1:5" x14ac:dyDescent="0.2">
      <c r="A970" s="139" t="s">
        <v>49</v>
      </c>
      <c r="B970" s="140">
        <v>45056</v>
      </c>
      <c r="C970">
        <v>9</v>
      </c>
      <c r="D970">
        <v>5</v>
      </c>
      <c r="E970" t="str">
        <f>TEXT(ACTUAL_EXPENSES[[#This Row],[Date]],"mmm")</f>
        <v>May</v>
      </c>
    </row>
    <row r="971" spans="1:5" x14ac:dyDescent="0.2">
      <c r="A971" s="139" t="s">
        <v>126</v>
      </c>
      <c r="B971" s="140">
        <v>45069</v>
      </c>
      <c r="C971">
        <v>93.61</v>
      </c>
      <c r="D971">
        <v>5</v>
      </c>
      <c r="E971" t="str">
        <f>TEXT(ACTUAL_EXPENSES[[#This Row],[Date]],"mmm")</f>
        <v>May</v>
      </c>
    </row>
    <row r="972" spans="1:5" x14ac:dyDescent="0.2">
      <c r="A972" s="139" t="s">
        <v>51</v>
      </c>
      <c r="B972" s="140">
        <v>45048</v>
      </c>
      <c r="C972">
        <v>3.55</v>
      </c>
      <c r="D972">
        <v>5</v>
      </c>
      <c r="E972" t="str">
        <f>TEXT(ACTUAL_EXPENSES[[#This Row],[Date]],"mmm")</f>
        <v>May</v>
      </c>
    </row>
    <row r="973" spans="1:5" x14ac:dyDescent="0.2">
      <c r="A973" s="139" t="s">
        <v>51</v>
      </c>
      <c r="B973" s="140">
        <v>45049</v>
      </c>
      <c r="C973">
        <v>1</v>
      </c>
      <c r="D973">
        <v>5</v>
      </c>
      <c r="E973" t="str">
        <f>TEXT(ACTUAL_EXPENSES[[#This Row],[Date]],"mmm")</f>
        <v>May</v>
      </c>
    </row>
    <row r="974" spans="1:5" x14ac:dyDescent="0.2">
      <c r="A974" s="139" t="s">
        <v>51</v>
      </c>
      <c r="B974" s="140">
        <v>45052</v>
      </c>
      <c r="C974">
        <v>5</v>
      </c>
      <c r="D974">
        <v>5</v>
      </c>
      <c r="E974" t="str">
        <f>TEXT(ACTUAL_EXPENSES[[#This Row],[Date]],"mmm")</f>
        <v>May</v>
      </c>
    </row>
    <row r="975" spans="1:5" x14ac:dyDescent="0.2">
      <c r="A975" s="139" t="s">
        <v>51</v>
      </c>
      <c r="B975" s="140">
        <v>45055</v>
      </c>
      <c r="C975">
        <v>1</v>
      </c>
      <c r="D975">
        <v>5</v>
      </c>
      <c r="E975" t="str">
        <f>TEXT(ACTUAL_EXPENSES[[#This Row],[Date]],"mmm")</f>
        <v>May</v>
      </c>
    </row>
    <row r="976" spans="1:5" x14ac:dyDescent="0.2">
      <c r="A976" s="139" t="s">
        <v>51</v>
      </c>
      <c r="B976" s="140">
        <v>45075</v>
      </c>
      <c r="C976">
        <v>1</v>
      </c>
      <c r="D976">
        <v>5</v>
      </c>
      <c r="E976" t="str">
        <f>TEXT(ACTUAL_EXPENSES[[#This Row],[Date]],"mmm")</f>
        <v>May</v>
      </c>
    </row>
    <row r="977" spans="1:5" x14ac:dyDescent="0.2">
      <c r="A977" s="139" t="s">
        <v>51</v>
      </c>
      <c r="B977" s="140">
        <v>45077</v>
      </c>
      <c r="C977">
        <v>5</v>
      </c>
      <c r="D977">
        <v>5</v>
      </c>
      <c r="E977" t="str">
        <f>TEXT(ACTUAL_EXPENSES[[#This Row],[Date]],"mmm")</f>
        <v>May</v>
      </c>
    </row>
    <row r="978" spans="1:5" x14ac:dyDescent="0.2">
      <c r="A978" s="139" t="s">
        <v>192</v>
      </c>
      <c r="B978" s="140">
        <v>45078</v>
      </c>
      <c r="C978">
        <v>1</v>
      </c>
      <c r="D978">
        <v>6</v>
      </c>
      <c r="E978" t="str">
        <f>TEXT(ACTUAL_EXPENSES[[#This Row],[Date]],"mmm")</f>
        <v>Jun</v>
      </c>
    </row>
    <row r="979" spans="1:5" x14ac:dyDescent="0.2">
      <c r="A979" s="139" t="s">
        <v>192</v>
      </c>
      <c r="B979" s="140">
        <v>45079</v>
      </c>
      <c r="C979">
        <v>2</v>
      </c>
      <c r="D979">
        <v>6</v>
      </c>
      <c r="E979" t="str">
        <f>TEXT(ACTUAL_EXPENSES[[#This Row],[Date]],"mmm")</f>
        <v>Jun</v>
      </c>
    </row>
    <row r="980" spans="1:5" x14ac:dyDescent="0.2">
      <c r="A980" s="139" t="s">
        <v>192</v>
      </c>
      <c r="B980" s="140">
        <v>45080</v>
      </c>
      <c r="C980">
        <v>3</v>
      </c>
      <c r="D980">
        <v>6</v>
      </c>
      <c r="E980" t="str">
        <f>TEXT(ACTUAL_EXPENSES[[#This Row],[Date]],"mmm")</f>
        <v>Jun</v>
      </c>
    </row>
    <row r="981" spans="1:5" x14ac:dyDescent="0.2">
      <c r="A981" s="139" t="s">
        <v>192</v>
      </c>
      <c r="B981" s="140">
        <v>45081</v>
      </c>
      <c r="C981">
        <v>4</v>
      </c>
      <c r="D981">
        <v>6</v>
      </c>
      <c r="E981" t="str">
        <f>TEXT(ACTUAL_EXPENSES[[#This Row],[Date]],"mmm")</f>
        <v>Jun</v>
      </c>
    </row>
    <row r="982" spans="1:5" x14ac:dyDescent="0.2">
      <c r="A982" s="139" t="s">
        <v>192</v>
      </c>
      <c r="B982" s="140">
        <v>45082</v>
      </c>
      <c r="C982">
        <v>5</v>
      </c>
      <c r="D982">
        <v>6</v>
      </c>
      <c r="E982" t="str">
        <f>TEXT(ACTUAL_EXPENSES[[#This Row],[Date]],"mmm")</f>
        <v>Jun</v>
      </c>
    </row>
    <row r="983" spans="1:5" x14ac:dyDescent="0.2">
      <c r="A983" s="139" t="s">
        <v>192</v>
      </c>
      <c r="B983" s="140">
        <v>45083</v>
      </c>
      <c r="C983">
        <v>6</v>
      </c>
      <c r="D983">
        <v>6</v>
      </c>
      <c r="E983" t="str">
        <f>TEXT(ACTUAL_EXPENSES[[#This Row],[Date]],"mmm")</f>
        <v>Jun</v>
      </c>
    </row>
    <row r="984" spans="1:5" x14ac:dyDescent="0.2">
      <c r="A984" s="139" t="s">
        <v>192</v>
      </c>
      <c r="B984" s="140">
        <v>45084</v>
      </c>
      <c r="C984">
        <v>7</v>
      </c>
      <c r="D984">
        <v>6</v>
      </c>
      <c r="E984" t="str">
        <f>TEXT(ACTUAL_EXPENSES[[#This Row],[Date]],"mmm")</f>
        <v>Jun</v>
      </c>
    </row>
    <row r="985" spans="1:5" x14ac:dyDescent="0.2">
      <c r="A985" s="139" t="s">
        <v>192</v>
      </c>
      <c r="B985" s="140">
        <v>45085</v>
      </c>
      <c r="C985">
        <v>8</v>
      </c>
      <c r="D985">
        <v>6</v>
      </c>
      <c r="E985" t="str">
        <f>TEXT(ACTUAL_EXPENSES[[#This Row],[Date]],"mmm")</f>
        <v>Jun</v>
      </c>
    </row>
    <row r="986" spans="1:5" x14ac:dyDescent="0.2">
      <c r="A986" s="139" t="s">
        <v>192</v>
      </c>
      <c r="B986" s="140">
        <v>45086</v>
      </c>
      <c r="C986">
        <v>9</v>
      </c>
      <c r="D986">
        <v>6</v>
      </c>
      <c r="E986" t="str">
        <f>TEXT(ACTUAL_EXPENSES[[#This Row],[Date]],"mmm")</f>
        <v>Jun</v>
      </c>
    </row>
    <row r="987" spans="1:5" x14ac:dyDescent="0.2">
      <c r="A987" s="139" t="s">
        <v>192</v>
      </c>
      <c r="B987" s="140">
        <v>45087</v>
      </c>
      <c r="C987">
        <v>10</v>
      </c>
      <c r="D987">
        <v>6</v>
      </c>
      <c r="E987" t="str">
        <f>TEXT(ACTUAL_EXPENSES[[#This Row],[Date]],"mmm")</f>
        <v>Jun</v>
      </c>
    </row>
    <row r="988" spans="1:5" x14ac:dyDescent="0.2">
      <c r="A988" s="139" t="s">
        <v>192</v>
      </c>
      <c r="B988" s="140">
        <v>45088</v>
      </c>
      <c r="C988">
        <v>11</v>
      </c>
      <c r="D988">
        <v>6</v>
      </c>
      <c r="E988" t="str">
        <f>TEXT(ACTUAL_EXPENSES[[#This Row],[Date]],"mmm")</f>
        <v>Jun</v>
      </c>
    </row>
    <row r="989" spans="1:5" x14ac:dyDescent="0.2">
      <c r="A989" s="139" t="s">
        <v>192</v>
      </c>
      <c r="B989" s="140">
        <v>45089</v>
      </c>
      <c r="C989">
        <v>12</v>
      </c>
      <c r="D989">
        <v>6</v>
      </c>
      <c r="E989" t="str">
        <f>TEXT(ACTUAL_EXPENSES[[#This Row],[Date]],"mmm")</f>
        <v>Jun</v>
      </c>
    </row>
    <row r="990" spans="1:5" x14ac:dyDescent="0.2">
      <c r="A990" s="139" t="s">
        <v>192</v>
      </c>
      <c r="B990" s="140">
        <v>45090</v>
      </c>
      <c r="C990">
        <v>13</v>
      </c>
      <c r="D990">
        <v>6</v>
      </c>
      <c r="E990" t="str">
        <f>TEXT(ACTUAL_EXPENSES[[#This Row],[Date]],"mmm")</f>
        <v>Jun</v>
      </c>
    </row>
    <row r="991" spans="1:5" x14ac:dyDescent="0.2">
      <c r="A991" s="139" t="s">
        <v>192</v>
      </c>
      <c r="B991" s="140">
        <v>45091</v>
      </c>
      <c r="C991">
        <v>14</v>
      </c>
      <c r="D991">
        <v>6</v>
      </c>
      <c r="E991" t="str">
        <f>TEXT(ACTUAL_EXPENSES[[#This Row],[Date]],"mmm")</f>
        <v>Jun</v>
      </c>
    </row>
    <row r="992" spans="1:5" x14ac:dyDescent="0.2">
      <c r="A992" s="139" t="s">
        <v>192</v>
      </c>
      <c r="B992" s="140">
        <v>45092</v>
      </c>
      <c r="C992">
        <v>15</v>
      </c>
      <c r="D992">
        <v>6</v>
      </c>
      <c r="E992" t="str">
        <f>TEXT(ACTUAL_EXPENSES[[#This Row],[Date]],"mmm")</f>
        <v>Jun</v>
      </c>
    </row>
    <row r="993" spans="1:5" x14ac:dyDescent="0.2">
      <c r="A993" s="139" t="s">
        <v>192</v>
      </c>
      <c r="B993" s="140">
        <v>45093</v>
      </c>
      <c r="C993">
        <v>16</v>
      </c>
      <c r="D993">
        <v>6</v>
      </c>
      <c r="E993" t="str">
        <f>TEXT(ACTUAL_EXPENSES[[#This Row],[Date]],"mmm")</f>
        <v>Jun</v>
      </c>
    </row>
    <row r="994" spans="1:5" x14ac:dyDescent="0.2">
      <c r="A994" s="139" t="s">
        <v>192</v>
      </c>
      <c r="B994" s="140">
        <v>45094</v>
      </c>
      <c r="C994">
        <v>17</v>
      </c>
      <c r="D994">
        <v>6</v>
      </c>
      <c r="E994" t="str">
        <f>TEXT(ACTUAL_EXPENSES[[#This Row],[Date]],"mmm")</f>
        <v>Jun</v>
      </c>
    </row>
    <row r="995" spans="1:5" x14ac:dyDescent="0.2">
      <c r="A995" s="139" t="s">
        <v>192</v>
      </c>
      <c r="B995" s="140">
        <v>45095</v>
      </c>
      <c r="C995">
        <v>18</v>
      </c>
      <c r="D995">
        <v>6</v>
      </c>
      <c r="E995" t="str">
        <f>TEXT(ACTUAL_EXPENSES[[#This Row],[Date]],"mmm")</f>
        <v>Jun</v>
      </c>
    </row>
    <row r="996" spans="1:5" x14ac:dyDescent="0.2">
      <c r="A996" s="139" t="s">
        <v>192</v>
      </c>
      <c r="B996" s="140">
        <v>45096</v>
      </c>
      <c r="C996">
        <v>19</v>
      </c>
      <c r="D996">
        <v>6</v>
      </c>
      <c r="E996" t="str">
        <f>TEXT(ACTUAL_EXPENSES[[#This Row],[Date]],"mmm")</f>
        <v>Jun</v>
      </c>
    </row>
    <row r="997" spans="1:5" x14ac:dyDescent="0.2">
      <c r="A997" s="139" t="s">
        <v>192</v>
      </c>
      <c r="B997" s="140">
        <v>45097</v>
      </c>
      <c r="C997">
        <v>20</v>
      </c>
      <c r="D997">
        <v>6</v>
      </c>
      <c r="E997" t="str">
        <f>TEXT(ACTUAL_EXPENSES[[#This Row],[Date]],"mmm")</f>
        <v>Jun</v>
      </c>
    </row>
    <row r="998" spans="1:5" x14ac:dyDescent="0.2">
      <c r="A998" s="139" t="s">
        <v>192</v>
      </c>
      <c r="B998" s="140">
        <v>45098</v>
      </c>
      <c r="C998">
        <v>21</v>
      </c>
      <c r="D998">
        <v>6</v>
      </c>
      <c r="E998" t="str">
        <f>TEXT(ACTUAL_EXPENSES[[#This Row],[Date]],"mmm")</f>
        <v>Jun</v>
      </c>
    </row>
    <row r="999" spans="1:5" x14ac:dyDescent="0.2">
      <c r="A999" s="139" t="s">
        <v>192</v>
      </c>
      <c r="B999" s="140">
        <v>45099</v>
      </c>
      <c r="C999">
        <v>22</v>
      </c>
      <c r="D999">
        <v>6</v>
      </c>
      <c r="E999" t="str">
        <f>TEXT(ACTUAL_EXPENSES[[#This Row],[Date]],"mmm")</f>
        <v>Jun</v>
      </c>
    </row>
    <row r="1000" spans="1:5" x14ac:dyDescent="0.2">
      <c r="A1000" s="139" t="s">
        <v>192</v>
      </c>
      <c r="B1000" s="140">
        <v>45100</v>
      </c>
      <c r="C1000">
        <v>23</v>
      </c>
      <c r="D1000">
        <v>6</v>
      </c>
      <c r="E1000" t="str">
        <f>TEXT(ACTUAL_EXPENSES[[#This Row],[Date]],"mmm")</f>
        <v>Jun</v>
      </c>
    </row>
    <row r="1001" spans="1:5" x14ac:dyDescent="0.2">
      <c r="A1001" s="139" t="s">
        <v>192</v>
      </c>
      <c r="B1001" s="140">
        <v>45101</v>
      </c>
      <c r="C1001">
        <v>24</v>
      </c>
      <c r="D1001">
        <v>6</v>
      </c>
      <c r="E1001" t="str">
        <f>TEXT(ACTUAL_EXPENSES[[#This Row],[Date]],"mmm")</f>
        <v>Jun</v>
      </c>
    </row>
    <row r="1002" spans="1:5" x14ac:dyDescent="0.2">
      <c r="A1002" s="139" t="s">
        <v>192</v>
      </c>
      <c r="B1002" s="140">
        <v>45102</v>
      </c>
      <c r="C1002">
        <v>25</v>
      </c>
      <c r="D1002">
        <v>6</v>
      </c>
      <c r="E1002" t="str">
        <f>TEXT(ACTUAL_EXPENSES[[#This Row],[Date]],"mmm")</f>
        <v>Jun</v>
      </c>
    </row>
    <row r="1003" spans="1:5" x14ac:dyDescent="0.2">
      <c r="A1003" s="139" t="s">
        <v>192</v>
      </c>
      <c r="B1003" s="140">
        <v>45103</v>
      </c>
      <c r="C1003">
        <v>26</v>
      </c>
      <c r="D1003">
        <v>6</v>
      </c>
      <c r="E1003" t="str">
        <f>TEXT(ACTUAL_EXPENSES[[#This Row],[Date]],"mmm")</f>
        <v>Jun</v>
      </c>
    </row>
    <row r="1004" spans="1:5" x14ac:dyDescent="0.2">
      <c r="A1004" s="139" t="s">
        <v>192</v>
      </c>
      <c r="B1004" s="140">
        <v>45104</v>
      </c>
      <c r="C1004">
        <v>27</v>
      </c>
      <c r="D1004">
        <v>6</v>
      </c>
      <c r="E1004" t="str">
        <f>TEXT(ACTUAL_EXPENSES[[#This Row],[Date]],"mmm")</f>
        <v>Jun</v>
      </c>
    </row>
    <row r="1005" spans="1:5" x14ac:dyDescent="0.2">
      <c r="A1005" s="139" t="s">
        <v>192</v>
      </c>
      <c r="B1005" s="140">
        <v>45105</v>
      </c>
      <c r="C1005">
        <v>28</v>
      </c>
      <c r="D1005">
        <v>6</v>
      </c>
      <c r="E1005" t="str">
        <f>TEXT(ACTUAL_EXPENSES[[#This Row],[Date]],"mmm")</f>
        <v>Jun</v>
      </c>
    </row>
    <row r="1006" spans="1:5" x14ac:dyDescent="0.2">
      <c r="A1006" s="139" t="s">
        <v>192</v>
      </c>
      <c r="B1006" s="140">
        <v>45106</v>
      </c>
      <c r="C1006">
        <v>29</v>
      </c>
      <c r="D1006">
        <v>6</v>
      </c>
      <c r="E1006" t="str">
        <f>TEXT(ACTUAL_EXPENSES[[#This Row],[Date]],"mmm")</f>
        <v>Jun</v>
      </c>
    </row>
    <row r="1007" spans="1:5" x14ac:dyDescent="0.2">
      <c r="A1007" s="139" t="s">
        <v>192</v>
      </c>
      <c r="B1007" s="140">
        <v>45107</v>
      </c>
      <c r="C1007">
        <v>30</v>
      </c>
      <c r="D1007">
        <v>6</v>
      </c>
      <c r="E1007" t="str">
        <f>TEXT(ACTUAL_EXPENSES[[#This Row],[Date]],"mmm")</f>
        <v>Jun</v>
      </c>
    </row>
    <row r="1008" spans="1:5" x14ac:dyDescent="0.2">
      <c r="A1008" s="139" t="s">
        <v>192</v>
      </c>
      <c r="B1008" s="140"/>
      <c r="C1008">
        <v>31</v>
      </c>
      <c r="E1008" t="str">
        <f>TEXT(ACTUAL_EXPENSES[[#This Row],[Date]],"mmm")</f>
        <v>Jan</v>
      </c>
    </row>
    <row r="1009" spans="1:5" x14ac:dyDescent="0.2">
      <c r="A1009" s="139" t="s">
        <v>46</v>
      </c>
      <c r="B1009" s="140">
        <v>45078</v>
      </c>
      <c r="C1009">
        <v>0</v>
      </c>
      <c r="D1009">
        <v>6</v>
      </c>
      <c r="E1009" t="str">
        <f>TEXT(ACTUAL_EXPENSES[[#This Row],[Date]],"mmm")</f>
        <v>Jun</v>
      </c>
    </row>
    <row r="1010" spans="1:5" x14ac:dyDescent="0.2">
      <c r="A1010" s="139" t="s">
        <v>46</v>
      </c>
      <c r="B1010" s="140">
        <v>45079</v>
      </c>
      <c r="C1010">
        <v>0</v>
      </c>
      <c r="D1010">
        <v>6</v>
      </c>
      <c r="E1010" t="str">
        <f>TEXT(ACTUAL_EXPENSES[[#This Row],[Date]],"mmm")</f>
        <v>Jun</v>
      </c>
    </row>
    <row r="1011" spans="1:5" x14ac:dyDescent="0.2">
      <c r="A1011" s="139" t="s">
        <v>46</v>
      </c>
      <c r="B1011" s="140">
        <v>45104</v>
      </c>
      <c r="C1011">
        <v>500</v>
      </c>
      <c r="D1011">
        <v>6</v>
      </c>
      <c r="E1011" t="str">
        <f>TEXT(ACTUAL_EXPENSES[[#This Row],[Date]],"mmm")</f>
        <v>Jun</v>
      </c>
    </row>
    <row r="1012" spans="1:5" x14ac:dyDescent="0.2">
      <c r="A1012" s="139" t="s">
        <v>52</v>
      </c>
      <c r="B1012" s="140">
        <v>45078</v>
      </c>
      <c r="C1012">
        <v>0</v>
      </c>
      <c r="D1012">
        <v>6</v>
      </c>
      <c r="E1012" t="str">
        <f>TEXT(ACTUAL_EXPENSES[[#This Row],[Date]],"mmm")</f>
        <v>Jun</v>
      </c>
    </row>
    <row r="1013" spans="1:5" x14ac:dyDescent="0.2">
      <c r="A1013" s="139" t="s">
        <v>52</v>
      </c>
      <c r="B1013" s="140">
        <v>45079</v>
      </c>
      <c r="C1013">
        <v>0</v>
      </c>
      <c r="D1013">
        <v>6</v>
      </c>
      <c r="E1013" t="str">
        <f>TEXT(ACTUAL_EXPENSES[[#This Row],[Date]],"mmm")</f>
        <v>Jun</v>
      </c>
    </row>
    <row r="1014" spans="1:5" x14ac:dyDescent="0.2">
      <c r="A1014" s="139" t="s">
        <v>52</v>
      </c>
      <c r="B1014" s="140">
        <v>45082</v>
      </c>
      <c r="C1014">
        <v>300</v>
      </c>
      <c r="D1014">
        <v>6</v>
      </c>
      <c r="E1014" t="str">
        <f>TEXT(ACTUAL_EXPENSES[[#This Row],[Date]],"mmm")</f>
        <v>Jun</v>
      </c>
    </row>
    <row r="1015" spans="1:5" x14ac:dyDescent="0.2">
      <c r="A1015" s="139" t="s">
        <v>44</v>
      </c>
      <c r="B1015" s="140">
        <v>45104</v>
      </c>
      <c r="C1015">
        <v>350</v>
      </c>
      <c r="D1015">
        <v>6</v>
      </c>
      <c r="E1015" t="str">
        <f>TEXT(ACTUAL_EXPENSES[[#This Row],[Date]],"mmm")</f>
        <v>Jun</v>
      </c>
    </row>
    <row r="1016" spans="1:5" x14ac:dyDescent="0.2">
      <c r="A1016" s="139" t="s">
        <v>161</v>
      </c>
      <c r="B1016" s="140">
        <v>45078</v>
      </c>
      <c r="C1016">
        <v>0</v>
      </c>
      <c r="D1016">
        <v>6</v>
      </c>
      <c r="E1016" t="str">
        <f>TEXT(ACTUAL_EXPENSES[[#This Row],[Date]],"mmm")</f>
        <v>Jun</v>
      </c>
    </row>
    <row r="1017" spans="1:5" x14ac:dyDescent="0.2">
      <c r="A1017" s="139" t="s">
        <v>161</v>
      </c>
      <c r="B1017" s="140">
        <v>45079</v>
      </c>
      <c r="C1017">
        <v>0</v>
      </c>
      <c r="D1017">
        <v>6</v>
      </c>
      <c r="E1017" t="str">
        <f>TEXT(ACTUAL_EXPENSES[[#This Row],[Date]],"mmm")</f>
        <v>Jun</v>
      </c>
    </row>
    <row r="1018" spans="1:5" x14ac:dyDescent="0.2">
      <c r="A1018" s="139" t="s">
        <v>41</v>
      </c>
      <c r="B1018" s="140">
        <v>45078</v>
      </c>
      <c r="C1018">
        <v>13</v>
      </c>
      <c r="D1018">
        <v>6</v>
      </c>
      <c r="E1018" t="str">
        <f>TEXT(ACTUAL_EXPENSES[[#This Row],[Date]],"mmm")</f>
        <v>Jun</v>
      </c>
    </row>
    <row r="1019" spans="1:5" x14ac:dyDescent="0.2">
      <c r="A1019" s="139" t="s">
        <v>41</v>
      </c>
      <c r="B1019" s="140">
        <v>45079</v>
      </c>
      <c r="C1019">
        <v>172</v>
      </c>
      <c r="D1019">
        <v>6</v>
      </c>
      <c r="E1019" t="str">
        <f>TEXT(ACTUAL_EXPENSES[[#This Row],[Date]],"mmm")</f>
        <v>Jun</v>
      </c>
    </row>
    <row r="1020" spans="1:5" x14ac:dyDescent="0.2">
      <c r="A1020" s="139" t="s">
        <v>41</v>
      </c>
      <c r="B1020" s="140">
        <v>45080</v>
      </c>
      <c r="C1020">
        <v>23</v>
      </c>
      <c r="D1020">
        <v>6</v>
      </c>
      <c r="E1020" t="str">
        <f>TEXT(ACTUAL_EXPENSES[[#This Row],[Date]],"mmm")</f>
        <v>Jun</v>
      </c>
    </row>
    <row r="1021" spans="1:5" x14ac:dyDescent="0.2">
      <c r="A1021" s="139" t="s">
        <v>41</v>
      </c>
      <c r="B1021" s="140">
        <v>45081</v>
      </c>
      <c r="C1021">
        <v>11.5</v>
      </c>
      <c r="D1021">
        <v>6</v>
      </c>
      <c r="E1021" t="str">
        <f>TEXT(ACTUAL_EXPENSES[[#This Row],[Date]],"mmm")</f>
        <v>Jun</v>
      </c>
    </row>
    <row r="1022" spans="1:5" x14ac:dyDescent="0.2">
      <c r="A1022" s="139" t="s">
        <v>41</v>
      </c>
      <c r="B1022" s="140">
        <v>45082</v>
      </c>
      <c r="C1022">
        <v>8</v>
      </c>
      <c r="D1022">
        <v>6</v>
      </c>
      <c r="E1022" t="str">
        <f>TEXT(ACTUAL_EXPENSES[[#This Row],[Date]],"mmm")</f>
        <v>Jun</v>
      </c>
    </row>
    <row r="1023" spans="1:5" x14ac:dyDescent="0.2">
      <c r="A1023" s="139" t="s">
        <v>41</v>
      </c>
      <c r="B1023" s="140">
        <v>45083</v>
      </c>
      <c r="C1023">
        <v>24</v>
      </c>
      <c r="D1023">
        <v>6</v>
      </c>
      <c r="E1023" t="str">
        <f>TEXT(ACTUAL_EXPENSES[[#This Row],[Date]],"mmm")</f>
        <v>Jun</v>
      </c>
    </row>
    <row r="1024" spans="1:5" x14ac:dyDescent="0.2">
      <c r="A1024" s="139" t="s">
        <v>41</v>
      </c>
      <c r="B1024" s="140">
        <v>45084</v>
      </c>
      <c r="C1024">
        <v>7</v>
      </c>
      <c r="D1024">
        <v>6</v>
      </c>
      <c r="E1024" t="str">
        <f>TEXT(ACTUAL_EXPENSES[[#This Row],[Date]],"mmm")</f>
        <v>Jun</v>
      </c>
    </row>
    <row r="1025" spans="1:5" x14ac:dyDescent="0.2">
      <c r="A1025" s="139" t="s">
        <v>41</v>
      </c>
      <c r="B1025" s="140">
        <v>45085</v>
      </c>
      <c r="C1025">
        <v>12</v>
      </c>
      <c r="D1025">
        <v>6</v>
      </c>
      <c r="E1025" t="str">
        <f>TEXT(ACTUAL_EXPENSES[[#This Row],[Date]],"mmm")</f>
        <v>Jun</v>
      </c>
    </row>
    <row r="1026" spans="1:5" x14ac:dyDescent="0.2">
      <c r="A1026" s="139" t="s">
        <v>41</v>
      </c>
      <c r="B1026" s="140">
        <v>45086</v>
      </c>
      <c r="C1026">
        <v>17</v>
      </c>
      <c r="D1026">
        <v>6</v>
      </c>
      <c r="E1026" t="str">
        <f>TEXT(ACTUAL_EXPENSES[[#This Row],[Date]],"mmm")</f>
        <v>Jun</v>
      </c>
    </row>
    <row r="1027" spans="1:5" x14ac:dyDescent="0.2">
      <c r="A1027" s="139" t="s">
        <v>41</v>
      </c>
      <c r="B1027" s="140">
        <v>45087</v>
      </c>
      <c r="C1027">
        <v>37</v>
      </c>
      <c r="D1027">
        <v>6</v>
      </c>
      <c r="E1027" t="str">
        <f>TEXT(ACTUAL_EXPENSES[[#This Row],[Date]],"mmm")</f>
        <v>Jun</v>
      </c>
    </row>
    <row r="1028" spans="1:5" x14ac:dyDescent="0.2">
      <c r="A1028" s="139" t="s">
        <v>41</v>
      </c>
      <c r="B1028" s="140">
        <v>45089</v>
      </c>
      <c r="C1028">
        <v>7</v>
      </c>
      <c r="D1028">
        <v>6</v>
      </c>
      <c r="E1028" t="str">
        <f>TEXT(ACTUAL_EXPENSES[[#This Row],[Date]],"mmm")</f>
        <v>Jun</v>
      </c>
    </row>
    <row r="1029" spans="1:5" x14ac:dyDescent="0.2">
      <c r="A1029" s="139" t="s">
        <v>41</v>
      </c>
      <c r="B1029" s="140">
        <v>45090</v>
      </c>
      <c r="C1029">
        <v>57</v>
      </c>
      <c r="D1029">
        <v>6</v>
      </c>
      <c r="E1029" t="str">
        <f>TEXT(ACTUAL_EXPENSES[[#This Row],[Date]],"mmm")</f>
        <v>Jun</v>
      </c>
    </row>
    <row r="1030" spans="1:5" x14ac:dyDescent="0.2">
      <c r="A1030" s="139" t="s">
        <v>41</v>
      </c>
      <c r="B1030" s="140">
        <v>45091</v>
      </c>
      <c r="C1030">
        <v>7</v>
      </c>
      <c r="D1030">
        <v>6</v>
      </c>
      <c r="E1030" t="str">
        <f>TEXT(ACTUAL_EXPENSES[[#This Row],[Date]],"mmm")</f>
        <v>Jun</v>
      </c>
    </row>
    <row r="1031" spans="1:5" x14ac:dyDescent="0.2">
      <c r="A1031" s="139" t="s">
        <v>41</v>
      </c>
      <c r="B1031" s="140">
        <v>45092</v>
      </c>
      <c r="C1031">
        <v>8</v>
      </c>
      <c r="D1031">
        <v>6</v>
      </c>
      <c r="E1031" t="str">
        <f>TEXT(ACTUAL_EXPENSES[[#This Row],[Date]],"mmm")</f>
        <v>Jun</v>
      </c>
    </row>
    <row r="1032" spans="1:5" x14ac:dyDescent="0.2">
      <c r="A1032" s="139" t="s">
        <v>41</v>
      </c>
      <c r="B1032" s="140">
        <v>45093</v>
      </c>
      <c r="C1032">
        <v>9</v>
      </c>
      <c r="D1032">
        <v>6</v>
      </c>
      <c r="E1032" t="str">
        <f>TEXT(ACTUAL_EXPENSES[[#This Row],[Date]],"mmm")</f>
        <v>Jun</v>
      </c>
    </row>
    <row r="1033" spans="1:5" x14ac:dyDescent="0.2">
      <c r="A1033" s="139" t="s">
        <v>41</v>
      </c>
      <c r="B1033" s="140">
        <v>45094</v>
      </c>
      <c r="C1033">
        <v>80</v>
      </c>
      <c r="D1033">
        <v>6</v>
      </c>
      <c r="E1033" t="str">
        <f>TEXT(ACTUAL_EXPENSES[[#This Row],[Date]],"mmm")</f>
        <v>Jun</v>
      </c>
    </row>
    <row r="1034" spans="1:5" x14ac:dyDescent="0.2">
      <c r="A1034" s="139" t="s">
        <v>41</v>
      </c>
      <c r="B1034" s="140">
        <v>45097</v>
      </c>
      <c r="C1034">
        <v>17</v>
      </c>
      <c r="D1034">
        <v>6</v>
      </c>
      <c r="E1034" t="str">
        <f>TEXT(ACTUAL_EXPENSES[[#This Row],[Date]],"mmm")</f>
        <v>Jun</v>
      </c>
    </row>
    <row r="1035" spans="1:5" x14ac:dyDescent="0.2">
      <c r="A1035" s="139" t="s">
        <v>41</v>
      </c>
      <c r="B1035" s="140">
        <v>45098</v>
      </c>
      <c r="C1035">
        <v>24</v>
      </c>
      <c r="D1035">
        <v>6</v>
      </c>
      <c r="E1035" t="str">
        <f>TEXT(ACTUAL_EXPENSES[[#This Row],[Date]],"mmm")</f>
        <v>Jun</v>
      </c>
    </row>
    <row r="1036" spans="1:5" x14ac:dyDescent="0.2">
      <c r="A1036" s="139" t="s">
        <v>41</v>
      </c>
      <c r="B1036" s="140">
        <v>45099</v>
      </c>
      <c r="C1036">
        <v>24</v>
      </c>
      <c r="D1036">
        <v>6</v>
      </c>
      <c r="E1036" t="str">
        <f>TEXT(ACTUAL_EXPENSES[[#This Row],[Date]],"mmm")</f>
        <v>Jun</v>
      </c>
    </row>
    <row r="1037" spans="1:5" x14ac:dyDescent="0.2">
      <c r="A1037" s="139" t="s">
        <v>41</v>
      </c>
      <c r="B1037" s="140">
        <v>45102</v>
      </c>
      <c r="C1037">
        <v>10</v>
      </c>
      <c r="D1037">
        <v>6</v>
      </c>
      <c r="E1037" t="str">
        <f>TEXT(ACTUAL_EXPENSES[[#This Row],[Date]],"mmm")</f>
        <v>Jun</v>
      </c>
    </row>
    <row r="1038" spans="1:5" x14ac:dyDescent="0.2">
      <c r="A1038" s="139" t="s">
        <v>41</v>
      </c>
      <c r="B1038" s="140">
        <v>45104</v>
      </c>
      <c r="C1038">
        <v>13</v>
      </c>
      <c r="D1038">
        <v>6</v>
      </c>
      <c r="E1038" t="str">
        <f>TEXT(ACTUAL_EXPENSES[[#This Row],[Date]],"mmm")</f>
        <v>Jun</v>
      </c>
    </row>
    <row r="1039" spans="1:5" x14ac:dyDescent="0.2">
      <c r="A1039" s="139" t="s">
        <v>41</v>
      </c>
      <c r="B1039" s="140">
        <v>45105</v>
      </c>
      <c r="C1039">
        <v>22</v>
      </c>
      <c r="D1039">
        <v>6</v>
      </c>
      <c r="E1039" t="str">
        <f>TEXT(ACTUAL_EXPENSES[[#This Row],[Date]],"mmm")</f>
        <v>Jun</v>
      </c>
    </row>
    <row r="1040" spans="1:5" x14ac:dyDescent="0.2">
      <c r="A1040" s="139" t="s">
        <v>41</v>
      </c>
      <c r="B1040" s="140">
        <v>45106</v>
      </c>
      <c r="C1040">
        <v>7</v>
      </c>
      <c r="D1040">
        <v>6</v>
      </c>
      <c r="E1040" t="str">
        <f>TEXT(ACTUAL_EXPENSES[[#This Row],[Date]],"mmm")</f>
        <v>Jun</v>
      </c>
    </row>
    <row r="1041" spans="1:5" x14ac:dyDescent="0.2">
      <c r="A1041" s="139" t="s">
        <v>41</v>
      </c>
      <c r="B1041" s="140">
        <v>45107</v>
      </c>
      <c r="C1041">
        <v>34</v>
      </c>
      <c r="D1041">
        <v>6</v>
      </c>
      <c r="E1041" t="str">
        <f>TEXT(ACTUAL_EXPENSES[[#This Row],[Date]],"mmm")</f>
        <v>Jun</v>
      </c>
    </row>
    <row r="1042" spans="1:5" x14ac:dyDescent="0.2">
      <c r="A1042" s="139" t="s">
        <v>61</v>
      </c>
      <c r="B1042" s="140">
        <v>45078</v>
      </c>
      <c r="C1042">
        <v>0</v>
      </c>
      <c r="D1042">
        <v>6</v>
      </c>
      <c r="E1042" t="str">
        <f>TEXT(ACTUAL_EXPENSES[[#This Row],[Date]],"mmm")</f>
        <v>Jun</v>
      </c>
    </row>
    <row r="1043" spans="1:5" x14ac:dyDescent="0.2">
      <c r="A1043" s="139" t="s">
        <v>61</v>
      </c>
      <c r="B1043" s="140">
        <v>45079</v>
      </c>
      <c r="C1043">
        <v>0</v>
      </c>
      <c r="D1043">
        <v>6</v>
      </c>
      <c r="E1043" t="str">
        <f>TEXT(ACTUAL_EXPENSES[[#This Row],[Date]],"mmm")</f>
        <v>Jun</v>
      </c>
    </row>
    <row r="1044" spans="1:5" x14ac:dyDescent="0.2">
      <c r="A1044" s="139" t="s">
        <v>61</v>
      </c>
      <c r="B1044" s="140">
        <v>45082</v>
      </c>
      <c r="C1044">
        <v>20</v>
      </c>
      <c r="D1044">
        <v>6</v>
      </c>
      <c r="E1044" t="str">
        <f>TEXT(ACTUAL_EXPENSES[[#This Row],[Date]],"mmm")</f>
        <v>Jun</v>
      </c>
    </row>
    <row r="1045" spans="1:5" x14ac:dyDescent="0.2">
      <c r="A1045" s="139" t="s">
        <v>61</v>
      </c>
      <c r="B1045" s="140">
        <v>45099</v>
      </c>
      <c r="C1045">
        <v>15.5</v>
      </c>
      <c r="D1045">
        <v>6</v>
      </c>
      <c r="E1045" t="str">
        <f>TEXT(ACTUAL_EXPENSES[[#This Row],[Date]],"mmm")</f>
        <v>Jun</v>
      </c>
    </row>
    <row r="1046" spans="1:5" x14ac:dyDescent="0.2">
      <c r="A1046" s="139" t="s">
        <v>61</v>
      </c>
      <c r="B1046" s="140">
        <v>45101</v>
      </c>
      <c r="C1046">
        <v>40</v>
      </c>
      <c r="D1046">
        <v>6</v>
      </c>
      <c r="E1046" t="str">
        <f>TEXT(ACTUAL_EXPENSES[[#This Row],[Date]],"mmm")</f>
        <v>Jun</v>
      </c>
    </row>
    <row r="1047" spans="1:5" x14ac:dyDescent="0.2">
      <c r="A1047" s="139" t="s">
        <v>128</v>
      </c>
      <c r="B1047" s="140">
        <v>45078</v>
      </c>
      <c r="C1047">
        <v>0</v>
      </c>
      <c r="D1047">
        <v>6</v>
      </c>
      <c r="E1047" t="str">
        <f>TEXT(ACTUAL_EXPENSES[[#This Row],[Date]],"mmm")</f>
        <v>Jun</v>
      </c>
    </row>
    <row r="1048" spans="1:5" x14ac:dyDescent="0.2">
      <c r="A1048" s="139" t="s">
        <v>128</v>
      </c>
      <c r="B1048" s="140">
        <v>45079</v>
      </c>
      <c r="C1048">
        <v>0</v>
      </c>
      <c r="D1048">
        <v>6</v>
      </c>
      <c r="E1048" t="str">
        <f>TEXT(ACTUAL_EXPENSES[[#This Row],[Date]],"mmm")</f>
        <v>Jun</v>
      </c>
    </row>
    <row r="1049" spans="1:5" x14ac:dyDescent="0.2">
      <c r="A1049" s="139" t="s">
        <v>43</v>
      </c>
      <c r="B1049" s="140">
        <v>45100</v>
      </c>
      <c r="C1049">
        <v>100</v>
      </c>
      <c r="D1049">
        <v>6</v>
      </c>
      <c r="E1049" t="str">
        <f>TEXT(ACTUAL_EXPENSES[[#This Row],[Date]],"mmm")</f>
        <v>Jun</v>
      </c>
    </row>
    <row r="1050" spans="1:5" x14ac:dyDescent="0.2">
      <c r="A1050" s="139" t="s">
        <v>53</v>
      </c>
      <c r="B1050" s="140">
        <v>45078</v>
      </c>
      <c r="C1050">
        <v>107.96</v>
      </c>
      <c r="D1050">
        <v>6</v>
      </c>
      <c r="E1050" t="str">
        <f>TEXT(ACTUAL_EXPENSES[[#This Row],[Date]],"mmm")</f>
        <v>Jun</v>
      </c>
    </row>
    <row r="1051" spans="1:5" x14ac:dyDescent="0.2">
      <c r="A1051" s="139" t="s">
        <v>53</v>
      </c>
      <c r="B1051" s="140">
        <v>45092</v>
      </c>
      <c r="C1051">
        <v>23</v>
      </c>
      <c r="D1051">
        <v>6</v>
      </c>
      <c r="E1051" t="str">
        <f>TEXT(ACTUAL_EXPENSES[[#This Row],[Date]],"mmm")</f>
        <v>Jun</v>
      </c>
    </row>
    <row r="1052" spans="1:5" x14ac:dyDescent="0.2">
      <c r="A1052" s="139" t="s">
        <v>53</v>
      </c>
      <c r="B1052" s="140">
        <v>45099</v>
      </c>
      <c r="C1052">
        <v>40</v>
      </c>
      <c r="D1052">
        <v>6</v>
      </c>
      <c r="E1052" t="str">
        <f>TEXT(ACTUAL_EXPENSES[[#This Row],[Date]],"mmm")</f>
        <v>Jun</v>
      </c>
    </row>
    <row r="1053" spans="1:5" x14ac:dyDescent="0.2">
      <c r="A1053" s="139" t="s">
        <v>53</v>
      </c>
      <c r="B1053" s="140">
        <v>45101</v>
      </c>
      <c r="C1053">
        <v>575.45000000000005</v>
      </c>
      <c r="D1053">
        <v>6</v>
      </c>
      <c r="E1053" t="str">
        <f>TEXT(ACTUAL_EXPENSES[[#This Row],[Date]],"mmm")</f>
        <v>Jun</v>
      </c>
    </row>
    <row r="1054" spans="1:5" x14ac:dyDescent="0.2">
      <c r="A1054" s="139" t="s">
        <v>39</v>
      </c>
      <c r="B1054" s="140">
        <v>45078</v>
      </c>
      <c r="C1054">
        <v>3</v>
      </c>
      <c r="D1054">
        <v>6</v>
      </c>
      <c r="E1054" t="str">
        <f>TEXT(ACTUAL_EXPENSES[[#This Row],[Date]],"mmm")</f>
        <v>Jun</v>
      </c>
    </row>
    <row r="1055" spans="1:5" x14ac:dyDescent="0.2">
      <c r="A1055" s="139" t="s">
        <v>39</v>
      </c>
      <c r="B1055" s="140">
        <v>45079</v>
      </c>
      <c r="C1055">
        <v>110</v>
      </c>
      <c r="D1055">
        <v>6</v>
      </c>
      <c r="E1055" t="str">
        <f>TEXT(ACTUAL_EXPENSES[[#This Row],[Date]],"mmm")</f>
        <v>Jun</v>
      </c>
    </row>
    <row r="1056" spans="1:5" x14ac:dyDescent="0.2">
      <c r="A1056" s="139" t="s">
        <v>39</v>
      </c>
      <c r="B1056" s="140">
        <v>45086</v>
      </c>
      <c r="C1056">
        <v>78</v>
      </c>
      <c r="D1056">
        <v>6</v>
      </c>
      <c r="E1056" t="str">
        <f>TEXT(ACTUAL_EXPENSES[[#This Row],[Date]],"mmm")</f>
        <v>Jun</v>
      </c>
    </row>
    <row r="1057" spans="1:5" x14ac:dyDescent="0.2">
      <c r="A1057" s="139" t="s">
        <v>39</v>
      </c>
      <c r="B1057" s="140">
        <v>45091</v>
      </c>
      <c r="C1057">
        <v>12.5</v>
      </c>
      <c r="D1057">
        <v>6</v>
      </c>
      <c r="E1057" t="str">
        <f>TEXT(ACTUAL_EXPENSES[[#This Row],[Date]],"mmm")</f>
        <v>Jun</v>
      </c>
    </row>
    <row r="1058" spans="1:5" x14ac:dyDescent="0.2">
      <c r="A1058" s="139" t="s">
        <v>39</v>
      </c>
      <c r="B1058" s="140">
        <v>45093</v>
      </c>
      <c r="C1058">
        <v>55</v>
      </c>
      <c r="D1058">
        <v>6</v>
      </c>
      <c r="E1058" t="str">
        <f>TEXT(ACTUAL_EXPENSES[[#This Row],[Date]],"mmm")</f>
        <v>Jun</v>
      </c>
    </row>
    <row r="1059" spans="1:5" x14ac:dyDescent="0.2">
      <c r="A1059" s="139" t="s">
        <v>39</v>
      </c>
      <c r="B1059" s="140">
        <v>45094</v>
      </c>
      <c r="C1059">
        <v>35</v>
      </c>
      <c r="D1059">
        <v>6</v>
      </c>
      <c r="E1059" t="str">
        <f>TEXT(ACTUAL_EXPENSES[[#This Row],[Date]],"mmm")</f>
        <v>Jun</v>
      </c>
    </row>
    <row r="1060" spans="1:5" x14ac:dyDescent="0.2">
      <c r="A1060" s="139" t="s">
        <v>39</v>
      </c>
      <c r="B1060" s="140">
        <v>45095</v>
      </c>
      <c r="C1060">
        <v>20</v>
      </c>
      <c r="D1060">
        <v>6</v>
      </c>
      <c r="E1060" t="str">
        <f>TEXT(ACTUAL_EXPENSES[[#This Row],[Date]],"mmm")</f>
        <v>Jun</v>
      </c>
    </row>
    <row r="1061" spans="1:5" x14ac:dyDescent="0.2">
      <c r="A1061" s="139" t="s">
        <v>39</v>
      </c>
      <c r="B1061" s="140">
        <v>45096</v>
      </c>
      <c r="C1061">
        <v>97</v>
      </c>
      <c r="D1061">
        <v>6</v>
      </c>
      <c r="E1061" t="str">
        <f>TEXT(ACTUAL_EXPENSES[[#This Row],[Date]],"mmm")</f>
        <v>Jun</v>
      </c>
    </row>
    <row r="1062" spans="1:5" x14ac:dyDescent="0.2">
      <c r="A1062" s="139" t="s">
        <v>39</v>
      </c>
      <c r="B1062" s="140">
        <v>45097</v>
      </c>
      <c r="C1062">
        <v>12.5</v>
      </c>
      <c r="D1062">
        <v>6</v>
      </c>
      <c r="E1062" t="str">
        <f>TEXT(ACTUAL_EXPENSES[[#This Row],[Date]],"mmm")</f>
        <v>Jun</v>
      </c>
    </row>
    <row r="1063" spans="1:5" x14ac:dyDescent="0.2">
      <c r="A1063" s="139" t="s">
        <v>39</v>
      </c>
      <c r="B1063" s="140">
        <v>45098</v>
      </c>
      <c r="C1063">
        <v>90</v>
      </c>
      <c r="D1063">
        <v>6</v>
      </c>
      <c r="E1063" t="str">
        <f>TEXT(ACTUAL_EXPENSES[[#This Row],[Date]],"mmm")</f>
        <v>Jun</v>
      </c>
    </row>
    <row r="1064" spans="1:5" x14ac:dyDescent="0.2">
      <c r="A1064" s="139" t="s">
        <v>39</v>
      </c>
      <c r="B1064" s="140">
        <v>45099</v>
      </c>
      <c r="C1064">
        <v>11.5</v>
      </c>
      <c r="D1064">
        <v>6</v>
      </c>
      <c r="E1064" t="str">
        <f>TEXT(ACTUAL_EXPENSES[[#This Row],[Date]],"mmm")</f>
        <v>Jun</v>
      </c>
    </row>
    <row r="1065" spans="1:5" x14ac:dyDescent="0.2">
      <c r="A1065" s="139" t="s">
        <v>39</v>
      </c>
      <c r="B1065" s="140">
        <v>45100</v>
      </c>
      <c r="C1065">
        <v>79</v>
      </c>
      <c r="D1065">
        <v>6</v>
      </c>
      <c r="E1065" t="str">
        <f>TEXT(ACTUAL_EXPENSES[[#This Row],[Date]],"mmm")</f>
        <v>Jun</v>
      </c>
    </row>
    <row r="1066" spans="1:5" x14ac:dyDescent="0.2">
      <c r="A1066" s="139" t="s">
        <v>39</v>
      </c>
      <c r="B1066" s="140">
        <v>45101</v>
      </c>
      <c r="C1066">
        <v>16</v>
      </c>
      <c r="D1066">
        <v>6</v>
      </c>
      <c r="E1066" t="str">
        <f>TEXT(ACTUAL_EXPENSES[[#This Row],[Date]],"mmm")</f>
        <v>Jun</v>
      </c>
    </row>
    <row r="1067" spans="1:5" x14ac:dyDescent="0.2">
      <c r="A1067" s="139" t="s">
        <v>39</v>
      </c>
      <c r="B1067" s="140">
        <v>45103</v>
      </c>
      <c r="C1067">
        <v>59.5</v>
      </c>
      <c r="D1067">
        <v>6</v>
      </c>
      <c r="E1067" t="str">
        <f>TEXT(ACTUAL_EXPENSES[[#This Row],[Date]],"mmm")</f>
        <v>Jun</v>
      </c>
    </row>
    <row r="1068" spans="1:5" x14ac:dyDescent="0.2">
      <c r="A1068" s="139" t="s">
        <v>39</v>
      </c>
      <c r="B1068" s="140">
        <v>45104</v>
      </c>
      <c r="C1068">
        <v>25</v>
      </c>
      <c r="D1068">
        <v>6</v>
      </c>
      <c r="E1068" t="str">
        <f>TEXT(ACTUAL_EXPENSES[[#This Row],[Date]],"mmm")</f>
        <v>Jun</v>
      </c>
    </row>
    <row r="1069" spans="1:5" x14ac:dyDescent="0.2">
      <c r="A1069" s="139" t="s">
        <v>39</v>
      </c>
      <c r="B1069" s="140">
        <v>45105</v>
      </c>
      <c r="C1069">
        <v>11.5</v>
      </c>
      <c r="D1069">
        <v>6</v>
      </c>
      <c r="E1069" t="str">
        <f>TEXT(ACTUAL_EXPENSES[[#This Row],[Date]],"mmm")</f>
        <v>Jun</v>
      </c>
    </row>
    <row r="1070" spans="1:5" x14ac:dyDescent="0.2">
      <c r="A1070" s="139" t="s">
        <v>39</v>
      </c>
      <c r="B1070" s="140">
        <v>45106</v>
      </c>
      <c r="C1070">
        <v>54.5</v>
      </c>
      <c r="D1070">
        <v>6</v>
      </c>
      <c r="E1070" t="str">
        <f>TEXT(ACTUAL_EXPENSES[[#This Row],[Date]],"mmm")</f>
        <v>Jun</v>
      </c>
    </row>
    <row r="1071" spans="1:5" x14ac:dyDescent="0.2">
      <c r="A1071" s="139" t="s">
        <v>39</v>
      </c>
      <c r="B1071" s="140">
        <v>45107</v>
      </c>
      <c r="C1071">
        <v>73</v>
      </c>
      <c r="D1071">
        <v>6</v>
      </c>
      <c r="E1071" t="str">
        <f>TEXT(ACTUAL_EXPENSES[[#This Row],[Date]],"mmm")</f>
        <v>Jun</v>
      </c>
    </row>
    <row r="1072" spans="1:5" x14ac:dyDescent="0.2">
      <c r="A1072" s="139" t="s">
        <v>127</v>
      </c>
      <c r="B1072" s="140">
        <v>45082</v>
      </c>
      <c r="C1072">
        <v>30</v>
      </c>
      <c r="D1072">
        <v>6</v>
      </c>
      <c r="E1072" t="str">
        <f>TEXT(ACTUAL_EXPENSES[[#This Row],[Date]],"mmm")</f>
        <v>Jun</v>
      </c>
    </row>
    <row r="1073" spans="1:5" x14ac:dyDescent="0.2">
      <c r="A1073" s="139" t="s">
        <v>127</v>
      </c>
      <c r="B1073" s="140">
        <v>45091</v>
      </c>
      <c r="C1073">
        <v>20</v>
      </c>
      <c r="D1073">
        <v>6</v>
      </c>
      <c r="E1073" t="str">
        <f>TEXT(ACTUAL_EXPENSES[[#This Row],[Date]],"mmm")</f>
        <v>Jun</v>
      </c>
    </row>
    <row r="1074" spans="1:5" x14ac:dyDescent="0.2">
      <c r="A1074" s="139" t="s">
        <v>127</v>
      </c>
      <c r="B1074" s="140">
        <v>45093</v>
      </c>
      <c r="C1074">
        <v>14</v>
      </c>
      <c r="D1074">
        <v>6</v>
      </c>
      <c r="E1074" t="str">
        <f>TEXT(ACTUAL_EXPENSES[[#This Row],[Date]],"mmm")</f>
        <v>Jun</v>
      </c>
    </row>
    <row r="1075" spans="1:5" x14ac:dyDescent="0.2">
      <c r="A1075" s="139" t="s">
        <v>127</v>
      </c>
      <c r="B1075" s="140">
        <v>45094</v>
      </c>
      <c r="C1075">
        <v>39</v>
      </c>
      <c r="D1075">
        <v>6</v>
      </c>
      <c r="E1075" t="str">
        <f>TEXT(ACTUAL_EXPENSES[[#This Row],[Date]],"mmm")</f>
        <v>Jun</v>
      </c>
    </row>
    <row r="1076" spans="1:5" x14ac:dyDescent="0.2">
      <c r="A1076" s="139" t="s">
        <v>127</v>
      </c>
      <c r="B1076" s="140">
        <v>45099</v>
      </c>
      <c r="C1076">
        <v>5</v>
      </c>
      <c r="D1076">
        <v>6</v>
      </c>
      <c r="E1076" t="str">
        <f>TEXT(ACTUAL_EXPENSES[[#This Row],[Date]],"mmm")</f>
        <v>Jun</v>
      </c>
    </row>
    <row r="1077" spans="1:5" x14ac:dyDescent="0.2">
      <c r="A1077" s="139" t="s">
        <v>127</v>
      </c>
      <c r="B1077" s="140">
        <v>45102</v>
      </c>
      <c r="C1077">
        <v>31</v>
      </c>
      <c r="D1077">
        <v>6</v>
      </c>
      <c r="E1077" t="str">
        <f>TEXT(ACTUAL_EXPENSES[[#This Row],[Date]],"mmm")</f>
        <v>Jun</v>
      </c>
    </row>
    <row r="1078" spans="1:5" x14ac:dyDescent="0.2">
      <c r="A1078" s="139" t="s">
        <v>127</v>
      </c>
      <c r="B1078" s="140">
        <v>45106</v>
      </c>
      <c r="C1078">
        <v>600</v>
      </c>
      <c r="D1078">
        <v>6</v>
      </c>
      <c r="E1078" t="str">
        <f>TEXT(ACTUAL_EXPENSES[[#This Row],[Date]],"mmm")</f>
        <v>Jun</v>
      </c>
    </row>
    <row r="1079" spans="1:5" x14ac:dyDescent="0.2">
      <c r="A1079" s="139" t="s">
        <v>48</v>
      </c>
      <c r="B1079" s="140">
        <v>45104</v>
      </c>
      <c r="C1079">
        <v>12.55</v>
      </c>
      <c r="D1079">
        <v>6</v>
      </c>
      <c r="E1079" t="str">
        <f>TEXT(ACTUAL_EXPENSES[[#This Row],[Date]],"mmm")</f>
        <v>Jun</v>
      </c>
    </row>
    <row r="1080" spans="1:5" x14ac:dyDescent="0.2">
      <c r="A1080" s="139" t="s">
        <v>49</v>
      </c>
      <c r="B1080" s="140">
        <v>45087</v>
      </c>
      <c r="C1080">
        <v>9</v>
      </c>
      <c r="D1080">
        <v>6</v>
      </c>
      <c r="E1080" t="str">
        <f>TEXT(ACTUAL_EXPENSES[[#This Row],[Date]],"mmm")</f>
        <v>Jun</v>
      </c>
    </row>
    <row r="1081" spans="1:5" x14ac:dyDescent="0.2">
      <c r="A1081" s="139" t="s">
        <v>126</v>
      </c>
      <c r="B1081" s="140">
        <v>45096</v>
      </c>
      <c r="C1081">
        <v>100.02</v>
      </c>
      <c r="D1081">
        <v>6</v>
      </c>
      <c r="E1081" t="str">
        <f>TEXT(ACTUAL_EXPENSES[[#This Row],[Date]],"mmm")</f>
        <v>Jun</v>
      </c>
    </row>
    <row r="1082" spans="1:5" x14ac:dyDescent="0.2">
      <c r="A1082" s="139" t="s">
        <v>51</v>
      </c>
      <c r="B1082" s="140">
        <v>45102</v>
      </c>
      <c r="C1082">
        <v>3</v>
      </c>
      <c r="D1082">
        <v>6</v>
      </c>
      <c r="E1082" t="str">
        <f>TEXT(ACTUAL_EXPENSES[[#This Row],[Date]],"mmm")</f>
        <v>Jun</v>
      </c>
    </row>
    <row r="1083" spans="1:5" x14ac:dyDescent="0.2">
      <c r="A1083" s="139" t="s">
        <v>51</v>
      </c>
      <c r="B1083" s="140">
        <v>45104</v>
      </c>
      <c r="C1083">
        <v>8.5</v>
      </c>
      <c r="D1083">
        <v>6</v>
      </c>
      <c r="E1083" t="str">
        <f>TEXT(ACTUAL_EXPENSES[[#This Row],[Date]],"mmm")</f>
        <v>Jun</v>
      </c>
    </row>
    <row r="1084" spans="1:5" x14ac:dyDescent="0.2">
      <c r="A1084" s="139" t="s">
        <v>51</v>
      </c>
      <c r="B1084" s="140">
        <v>45107</v>
      </c>
      <c r="C1084">
        <v>5</v>
      </c>
      <c r="D1084">
        <v>6</v>
      </c>
      <c r="E1084" t="str">
        <f>TEXT(ACTUAL_EXPENSES[[#This Row],[Date]],"mmm")</f>
        <v>Jun</v>
      </c>
    </row>
    <row r="1085" spans="1:5" x14ac:dyDescent="0.2">
      <c r="A1085" s="139" t="s">
        <v>193</v>
      </c>
      <c r="B1085" s="140">
        <v>45108</v>
      </c>
      <c r="C1085">
        <v>1</v>
      </c>
      <c r="D1085">
        <v>7</v>
      </c>
      <c r="E1085" t="str">
        <f>TEXT(ACTUAL_EXPENSES[[#This Row],[Date]],"mmm")</f>
        <v>Jul</v>
      </c>
    </row>
    <row r="1086" spans="1:5" x14ac:dyDescent="0.2">
      <c r="A1086" s="139" t="s">
        <v>193</v>
      </c>
      <c r="B1086" s="140">
        <v>45109</v>
      </c>
      <c r="C1086">
        <v>2</v>
      </c>
      <c r="D1086">
        <v>7</v>
      </c>
      <c r="E1086" t="str">
        <f>TEXT(ACTUAL_EXPENSES[[#This Row],[Date]],"mmm")</f>
        <v>Jul</v>
      </c>
    </row>
    <row r="1087" spans="1:5" x14ac:dyDescent="0.2">
      <c r="A1087" s="139" t="s">
        <v>193</v>
      </c>
      <c r="B1087" s="140">
        <v>45110</v>
      </c>
      <c r="C1087">
        <v>3</v>
      </c>
      <c r="D1087">
        <v>7</v>
      </c>
      <c r="E1087" t="str">
        <f>TEXT(ACTUAL_EXPENSES[[#This Row],[Date]],"mmm")</f>
        <v>Jul</v>
      </c>
    </row>
    <row r="1088" spans="1:5" x14ac:dyDescent="0.2">
      <c r="A1088" s="139" t="s">
        <v>193</v>
      </c>
      <c r="B1088" s="140">
        <v>45111</v>
      </c>
      <c r="C1088">
        <v>4</v>
      </c>
      <c r="D1088">
        <v>7</v>
      </c>
      <c r="E1088" t="str">
        <f>TEXT(ACTUAL_EXPENSES[[#This Row],[Date]],"mmm")</f>
        <v>Jul</v>
      </c>
    </row>
    <row r="1089" spans="1:5" x14ac:dyDescent="0.2">
      <c r="A1089" s="139" t="s">
        <v>193</v>
      </c>
      <c r="B1089" s="140">
        <v>45112</v>
      </c>
      <c r="C1089">
        <v>5</v>
      </c>
      <c r="D1089">
        <v>7</v>
      </c>
      <c r="E1089" t="str">
        <f>TEXT(ACTUAL_EXPENSES[[#This Row],[Date]],"mmm")</f>
        <v>Jul</v>
      </c>
    </row>
    <row r="1090" spans="1:5" x14ac:dyDescent="0.2">
      <c r="A1090" s="139" t="s">
        <v>193</v>
      </c>
      <c r="B1090" s="140">
        <v>45113</v>
      </c>
      <c r="C1090">
        <v>6</v>
      </c>
      <c r="D1090">
        <v>7</v>
      </c>
      <c r="E1090" t="str">
        <f>TEXT(ACTUAL_EXPENSES[[#This Row],[Date]],"mmm")</f>
        <v>Jul</v>
      </c>
    </row>
    <row r="1091" spans="1:5" x14ac:dyDescent="0.2">
      <c r="A1091" s="139" t="s">
        <v>193</v>
      </c>
      <c r="B1091" s="140">
        <v>45114</v>
      </c>
      <c r="C1091">
        <v>7</v>
      </c>
      <c r="D1091">
        <v>7</v>
      </c>
      <c r="E1091" t="str">
        <f>TEXT(ACTUAL_EXPENSES[[#This Row],[Date]],"mmm")</f>
        <v>Jul</v>
      </c>
    </row>
    <row r="1092" spans="1:5" x14ac:dyDescent="0.2">
      <c r="A1092" s="139" t="s">
        <v>193</v>
      </c>
      <c r="B1092" s="140">
        <v>45115</v>
      </c>
      <c r="C1092">
        <v>8</v>
      </c>
      <c r="D1092">
        <v>7</v>
      </c>
      <c r="E1092" t="str">
        <f>TEXT(ACTUAL_EXPENSES[[#This Row],[Date]],"mmm")</f>
        <v>Jul</v>
      </c>
    </row>
    <row r="1093" spans="1:5" x14ac:dyDescent="0.2">
      <c r="A1093" s="139" t="s">
        <v>193</v>
      </c>
      <c r="B1093" s="140">
        <v>45116</v>
      </c>
      <c r="C1093">
        <v>9</v>
      </c>
      <c r="D1093">
        <v>7</v>
      </c>
      <c r="E1093" t="str">
        <f>TEXT(ACTUAL_EXPENSES[[#This Row],[Date]],"mmm")</f>
        <v>Jul</v>
      </c>
    </row>
    <row r="1094" spans="1:5" x14ac:dyDescent="0.2">
      <c r="A1094" s="139" t="s">
        <v>193</v>
      </c>
      <c r="B1094" s="140">
        <v>45117</v>
      </c>
      <c r="C1094">
        <v>10</v>
      </c>
      <c r="D1094">
        <v>7</v>
      </c>
      <c r="E1094" t="str">
        <f>TEXT(ACTUAL_EXPENSES[[#This Row],[Date]],"mmm")</f>
        <v>Jul</v>
      </c>
    </row>
    <row r="1095" spans="1:5" x14ac:dyDescent="0.2">
      <c r="A1095" s="139" t="s">
        <v>193</v>
      </c>
      <c r="B1095" s="140">
        <v>45118</v>
      </c>
      <c r="C1095">
        <v>11</v>
      </c>
      <c r="D1095">
        <v>7</v>
      </c>
      <c r="E1095" t="str">
        <f>TEXT(ACTUAL_EXPENSES[[#This Row],[Date]],"mmm")</f>
        <v>Jul</v>
      </c>
    </row>
    <row r="1096" spans="1:5" x14ac:dyDescent="0.2">
      <c r="A1096" s="139" t="s">
        <v>193</v>
      </c>
      <c r="B1096" s="140">
        <v>45119</v>
      </c>
      <c r="C1096">
        <v>12</v>
      </c>
      <c r="D1096">
        <v>7</v>
      </c>
      <c r="E1096" t="str">
        <f>TEXT(ACTUAL_EXPENSES[[#This Row],[Date]],"mmm")</f>
        <v>Jul</v>
      </c>
    </row>
    <row r="1097" spans="1:5" x14ac:dyDescent="0.2">
      <c r="A1097" s="139" t="s">
        <v>193</v>
      </c>
      <c r="B1097" s="140">
        <v>45120</v>
      </c>
      <c r="C1097">
        <v>13</v>
      </c>
      <c r="D1097">
        <v>7</v>
      </c>
      <c r="E1097" t="str">
        <f>TEXT(ACTUAL_EXPENSES[[#This Row],[Date]],"mmm")</f>
        <v>Jul</v>
      </c>
    </row>
    <row r="1098" spans="1:5" x14ac:dyDescent="0.2">
      <c r="A1098" s="139" t="s">
        <v>193</v>
      </c>
      <c r="B1098" s="140">
        <v>45121</v>
      </c>
      <c r="C1098">
        <v>14</v>
      </c>
      <c r="D1098">
        <v>7</v>
      </c>
      <c r="E1098" t="str">
        <f>TEXT(ACTUAL_EXPENSES[[#This Row],[Date]],"mmm")</f>
        <v>Jul</v>
      </c>
    </row>
    <row r="1099" spans="1:5" x14ac:dyDescent="0.2">
      <c r="A1099" s="139" t="s">
        <v>193</v>
      </c>
      <c r="B1099" s="140">
        <v>45122</v>
      </c>
      <c r="C1099">
        <v>15</v>
      </c>
      <c r="D1099">
        <v>7</v>
      </c>
      <c r="E1099" t="str">
        <f>TEXT(ACTUAL_EXPENSES[[#This Row],[Date]],"mmm")</f>
        <v>Jul</v>
      </c>
    </row>
    <row r="1100" spans="1:5" x14ac:dyDescent="0.2">
      <c r="A1100" s="139" t="s">
        <v>193</v>
      </c>
      <c r="B1100" s="140">
        <v>45123</v>
      </c>
      <c r="C1100">
        <v>16</v>
      </c>
      <c r="D1100">
        <v>7</v>
      </c>
      <c r="E1100" t="str">
        <f>TEXT(ACTUAL_EXPENSES[[#This Row],[Date]],"mmm")</f>
        <v>Jul</v>
      </c>
    </row>
    <row r="1101" spans="1:5" x14ac:dyDescent="0.2">
      <c r="A1101" s="139" t="s">
        <v>193</v>
      </c>
      <c r="B1101" s="140">
        <v>45124</v>
      </c>
      <c r="C1101">
        <v>17</v>
      </c>
      <c r="D1101">
        <v>7</v>
      </c>
      <c r="E1101" t="str">
        <f>TEXT(ACTUAL_EXPENSES[[#This Row],[Date]],"mmm")</f>
        <v>Jul</v>
      </c>
    </row>
    <row r="1102" spans="1:5" x14ac:dyDescent="0.2">
      <c r="A1102" s="139" t="s">
        <v>193</v>
      </c>
      <c r="B1102" s="140">
        <v>45125</v>
      </c>
      <c r="C1102">
        <v>18</v>
      </c>
      <c r="D1102">
        <v>7</v>
      </c>
      <c r="E1102" t="str">
        <f>TEXT(ACTUAL_EXPENSES[[#This Row],[Date]],"mmm")</f>
        <v>Jul</v>
      </c>
    </row>
    <row r="1103" spans="1:5" x14ac:dyDescent="0.2">
      <c r="A1103" s="139" t="s">
        <v>193</v>
      </c>
      <c r="B1103" s="140">
        <v>45126</v>
      </c>
      <c r="C1103">
        <v>19</v>
      </c>
      <c r="D1103">
        <v>7</v>
      </c>
      <c r="E1103" t="str">
        <f>TEXT(ACTUAL_EXPENSES[[#This Row],[Date]],"mmm")</f>
        <v>Jul</v>
      </c>
    </row>
    <row r="1104" spans="1:5" x14ac:dyDescent="0.2">
      <c r="A1104" s="139" t="s">
        <v>193</v>
      </c>
      <c r="B1104" s="140">
        <v>45127</v>
      </c>
      <c r="C1104">
        <v>20</v>
      </c>
      <c r="D1104">
        <v>7</v>
      </c>
      <c r="E1104" t="str">
        <f>TEXT(ACTUAL_EXPENSES[[#This Row],[Date]],"mmm")</f>
        <v>Jul</v>
      </c>
    </row>
    <row r="1105" spans="1:5" x14ac:dyDescent="0.2">
      <c r="A1105" s="139" t="s">
        <v>193</v>
      </c>
      <c r="B1105" s="140">
        <v>45128</v>
      </c>
      <c r="C1105">
        <v>21</v>
      </c>
      <c r="D1105">
        <v>7</v>
      </c>
      <c r="E1105" t="str">
        <f>TEXT(ACTUAL_EXPENSES[[#This Row],[Date]],"mmm")</f>
        <v>Jul</v>
      </c>
    </row>
    <row r="1106" spans="1:5" x14ac:dyDescent="0.2">
      <c r="A1106" s="139" t="s">
        <v>193</v>
      </c>
      <c r="B1106" s="140">
        <v>45129</v>
      </c>
      <c r="C1106">
        <v>22</v>
      </c>
      <c r="D1106">
        <v>7</v>
      </c>
      <c r="E1106" t="str">
        <f>TEXT(ACTUAL_EXPENSES[[#This Row],[Date]],"mmm")</f>
        <v>Jul</v>
      </c>
    </row>
    <row r="1107" spans="1:5" x14ac:dyDescent="0.2">
      <c r="A1107" s="139" t="s">
        <v>193</v>
      </c>
      <c r="B1107" s="140">
        <v>45130</v>
      </c>
      <c r="C1107">
        <v>23</v>
      </c>
      <c r="D1107">
        <v>7</v>
      </c>
      <c r="E1107" t="str">
        <f>TEXT(ACTUAL_EXPENSES[[#This Row],[Date]],"mmm")</f>
        <v>Jul</v>
      </c>
    </row>
    <row r="1108" spans="1:5" x14ac:dyDescent="0.2">
      <c r="A1108" s="139" t="s">
        <v>193</v>
      </c>
      <c r="B1108" s="140">
        <v>45131</v>
      </c>
      <c r="C1108">
        <v>24</v>
      </c>
      <c r="D1108">
        <v>7</v>
      </c>
      <c r="E1108" t="str">
        <f>TEXT(ACTUAL_EXPENSES[[#This Row],[Date]],"mmm")</f>
        <v>Jul</v>
      </c>
    </row>
    <row r="1109" spans="1:5" x14ac:dyDescent="0.2">
      <c r="A1109" s="139" t="s">
        <v>193</v>
      </c>
      <c r="B1109" s="140">
        <v>45132</v>
      </c>
      <c r="C1109">
        <v>25</v>
      </c>
      <c r="D1109">
        <v>7</v>
      </c>
      <c r="E1109" t="str">
        <f>TEXT(ACTUAL_EXPENSES[[#This Row],[Date]],"mmm")</f>
        <v>Jul</v>
      </c>
    </row>
    <row r="1110" spans="1:5" x14ac:dyDescent="0.2">
      <c r="A1110" s="139" t="s">
        <v>193</v>
      </c>
      <c r="B1110" s="140">
        <v>45133</v>
      </c>
      <c r="C1110">
        <v>26</v>
      </c>
      <c r="D1110">
        <v>7</v>
      </c>
      <c r="E1110" t="str">
        <f>TEXT(ACTUAL_EXPENSES[[#This Row],[Date]],"mmm")</f>
        <v>Jul</v>
      </c>
    </row>
    <row r="1111" spans="1:5" x14ac:dyDescent="0.2">
      <c r="A1111" s="139" t="s">
        <v>193</v>
      </c>
      <c r="B1111" s="140">
        <v>45134</v>
      </c>
      <c r="C1111">
        <v>27</v>
      </c>
      <c r="D1111">
        <v>7</v>
      </c>
      <c r="E1111" t="str">
        <f>TEXT(ACTUAL_EXPENSES[[#This Row],[Date]],"mmm")</f>
        <v>Jul</v>
      </c>
    </row>
    <row r="1112" spans="1:5" x14ac:dyDescent="0.2">
      <c r="A1112" s="139" t="s">
        <v>193</v>
      </c>
      <c r="B1112" s="140">
        <v>45135</v>
      </c>
      <c r="C1112">
        <v>28</v>
      </c>
      <c r="D1112">
        <v>7</v>
      </c>
      <c r="E1112" t="str">
        <f>TEXT(ACTUAL_EXPENSES[[#This Row],[Date]],"mmm")</f>
        <v>Jul</v>
      </c>
    </row>
    <row r="1113" spans="1:5" x14ac:dyDescent="0.2">
      <c r="A1113" s="139" t="s">
        <v>193</v>
      </c>
      <c r="B1113" s="140">
        <v>45136</v>
      </c>
      <c r="C1113">
        <v>29</v>
      </c>
      <c r="D1113">
        <v>7</v>
      </c>
      <c r="E1113" t="str">
        <f>TEXT(ACTUAL_EXPENSES[[#This Row],[Date]],"mmm")</f>
        <v>Jul</v>
      </c>
    </row>
    <row r="1114" spans="1:5" x14ac:dyDescent="0.2">
      <c r="A1114" s="139" t="s">
        <v>193</v>
      </c>
      <c r="B1114" s="140">
        <v>45137</v>
      </c>
      <c r="C1114">
        <v>30</v>
      </c>
      <c r="D1114">
        <v>7</v>
      </c>
      <c r="E1114" t="str">
        <f>TEXT(ACTUAL_EXPENSES[[#This Row],[Date]],"mmm")</f>
        <v>Jul</v>
      </c>
    </row>
    <row r="1115" spans="1:5" x14ac:dyDescent="0.2">
      <c r="A1115" s="139" t="s">
        <v>193</v>
      </c>
      <c r="B1115" s="140">
        <v>45138</v>
      </c>
      <c r="C1115">
        <v>31</v>
      </c>
      <c r="D1115">
        <v>7</v>
      </c>
      <c r="E1115" t="str">
        <f>TEXT(ACTUAL_EXPENSES[[#This Row],[Date]],"mmm")</f>
        <v>Jul</v>
      </c>
    </row>
    <row r="1116" spans="1:5" x14ac:dyDescent="0.2">
      <c r="A1116" s="139" t="s">
        <v>52</v>
      </c>
      <c r="B1116" s="140">
        <v>45111</v>
      </c>
      <c r="C1116">
        <v>300</v>
      </c>
      <c r="D1116">
        <v>7</v>
      </c>
      <c r="E1116" t="str">
        <f>TEXT(ACTUAL_EXPENSES[[#This Row],[Date]],"mmm")</f>
        <v>Jul</v>
      </c>
    </row>
    <row r="1117" spans="1:5" x14ac:dyDescent="0.2">
      <c r="A1117" s="139" t="s">
        <v>44</v>
      </c>
      <c r="B1117" s="140">
        <v>45136</v>
      </c>
      <c r="C1117">
        <v>750</v>
      </c>
      <c r="D1117">
        <v>7</v>
      </c>
      <c r="E1117" t="str">
        <f>TEXT(ACTUAL_EXPENSES[[#This Row],[Date]],"mmm")</f>
        <v>Jul</v>
      </c>
    </row>
    <row r="1118" spans="1:5" x14ac:dyDescent="0.2">
      <c r="A1118" s="139" t="s">
        <v>161</v>
      </c>
      <c r="B1118" s="140">
        <v>45127</v>
      </c>
      <c r="C1118">
        <v>20</v>
      </c>
      <c r="D1118">
        <v>7</v>
      </c>
      <c r="E1118" t="str">
        <f>TEXT(ACTUAL_EXPENSES[[#This Row],[Date]],"mmm")</f>
        <v>Jul</v>
      </c>
    </row>
    <row r="1119" spans="1:5" x14ac:dyDescent="0.2">
      <c r="A1119" s="139" t="s">
        <v>41</v>
      </c>
      <c r="B1119" s="140">
        <v>45108</v>
      </c>
      <c r="C1119">
        <v>39</v>
      </c>
      <c r="D1119">
        <v>7</v>
      </c>
      <c r="E1119" t="str">
        <f>TEXT(ACTUAL_EXPENSES[[#This Row],[Date]],"mmm")</f>
        <v>Jul</v>
      </c>
    </row>
    <row r="1120" spans="1:5" x14ac:dyDescent="0.2">
      <c r="A1120" s="139" t="s">
        <v>41</v>
      </c>
      <c r="B1120" s="140">
        <v>45109</v>
      </c>
      <c r="C1120">
        <v>70</v>
      </c>
      <c r="D1120">
        <v>7</v>
      </c>
      <c r="E1120" t="str">
        <f>TEXT(ACTUAL_EXPENSES[[#This Row],[Date]],"mmm")</f>
        <v>Jul</v>
      </c>
    </row>
    <row r="1121" spans="1:5" x14ac:dyDescent="0.2">
      <c r="A1121" s="139" t="s">
        <v>41</v>
      </c>
      <c r="B1121" s="140">
        <v>45110</v>
      </c>
      <c r="C1121">
        <v>39</v>
      </c>
      <c r="D1121">
        <v>7</v>
      </c>
      <c r="E1121" t="str">
        <f>TEXT(ACTUAL_EXPENSES[[#This Row],[Date]],"mmm")</f>
        <v>Jul</v>
      </c>
    </row>
    <row r="1122" spans="1:5" x14ac:dyDescent="0.2">
      <c r="A1122" s="139" t="s">
        <v>41</v>
      </c>
      <c r="B1122" s="140">
        <v>45111</v>
      </c>
      <c r="C1122">
        <v>9</v>
      </c>
      <c r="D1122">
        <v>7</v>
      </c>
      <c r="E1122" t="str">
        <f>TEXT(ACTUAL_EXPENSES[[#This Row],[Date]],"mmm")</f>
        <v>Jul</v>
      </c>
    </row>
    <row r="1123" spans="1:5" x14ac:dyDescent="0.2">
      <c r="A1123" s="139" t="s">
        <v>41</v>
      </c>
      <c r="B1123" s="140">
        <v>45112</v>
      </c>
      <c r="C1123">
        <v>5</v>
      </c>
      <c r="D1123">
        <v>7</v>
      </c>
      <c r="E1123" t="str">
        <f>TEXT(ACTUAL_EXPENSES[[#This Row],[Date]],"mmm")</f>
        <v>Jul</v>
      </c>
    </row>
    <row r="1124" spans="1:5" x14ac:dyDescent="0.2">
      <c r="A1124" s="139" t="s">
        <v>41</v>
      </c>
      <c r="B1124" s="140">
        <v>45113</v>
      </c>
      <c r="C1124">
        <v>8</v>
      </c>
      <c r="D1124">
        <v>7</v>
      </c>
      <c r="E1124" t="str">
        <f>TEXT(ACTUAL_EXPENSES[[#This Row],[Date]],"mmm")</f>
        <v>Jul</v>
      </c>
    </row>
    <row r="1125" spans="1:5" x14ac:dyDescent="0.2">
      <c r="A1125" s="139" t="s">
        <v>41</v>
      </c>
      <c r="B1125" s="140">
        <v>45114</v>
      </c>
      <c r="C1125">
        <v>39.5</v>
      </c>
      <c r="D1125">
        <v>7</v>
      </c>
      <c r="E1125" t="str">
        <f>TEXT(ACTUAL_EXPENSES[[#This Row],[Date]],"mmm")</f>
        <v>Jul</v>
      </c>
    </row>
    <row r="1126" spans="1:5" x14ac:dyDescent="0.2">
      <c r="A1126" s="139" t="s">
        <v>41</v>
      </c>
      <c r="B1126" s="140">
        <v>45115</v>
      </c>
      <c r="C1126">
        <v>150</v>
      </c>
      <c r="D1126">
        <v>7</v>
      </c>
      <c r="E1126" t="str">
        <f>TEXT(ACTUAL_EXPENSES[[#This Row],[Date]],"mmm")</f>
        <v>Jul</v>
      </c>
    </row>
    <row r="1127" spans="1:5" x14ac:dyDescent="0.2">
      <c r="A1127" s="139" t="s">
        <v>41</v>
      </c>
      <c r="B1127" s="140">
        <v>45117</v>
      </c>
      <c r="C1127">
        <v>7</v>
      </c>
      <c r="D1127">
        <v>7</v>
      </c>
      <c r="E1127" t="str">
        <f>TEXT(ACTUAL_EXPENSES[[#This Row],[Date]],"mmm")</f>
        <v>Jul</v>
      </c>
    </row>
    <row r="1128" spans="1:5" x14ac:dyDescent="0.2">
      <c r="A1128" s="139" t="s">
        <v>41</v>
      </c>
      <c r="B1128" s="140">
        <v>45118</v>
      </c>
      <c r="C1128">
        <v>8.5</v>
      </c>
      <c r="D1128">
        <v>7</v>
      </c>
      <c r="E1128" t="str">
        <f>TEXT(ACTUAL_EXPENSES[[#This Row],[Date]],"mmm")</f>
        <v>Jul</v>
      </c>
    </row>
    <row r="1129" spans="1:5" x14ac:dyDescent="0.2">
      <c r="A1129" s="139" t="s">
        <v>41</v>
      </c>
      <c r="B1129" s="140">
        <v>45119</v>
      </c>
      <c r="C1129">
        <v>8</v>
      </c>
      <c r="D1129">
        <v>7</v>
      </c>
      <c r="E1129" t="str">
        <f>TEXT(ACTUAL_EXPENSES[[#This Row],[Date]],"mmm")</f>
        <v>Jul</v>
      </c>
    </row>
    <row r="1130" spans="1:5" x14ac:dyDescent="0.2">
      <c r="A1130" s="139" t="s">
        <v>41</v>
      </c>
      <c r="B1130" s="140">
        <v>45120</v>
      </c>
      <c r="C1130">
        <v>8</v>
      </c>
      <c r="D1130">
        <v>7</v>
      </c>
      <c r="E1130" t="str">
        <f>TEXT(ACTUAL_EXPENSES[[#This Row],[Date]],"mmm")</f>
        <v>Jul</v>
      </c>
    </row>
    <row r="1131" spans="1:5" x14ac:dyDescent="0.2">
      <c r="A1131" s="139" t="s">
        <v>41</v>
      </c>
      <c r="B1131" s="140">
        <v>45121</v>
      </c>
      <c r="C1131">
        <v>87.7</v>
      </c>
      <c r="D1131">
        <v>7</v>
      </c>
      <c r="E1131" t="str">
        <f>TEXT(ACTUAL_EXPENSES[[#This Row],[Date]],"mmm")</f>
        <v>Jul</v>
      </c>
    </row>
    <row r="1132" spans="1:5" x14ac:dyDescent="0.2">
      <c r="A1132" s="139" t="s">
        <v>41</v>
      </c>
      <c r="B1132" s="140">
        <v>45124</v>
      </c>
      <c r="C1132">
        <v>7</v>
      </c>
      <c r="D1132">
        <v>7</v>
      </c>
      <c r="E1132" t="str">
        <f>TEXT(ACTUAL_EXPENSES[[#This Row],[Date]],"mmm")</f>
        <v>Jul</v>
      </c>
    </row>
    <row r="1133" spans="1:5" x14ac:dyDescent="0.2">
      <c r="A1133" s="139" t="s">
        <v>41</v>
      </c>
      <c r="B1133" s="140">
        <v>45125</v>
      </c>
      <c r="C1133">
        <v>16.5</v>
      </c>
      <c r="D1133">
        <v>7</v>
      </c>
      <c r="E1133" t="str">
        <f>TEXT(ACTUAL_EXPENSES[[#This Row],[Date]],"mmm")</f>
        <v>Jul</v>
      </c>
    </row>
    <row r="1134" spans="1:5" x14ac:dyDescent="0.2">
      <c r="A1134" s="139" t="s">
        <v>41</v>
      </c>
      <c r="B1134" s="140">
        <v>45126</v>
      </c>
      <c r="C1134">
        <v>14</v>
      </c>
      <c r="D1134">
        <v>7</v>
      </c>
      <c r="E1134" t="str">
        <f>TEXT(ACTUAL_EXPENSES[[#This Row],[Date]],"mmm")</f>
        <v>Jul</v>
      </c>
    </row>
    <row r="1135" spans="1:5" x14ac:dyDescent="0.2">
      <c r="A1135" s="139" t="s">
        <v>41</v>
      </c>
      <c r="B1135" s="140">
        <v>45127</v>
      </c>
      <c r="C1135">
        <v>18</v>
      </c>
      <c r="D1135">
        <v>7</v>
      </c>
      <c r="E1135" t="str">
        <f>TEXT(ACTUAL_EXPENSES[[#This Row],[Date]],"mmm")</f>
        <v>Jul</v>
      </c>
    </row>
    <row r="1136" spans="1:5" x14ac:dyDescent="0.2">
      <c r="A1136" s="139" t="s">
        <v>41</v>
      </c>
      <c r="B1136" s="140">
        <v>45129</v>
      </c>
      <c r="C1136">
        <v>11</v>
      </c>
      <c r="D1136">
        <v>7</v>
      </c>
      <c r="E1136" t="str">
        <f>TEXT(ACTUAL_EXPENSES[[#This Row],[Date]],"mmm")</f>
        <v>Jul</v>
      </c>
    </row>
    <row r="1137" spans="1:5" x14ac:dyDescent="0.2">
      <c r="A1137" s="139" t="s">
        <v>41</v>
      </c>
      <c r="B1137" s="140">
        <v>45132</v>
      </c>
      <c r="C1137">
        <v>14</v>
      </c>
      <c r="D1137">
        <v>7</v>
      </c>
      <c r="E1137" t="str">
        <f>TEXT(ACTUAL_EXPENSES[[#This Row],[Date]],"mmm")</f>
        <v>Jul</v>
      </c>
    </row>
    <row r="1138" spans="1:5" x14ac:dyDescent="0.2">
      <c r="A1138" s="139" t="s">
        <v>41</v>
      </c>
      <c r="B1138" s="140">
        <v>45133</v>
      </c>
      <c r="C1138">
        <v>116.47</v>
      </c>
      <c r="D1138">
        <v>7</v>
      </c>
      <c r="E1138" t="str">
        <f>TEXT(ACTUAL_EXPENSES[[#This Row],[Date]],"mmm")</f>
        <v>Jul</v>
      </c>
    </row>
    <row r="1139" spans="1:5" x14ac:dyDescent="0.2">
      <c r="A1139" s="139" t="s">
        <v>41</v>
      </c>
      <c r="B1139" s="140">
        <v>45134</v>
      </c>
      <c r="C1139">
        <v>10</v>
      </c>
      <c r="D1139">
        <v>7</v>
      </c>
      <c r="E1139" t="str">
        <f>TEXT(ACTUAL_EXPENSES[[#This Row],[Date]],"mmm")</f>
        <v>Jul</v>
      </c>
    </row>
    <row r="1140" spans="1:5" x14ac:dyDescent="0.2">
      <c r="A1140" s="139" t="s">
        <v>41</v>
      </c>
      <c r="B1140" s="140">
        <v>45135</v>
      </c>
      <c r="C1140">
        <v>81</v>
      </c>
      <c r="D1140">
        <v>7</v>
      </c>
      <c r="E1140" t="str">
        <f>TEXT(ACTUAL_EXPENSES[[#This Row],[Date]],"mmm")</f>
        <v>Jul</v>
      </c>
    </row>
    <row r="1141" spans="1:5" x14ac:dyDescent="0.2">
      <c r="A1141" s="139" t="s">
        <v>41</v>
      </c>
      <c r="B1141" s="140">
        <v>45136</v>
      </c>
      <c r="C1141">
        <v>85</v>
      </c>
      <c r="D1141">
        <v>7</v>
      </c>
      <c r="E1141" t="str">
        <f>TEXT(ACTUAL_EXPENSES[[#This Row],[Date]],"mmm")</f>
        <v>Jul</v>
      </c>
    </row>
    <row r="1142" spans="1:5" x14ac:dyDescent="0.2">
      <c r="A1142" s="139" t="s">
        <v>41</v>
      </c>
      <c r="B1142" s="140">
        <v>45138</v>
      </c>
      <c r="C1142">
        <v>27</v>
      </c>
      <c r="D1142">
        <v>7</v>
      </c>
      <c r="E1142" t="str">
        <f>TEXT(ACTUAL_EXPENSES[[#This Row],[Date]],"mmm")</f>
        <v>Jul</v>
      </c>
    </row>
    <row r="1143" spans="1:5" x14ac:dyDescent="0.2">
      <c r="A1143" s="139" t="s">
        <v>61</v>
      </c>
      <c r="B1143" s="140">
        <v>45115</v>
      </c>
      <c r="C1143">
        <v>31</v>
      </c>
      <c r="D1143">
        <v>7</v>
      </c>
      <c r="E1143" t="str">
        <f>TEXT(ACTUAL_EXPENSES[[#This Row],[Date]],"mmm")</f>
        <v>Jul</v>
      </c>
    </row>
    <row r="1144" spans="1:5" x14ac:dyDescent="0.2">
      <c r="A1144" s="139" t="s">
        <v>61</v>
      </c>
      <c r="B1144" s="140">
        <v>45117</v>
      </c>
      <c r="C1144">
        <v>22</v>
      </c>
      <c r="D1144">
        <v>7</v>
      </c>
      <c r="E1144" t="str">
        <f>TEXT(ACTUAL_EXPENSES[[#This Row],[Date]],"mmm")</f>
        <v>Jul</v>
      </c>
    </row>
    <row r="1145" spans="1:5" x14ac:dyDescent="0.2">
      <c r="A1145" s="139" t="s">
        <v>53</v>
      </c>
      <c r="B1145" s="140">
        <v>45127</v>
      </c>
      <c r="C1145">
        <v>28</v>
      </c>
      <c r="D1145">
        <v>7</v>
      </c>
      <c r="E1145" t="str">
        <f>TEXT(ACTUAL_EXPENSES[[#This Row],[Date]],"mmm")</f>
        <v>Jul</v>
      </c>
    </row>
    <row r="1146" spans="1:5" x14ac:dyDescent="0.2">
      <c r="A1146" s="139" t="s">
        <v>53</v>
      </c>
      <c r="B1146" s="140">
        <v>45129</v>
      </c>
      <c r="C1146">
        <v>597.91</v>
      </c>
      <c r="D1146">
        <v>7</v>
      </c>
      <c r="E1146" t="str">
        <f>TEXT(ACTUAL_EXPENSES[[#This Row],[Date]],"mmm")</f>
        <v>Jul</v>
      </c>
    </row>
    <row r="1147" spans="1:5" x14ac:dyDescent="0.2">
      <c r="A1147" s="139" t="s">
        <v>53</v>
      </c>
      <c r="B1147" s="140">
        <v>45130</v>
      </c>
      <c r="C1147">
        <v>120</v>
      </c>
      <c r="D1147">
        <v>7</v>
      </c>
      <c r="E1147" t="str">
        <f>TEXT(ACTUAL_EXPENSES[[#This Row],[Date]],"mmm")</f>
        <v>Jul</v>
      </c>
    </row>
    <row r="1148" spans="1:5" x14ac:dyDescent="0.2">
      <c r="A1148" s="139" t="s">
        <v>53</v>
      </c>
      <c r="B1148" s="140">
        <v>45135</v>
      </c>
      <c r="C1148">
        <v>38</v>
      </c>
      <c r="D1148">
        <v>7</v>
      </c>
      <c r="E1148" t="str">
        <f>TEXT(ACTUAL_EXPENSES[[#This Row],[Date]],"mmm")</f>
        <v>Jul</v>
      </c>
    </row>
    <row r="1149" spans="1:5" x14ac:dyDescent="0.2">
      <c r="A1149" s="139" t="s">
        <v>53</v>
      </c>
      <c r="B1149" s="140">
        <v>45136</v>
      </c>
      <c r="C1149">
        <v>90</v>
      </c>
      <c r="D1149">
        <v>7</v>
      </c>
      <c r="E1149" t="str">
        <f>TEXT(ACTUAL_EXPENSES[[#This Row],[Date]],"mmm")</f>
        <v>Jul</v>
      </c>
    </row>
    <row r="1150" spans="1:5" x14ac:dyDescent="0.2">
      <c r="A1150" s="139" t="s">
        <v>39</v>
      </c>
      <c r="B1150" s="140">
        <v>45109</v>
      </c>
      <c r="C1150">
        <v>35</v>
      </c>
      <c r="D1150">
        <v>7</v>
      </c>
      <c r="E1150" t="str">
        <f>TEXT(ACTUAL_EXPENSES[[#This Row],[Date]],"mmm")</f>
        <v>Jul</v>
      </c>
    </row>
    <row r="1151" spans="1:5" x14ac:dyDescent="0.2">
      <c r="A1151" s="139" t="s">
        <v>39</v>
      </c>
      <c r="B1151" s="140">
        <v>45110</v>
      </c>
      <c r="C1151">
        <v>70.5</v>
      </c>
      <c r="D1151">
        <v>7</v>
      </c>
      <c r="E1151" t="str">
        <f>TEXT(ACTUAL_EXPENSES[[#This Row],[Date]],"mmm")</f>
        <v>Jul</v>
      </c>
    </row>
    <row r="1152" spans="1:5" x14ac:dyDescent="0.2">
      <c r="A1152" s="139" t="s">
        <v>39</v>
      </c>
      <c r="B1152" s="140">
        <v>45111</v>
      </c>
      <c r="C1152">
        <v>25</v>
      </c>
      <c r="D1152">
        <v>7</v>
      </c>
      <c r="E1152" t="str">
        <f>TEXT(ACTUAL_EXPENSES[[#This Row],[Date]],"mmm")</f>
        <v>Jul</v>
      </c>
    </row>
    <row r="1153" spans="1:5" x14ac:dyDescent="0.2">
      <c r="A1153" s="139" t="s">
        <v>39</v>
      </c>
      <c r="B1153" s="140">
        <v>45112</v>
      </c>
      <c r="C1153">
        <v>27.5</v>
      </c>
      <c r="D1153">
        <v>7</v>
      </c>
      <c r="E1153" t="str">
        <f>TEXT(ACTUAL_EXPENSES[[#This Row],[Date]],"mmm")</f>
        <v>Jul</v>
      </c>
    </row>
    <row r="1154" spans="1:5" x14ac:dyDescent="0.2">
      <c r="A1154" s="139" t="s">
        <v>39</v>
      </c>
      <c r="B1154" s="140">
        <v>45113</v>
      </c>
      <c r="C1154">
        <v>45</v>
      </c>
      <c r="D1154">
        <v>7</v>
      </c>
      <c r="E1154" t="str">
        <f>TEXT(ACTUAL_EXPENSES[[#This Row],[Date]],"mmm")</f>
        <v>Jul</v>
      </c>
    </row>
    <row r="1155" spans="1:5" x14ac:dyDescent="0.2">
      <c r="A1155" s="139" t="s">
        <v>39</v>
      </c>
      <c r="B1155" s="140">
        <v>45114</v>
      </c>
      <c r="C1155">
        <v>85.25</v>
      </c>
      <c r="D1155">
        <v>7</v>
      </c>
      <c r="E1155" t="str">
        <f>TEXT(ACTUAL_EXPENSES[[#This Row],[Date]],"mmm")</f>
        <v>Jul</v>
      </c>
    </row>
    <row r="1156" spans="1:5" x14ac:dyDescent="0.2">
      <c r="A1156" s="139" t="s">
        <v>39</v>
      </c>
      <c r="B1156" s="140">
        <v>45115</v>
      </c>
      <c r="C1156">
        <v>39</v>
      </c>
      <c r="D1156">
        <v>7</v>
      </c>
      <c r="E1156" t="str">
        <f>TEXT(ACTUAL_EXPENSES[[#This Row],[Date]],"mmm")</f>
        <v>Jul</v>
      </c>
    </row>
    <row r="1157" spans="1:5" x14ac:dyDescent="0.2">
      <c r="A1157" s="139" t="s">
        <v>39</v>
      </c>
      <c r="B1157" s="140">
        <v>45117</v>
      </c>
      <c r="C1157">
        <v>82</v>
      </c>
      <c r="D1157">
        <v>7</v>
      </c>
      <c r="E1157" t="str">
        <f>TEXT(ACTUAL_EXPENSES[[#This Row],[Date]],"mmm")</f>
        <v>Jul</v>
      </c>
    </row>
    <row r="1158" spans="1:5" x14ac:dyDescent="0.2">
      <c r="A1158" s="139" t="s">
        <v>39</v>
      </c>
      <c r="B1158" s="140">
        <v>45121</v>
      </c>
      <c r="C1158">
        <v>47</v>
      </c>
      <c r="D1158">
        <v>7</v>
      </c>
      <c r="E1158" t="str">
        <f>TEXT(ACTUAL_EXPENSES[[#This Row],[Date]],"mmm")</f>
        <v>Jul</v>
      </c>
    </row>
    <row r="1159" spans="1:5" x14ac:dyDescent="0.2">
      <c r="A1159" s="139" t="s">
        <v>39</v>
      </c>
      <c r="B1159" s="140">
        <v>45124</v>
      </c>
      <c r="C1159">
        <v>56</v>
      </c>
      <c r="D1159">
        <v>7</v>
      </c>
      <c r="E1159" t="str">
        <f>TEXT(ACTUAL_EXPENSES[[#This Row],[Date]],"mmm")</f>
        <v>Jul</v>
      </c>
    </row>
    <row r="1160" spans="1:5" x14ac:dyDescent="0.2">
      <c r="A1160" s="139" t="s">
        <v>39</v>
      </c>
      <c r="B1160" s="140">
        <v>45128</v>
      </c>
      <c r="C1160">
        <v>82</v>
      </c>
      <c r="D1160">
        <v>7</v>
      </c>
      <c r="E1160" t="str">
        <f>TEXT(ACTUAL_EXPENSES[[#This Row],[Date]],"mmm")</f>
        <v>Jul</v>
      </c>
    </row>
    <row r="1161" spans="1:5" x14ac:dyDescent="0.2">
      <c r="A1161" s="139" t="s">
        <v>39</v>
      </c>
      <c r="B1161" s="140">
        <v>45129</v>
      </c>
      <c r="C1161">
        <v>69</v>
      </c>
      <c r="D1161">
        <v>7</v>
      </c>
      <c r="E1161" t="str">
        <f>TEXT(ACTUAL_EXPENSES[[#This Row],[Date]],"mmm")</f>
        <v>Jul</v>
      </c>
    </row>
    <row r="1162" spans="1:5" x14ac:dyDescent="0.2">
      <c r="A1162" s="139" t="s">
        <v>39</v>
      </c>
      <c r="B1162" s="140">
        <v>45130</v>
      </c>
      <c r="C1162">
        <v>55</v>
      </c>
      <c r="D1162">
        <v>7</v>
      </c>
      <c r="E1162" t="str">
        <f>TEXT(ACTUAL_EXPENSES[[#This Row],[Date]],"mmm")</f>
        <v>Jul</v>
      </c>
    </row>
    <row r="1163" spans="1:5" x14ac:dyDescent="0.2">
      <c r="A1163" s="139" t="s">
        <v>39</v>
      </c>
      <c r="B1163" s="140">
        <v>45131</v>
      </c>
      <c r="C1163">
        <v>51</v>
      </c>
      <c r="D1163">
        <v>7</v>
      </c>
      <c r="E1163" t="str">
        <f>TEXT(ACTUAL_EXPENSES[[#This Row],[Date]],"mmm")</f>
        <v>Jul</v>
      </c>
    </row>
    <row r="1164" spans="1:5" x14ac:dyDescent="0.2">
      <c r="A1164" s="139" t="s">
        <v>39</v>
      </c>
      <c r="B1164" s="140">
        <v>45132</v>
      </c>
      <c r="C1164">
        <v>60.5</v>
      </c>
      <c r="D1164">
        <v>7</v>
      </c>
      <c r="E1164" t="str">
        <f>TEXT(ACTUAL_EXPENSES[[#This Row],[Date]],"mmm")</f>
        <v>Jul</v>
      </c>
    </row>
    <row r="1165" spans="1:5" x14ac:dyDescent="0.2">
      <c r="A1165" s="139" t="s">
        <v>39</v>
      </c>
      <c r="B1165" s="140">
        <v>45133</v>
      </c>
      <c r="C1165">
        <v>16</v>
      </c>
      <c r="D1165">
        <v>7</v>
      </c>
      <c r="E1165" t="str">
        <f>TEXT(ACTUAL_EXPENSES[[#This Row],[Date]],"mmm")</f>
        <v>Jul</v>
      </c>
    </row>
    <row r="1166" spans="1:5" x14ac:dyDescent="0.2">
      <c r="A1166" s="139" t="s">
        <v>39</v>
      </c>
      <c r="B1166" s="140">
        <v>45135</v>
      </c>
      <c r="C1166">
        <v>98</v>
      </c>
      <c r="D1166">
        <v>7</v>
      </c>
      <c r="E1166" t="str">
        <f>TEXT(ACTUAL_EXPENSES[[#This Row],[Date]],"mmm")</f>
        <v>Jul</v>
      </c>
    </row>
    <row r="1167" spans="1:5" x14ac:dyDescent="0.2">
      <c r="A1167" s="139" t="s">
        <v>39</v>
      </c>
      <c r="B1167" s="140">
        <v>45136</v>
      </c>
      <c r="C1167">
        <v>50</v>
      </c>
      <c r="D1167">
        <v>7</v>
      </c>
      <c r="E1167" t="str">
        <f>TEXT(ACTUAL_EXPENSES[[#This Row],[Date]],"mmm")</f>
        <v>Jul</v>
      </c>
    </row>
    <row r="1168" spans="1:5" x14ac:dyDescent="0.2">
      <c r="A1168" s="139" t="s">
        <v>39</v>
      </c>
      <c r="B1168" s="140">
        <v>45137</v>
      </c>
      <c r="C1168">
        <v>18</v>
      </c>
      <c r="D1168">
        <v>7</v>
      </c>
      <c r="E1168" t="str">
        <f>TEXT(ACTUAL_EXPENSES[[#This Row],[Date]],"mmm")</f>
        <v>Jul</v>
      </c>
    </row>
    <row r="1169" spans="1:5" x14ac:dyDescent="0.2">
      <c r="A1169" s="139" t="s">
        <v>127</v>
      </c>
      <c r="B1169" s="140">
        <v>45114</v>
      </c>
      <c r="C1169">
        <v>364.6</v>
      </c>
      <c r="D1169">
        <v>7</v>
      </c>
      <c r="E1169" t="str">
        <f>TEXT(ACTUAL_EXPENSES[[#This Row],[Date]],"mmm")</f>
        <v>Jul</v>
      </c>
    </row>
    <row r="1170" spans="1:5" x14ac:dyDescent="0.2">
      <c r="A1170" s="139" t="s">
        <v>127</v>
      </c>
      <c r="B1170" s="140">
        <v>45119</v>
      </c>
      <c r="C1170">
        <v>28</v>
      </c>
      <c r="D1170">
        <v>7</v>
      </c>
      <c r="E1170" t="str">
        <f>TEXT(ACTUAL_EXPENSES[[#This Row],[Date]],"mmm")</f>
        <v>Jul</v>
      </c>
    </row>
    <row r="1171" spans="1:5" x14ac:dyDescent="0.2">
      <c r="A1171" s="139" t="s">
        <v>127</v>
      </c>
      <c r="B1171" s="140">
        <v>45120</v>
      </c>
      <c r="C1171">
        <v>36</v>
      </c>
      <c r="D1171">
        <v>7</v>
      </c>
      <c r="E1171" t="str">
        <f>TEXT(ACTUAL_EXPENSES[[#This Row],[Date]],"mmm")</f>
        <v>Jul</v>
      </c>
    </row>
    <row r="1172" spans="1:5" x14ac:dyDescent="0.2">
      <c r="A1172" s="139" t="s">
        <v>127</v>
      </c>
      <c r="B1172" s="140">
        <v>45129</v>
      </c>
      <c r="C1172">
        <v>24</v>
      </c>
      <c r="D1172">
        <v>7</v>
      </c>
      <c r="E1172" t="str">
        <f>TEXT(ACTUAL_EXPENSES[[#This Row],[Date]],"mmm")</f>
        <v>Jul</v>
      </c>
    </row>
    <row r="1173" spans="1:5" x14ac:dyDescent="0.2">
      <c r="A1173" s="139" t="s">
        <v>127</v>
      </c>
      <c r="B1173" s="140">
        <v>45130</v>
      </c>
      <c r="C1173">
        <v>205</v>
      </c>
      <c r="D1173">
        <v>7</v>
      </c>
      <c r="E1173" t="str">
        <f>TEXT(ACTUAL_EXPENSES[[#This Row],[Date]],"mmm")</f>
        <v>Jul</v>
      </c>
    </row>
    <row r="1174" spans="1:5" x14ac:dyDescent="0.2">
      <c r="A1174" s="139" t="s">
        <v>127</v>
      </c>
      <c r="B1174" s="140">
        <v>45136</v>
      </c>
      <c r="C1174">
        <v>50</v>
      </c>
      <c r="D1174">
        <v>7</v>
      </c>
      <c r="E1174" t="str">
        <f>TEXT(ACTUAL_EXPENSES[[#This Row],[Date]],"mmm")</f>
        <v>Jul</v>
      </c>
    </row>
    <row r="1175" spans="1:5" x14ac:dyDescent="0.2">
      <c r="A1175" s="139" t="s">
        <v>48</v>
      </c>
      <c r="B1175" s="140">
        <v>45133</v>
      </c>
      <c r="C1175">
        <v>12.31</v>
      </c>
      <c r="D1175">
        <v>7</v>
      </c>
      <c r="E1175" t="str">
        <f>TEXT(ACTUAL_EXPENSES[[#This Row],[Date]],"mmm")</f>
        <v>Jul</v>
      </c>
    </row>
    <row r="1176" spans="1:5" x14ac:dyDescent="0.2">
      <c r="A1176" s="139" t="s">
        <v>49</v>
      </c>
      <c r="B1176" s="140">
        <v>45117</v>
      </c>
      <c r="C1176">
        <v>9</v>
      </c>
      <c r="D1176">
        <v>7</v>
      </c>
      <c r="E1176" t="str">
        <f>TEXT(ACTUAL_EXPENSES[[#This Row],[Date]],"mmm")</f>
        <v>Jul</v>
      </c>
    </row>
    <row r="1177" spans="1:5" x14ac:dyDescent="0.2">
      <c r="A1177" s="139" t="s">
        <v>126</v>
      </c>
      <c r="B1177" s="140">
        <v>45128</v>
      </c>
      <c r="C1177">
        <v>99.6</v>
      </c>
      <c r="D1177">
        <v>7</v>
      </c>
      <c r="E1177" t="str">
        <f>TEXT(ACTUAL_EXPENSES[[#This Row],[Date]],"mmm")</f>
        <v>Jul</v>
      </c>
    </row>
    <row r="1178" spans="1:5" x14ac:dyDescent="0.2">
      <c r="A1178" s="139" t="s">
        <v>51</v>
      </c>
      <c r="B1178" s="140">
        <v>45109</v>
      </c>
      <c r="C1178">
        <v>1</v>
      </c>
      <c r="D1178">
        <v>7</v>
      </c>
      <c r="E1178" t="str">
        <f>TEXT(ACTUAL_EXPENSES[[#This Row],[Date]],"mmm")</f>
        <v>Jul</v>
      </c>
    </row>
    <row r="1179" spans="1:5" x14ac:dyDescent="0.2">
      <c r="A1179" s="139" t="s">
        <v>51</v>
      </c>
      <c r="B1179" s="140">
        <v>45128</v>
      </c>
      <c r="C1179">
        <v>7</v>
      </c>
      <c r="D1179">
        <v>7</v>
      </c>
      <c r="E1179" t="str">
        <f>TEXT(ACTUAL_EXPENSES[[#This Row],[Date]],"mmm")</f>
        <v>Jul</v>
      </c>
    </row>
    <row r="1180" spans="1:5" x14ac:dyDescent="0.2">
      <c r="A1180" s="139" t="s">
        <v>51</v>
      </c>
      <c r="B1180" s="140">
        <v>45130</v>
      </c>
      <c r="C1180">
        <v>3.55</v>
      </c>
      <c r="D1180">
        <v>7</v>
      </c>
      <c r="E1180" t="str">
        <f>TEXT(ACTUAL_EXPENSES[[#This Row],[Date]],"mmm")</f>
        <v>Jul</v>
      </c>
    </row>
    <row r="1181" spans="1:5" x14ac:dyDescent="0.2">
      <c r="A1181" s="139" t="s">
        <v>51</v>
      </c>
      <c r="B1181" s="140">
        <v>45136</v>
      </c>
      <c r="C1181">
        <v>8.5</v>
      </c>
      <c r="D1181">
        <v>7</v>
      </c>
      <c r="E1181" t="str">
        <f>TEXT(ACTUAL_EXPENSES[[#This Row],[Date]],"mmm")</f>
        <v>Jul</v>
      </c>
    </row>
    <row r="1182" spans="1:5" x14ac:dyDescent="0.2">
      <c r="A1182" s="139" t="s">
        <v>194</v>
      </c>
      <c r="B1182" s="140">
        <v>45139</v>
      </c>
      <c r="C1182">
        <v>1</v>
      </c>
      <c r="D1182">
        <v>8</v>
      </c>
      <c r="E1182" t="str">
        <f>TEXT(ACTUAL_EXPENSES[[#This Row],[Date]],"mmm")</f>
        <v>Aug</v>
      </c>
    </row>
    <row r="1183" spans="1:5" x14ac:dyDescent="0.2">
      <c r="A1183" s="139" t="s">
        <v>194</v>
      </c>
      <c r="B1183" s="140">
        <v>45140</v>
      </c>
      <c r="C1183">
        <v>2</v>
      </c>
      <c r="D1183">
        <v>8</v>
      </c>
      <c r="E1183" t="str">
        <f>TEXT(ACTUAL_EXPENSES[[#This Row],[Date]],"mmm")</f>
        <v>Aug</v>
      </c>
    </row>
    <row r="1184" spans="1:5" x14ac:dyDescent="0.2">
      <c r="A1184" s="139" t="s">
        <v>194</v>
      </c>
      <c r="B1184" s="140">
        <v>45141</v>
      </c>
      <c r="C1184">
        <v>3</v>
      </c>
      <c r="D1184">
        <v>8</v>
      </c>
      <c r="E1184" t="str">
        <f>TEXT(ACTUAL_EXPENSES[[#This Row],[Date]],"mmm")</f>
        <v>Aug</v>
      </c>
    </row>
    <row r="1185" spans="1:5" x14ac:dyDescent="0.2">
      <c r="A1185" s="139" t="s">
        <v>194</v>
      </c>
      <c r="B1185" s="140">
        <v>45142</v>
      </c>
      <c r="C1185">
        <v>4</v>
      </c>
      <c r="D1185">
        <v>8</v>
      </c>
      <c r="E1185" t="str">
        <f>TEXT(ACTUAL_EXPENSES[[#This Row],[Date]],"mmm")</f>
        <v>Aug</v>
      </c>
    </row>
    <row r="1186" spans="1:5" x14ac:dyDescent="0.2">
      <c r="A1186" s="139" t="s">
        <v>194</v>
      </c>
      <c r="B1186" s="140">
        <v>45143</v>
      </c>
      <c r="C1186">
        <v>5</v>
      </c>
      <c r="D1186">
        <v>8</v>
      </c>
      <c r="E1186" t="str">
        <f>TEXT(ACTUAL_EXPENSES[[#This Row],[Date]],"mmm")</f>
        <v>Aug</v>
      </c>
    </row>
    <row r="1187" spans="1:5" x14ac:dyDescent="0.2">
      <c r="A1187" s="139" t="s">
        <v>194</v>
      </c>
      <c r="B1187" s="140">
        <v>45144</v>
      </c>
      <c r="C1187">
        <v>6</v>
      </c>
      <c r="D1187">
        <v>8</v>
      </c>
      <c r="E1187" t="str">
        <f>TEXT(ACTUAL_EXPENSES[[#This Row],[Date]],"mmm")</f>
        <v>Aug</v>
      </c>
    </row>
    <row r="1188" spans="1:5" x14ac:dyDescent="0.2">
      <c r="A1188" s="139" t="s">
        <v>194</v>
      </c>
      <c r="B1188" s="140">
        <v>45145</v>
      </c>
      <c r="C1188">
        <v>7</v>
      </c>
      <c r="D1188">
        <v>8</v>
      </c>
      <c r="E1188" t="str">
        <f>TEXT(ACTUAL_EXPENSES[[#This Row],[Date]],"mmm")</f>
        <v>Aug</v>
      </c>
    </row>
    <row r="1189" spans="1:5" x14ac:dyDescent="0.2">
      <c r="A1189" s="139" t="s">
        <v>194</v>
      </c>
      <c r="B1189" s="140">
        <v>45146</v>
      </c>
      <c r="C1189">
        <v>8</v>
      </c>
      <c r="D1189">
        <v>8</v>
      </c>
      <c r="E1189" t="str">
        <f>TEXT(ACTUAL_EXPENSES[[#This Row],[Date]],"mmm")</f>
        <v>Aug</v>
      </c>
    </row>
    <row r="1190" spans="1:5" x14ac:dyDescent="0.2">
      <c r="A1190" s="139" t="s">
        <v>194</v>
      </c>
      <c r="B1190" s="140">
        <v>45147</v>
      </c>
      <c r="C1190">
        <v>9</v>
      </c>
      <c r="D1190">
        <v>8</v>
      </c>
      <c r="E1190" t="str">
        <f>TEXT(ACTUAL_EXPENSES[[#This Row],[Date]],"mmm")</f>
        <v>Aug</v>
      </c>
    </row>
    <row r="1191" spans="1:5" x14ac:dyDescent="0.2">
      <c r="A1191" s="139" t="s">
        <v>194</v>
      </c>
      <c r="B1191" s="140">
        <v>45148</v>
      </c>
      <c r="C1191">
        <v>10</v>
      </c>
      <c r="D1191">
        <v>8</v>
      </c>
      <c r="E1191" t="str">
        <f>TEXT(ACTUAL_EXPENSES[[#This Row],[Date]],"mmm")</f>
        <v>Aug</v>
      </c>
    </row>
    <row r="1192" spans="1:5" x14ac:dyDescent="0.2">
      <c r="A1192" s="139" t="s">
        <v>194</v>
      </c>
      <c r="B1192" s="140">
        <v>45149</v>
      </c>
      <c r="C1192">
        <v>11</v>
      </c>
      <c r="D1192">
        <v>8</v>
      </c>
      <c r="E1192" t="str">
        <f>TEXT(ACTUAL_EXPENSES[[#This Row],[Date]],"mmm")</f>
        <v>Aug</v>
      </c>
    </row>
    <row r="1193" spans="1:5" x14ac:dyDescent="0.2">
      <c r="A1193" s="139" t="s">
        <v>194</v>
      </c>
      <c r="B1193" s="140">
        <v>45150</v>
      </c>
      <c r="C1193">
        <v>12</v>
      </c>
      <c r="D1193">
        <v>8</v>
      </c>
      <c r="E1193" t="str">
        <f>TEXT(ACTUAL_EXPENSES[[#This Row],[Date]],"mmm")</f>
        <v>Aug</v>
      </c>
    </row>
    <row r="1194" spans="1:5" x14ac:dyDescent="0.2">
      <c r="A1194" s="139" t="s">
        <v>194</v>
      </c>
      <c r="B1194" s="140">
        <v>45151</v>
      </c>
      <c r="C1194">
        <v>13</v>
      </c>
      <c r="D1194">
        <v>8</v>
      </c>
      <c r="E1194" t="str">
        <f>TEXT(ACTUAL_EXPENSES[[#This Row],[Date]],"mmm")</f>
        <v>Aug</v>
      </c>
    </row>
    <row r="1195" spans="1:5" x14ac:dyDescent="0.2">
      <c r="A1195" s="139" t="s">
        <v>194</v>
      </c>
      <c r="B1195" s="140">
        <v>45152</v>
      </c>
      <c r="C1195">
        <v>14</v>
      </c>
      <c r="D1195">
        <v>8</v>
      </c>
      <c r="E1195" t="str">
        <f>TEXT(ACTUAL_EXPENSES[[#This Row],[Date]],"mmm")</f>
        <v>Aug</v>
      </c>
    </row>
    <row r="1196" spans="1:5" x14ac:dyDescent="0.2">
      <c r="A1196" s="139" t="s">
        <v>194</v>
      </c>
      <c r="B1196" s="140">
        <v>45153</v>
      </c>
      <c r="C1196">
        <v>15</v>
      </c>
      <c r="D1196">
        <v>8</v>
      </c>
      <c r="E1196" t="str">
        <f>TEXT(ACTUAL_EXPENSES[[#This Row],[Date]],"mmm")</f>
        <v>Aug</v>
      </c>
    </row>
    <row r="1197" spans="1:5" x14ac:dyDescent="0.2">
      <c r="A1197" s="139" t="s">
        <v>194</v>
      </c>
      <c r="B1197" s="140">
        <v>45154</v>
      </c>
      <c r="C1197">
        <v>16</v>
      </c>
      <c r="D1197">
        <v>8</v>
      </c>
      <c r="E1197" t="str">
        <f>TEXT(ACTUAL_EXPENSES[[#This Row],[Date]],"mmm")</f>
        <v>Aug</v>
      </c>
    </row>
    <row r="1198" spans="1:5" x14ac:dyDescent="0.2">
      <c r="A1198" s="139" t="s">
        <v>194</v>
      </c>
      <c r="B1198" s="140">
        <v>45155</v>
      </c>
      <c r="C1198">
        <v>17</v>
      </c>
      <c r="D1198">
        <v>8</v>
      </c>
      <c r="E1198" t="str">
        <f>TEXT(ACTUAL_EXPENSES[[#This Row],[Date]],"mmm")</f>
        <v>Aug</v>
      </c>
    </row>
    <row r="1199" spans="1:5" x14ac:dyDescent="0.2">
      <c r="A1199" s="139" t="s">
        <v>194</v>
      </c>
      <c r="B1199" s="140">
        <v>45156</v>
      </c>
      <c r="C1199">
        <v>18</v>
      </c>
      <c r="D1199">
        <v>8</v>
      </c>
      <c r="E1199" t="str">
        <f>TEXT(ACTUAL_EXPENSES[[#This Row],[Date]],"mmm")</f>
        <v>Aug</v>
      </c>
    </row>
    <row r="1200" spans="1:5" x14ac:dyDescent="0.2">
      <c r="A1200" s="139" t="s">
        <v>194</v>
      </c>
      <c r="B1200" s="140">
        <v>45157</v>
      </c>
      <c r="C1200">
        <v>19</v>
      </c>
      <c r="D1200">
        <v>8</v>
      </c>
      <c r="E1200" t="str">
        <f>TEXT(ACTUAL_EXPENSES[[#This Row],[Date]],"mmm")</f>
        <v>Aug</v>
      </c>
    </row>
    <row r="1201" spans="1:5" x14ac:dyDescent="0.2">
      <c r="A1201" s="139" t="s">
        <v>194</v>
      </c>
      <c r="B1201" s="140">
        <v>45158</v>
      </c>
      <c r="C1201">
        <v>20</v>
      </c>
      <c r="D1201">
        <v>8</v>
      </c>
      <c r="E1201" t="str">
        <f>TEXT(ACTUAL_EXPENSES[[#This Row],[Date]],"mmm")</f>
        <v>Aug</v>
      </c>
    </row>
    <row r="1202" spans="1:5" x14ac:dyDescent="0.2">
      <c r="A1202" s="139" t="s">
        <v>194</v>
      </c>
      <c r="B1202" s="140">
        <v>45159</v>
      </c>
      <c r="C1202">
        <v>21</v>
      </c>
      <c r="D1202">
        <v>8</v>
      </c>
      <c r="E1202" t="str">
        <f>TEXT(ACTUAL_EXPENSES[[#This Row],[Date]],"mmm")</f>
        <v>Aug</v>
      </c>
    </row>
    <row r="1203" spans="1:5" x14ac:dyDescent="0.2">
      <c r="A1203" s="139" t="s">
        <v>194</v>
      </c>
      <c r="B1203" s="140">
        <v>45160</v>
      </c>
      <c r="C1203">
        <v>22</v>
      </c>
      <c r="D1203">
        <v>8</v>
      </c>
      <c r="E1203" t="str">
        <f>TEXT(ACTUAL_EXPENSES[[#This Row],[Date]],"mmm")</f>
        <v>Aug</v>
      </c>
    </row>
    <row r="1204" spans="1:5" x14ac:dyDescent="0.2">
      <c r="A1204" s="139" t="s">
        <v>194</v>
      </c>
      <c r="B1204" s="140">
        <v>45161</v>
      </c>
      <c r="C1204">
        <v>23</v>
      </c>
      <c r="D1204">
        <v>8</v>
      </c>
      <c r="E1204" t="str">
        <f>TEXT(ACTUAL_EXPENSES[[#This Row],[Date]],"mmm")</f>
        <v>Aug</v>
      </c>
    </row>
    <row r="1205" spans="1:5" x14ac:dyDescent="0.2">
      <c r="A1205" s="139" t="s">
        <v>194</v>
      </c>
      <c r="B1205" s="140">
        <v>45162</v>
      </c>
      <c r="C1205">
        <v>24</v>
      </c>
      <c r="D1205">
        <v>8</v>
      </c>
      <c r="E1205" t="str">
        <f>TEXT(ACTUAL_EXPENSES[[#This Row],[Date]],"mmm")</f>
        <v>Aug</v>
      </c>
    </row>
    <row r="1206" spans="1:5" x14ac:dyDescent="0.2">
      <c r="A1206" s="139" t="s">
        <v>194</v>
      </c>
      <c r="B1206" s="140">
        <v>45163</v>
      </c>
      <c r="C1206">
        <v>25</v>
      </c>
      <c r="D1206">
        <v>8</v>
      </c>
      <c r="E1206" t="str">
        <f>TEXT(ACTUAL_EXPENSES[[#This Row],[Date]],"mmm")</f>
        <v>Aug</v>
      </c>
    </row>
    <row r="1207" spans="1:5" x14ac:dyDescent="0.2">
      <c r="A1207" s="139" t="s">
        <v>194</v>
      </c>
      <c r="B1207" s="140">
        <v>45164</v>
      </c>
      <c r="C1207">
        <v>26</v>
      </c>
      <c r="D1207">
        <v>8</v>
      </c>
      <c r="E1207" t="str">
        <f>TEXT(ACTUAL_EXPENSES[[#This Row],[Date]],"mmm")</f>
        <v>Aug</v>
      </c>
    </row>
    <row r="1208" spans="1:5" x14ac:dyDescent="0.2">
      <c r="A1208" s="139" t="s">
        <v>194</v>
      </c>
      <c r="B1208" s="140">
        <v>45165</v>
      </c>
      <c r="C1208">
        <v>27</v>
      </c>
      <c r="D1208">
        <v>8</v>
      </c>
      <c r="E1208" t="str">
        <f>TEXT(ACTUAL_EXPENSES[[#This Row],[Date]],"mmm")</f>
        <v>Aug</v>
      </c>
    </row>
    <row r="1209" spans="1:5" x14ac:dyDescent="0.2">
      <c r="A1209" s="139" t="s">
        <v>194</v>
      </c>
      <c r="B1209" s="140">
        <v>45166</v>
      </c>
      <c r="C1209">
        <v>28</v>
      </c>
      <c r="D1209">
        <v>8</v>
      </c>
      <c r="E1209" t="str">
        <f>TEXT(ACTUAL_EXPENSES[[#This Row],[Date]],"mmm")</f>
        <v>Aug</v>
      </c>
    </row>
    <row r="1210" spans="1:5" x14ac:dyDescent="0.2">
      <c r="A1210" s="139" t="s">
        <v>194</v>
      </c>
      <c r="B1210" s="140">
        <v>45167</v>
      </c>
      <c r="C1210">
        <v>29</v>
      </c>
      <c r="D1210">
        <v>8</v>
      </c>
      <c r="E1210" t="str">
        <f>TEXT(ACTUAL_EXPENSES[[#This Row],[Date]],"mmm")</f>
        <v>Aug</v>
      </c>
    </row>
    <row r="1211" spans="1:5" x14ac:dyDescent="0.2">
      <c r="A1211" s="139" t="s">
        <v>194</v>
      </c>
      <c r="B1211" s="140">
        <v>45168</v>
      </c>
      <c r="C1211">
        <v>30</v>
      </c>
      <c r="D1211">
        <v>8</v>
      </c>
      <c r="E1211" t="str">
        <f>TEXT(ACTUAL_EXPENSES[[#This Row],[Date]],"mmm")</f>
        <v>Aug</v>
      </c>
    </row>
    <row r="1212" spans="1:5" x14ac:dyDescent="0.2">
      <c r="A1212" s="139" t="s">
        <v>194</v>
      </c>
      <c r="B1212" s="140">
        <v>45169</v>
      </c>
      <c r="C1212">
        <v>31</v>
      </c>
      <c r="D1212">
        <v>8</v>
      </c>
      <c r="E1212" t="str">
        <f>TEXT(ACTUAL_EXPENSES[[#This Row],[Date]],"mmm")</f>
        <v>Aug</v>
      </c>
    </row>
    <row r="1213" spans="1:5" x14ac:dyDescent="0.2">
      <c r="A1213" s="139" t="s">
        <v>46</v>
      </c>
      <c r="B1213" s="140">
        <v>45139</v>
      </c>
      <c r="C1213">
        <v>0</v>
      </c>
      <c r="D1213">
        <v>8</v>
      </c>
      <c r="E1213" t="str">
        <f>TEXT(ACTUAL_EXPENSES[[#This Row],[Date]],"mmm")</f>
        <v>Aug</v>
      </c>
    </row>
    <row r="1214" spans="1:5" x14ac:dyDescent="0.2">
      <c r="A1214" s="139" t="s">
        <v>46</v>
      </c>
      <c r="B1214" s="140">
        <v>45140</v>
      </c>
      <c r="C1214">
        <v>0</v>
      </c>
      <c r="D1214">
        <v>8</v>
      </c>
      <c r="E1214" t="str">
        <f>TEXT(ACTUAL_EXPENSES[[#This Row],[Date]],"mmm")</f>
        <v>Aug</v>
      </c>
    </row>
    <row r="1215" spans="1:5" x14ac:dyDescent="0.2">
      <c r="A1215" s="139" t="s">
        <v>52</v>
      </c>
      <c r="B1215" s="140">
        <v>45139</v>
      </c>
      <c r="C1215">
        <v>0</v>
      </c>
      <c r="D1215">
        <v>8</v>
      </c>
      <c r="E1215" t="str">
        <f>TEXT(ACTUAL_EXPENSES[[#This Row],[Date]],"mmm")</f>
        <v>Aug</v>
      </c>
    </row>
    <row r="1216" spans="1:5" x14ac:dyDescent="0.2">
      <c r="A1216" s="139" t="s">
        <v>52</v>
      </c>
      <c r="B1216" s="140">
        <v>45140</v>
      </c>
      <c r="C1216">
        <v>0</v>
      </c>
      <c r="D1216">
        <v>8</v>
      </c>
      <c r="E1216" t="str">
        <f>TEXT(ACTUAL_EXPENSES[[#This Row],[Date]],"mmm")</f>
        <v>Aug</v>
      </c>
    </row>
    <row r="1217" spans="1:5" x14ac:dyDescent="0.2">
      <c r="A1217" s="139" t="s">
        <v>52</v>
      </c>
      <c r="B1217" s="140">
        <v>45143</v>
      </c>
      <c r="C1217">
        <v>300</v>
      </c>
      <c r="D1217">
        <v>8</v>
      </c>
      <c r="E1217" t="str">
        <f>TEXT(ACTUAL_EXPENSES[[#This Row],[Date]],"mmm")</f>
        <v>Aug</v>
      </c>
    </row>
    <row r="1218" spans="1:5" x14ac:dyDescent="0.2">
      <c r="A1218" s="139" t="s">
        <v>44</v>
      </c>
      <c r="B1218" s="140">
        <v>45161</v>
      </c>
      <c r="C1218">
        <v>1000</v>
      </c>
      <c r="D1218">
        <v>8</v>
      </c>
      <c r="E1218" t="str">
        <f>TEXT(ACTUAL_EXPENSES[[#This Row],[Date]],"mmm")</f>
        <v>Aug</v>
      </c>
    </row>
    <row r="1219" spans="1:5" x14ac:dyDescent="0.2">
      <c r="A1219" s="139" t="s">
        <v>161</v>
      </c>
      <c r="B1219" s="140">
        <v>45139</v>
      </c>
      <c r="C1219">
        <v>0</v>
      </c>
      <c r="D1219">
        <v>8</v>
      </c>
      <c r="E1219" t="str">
        <f>TEXT(ACTUAL_EXPENSES[[#This Row],[Date]],"mmm")</f>
        <v>Aug</v>
      </c>
    </row>
    <row r="1220" spans="1:5" x14ac:dyDescent="0.2">
      <c r="A1220" s="139" t="s">
        <v>161</v>
      </c>
      <c r="B1220" s="140">
        <v>45140</v>
      </c>
      <c r="C1220">
        <v>0</v>
      </c>
      <c r="D1220">
        <v>8</v>
      </c>
      <c r="E1220" t="str">
        <f>TEXT(ACTUAL_EXPENSES[[#This Row],[Date]],"mmm")</f>
        <v>Aug</v>
      </c>
    </row>
    <row r="1221" spans="1:5" x14ac:dyDescent="0.2">
      <c r="A1221" s="139" t="s">
        <v>41</v>
      </c>
      <c r="B1221" s="140">
        <v>45139</v>
      </c>
      <c r="C1221">
        <v>113.99</v>
      </c>
      <c r="D1221">
        <v>8</v>
      </c>
      <c r="E1221" t="str">
        <f>TEXT(ACTUAL_EXPENSES[[#This Row],[Date]],"mmm")</f>
        <v>Aug</v>
      </c>
    </row>
    <row r="1222" spans="1:5" x14ac:dyDescent="0.2">
      <c r="A1222" s="139" t="s">
        <v>41</v>
      </c>
      <c r="B1222" s="140">
        <v>45140</v>
      </c>
      <c r="C1222">
        <v>47</v>
      </c>
      <c r="D1222">
        <v>8</v>
      </c>
      <c r="E1222" t="str">
        <f>TEXT(ACTUAL_EXPENSES[[#This Row],[Date]],"mmm")</f>
        <v>Aug</v>
      </c>
    </row>
    <row r="1223" spans="1:5" x14ac:dyDescent="0.2">
      <c r="A1223" s="139" t="s">
        <v>41</v>
      </c>
      <c r="B1223" s="140">
        <v>45141</v>
      </c>
      <c r="C1223">
        <v>10</v>
      </c>
      <c r="D1223">
        <v>8</v>
      </c>
      <c r="E1223" t="str">
        <f>TEXT(ACTUAL_EXPENSES[[#This Row],[Date]],"mmm")</f>
        <v>Aug</v>
      </c>
    </row>
    <row r="1224" spans="1:5" x14ac:dyDescent="0.2">
      <c r="A1224" s="139" t="s">
        <v>41</v>
      </c>
      <c r="B1224" s="140">
        <v>45142</v>
      </c>
      <c r="C1224">
        <v>111</v>
      </c>
      <c r="D1224">
        <v>8</v>
      </c>
      <c r="E1224" t="str">
        <f>TEXT(ACTUAL_EXPENSES[[#This Row],[Date]],"mmm")</f>
        <v>Aug</v>
      </c>
    </row>
    <row r="1225" spans="1:5" x14ac:dyDescent="0.2">
      <c r="A1225" s="139" t="s">
        <v>41</v>
      </c>
      <c r="B1225" s="140">
        <v>45143</v>
      </c>
      <c r="C1225">
        <v>18.5</v>
      </c>
      <c r="D1225">
        <v>8</v>
      </c>
      <c r="E1225" t="str">
        <f>TEXT(ACTUAL_EXPENSES[[#This Row],[Date]],"mmm")</f>
        <v>Aug</v>
      </c>
    </row>
    <row r="1226" spans="1:5" x14ac:dyDescent="0.2">
      <c r="A1226" s="139" t="s">
        <v>41</v>
      </c>
      <c r="B1226" s="140">
        <v>45145</v>
      </c>
      <c r="C1226">
        <v>5</v>
      </c>
      <c r="D1226">
        <v>8</v>
      </c>
      <c r="E1226" t="str">
        <f>TEXT(ACTUAL_EXPENSES[[#This Row],[Date]],"mmm")</f>
        <v>Aug</v>
      </c>
    </row>
    <row r="1227" spans="1:5" x14ac:dyDescent="0.2">
      <c r="A1227" s="139" t="s">
        <v>41</v>
      </c>
      <c r="B1227" s="140">
        <v>45146</v>
      </c>
      <c r="C1227">
        <v>6</v>
      </c>
      <c r="D1227">
        <v>8</v>
      </c>
      <c r="E1227" t="str">
        <f>TEXT(ACTUAL_EXPENSES[[#This Row],[Date]],"mmm")</f>
        <v>Aug</v>
      </c>
    </row>
    <row r="1228" spans="1:5" x14ac:dyDescent="0.2">
      <c r="A1228" s="139" t="s">
        <v>41</v>
      </c>
      <c r="B1228" s="140">
        <v>45147</v>
      </c>
      <c r="C1228">
        <v>7.5</v>
      </c>
      <c r="D1228">
        <v>8</v>
      </c>
      <c r="E1228" t="str">
        <f>TEXT(ACTUAL_EXPENSES[[#This Row],[Date]],"mmm")</f>
        <v>Aug</v>
      </c>
    </row>
    <row r="1229" spans="1:5" x14ac:dyDescent="0.2">
      <c r="A1229" s="139" t="s">
        <v>41</v>
      </c>
      <c r="B1229" s="140">
        <v>45148</v>
      </c>
      <c r="C1229">
        <v>4</v>
      </c>
      <c r="D1229">
        <v>8</v>
      </c>
      <c r="E1229" t="str">
        <f>TEXT(ACTUAL_EXPENSES[[#This Row],[Date]],"mmm")</f>
        <v>Aug</v>
      </c>
    </row>
    <row r="1230" spans="1:5" x14ac:dyDescent="0.2">
      <c r="A1230" s="139" t="s">
        <v>41</v>
      </c>
      <c r="B1230" s="140">
        <v>45149</v>
      </c>
      <c r="C1230">
        <v>4</v>
      </c>
      <c r="D1230">
        <v>8</v>
      </c>
      <c r="E1230" t="str">
        <f>TEXT(ACTUAL_EXPENSES[[#This Row],[Date]],"mmm")</f>
        <v>Aug</v>
      </c>
    </row>
    <row r="1231" spans="1:5" x14ac:dyDescent="0.2">
      <c r="A1231" s="139" t="s">
        <v>41</v>
      </c>
      <c r="B1231" s="140">
        <v>45152</v>
      </c>
      <c r="C1231">
        <v>11</v>
      </c>
      <c r="D1231">
        <v>8</v>
      </c>
      <c r="E1231" t="str">
        <f>TEXT(ACTUAL_EXPENSES[[#This Row],[Date]],"mmm")</f>
        <v>Aug</v>
      </c>
    </row>
    <row r="1232" spans="1:5" x14ac:dyDescent="0.2">
      <c r="A1232" s="139" t="s">
        <v>41</v>
      </c>
      <c r="B1232" s="140">
        <v>45154</v>
      </c>
      <c r="C1232">
        <v>2</v>
      </c>
      <c r="D1232">
        <v>8</v>
      </c>
      <c r="E1232" t="str">
        <f>TEXT(ACTUAL_EXPENSES[[#This Row],[Date]],"mmm")</f>
        <v>Aug</v>
      </c>
    </row>
    <row r="1233" spans="1:5" x14ac:dyDescent="0.2">
      <c r="A1233" s="139" t="s">
        <v>41</v>
      </c>
      <c r="B1233" s="140">
        <v>45155</v>
      </c>
      <c r="C1233">
        <v>2</v>
      </c>
      <c r="D1233">
        <v>8</v>
      </c>
      <c r="E1233" t="str">
        <f>TEXT(ACTUAL_EXPENSES[[#This Row],[Date]],"mmm")</f>
        <v>Aug</v>
      </c>
    </row>
    <row r="1234" spans="1:5" x14ac:dyDescent="0.2">
      <c r="A1234" s="139" t="s">
        <v>41</v>
      </c>
      <c r="B1234" s="140">
        <v>45156</v>
      </c>
      <c r="C1234">
        <v>4</v>
      </c>
      <c r="D1234">
        <v>8</v>
      </c>
      <c r="E1234" t="str">
        <f>TEXT(ACTUAL_EXPENSES[[#This Row],[Date]],"mmm")</f>
        <v>Aug</v>
      </c>
    </row>
    <row r="1235" spans="1:5" x14ac:dyDescent="0.2">
      <c r="A1235" s="139" t="s">
        <v>41</v>
      </c>
      <c r="B1235" s="140">
        <v>45157</v>
      </c>
      <c r="C1235">
        <v>32</v>
      </c>
      <c r="D1235">
        <v>8</v>
      </c>
      <c r="E1235" t="str">
        <f>TEXT(ACTUAL_EXPENSES[[#This Row],[Date]],"mmm")</f>
        <v>Aug</v>
      </c>
    </row>
    <row r="1236" spans="1:5" x14ac:dyDescent="0.2">
      <c r="A1236" s="139" t="s">
        <v>41</v>
      </c>
      <c r="B1236" s="140">
        <v>45161</v>
      </c>
      <c r="C1236">
        <v>4</v>
      </c>
      <c r="D1236">
        <v>8</v>
      </c>
      <c r="E1236" t="str">
        <f>TEXT(ACTUAL_EXPENSES[[#This Row],[Date]],"mmm")</f>
        <v>Aug</v>
      </c>
    </row>
    <row r="1237" spans="1:5" x14ac:dyDescent="0.2">
      <c r="A1237" s="139" t="s">
        <v>41</v>
      </c>
      <c r="B1237" s="140">
        <v>45162</v>
      </c>
      <c r="C1237">
        <v>5</v>
      </c>
      <c r="D1237">
        <v>8</v>
      </c>
      <c r="E1237" t="str">
        <f>TEXT(ACTUAL_EXPENSES[[#This Row],[Date]],"mmm")</f>
        <v>Aug</v>
      </c>
    </row>
    <row r="1238" spans="1:5" x14ac:dyDescent="0.2">
      <c r="A1238" s="139" t="s">
        <v>41</v>
      </c>
      <c r="B1238" s="140">
        <v>45163</v>
      </c>
      <c r="C1238">
        <v>47</v>
      </c>
      <c r="D1238">
        <v>8</v>
      </c>
      <c r="E1238" t="str">
        <f>TEXT(ACTUAL_EXPENSES[[#This Row],[Date]],"mmm")</f>
        <v>Aug</v>
      </c>
    </row>
    <row r="1239" spans="1:5" x14ac:dyDescent="0.2">
      <c r="A1239" s="139" t="s">
        <v>41</v>
      </c>
      <c r="B1239" s="140">
        <v>45164</v>
      </c>
      <c r="C1239">
        <v>100</v>
      </c>
      <c r="D1239">
        <v>8</v>
      </c>
      <c r="E1239" t="str">
        <f>TEXT(ACTUAL_EXPENSES[[#This Row],[Date]],"mmm")</f>
        <v>Aug</v>
      </c>
    </row>
    <row r="1240" spans="1:5" x14ac:dyDescent="0.2">
      <c r="A1240" s="139" t="s">
        <v>41</v>
      </c>
      <c r="B1240" s="140">
        <v>45166</v>
      </c>
      <c r="C1240">
        <v>8</v>
      </c>
      <c r="D1240">
        <v>8</v>
      </c>
      <c r="E1240" t="str">
        <f>TEXT(ACTUAL_EXPENSES[[#This Row],[Date]],"mmm")</f>
        <v>Aug</v>
      </c>
    </row>
    <row r="1241" spans="1:5" x14ac:dyDescent="0.2">
      <c r="A1241" s="139" t="s">
        <v>41</v>
      </c>
      <c r="B1241" s="140">
        <v>45167</v>
      </c>
      <c r="C1241">
        <v>22</v>
      </c>
      <c r="D1241">
        <v>8</v>
      </c>
      <c r="E1241" t="str">
        <f>TEXT(ACTUAL_EXPENSES[[#This Row],[Date]],"mmm")</f>
        <v>Aug</v>
      </c>
    </row>
    <row r="1242" spans="1:5" x14ac:dyDescent="0.2">
      <c r="A1242" s="139" t="s">
        <v>41</v>
      </c>
      <c r="B1242" s="140">
        <v>45168</v>
      </c>
      <c r="C1242">
        <v>18</v>
      </c>
      <c r="D1242">
        <v>8</v>
      </c>
      <c r="E1242" t="str">
        <f>TEXT(ACTUAL_EXPENSES[[#This Row],[Date]],"mmm")</f>
        <v>Aug</v>
      </c>
    </row>
    <row r="1243" spans="1:5" x14ac:dyDescent="0.2">
      <c r="A1243" s="139" t="s">
        <v>41</v>
      </c>
      <c r="B1243" s="140">
        <v>45169</v>
      </c>
      <c r="C1243">
        <v>14</v>
      </c>
      <c r="D1243">
        <v>8</v>
      </c>
      <c r="E1243" t="str">
        <f>TEXT(ACTUAL_EXPENSES[[#This Row],[Date]],"mmm")</f>
        <v>Aug</v>
      </c>
    </row>
    <row r="1244" spans="1:5" x14ac:dyDescent="0.2">
      <c r="A1244" s="139" t="s">
        <v>61</v>
      </c>
      <c r="B1244" s="140">
        <v>45139</v>
      </c>
      <c r="C1244">
        <v>0</v>
      </c>
      <c r="D1244">
        <v>8</v>
      </c>
      <c r="E1244" t="str">
        <f>TEXT(ACTUAL_EXPENSES[[#This Row],[Date]],"mmm")</f>
        <v>Aug</v>
      </c>
    </row>
    <row r="1245" spans="1:5" x14ac:dyDescent="0.2">
      <c r="A1245" s="139" t="s">
        <v>61</v>
      </c>
      <c r="B1245" s="140">
        <v>45140</v>
      </c>
      <c r="C1245">
        <v>0</v>
      </c>
      <c r="D1245">
        <v>8</v>
      </c>
      <c r="E1245" t="str">
        <f>TEXT(ACTUAL_EXPENSES[[#This Row],[Date]],"mmm")</f>
        <v>Aug</v>
      </c>
    </row>
    <row r="1246" spans="1:5" x14ac:dyDescent="0.2">
      <c r="A1246" s="139" t="s">
        <v>61</v>
      </c>
      <c r="B1246" s="140">
        <v>45143</v>
      </c>
      <c r="C1246">
        <v>12</v>
      </c>
      <c r="D1246">
        <v>8</v>
      </c>
      <c r="E1246" t="str">
        <f>TEXT(ACTUAL_EXPENSES[[#This Row],[Date]],"mmm")</f>
        <v>Aug</v>
      </c>
    </row>
    <row r="1247" spans="1:5" x14ac:dyDescent="0.2">
      <c r="A1247" s="139" t="s">
        <v>61</v>
      </c>
      <c r="B1247" s="140">
        <v>45167</v>
      </c>
      <c r="C1247">
        <v>40</v>
      </c>
      <c r="D1247">
        <v>8</v>
      </c>
      <c r="E1247" t="str">
        <f>TEXT(ACTUAL_EXPENSES[[#This Row],[Date]],"mmm")</f>
        <v>Aug</v>
      </c>
    </row>
    <row r="1248" spans="1:5" x14ac:dyDescent="0.2">
      <c r="A1248" s="139" t="s">
        <v>53</v>
      </c>
      <c r="B1248" s="140">
        <v>45157</v>
      </c>
      <c r="C1248">
        <v>544.20000000000005</v>
      </c>
      <c r="D1248">
        <v>8</v>
      </c>
      <c r="E1248" t="str">
        <f>TEXT(ACTUAL_EXPENSES[[#This Row],[Date]],"mmm")</f>
        <v>Aug</v>
      </c>
    </row>
    <row r="1249" spans="1:5" x14ac:dyDescent="0.2">
      <c r="A1249" s="139" t="s">
        <v>53</v>
      </c>
      <c r="B1249" s="140">
        <v>45163</v>
      </c>
      <c r="C1249">
        <v>158</v>
      </c>
      <c r="D1249">
        <v>8</v>
      </c>
      <c r="E1249" t="str">
        <f>TEXT(ACTUAL_EXPENSES[[#This Row],[Date]],"mmm")</f>
        <v>Aug</v>
      </c>
    </row>
    <row r="1250" spans="1:5" x14ac:dyDescent="0.2">
      <c r="A1250" s="139" t="s">
        <v>39</v>
      </c>
      <c r="B1250" s="140">
        <v>45142</v>
      </c>
      <c r="C1250">
        <v>66</v>
      </c>
      <c r="D1250">
        <v>8</v>
      </c>
      <c r="E1250" t="str">
        <f>TEXT(ACTUAL_EXPENSES[[#This Row],[Date]],"mmm")</f>
        <v>Aug</v>
      </c>
    </row>
    <row r="1251" spans="1:5" x14ac:dyDescent="0.2">
      <c r="A1251" s="139" t="s">
        <v>39</v>
      </c>
      <c r="B1251" s="140">
        <v>45143</v>
      </c>
      <c r="C1251">
        <v>37</v>
      </c>
      <c r="D1251">
        <v>8</v>
      </c>
      <c r="E1251" t="str">
        <f>TEXT(ACTUAL_EXPENSES[[#This Row],[Date]],"mmm")</f>
        <v>Aug</v>
      </c>
    </row>
    <row r="1252" spans="1:5" x14ac:dyDescent="0.2">
      <c r="A1252" s="139" t="s">
        <v>39</v>
      </c>
      <c r="B1252" s="140">
        <v>45144</v>
      </c>
      <c r="C1252">
        <v>60</v>
      </c>
      <c r="D1252">
        <v>8</v>
      </c>
      <c r="E1252" t="str">
        <f>TEXT(ACTUAL_EXPENSES[[#This Row],[Date]],"mmm")</f>
        <v>Aug</v>
      </c>
    </row>
    <row r="1253" spans="1:5" x14ac:dyDescent="0.2">
      <c r="A1253" s="139" t="s">
        <v>39</v>
      </c>
      <c r="B1253" s="140">
        <v>45145</v>
      </c>
      <c r="C1253">
        <v>109</v>
      </c>
      <c r="D1253">
        <v>8</v>
      </c>
      <c r="E1253" t="str">
        <f>TEXT(ACTUAL_EXPENSES[[#This Row],[Date]],"mmm")</f>
        <v>Aug</v>
      </c>
    </row>
    <row r="1254" spans="1:5" x14ac:dyDescent="0.2">
      <c r="A1254" s="139" t="s">
        <v>39</v>
      </c>
      <c r="B1254" s="140">
        <v>45148</v>
      </c>
      <c r="C1254">
        <v>10</v>
      </c>
      <c r="D1254">
        <v>8</v>
      </c>
      <c r="E1254" t="str">
        <f>TEXT(ACTUAL_EXPENSES[[#This Row],[Date]],"mmm")</f>
        <v>Aug</v>
      </c>
    </row>
    <row r="1255" spans="1:5" x14ac:dyDescent="0.2">
      <c r="A1255" s="139" t="s">
        <v>39</v>
      </c>
      <c r="B1255" s="140">
        <v>45149</v>
      </c>
      <c r="C1255">
        <v>20</v>
      </c>
      <c r="D1255">
        <v>8</v>
      </c>
      <c r="E1255" t="str">
        <f>TEXT(ACTUAL_EXPENSES[[#This Row],[Date]],"mmm")</f>
        <v>Aug</v>
      </c>
    </row>
    <row r="1256" spans="1:5" x14ac:dyDescent="0.2">
      <c r="A1256" s="139" t="s">
        <v>39</v>
      </c>
      <c r="B1256" s="140">
        <v>45152</v>
      </c>
      <c r="C1256">
        <v>172</v>
      </c>
      <c r="D1256">
        <v>8</v>
      </c>
      <c r="E1256" t="str">
        <f>TEXT(ACTUAL_EXPENSES[[#This Row],[Date]],"mmm")</f>
        <v>Aug</v>
      </c>
    </row>
    <row r="1257" spans="1:5" x14ac:dyDescent="0.2">
      <c r="A1257" s="139" t="s">
        <v>39</v>
      </c>
      <c r="B1257" s="140">
        <v>45153</v>
      </c>
      <c r="C1257">
        <v>48</v>
      </c>
      <c r="D1257">
        <v>8</v>
      </c>
      <c r="E1257" t="str">
        <f>TEXT(ACTUAL_EXPENSES[[#This Row],[Date]],"mmm")</f>
        <v>Aug</v>
      </c>
    </row>
    <row r="1258" spans="1:5" x14ac:dyDescent="0.2">
      <c r="A1258" s="139" t="s">
        <v>39</v>
      </c>
      <c r="B1258" s="140">
        <v>45154</v>
      </c>
      <c r="C1258">
        <v>12</v>
      </c>
      <c r="D1258">
        <v>8</v>
      </c>
      <c r="E1258" t="str">
        <f>TEXT(ACTUAL_EXPENSES[[#This Row],[Date]],"mmm")</f>
        <v>Aug</v>
      </c>
    </row>
    <row r="1259" spans="1:5" x14ac:dyDescent="0.2">
      <c r="A1259" s="139" t="s">
        <v>39</v>
      </c>
      <c r="B1259" s="140">
        <v>45156</v>
      </c>
      <c r="C1259">
        <v>61</v>
      </c>
      <c r="D1259">
        <v>8</v>
      </c>
      <c r="E1259" t="str">
        <f>TEXT(ACTUAL_EXPENSES[[#This Row],[Date]],"mmm")</f>
        <v>Aug</v>
      </c>
    </row>
    <row r="1260" spans="1:5" x14ac:dyDescent="0.2">
      <c r="A1260" s="139" t="s">
        <v>39</v>
      </c>
      <c r="B1260" s="140">
        <v>45157</v>
      </c>
      <c r="C1260">
        <v>22</v>
      </c>
      <c r="D1260">
        <v>8</v>
      </c>
      <c r="E1260" t="str">
        <f>TEXT(ACTUAL_EXPENSES[[#This Row],[Date]],"mmm")</f>
        <v>Aug</v>
      </c>
    </row>
    <row r="1261" spans="1:5" x14ac:dyDescent="0.2">
      <c r="A1261" s="139" t="s">
        <v>39</v>
      </c>
      <c r="B1261" s="140">
        <v>45159</v>
      </c>
      <c r="C1261">
        <v>50</v>
      </c>
      <c r="D1261">
        <v>8</v>
      </c>
      <c r="E1261" t="str">
        <f>TEXT(ACTUAL_EXPENSES[[#This Row],[Date]],"mmm")</f>
        <v>Aug</v>
      </c>
    </row>
    <row r="1262" spans="1:5" x14ac:dyDescent="0.2">
      <c r="A1262" s="139" t="s">
        <v>39</v>
      </c>
      <c r="B1262" s="140">
        <v>45162</v>
      </c>
      <c r="C1262">
        <v>4.5</v>
      </c>
      <c r="D1262">
        <v>8</v>
      </c>
      <c r="E1262" t="str">
        <f>TEXT(ACTUAL_EXPENSES[[#This Row],[Date]],"mmm")</f>
        <v>Aug</v>
      </c>
    </row>
    <row r="1263" spans="1:5" x14ac:dyDescent="0.2">
      <c r="A1263" s="139" t="s">
        <v>39</v>
      </c>
      <c r="B1263" s="140">
        <v>45163</v>
      </c>
      <c r="C1263">
        <v>86</v>
      </c>
      <c r="D1263">
        <v>8</v>
      </c>
      <c r="E1263" t="str">
        <f>TEXT(ACTUAL_EXPENSES[[#This Row],[Date]],"mmm")</f>
        <v>Aug</v>
      </c>
    </row>
    <row r="1264" spans="1:5" x14ac:dyDescent="0.2">
      <c r="A1264" s="139" t="s">
        <v>39</v>
      </c>
      <c r="B1264" s="140">
        <v>45165</v>
      </c>
      <c r="C1264">
        <v>13</v>
      </c>
      <c r="D1264">
        <v>8</v>
      </c>
      <c r="E1264" t="str">
        <f>TEXT(ACTUAL_EXPENSES[[#This Row],[Date]],"mmm")</f>
        <v>Aug</v>
      </c>
    </row>
    <row r="1265" spans="1:5" x14ac:dyDescent="0.2">
      <c r="A1265" s="139" t="s">
        <v>39</v>
      </c>
      <c r="B1265" s="140">
        <v>45166</v>
      </c>
      <c r="C1265">
        <v>92</v>
      </c>
      <c r="D1265">
        <v>8</v>
      </c>
      <c r="E1265" t="str">
        <f>TEXT(ACTUAL_EXPENSES[[#This Row],[Date]],"mmm")</f>
        <v>Aug</v>
      </c>
    </row>
    <row r="1266" spans="1:5" x14ac:dyDescent="0.2">
      <c r="A1266" s="139" t="s">
        <v>127</v>
      </c>
      <c r="B1266" s="140">
        <v>45139</v>
      </c>
      <c r="C1266">
        <v>0</v>
      </c>
      <c r="D1266">
        <v>8</v>
      </c>
      <c r="E1266" t="str">
        <f>TEXT(ACTUAL_EXPENSES[[#This Row],[Date]],"mmm")</f>
        <v>Aug</v>
      </c>
    </row>
    <row r="1267" spans="1:5" x14ac:dyDescent="0.2">
      <c r="A1267" s="139" t="s">
        <v>127</v>
      </c>
      <c r="B1267" s="140">
        <v>45140</v>
      </c>
      <c r="C1267">
        <v>0</v>
      </c>
      <c r="D1267">
        <v>8</v>
      </c>
      <c r="E1267" t="str">
        <f>TEXT(ACTUAL_EXPENSES[[#This Row],[Date]],"mmm")</f>
        <v>Aug</v>
      </c>
    </row>
    <row r="1268" spans="1:5" x14ac:dyDescent="0.2">
      <c r="A1268" s="139" t="s">
        <v>127</v>
      </c>
      <c r="B1268" s="140">
        <v>45141</v>
      </c>
      <c r="C1268">
        <v>10.5</v>
      </c>
      <c r="D1268">
        <v>8</v>
      </c>
      <c r="E1268" t="str">
        <f>TEXT(ACTUAL_EXPENSES[[#This Row],[Date]],"mmm")</f>
        <v>Aug</v>
      </c>
    </row>
    <row r="1269" spans="1:5" x14ac:dyDescent="0.2">
      <c r="A1269" s="139" t="s">
        <v>127</v>
      </c>
      <c r="B1269" s="140">
        <v>45143</v>
      </c>
      <c r="C1269">
        <v>25</v>
      </c>
      <c r="D1269">
        <v>8</v>
      </c>
      <c r="E1269" t="str">
        <f>TEXT(ACTUAL_EXPENSES[[#This Row],[Date]],"mmm")</f>
        <v>Aug</v>
      </c>
    </row>
    <row r="1270" spans="1:5" x14ac:dyDescent="0.2">
      <c r="A1270" s="139" t="s">
        <v>127</v>
      </c>
      <c r="B1270" s="140">
        <v>45147</v>
      </c>
      <c r="C1270">
        <v>31</v>
      </c>
      <c r="D1270">
        <v>8</v>
      </c>
      <c r="E1270" t="str">
        <f>TEXT(ACTUAL_EXPENSES[[#This Row],[Date]],"mmm")</f>
        <v>Aug</v>
      </c>
    </row>
    <row r="1271" spans="1:5" x14ac:dyDescent="0.2">
      <c r="A1271" s="139" t="s">
        <v>127</v>
      </c>
      <c r="B1271" s="140">
        <v>45148</v>
      </c>
      <c r="C1271">
        <v>50</v>
      </c>
      <c r="D1271">
        <v>8</v>
      </c>
      <c r="E1271" t="str">
        <f>TEXT(ACTUAL_EXPENSES[[#This Row],[Date]],"mmm")</f>
        <v>Aug</v>
      </c>
    </row>
    <row r="1272" spans="1:5" x14ac:dyDescent="0.2">
      <c r="A1272" s="139" t="s">
        <v>127</v>
      </c>
      <c r="B1272" s="140">
        <v>45152</v>
      </c>
      <c r="C1272">
        <v>50</v>
      </c>
      <c r="D1272">
        <v>8</v>
      </c>
      <c r="E1272" t="str">
        <f>TEXT(ACTUAL_EXPENSES[[#This Row],[Date]],"mmm")</f>
        <v>Aug</v>
      </c>
    </row>
    <row r="1273" spans="1:5" x14ac:dyDescent="0.2">
      <c r="A1273" s="139" t="s">
        <v>127</v>
      </c>
      <c r="B1273" s="140">
        <v>45162</v>
      </c>
      <c r="C1273">
        <v>15</v>
      </c>
      <c r="D1273">
        <v>8</v>
      </c>
      <c r="E1273" t="str">
        <f>TEXT(ACTUAL_EXPENSES[[#This Row],[Date]],"mmm")</f>
        <v>Aug</v>
      </c>
    </row>
    <row r="1274" spans="1:5" x14ac:dyDescent="0.2">
      <c r="A1274" s="139" t="s">
        <v>127</v>
      </c>
      <c r="B1274" s="140">
        <v>45166</v>
      </c>
      <c r="C1274">
        <v>0</v>
      </c>
      <c r="D1274">
        <v>8</v>
      </c>
      <c r="E1274" t="str">
        <f>TEXT(ACTUAL_EXPENSES[[#This Row],[Date]],"mmm")</f>
        <v>Aug</v>
      </c>
    </row>
    <row r="1275" spans="1:5" x14ac:dyDescent="0.2">
      <c r="A1275" s="139" t="s">
        <v>48</v>
      </c>
      <c r="B1275" s="140">
        <v>45164</v>
      </c>
      <c r="C1275">
        <v>12.13</v>
      </c>
      <c r="D1275">
        <v>8</v>
      </c>
      <c r="E1275" t="str">
        <f>TEXT(ACTUAL_EXPENSES[[#This Row],[Date]],"mmm")</f>
        <v>Aug</v>
      </c>
    </row>
    <row r="1276" spans="1:5" x14ac:dyDescent="0.2">
      <c r="A1276" s="139" t="s">
        <v>49</v>
      </c>
      <c r="B1276" s="140">
        <v>45148</v>
      </c>
      <c r="C1276">
        <v>9</v>
      </c>
      <c r="D1276">
        <v>8</v>
      </c>
      <c r="E1276" t="str">
        <f>TEXT(ACTUAL_EXPENSES[[#This Row],[Date]],"mmm")</f>
        <v>Aug</v>
      </c>
    </row>
    <row r="1277" spans="1:5" x14ac:dyDescent="0.2">
      <c r="A1277" s="139" t="s">
        <v>126</v>
      </c>
      <c r="B1277" s="140">
        <v>45161</v>
      </c>
      <c r="C1277">
        <v>97.44</v>
      </c>
      <c r="D1277">
        <v>8</v>
      </c>
      <c r="E1277" t="str">
        <f>TEXT(ACTUAL_EXPENSES[[#This Row],[Date]],"mmm")</f>
        <v>Aug</v>
      </c>
    </row>
    <row r="1278" spans="1:5" x14ac:dyDescent="0.2">
      <c r="A1278" s="139" t="s">
        <v>51</v>
      </c>
      <c r="B1278" s="140">
        <v>45161</v>
      </c>
      <c r="C1278">
        <v>5</v>
      </c>
      <c r="D1278">
        <v>8</v>
      </c>
      <c r="E1278" t="str">
        <f>TEXT(ACTUAL_EXPENSES[[#This Row],[Date]],"mmm")</f>
        <v>Aug</v>
      </c>
    </row>
    <row r="1279" spans="1:5" x14ac:dyDescent="0.2">
      <c r="A1279" s="139" t="s">
        <v>51</v>
      </c>
      <c r="B1279" s="140">
        <v>45162</v>
      </c>
      <c r="C1279">
        <v>1</v>
      </c>
      <c r="D1279">
        <v>8</v>
      </c>
      <c r="E1279" t="str">
        <f>TEXT(ACTUAL_EXPENSES[[#This Row],[Date]],"mmm")</f>
        <v>Aug</v>
      </c>
    </row>
    <row r="1280" spans="1:5" x14ac:dyDescent="0.2">
      <c r="A1280" s="139" t="s">
        <v>51</v>
      </c>
      <c r="B1280" s="140">
        <v>45163</v>
      </c>
      <c r="C1280">
        <v>1.72</v>
      </c>
      <c r="D1280">
        <v>8</v>
      </c>
      <c r="E1280" t="str">
        <f>TEXT(ACTUAL_EXPENSES[[#This Row],[Date]],"mmm")</f>
        <v>Aug</v>
      </c>
    </row>
    <row r="1281" spans="1:5" x14ac:dyDescent="0.2">
      <c r="A1281" s="139" t="s">
        <v>51</v>
      </c>
      <c r="B1281" s="140">
        <v>45167</v>
      </c>
      <c r="C1281">
        <v>3</v>
      </c>
      <c r="D1281">
        <v>8</v>
      </c>
      <c r="E1281" t="str">
        <f>TEXT(ACTUAL_EXPENSES[[#This Row],[Date]],"mmm")</f>
        <v>Aug</v>
      </c>
    </row>
    <row r="1282" spans="1:5" x14ac:dyDescent="0.2">
      <c r="A1282" s="139" t="s">
        <v>195</v>
      </c>
      <c r="B1282" s="140"/>
      <c r="C1282">
        <v>1</v>
      </c>
      <c r="E1282" t="str">
        <f>TEXT(ACTUAL_EXPENSES[[#This Row],[Date]],"mmm")</f>
        <v>Jan</v>
      </c>
    </row>
    <row r="1283" spans="1:5" x14ac:dyDescent="0.2">
      <c r="A1283" s="139" t="s">
        <v>195</v>
      </c>
      <c r="B1283" s="140"/>
      <c r="C1283">
        <v>2</v>
      </c>
      <c r="E1283" t="str">
        <f>TEXT(ACTUAL_EXPENSES[[#This Row],[Date]],"mmm")</f>
        <v>Jan</v>
      </c>
    </row>
    <row r="1284" spans="1:5" x14ac:dyDescent="0.2">
      <c r="A1284" s="139" t="s">
        <v>195</v>
      </c>
      <c r="B1284" s="140"/>
      <c r="C1284">
        <v>3</v>
      </c>
      <c r="E1284" t="str">
        <f>TEXT(ACTUAL_EXPENSES[[#This Row],[Date]],"mmm")</f>
        <v>Jan</v>
      </c>
    </row>
    <row r="1285" spans="1:5" x14ac:dyDescent="0.2">
      <c r="A1285" s="139" t="s">
        <v>195</v>
      </c>
      <c r="B1285" s="140"/>
      <c r="C1285">
        <v>4</v>
      </c>
      <c r="E1285" t="str">
        <f>TEXT(ACTUAL_EXPENSES[[#This Row],[Date]],"mmm")</f>
        <v>Jan</v>
      </c>
    </row>
    <row r="1286" spans="1:5" x14ac:dyDescent="0.2">
      <c r="A1286" s="139" t="s">
        <v>195</v>
      </c>
      <c r="B1286" s="140"/>
      <c r="C1286">
        <v>5</v>
      </c>
      <c r="E1286" t="str">
        <f>TEXT(ACTUAL_EXPENSES[[#This Row],[Date]],"mmm")</f>
        <v>Jan</v>
      </c>
    </row>
    <row r="1287" spans="1:5" x14ac:dyDescent="0.2">
      <c r="A1287" s="139" t="s">
        <v>195</v>
      </c>
      <c r="B1287" s="140"/>
      <c r="C1287">
        <v>6</v>
      </c>
      <c r="E1287" t="str">
        <f>TEXT(ACTUAL_EXPENSES[[#This Row],[Date]],"mmm")</f>
        <v>Jan</v>
      </c>
    </row>
    <row r="1288" spans="1:5" x14ac:dyDescent="0.2">
      <c r="A1288" s="139" t="s">
        <v>195</v>
      </c>
      <c r="B1288" s="140"/>
      <c r="C1288">
        <v>7</v>
      </c>
      <c r="E1288" t="str">
        <f>TEXT(ACTUAL_EXPENSES[[#This Row],[Date]],"mmm")</f>
        <v>Jan</v>
      </c>
    </row>
    <row r="1289" spans="1:5" x14ac:dyDescent="0.2">
      <c r="A1289" s="139" t="s">
        <v>195</v>
      </c>
      <c r="B1289" s="140"/>
      <c r="C1289">
        <v>8</v>
      </c>
      <c r="E1289" t="str">
        <f>TEXT(ACTUAL_EXPENSES[[#This Row],[Date]],"mmm")</f>
        <v>Jan</v>
      </c>
    </row>
    <row r="1290" spans="1:5" x14ac:dyDescent="0.2">
      <c r="A1290" s="139" t="s">
        <v>195</v>
      </c>
      <c r="B1290" s="140"/>
      <c r="C1290">
        <v>9</v>
      </c>
      <c r="E1290" t="str">
        <f>TEXT(ACTUAL_EXPENSES[[#This Row],[Date]],"mmm")</f>
        <v>Jan</v>
      </c>
    </row>
    <row r="1291" spans="1:5" x14ac:dyDescent="0.2">
      <c r="A1291" s="139" t="s">
        <v>195</v>
      </c>
      <c r="B1291" s="140"/>
      <c r="C1291">
        <v>10</v>
      </c>
      <c r="E1291" t="str">
        <f>TEXT(ACTUAL_EXPENSES[[#This Row],[Date]],"mmm")</f>
        <v>Jan</v>
      </c>
    </row>
    <row r="1292" spans="1:5" x14ac:dyDescent="0.2">
      <c r="A1292" s="139" t="s">
        <v>195</v>
      </c>
      <c r="B1292" s="140"/>
      <c r="C1292">
        <v>11</v>
      </c>
      <c r="E1292" t="str">
        <f>TEXT(ACTUAL_EXPENSES[[#This Row],[Date]],"mmm")</f>
        <v>Jan</v>
      </c>
    </row>
    <row r="1293" spans="1:5" x14ac:dyDescent="0.2">
      <c r="A1293" s="139" t="s">
        <v>195</v>
      </c>
      <c r="B1293" s="140"/>
      <c r="C1293">
        <v>12</v>
      </c>
      <c r="E1293" t="str">
        <f>TEXT(ACTUAL_EXPENSES[[#This Row],[Date]],"mmm")</f>
        <v>Jan</v>
      </c>
    </row>
    <row r="1294" spans="1:5" x14ac:dyDescent="0.2">
      <c r="A1294" s="139" t="s">
        <v>195</v>
      </c>
      <c r="B1294" s="140"/>
      <c r="C1294">
        <v>13</v>
      </c>
      <c r="E1294" t="str">
        <f>TEXT(ACTUAL_EXPENSES[[#This Row],[Date]],"mmm")</f>
        <v>Jan</v>
      </c>
    </row>
    <row r="1295" spans="1:5" x14ac:dyDescent="0.2">
      <c r="A1295" s="139" t="s">
        <v>195</v>
      </c>
      <c r="B1295" s="140"/>
      <c r="C1295">
        <v>14</v>
      </c>
      <c r="E1295" t="str">
        <f>TEXT(ACTUAL_EXPENSES[[#This Row],[Date]],"mmm")</f>
        <v>Jan</v>
      </c>
    </row>
    <row r="1296" spans="1:5" x14ac:dyDescent="0.2">
      <c r="A1296" s="139" t="s">
        <v>195</v>
      </c>
      <c r="B1296" s="140"/>
      <c r="C1296">
        <v>15</v>
      </c>
      <c r="E1296" t="str">
        <f>TEXT(ACTUAL_EXPENSES[[#This Row],[Date]],"mmm")</f>
        <v>Jan</v>
      </c>
    </row>
    <row r="1297" spans="1:5" x14ac:dyDescent="0.2">
      <c r="A1297" s="139" t="s">
        <v>195</v>
      </c>
      <c r="B1297" s="140"/>
      <c r="C1297">
        <v>16</v>
      </c>
      <c r="E1297" t="str">
        <f>TEXT(ACTUAL_EXPENSES[[#This Row],[Date]],"mmm")</f>
        <v>Jan</v>
      </c>
    </row>
    <row r="1298" spans="1:5" x14ac:dyDescent="0.2">
      <c r="A1298" s="139" t="s">
        <v>195</v>
      </c>
      <c r="B1298" s="140"/>
      <c r="C1298">
        <v>17</v>
      </c>
      <c r="E1298" t="str">
        <f>TEXT(ACTUAL_EXPENSES[[#This Row],[Date]],"mmm")</f>
        <v>Jan</v>
      </c>
    </row>
    <row r="1299" spans="1:5" x14ac:dyDescent="0.2">
      <c r="A1299" s="139" t="s">
        <v>195</v>
      </c>
      <c r="B1299" s="140"/>
      <c r="C1299">
        <v>18</v>
      </c>
      <c r="E1299" t="str">
        <f>TEXT(ACTUAL_EXPENSES[[#This Row],[Date]],"mmm")</f>
        <v>Jan</v>
      </c>
    </row>
    <row r="1300" spans="1:5" x14ac:dyDescent="0.2">
      <c r="A1300" s="139" t="s">
        <v>195</v>
      </c>
      <c r="B1300" s="140"/>
      <c r="C1300">
        <v>19</v>
      </c>
      <c r="E1300" t="str">
        <f>TEXT(ACTUAL_EXPENSES[[#This Row],[Date]],"mmm")</f>
        <v>Jan</v>
      </c>
    </row>
    <row r="1301" spans="1:5" x14ac:dyDescent="0.2">
      <c r="A1301" s="139" t="s">
        <v>195</v>
      </c>
      <c r="B1301" s="140"/>
      <c r="C1301">
        <v>20</v>
      </c>
      <c r="E1301" t="str">
        <f>TEXT(ACTUAL_EXPENSES[[#This Row],[Date]],"mmm")</f>
        <v>Jan</v>
      </c>
    </row>
    <row r="1302" spans="1:5" x14ac:dyDescent="0.2">
      <c r="A1302" s="139" t="s">
        <v>195</v>
      </c>
      <c r="B1302" s="140"/>
      <c r="C1302">
        <v>21</v>
      </c>
      <c r="E1302" t="str">
        <f>TEXT(ACTUAL_EXPENSES[[#This Row],[Date]],"mmm")</f>
        <v>Jan</v>
      </c>
    </row>
    <row r="1303" spans="1:5" x14ac:dyDescent="0.2">
      <c r="A1303" s="139" t="s">
        <v>195</v>
      </c>
      <c r="B1303" s="140"/>
      <c r="C1303">
        <v>22</v>
      </c>
      <c r="E1303" t="str">
        <f>TEXT(ACTUAL_EXPENSES[[#This Row],[Date]],"mmm")</f>
        <v>Jan</v>
      </c>
    </row>
    <row r="1304" spans="1:5" x14ac:dyDescent="0.2">
      <c r="A1304" s="139" t="s">
        <v>195</v>
      </c>
      <c r="B1304" s="140"/>
      <c r="C1304">
        <v>23</v>
      </c>
      <c r="E1304" t="str">
        <f>TEXT(ACTUAL_EXPENSES[[#This Row],[Date]],"mmm")</f>
        <v>Jan</v>
      </c>
    </row>
    <row r="1305" spans="1:5" x14ac:dyDescent="0.2">
      <c r="A1305" s="139" t="s">
        <v>195</v>
      </c>
      <c r="B1305" s="140"/>
      <c r="C1305">
        <v>24</v>
      </c>
      <c r="E1305" t="str">
        <f>TEXT(ACTUAL_EXPENSES[[#This Row],[Date]],"mmm")</f>
        <v>Jan</v>
      </c>
    </row>
    <row r="1306" spans="1:5" x14ac:dyDescent="0.2">
      <c r="A1306" s="139" t="s">
        <v>195</v>
      </c>
      <c r="B1306" s="140"/>
      <c r="C1306">
        <v>25</v>
      </c>
      <c r="E1306" t="str">
        <f>TEXT(ACTUAL_EXPENSES[[#This Row],[Date]],"mmm")</f>
        <v>Jan</v>
      </c>
    </row>
    <row r="1307" spans="1:5" x14ac:dyDescent="0.2">
      <c r="A1307" s="139" t="s">
        <v>195</v>
      </c>
      <c r="B1307" s="140"/>
      <c r="C1307">
        <v>26</v>
      </c>
      <c r="E1307" t="str">
        <f>TEXT(ACTUAL_EXPENSES[[#This Row],[Date]],"mmm")</f>
        <v>Jan</v>
      </c>
    </row>
    <row r="1308" spans="1:5" x14ac:dyDescent="0.2">
      <c r="A1308" s="139" t="s">
        <v>195</v>
      </c>
      <c r="B1308" s="140"/>
      <c r="C1308">
        <v>27</v>
      </c>
      <c r="E1308" t="str">
        <f>TEXT(ACTUAL_EXPENSES[[#This Row],[Date]],"mmm")</f>
        <v>Jan</v>
      </c>
    </row>
    <row r="1309" spans="1:5" x14ac:dyDescent="0.2">
      <c r="A1309" s="139" t="s">
        <v>195</v>
      </c>
      <c r="B1309" s="140"/>
      <c r="C1309">
        <v>28</v>
      </c>
      <c r="E1309" t="str">
        <f>TEXT(ACTUAL_EXPENSES[[#This Row],[Date]],"mmm")</f>
        <v>Jan</v>
      </c>
    </row>
    <row r="1310" spans="1:5" x14ac:dyDescent="0.2">
      <c r="A1310" s="139" t="s">
        <v>195</v>
      </c>
      <c r="B1310" s="140"/>
      <c r="C1310">
        <v>29</v>
      </c>
      <c r="E1310" t="str">
        <f>TEXT(ACTUAL_EXPENSES[[#This Row],[Date]],"mmm")</f>
        <v>Jan</v>
      </c>
    </row>
    <row r="1311" spans="1:5" x14ac:dyDescent="0.2">
      <c r="A1311" s="139" t="s">
        <v>195</v>
      </c>
      <c r="B1311" s="140"/>
      <c r="C1311">
        <v>30</v>
      </c>
      <c r="E1311" t="str">
        <f>TEXT(ACTUAL_EXPENSES[[#This Row],[Date]],"mmm")</f>
        <v>Jan</v>
      </c>
    </row>
    <row r="1312" spans="1:5" x14ac:dyDescent="0.2">
      <c r="A1312" s="139" t="s">
        <v>52</v>
      </c>
      <c r="B1312" s="140"/>
      <c r="C1312">
        <v>300</v>
      </c>
      <c r="E1312" t="str">
        <f>TEXT(ACTUAL_EXPENSES[[#This Row],[Date]],"mmm")</f>
        <v>Jan</v>
      </c>
    </row>
    <row r="1313" spans="1:5" x14ac:dyDescent="0.2">
      <c r="A1313" s="139" t="s">
        <v>44</v>
      </c>
      <c r="B1313" s="140"/>
      <c r="C1313">
        <v>250</v>
      </c>
      <c r="E1313" t="str">
        <f>TEXT(ACTUAL_EXPENSES[[#This Row],[Date]],"mmm")</f>
        <v>Jan</v>
      </c>
    </row>
    <row r="1314" spans="1:5" x14ac:dyDescent="0.2">
      <c r="A1314" s="139" t="s">
        <v>41</v>
      </c>
      <c r="B1314" s="140"/>
      <c r="C1314">
        <v>104.96</v>
      </c>
      <c r="E1314" t="str">
        <f>TEXT(ACTUAL_EXPENSES[[#This Row],[Date]],"mmm")</f>
        <v>Jan</v>
      </c>
    </row>
    <row r="1315" spans="1:5" x14ac:dyDescent="0.2">
      <c r="A1315" s="139" t="s">
        <v>41</v>
      </c>
      <c r="B1315" s="140"/>
      <c r="C1315">
        <v>3</v>
      </c>
      <c r="E1315" t="str">
        <f>TEXT(ACTUAL_EXPENSES[[#This Row],[Date]],"mmm")</f>
        <v>Jan</v>
      </c>
    </row>
    <row r="1316" spans="1:5" x14ac:dyDescent="0.2">
      <c r="A1316" s="139" t="s">
        <v>41</v>
      </c>
      <c r="B1316" s="140"/>
      <c r="C1316">
        <v>8</v>
      </c>
      <c r="E1316" t="str">
        <f>TEXT(ACTUAL_EXPENSES[[#This Row],[Date]],"mmm")</f>
        <v>Jan</v>
      </c>
    </row>
    <row r="1317" spans="1:5" x14ac:dyDescent="0.2">
      <c r="A1317" s="139" t="s">
        <v>41</v>
      </c>
      <c r="B1317" s="140"/>
      <c r="C1317">
        <v>6</v>
      </c>
      <c r="E1317" t="str">
        <f>TEXT(ACTUAL_EXPENSES[[#This Row],[Date]],"mmm")</f>
        <v>Jan</v>
      </c>
    </row>
    <row r="1318" spans="1:5" x14ac:dyDescent="0.2">
      <c r="A1318" s="139" t="s">
        <v>41</v>
      </c>
      <c r="B1318" s="140"/>
      <c r="C1318">
        <v>48</v>
      </c>
      <c r="E1318" t="str">
        <f>TEXT(ACTUAL_EXPENSES[[#This Row],[Date]],"mmm")</f>
        <v>Jan</v>
      </c>
    </row>
    <row r="1319" spans="1:5" x14ac:dyDescent="0.2">
      <c r="A1319" s="139" t="s">
        <v>41</v>
      </c>
      <c r="B1319" s="140"/>
      <c r="C1319">
        <v>59</v>
      </c>
      <c r="E1319" t="str">
        <f>TEXT(ACTUAL_EXPENSES[[#This Row],[Date]],"mmm")</f>
        <v>Jan</v>
      </c>
    </row>
    <row r="1320" spans="1:5" x14ac:dyDescent="0.2">
      <c r="A1320" s="139" t="s">
        <v>41</v>
      </c>
      <c r="B1320" s="140"/>
      <c r="C1320">
        <v>51</v>
      </c>
      <c r="E1320" t="str">
        <f>TEXT(ACTUAL_EXPENSES[[#This Row],[Date]],"mmm")</f>
        <v>Jan</v>
      </c>
    </row>
    <row r="1321" spans="1:5" x14ac:dyDescent="0.2">
      <c r="A1321" s="139" t="s">
        <v>41</v>
      </c>
      <c r="B1321" s="140"/>
      <c r="C1321">
        <v>9</v>
      </c>
      <c r="E1321" t="str">
        <f>TEXT(ACTUAL_EXPENSES[[#This Row],[Date]],"mmm")</f>
        <v>Jan</v>
      </c>
    </row>
    <row r="1322" spans="1:5" x14ac:dyDescent="0.2">
      <c r="A1322" s="139" t="s">
        <v>41</v>
      </c>
      <c r="B1322" s="140"/>
      <c r="C1322">
        <v>8</v>
      </c>
      <c r="E1322" t="str">
        <f>TEXT(ACTUAL_EXPENSES[[#This Row],[Date]],"mmm")</f>
        <v>Jan</v>
      </c>
    </row>
    <row r="1323" spans="1:5" x14ac:dyDescent="0.2">
      <c r="A1323" s="139" t="s">
        <v>41</v>
      </c>
      <c r="B1323" s="140"/>
      <c r="C1323">
        <v>13</v>
      </c>
      <c r="E1323" t="str">
        <f>TEXT(ACTUAL_EXPENSES[[#This Row],[Date]],"mmm")</f>
        <v>Jan</v>
      </c>
    </row>
    <row r="1324" spans="1:5" x14ac:dyDescent="0.2">
      <c r="A1324" s="139" t="s">
        <v>41</v>
      </c>
      <c r="B1324" s="140"/>
      <c r="C1324">
        <v>36</v>
      </c>
      <c r="E1324" t="str">
        <f>TEXT(ACTUAL_EXPENSES[[#This Row],[Date]],"mmm")</f>
        <v>Jan</v>
      </c>
    </row>
    <row r="1325" spans="1:5" x14ac:dyDescent="0.2">
      <c r="A1325" s="139" t="s">
        <v>41</v>
      </c>
      <c r="B1325" s="140"/>
      <c r="C1325">
        <v>26</v>
      </c>
      <c r="E1325" t="str">
        <f>TEXT(ACTUAL_EXPENSES[[#This Row],[Date]],"mmm")</f>
        <v>Jan</v>
      </c>
    </row>
    <row r="1326" spans="1:5" x14ac:dyDescent="0.2">
      <c r="A1326" s="139" t="s">
        <v>41</v>
      </c>
      <c r="B1326" s="140"/>
      <c r="C1326">
        <v>32</v>
      </c>
      <c r="E1326" t="str">
        <f>TEXT(ACTUAL_EXPENSES[[#This Row],[Date]],"mmm")</f>
        <v>Jan</v>
      </c>
    </row>
    <row r="1327" spans="1:5" x14ac:dyDescent="0.2">
      <c r="A1327" s="139" t="s">
        <v>41</v>
      </c>
      <c r="B1327" s="140"/>
      <c r="C1327">
        <v>8</v>
      </c>
      <c r="E1327" t="str">
        <f>TEXT(ACTUAL_EXPENSES[[#This Row],[Date]],"mmm")</f>
        <v>Jan</v>
      </c>
    </row>
    <row r="1328" spans="1:5" x14ac:dyDescent="0.2">
      <c r="A1328" s="139" t="s">
        <v>41</v>
      </c>
      <c r="B1328" s="140"/>
      <c r="C1328">
        <v>6</v>
      </c>
      <c r="E1328" t="str">
        <f>TEXT(ACTUAL_EXPENSES[[#This Row],[Date]],"mmm")</f>
        <v>Jan</v>
      </c>
    </row>
    <row r="1329" spans="1:5" x14ac:dyDescent="0.2">
      <c r="A1329" s="139" t="s">
        <v>41</v>
      </c>
      <c r="B1329" s="140"/>
      <c r="C1329">
        <v>19</v>
      </c>
      <c r="E1329" t="str">
        <f>TEXT(ACTUAL_EXPENSES[[#This Row],[Date]],"mmm")</f>
        <v>Jan</v>
      </c>
    </row>
    <row r="1330" spans="1:5" x14ac:dyDescent="0.2">
      <c r="A1330" s="139" t="s">
        <v>41</v>
      </c>
      <c r="B1330" s="140"/>
      <c r="C1330">
        <v>32</v>
      </c>
      <c r="E1330" t="str">
        <f>TEXT(ACTUAL_EXPENSES[[#This Row],[Date]],"mmm")</f>
        <v>Jan</v>
      </c>
    </row>
    <row r="1331" spans="1:5" x14ac:dyDescent="0.2">
      <c r="A1331" s="139" t="s">
        <v>41</v>
      </c>
      <c r="B1331" s="140"/>
      <c r="C1331">
        <v>8</v>
      </c>
      <c r="E1331" t="str">
        <f>TEXT(ACTUAL_EXPENSES[[#This Row],[Date]],"mmm")</f>
        <v>Jan</v>
      </c>
    </row>
    <row r="1332" spans="1:5" x14ac:dyDescent="0.2">
      <c r="A1332" s="139" t="s">
        <v>41</v>
      </c>
      <c r="B1332" s="140"/>
      <c r="C1332">
        <v>12</v>
      </c>
      <c r="E1332" t="str">
        <f>TEXT(ACTUAL_EXPENSES[[#This Row],[Date]],"mmm")</f>
        <v>Jan</v>
      </c>
    </row>
    <row r="1333" spans="1:5" x14ac:dyDescent="0.2">
      <c r="A1333" s="139" t="s">
        <v>41</v>
      </c>
      <c r="B1333" s="140"/>
      <c r="C1333">
        <v>20</v>
      </c>
      <c r="E1333" t="str">
        <f>TEXT(ACTUAL_EXPENSES[[#This Row],[Date]],"mmm")</f>
        <v>Jan</v>
      </c>
    </row>
    <row r="1334" spans="1:5" x14ac:dyDescent="0.2">
      <c r="A1334" s="139" t="s">
        <v>41</v>
      </c>
      <c r="B1334" s="140"/>
      <c r="C1334">
        <v>4</v>
      </c>
      <c r="E1334" t="str">
        <f>TEXT(ACTUAL_EXPENSES[[#This Row],[Date]],"mmm")</f>
        <v>Jan</v>
      </c>
    </row>
    <row r="1335" spans="1:5" x14ac:dyDescent="0.2">
      <c r="A1335" s="139" t="s">
        <v>41</v>
      </c>
      <c r="B1335" s="140"/>
      <c r="C1335">
        <v>26</v>
      </c>
      <c r="E1335" t="str">
        <f>TEXT(ACTUAL_EXPENSES[[#This Row],[Date]],"mmm")</f>
        <v>Jan</v>
      </c>
    </row>
    <row r="1336" spans="1:5" x14ac:dyDescent="0.2">
      <c r="A1336" s="139" t="s">
        <v>61</v>
      </c>
      <c r="B1336" s="140"/>
      <c r="C1336">
        <v>46.9</v>
      </c>
      <c r="E1336" t="str">
        <f>TEXT(ACTUAL_EXPENSES[[#This Row],[Date]],"mmm")</f>
        <v>Jan</v>
      </c>
    </row>
    <row r="1337" spans="1:5" x14ac:dyDescent="0.2">
      <c r="A1337" s="139" t="s">
        <v>53</v>
      </c>
      <c r="B1337" s="140"/>
      <c r="C1337">
        <v>110</v>
      </c>
      <c r="E1337" t="str">
        <f>TEXT(ACTUAL_EXPENSES[[#This Row],[Date]],"mmm")</f>
        <v>Jan</v>
      </c>
    </row>
    <row r="1338" spans="1:5" x14ac:dyDescent="0.2">
      <c r="A1338" s="139" t="s">
        <v>53</v>
      </c>
      <c r="B1338" s="140"/>
      <c r="C1338">
        <v>744.73</v>
      </c>
      <c r="E1338" t="str">
        <f>TEXT(ACTUAL_EXPENSES[[#This Row],[Date]],"mmm")</f>
        <v>Jan</v>
      </c>
    </row>
    <row r="1339" spans="1:5" x14ac:dyDescent="0.2">
      <c r="A1339" s="139" t="s">
        <v>53</v>
      </c>
      <c r="B1339" s="140"/>
      <c r="C1339">
        <v>220.8</v>
      </c>
      <c r="E1339" t="str">
        <f>TEXT(ACTUAL_EXPENSES[[#This Row],[Date]],"mmm")</f>
        <v>Jan</v>
      </c>
    </row>
    <row r="1340" spans="1:5" x14ac:dyDescent="0.2">
      <c r="A1340" s="139" t="s">
        <v>53</v>
      </c>
      <c r="B1340" s="140"/>
      <c r="C1340">
        <v>2</v>
      </c>
      <c r="E1340" t="str">
        <f>TEXT(ACTUAL_EXPENSES[[#This Row],[Date]],"mmm")</f>
        <v>Jan</v>
      </c>
    </row>
    <row r="1341" spans="1:5" x14ac:dyDescent="0.2">
      <c r="A1341" s="139" t="s">
        <v>53</v>
      </c>
      <c r="B1341" s="140"/>
      <c r="C1341">
        <v>38</v>
      </c>
      <c r="E1341" t="str">
        <f>TEXT(ACTUAL_EXPENSES[[#This Row],[Date]],"mmm")</f>
        <v>Jan</v>
      </c>
    </row>
    <row r="1342" spans="1:5" x14ac:dyDescent="0.2">
      <c r="A1342" s="139" t="s">
        <v>39</v>
      </c>
      <c r="B1342" s="140"/>
      <c r="C1342">
        <v>89</v>
      </c>
      <c r="E1342" t="str">
        <f>TEXT(ACTUAL_EXPENSES[[#This Row],[Date]],"mmm")</f>
        <v>Jan</v>
      </c>
    </row>
    <row r="1343" spans="1:5" x14ac:dyDescent="0.2">
      <c r="A1343" s="139" t="s">
        <v>39</v>
      </c>
      <c r="B1343" s="140"/>
      <c r="C1343">
        <v>60</v>
      </c>
      <c r="E1343" t="str">
        <f>TEXT(ACTUAL_EXPENSES[[#This Row],[Date]],"mmm")</f>
        <v>Jan</v>
      </c>
    </row>
    <row r="1344" spans="1:5" x14ac:dyDescent="0.2">
      <c r="A1344" s="139" t="s">
        <v>39</v>
      </c>
      <c r="B1344" s="140"/>
      <c r="C1344">
        <v>14</v>
      </c>
      <c r="E1344" t="str">
        <f>TEXT(ACTUAL_EXPENSES[[#This Row],[Date]],"mmm")</f>
        <v>Jan</v>
      </c>
    </row>
    <row r="1345" spans="1:5" x14ac:dyDescent="0.2">
      <c r="A1345" s="139" t="s">
        <v>39</v>
      </c>
      <c r="B1345" s="140"/>
      <c r="C1345">
        <v>44</v>
      </c>
      <c r="E1345" t="str">
        <f>TEXT(ACTUAL_EXPENSES[[#This Row],[Date]],"mmm")</f>
        <v>Jan</v>
      </c>
    </row>
    <row r="1346" spans="1:5" x14ac:dyDescent="0.2">
      <c r="A1346" s="139" t="s">
        <v>39</v>
      </c>
      <c r="B1346" s="140"/>
      <c r="C1346">
        <v>150</v>
      </c>
      <c r="E1346" t="str">
        <f>TEXT(ACTUAL_EXPENSES[[#This Row],[Date]],"mmm")</f>
        <v>Jan</v>
      </c>
    </row>
    <row r="1347" spans="1:5" x14ac:dyDescent="0.2">
      <c r="A1347" s="139" t="s">
        <v>39</v>
      </c>
      <c r="B1347" s="140"/>
      <c r="C1347">
        <v>40</v>
      </c>
      <c r="E1347" t="str">
        <f>TEXT(ACTUAL_EXPENSES[[#This Row],[Date]],"mmm")</f>
        <v>Jan</v>
      </c>
    </row>
    <row r="1348" spans="1:5" x14ac:dyDescent="0.2">
      <c r="A1348" s="139" t="s">
        <v>39</v>
      </c>
      <c r="B1348" s="140"/>
      <c r="C1348">
        <v>50</v>
      </c>
      <c r="E1348" t="str">
        <f>TEXT(ACTUAL_EXPENSES[[#This Row],[Date]],"mmm")</f>
        <v>Jan</v>
      </c>
    </row>
    <row r="1349" spans="1:5" x14ac:dyDescent="0.2">
      <c r="A1349" s="139" t="s">
        <v>39</v>
      </c>
      <c r="B1349" s="140"/>
      <c r="C1349">
        <v>20</v>
      </c>
      <c r="E1349" t="str">
        <f>TEXT(ACTUAL_EXPENSES[[#This Row],[Date]],"mmm")</f>
        <v>Jan</v>
      </c>
    </row>
    <row r="1350" spans="1:5" x14ac:dyDescent="0.2">
      <c r="A1350" s="139" t="s">
        <v>39</v>
      </c>
      <c r="B1350" s="140"/>
      <c r="C1350">
        <v>33</v>
      </c>
      <c r="E1350" t="str">
        <f>TEXT(ACTUAL_EXPENSES[[#This Row],[Date]],"mmm")</f>
        <v>Jan</v>
      </c>
    </row>
    <row r="1351" spans="1:5" x14ac:dyDescent="0.2">
      <c r="A1351" s="139" t="s">
        <v>39</v>
      </c>
      <c r="B1351" s="140"/>
      <c r="C1351">
        <v>57</v>
      </c>
      <c r="E1351" t="str">
        <f>TEXT(ACTUAL_EXPENSES[[#This Row],[Date]],"mmm")</f>
        <v>Jan</v>
      </c>
    </row>
    <row r="1352" spans="1:5" x14ac:dyDescent="0.2">
      <c r="A1352" s="139" t="s">
        <v>39</v>
      </c>
      <c r="B1352" s="140"/>
      <c r="C1352">
        <v>20</v>
      </c>
      <c r="E1352" t="str">
        <f>TEXT(ACTUAL_EXPENSES[[#This Row],[Date]],"mmm")</f>
        <v>Jan</v>
      </c>
    </row>
    <row r="1353" spans="1:5" x14ac:dyDescent="0.2">
      <c r="A1353" s="139" t="s">
        <v>39</v>
      </c>
      <c r="B1353" s="140"/>
      <c r="C1353">
        <v>43</v>
      </c>
      <c r="E1353" t="str">
        <f>TEXT(ACTUAL_EXPENSES[[#This Row],[Date]],"mmm")</f>
        <v>Jan</v>
      </c>
    </row>
    <row r="1354" spans="1:5" x14ac:dyDescent="0.2">
      <c r="A1354" s="139" t="s">
        <v>39</v>
      </c>
      <c r="B1354" s="140"/>
      <c r="C1354">
        <v>10</v>
      </c>
      <c r="E1354" t="str">
        <f>TEXT(ACTUAL_EXPENSES[[#This Row],[Date]],"mmm")</f>
        <v>Jan</v>
      </c>
    </row>
    <row r="1355" spans="1:5" x14ac:dyDescent="0.2">
      <c r="A1355" s="139" t="s">
        <v>39</v>
      </c>
      <c r="B1355" s="140"/>
      <c r="C1355">
        <v>71</v>
      </c>
      <c r="E1355" t="str">
        <f>TEXT(ACTUAL_EXPENSES[[#This Row],[Date]],"mmm")</f>
        <v>Jan</v>
      </c>
    </row>
    <row r="1356" spans="1:5" x14ac:dyDescent="0.2">
      <c r="A1356" s="139" t="s">
        <v>39</v>
      </c>
      <c r="B1356" s="140"/>
      <c r="C1356">
        <v>92</v>
      </c>
      <c r="E1356" t="str">
        <f>TEXT(ACTUAL_EXPENSES[[#This Row],[Date]],"mmm")</f>
        <v>Jan</v>
      </c>
    </row>
    <row r="1357" spans="1:5" x14ac:dyDescent="0.2">
      <c r="A1357" s="139" t="s">
        <v>39</v>
      </c>
      <c r="B1357" s="140"/>
      <c r="C1357">
        <v>15</v>
      </c>
      <c r="E1357" t="str">
        <f>TEXT(ACTUAL_EXPENSES[[#This Row],[Date]],"mmm")</f>
        <v>Jan</v>
      </c>
    </row>
    <row r="1358" spans="1:5" x14ac:dyDescent="0.2">
      <c r="A1358" s="139" t="s">
        <v>39</v>
      </c>
      <c r="B1358" s="140"/>
      <c r="C1358">
        <v>53</v>
      </c>
      <c r="E1358" t="str">
        <f>TEXT(ACTUAL_EXPENSES[[#This Row],[Date]],"mmm")</f>
        <v>Jan</v>
      </c>
    </row>
    <row r="1359" spans="1:5" x14ac:dyDescent="0.2">
      <c r="A1359" s="139" t="s">
        <v>127</v>
      </c>
      <c r="B1359" s="140"/>
      <c r="C1359">
        <v>27</v>
      </c>
      <c r="E1359" t="str">
        <f>TEXT(ACTUAL_EXPENSES[[#This Row],[Date]],"mmm")</f>
        <v>Jan</v>
      </c>
    </row>
    <row r="1360" spans="1:5" x14ac:dyDescent="0.2">
      <c r="A1360" s="139" t="s">
        <v>127</v>
      </c>
      <c r="B1360" s="140"/>
      <c r="C1360">
        <v>28</v>
      </c>
      <c r="E1360" t="str">
        <f>TEXT(ACTUAL_EXPENSES[[#This Row],[Date]],"mmm")</f>
        <v>Jan</v>
      </c>
    </row>
    <row r="1361" spans="1:5" x14ac:dyDescent="0.2">
      <c r="A1361" s="139" t="s">
        <v>127</v>
      </c>
      <c r="B1361" s="140"/>
      <c r="C1361">
        <v>100</v>
      </c>
      <c r="E1361" t="str">
        <f>TEXT(ACTUAL_EXPENSES[[#This Row],[Date]],"mmm")</f>
        <v>Jan</v>
      </c>
    </row>
    <row r="1362" spans="1:5" x14ac:dyDescent="0.2">
      <c r="A1362" s="139" t="s">
        <v>127</v>
      </c>
      <c r="B1362" s="140"/>
      <c r="C1362">
        <v>20</v>
      </c>
      <c r="E1362" t="str">
        <f>TEXT(ACTUAL_EXPENSES[[#This Row],[Date]],"mmm")</f>
        <v>Jan</v>
      </c>
    </row>
    <row r="1363" spans="1:5" x14ac:dyDescent="0.2">
      <c r="A1363" s="139" t="s">
        <v>127</v>
      </c>
      <c r="B1363" s="140"/>
      <c r="C1363">
        <v>20</v>
      </c>
      <c r="E1363" t="str">
        <f>TEXT(ACTUAL_EXPENSES[[#This Row],[Date]],"mmm")</f>
        <v>Jan</v>
      </c>
    </row>
    <row r="1364" spans="1:5" x14ac:dyDescent="0.2">
      <c r="A1364" s="139" t="s">
        <v>127</v>
      </c>
      <c r="B1364" s="140"/>
      <c r="C1364">
        <v>19</v>
      </c>
      <c r="E1364" t="str">
        <f>TEXT(ACTUAL_EXPENSES[[#This Row],[Date]],"mmm")</f>
        <v>Jan</v>
      </c>
    </row>
    <row r="1365" spans="1:5" x14ac:dyDescent="0.2">
      <c r="A1365" s="139" t="s">
        <v>127</v>
      </c>
      <c r="B1365" s="140"/>
      <c r="C1365">
        <v>109</v>
      </c>
      <c r="E1365" t="str">
        <f>TEXT(ACTUAL_EXPENSES[[#This Row],[Date]],"mmm")</f>
        <v>Jan</v>
      </c>
    </row>
    <row r="1366" spans="1:5" x14ac:dyDescent="0.2">
      <c r="A1366" s="139" t="s">
        <v>127</v>
      </c>
      <c r="B1366" s="140"/>
      <c r="C1366">
        <v>400</v>
      </c>
      <c r="E1366" t="str">
        <f>TEXT(ACTUAL_EXPENSES[[#This Row],[Date]],"mmm")</f>
        <v>Jan</v>
      </c>
    </row>
    <row r="1367" spans="1:5" x14ac:dyDescent="0.2">
      <c r="A1367" s="139" t="s">
        <v>48</v>
      </c>
      <c r="B1367" s="140"/>
      <c r="C1367">
        <v>12.28</v>
      </c>
      <c r="E1367" t="str">
        <f>TEXT(ACTUAL_EXPENSES[[#This Row],[Date]],"mmm")</f>
        <v>Jan</v>
      </c>
    </row>
    <row r="1368" spans="1:5" x14ac:dyDescent="0.2">
      <c r="A1368" s="139" t="s">
        <v>126</v>
      </c>
      <c r="B1368" s="140"/>
      <c r="C1368">
        <v>98.83</v>
      </c>
      <c r="E1368" t="str">
        <f>TEXT(ACTUAL_EXPENSES[[#This Row],[Date]],"mmm")</f>
        <v>Jan</v>
      </c>
    </row>
    <row r="1369" spans="1:5" x14ac:dyDescent="0.2">
      <c r="A1369" s="139" t="s">
        <v>51</v>
      </c>
      <c r="B1369" s="140"/>
      <c r="C1369">
        <v>7</v>
      </c>
      <c r="E1369" t="str">
        <f>TEXT(ACTUAL_EXPENSES[[#This Row],[Date]],"mmm")</f>
        <v>Jan</v>
      </c>
    </row>
    <row r="1370" spans="1:5" x14ac:dyDescent="0.2">
      <c r="A1370" s="139" t="s">
        <v>51</v>
      </c>
      <c r="B1370" s="140"/>
      <c r="C1370">
        <v>3</v>
      </c>
      <c r="E1370" t="str">
        <f>TEXT(ACTUAL_EXPENSES[[#This Row],[Date]],"mmm")</f>
        <v>Jan</v>
      </c>
    </row>
    <row r="1371" spans="1:5" x14ac:dyDescent="0.2">
      <c r="A1371" s="139" t="s">
        <v>51</v>
      </c>
      <c r="B1371" s="140"/>
      <c r="C1371">
        <v>2.5</v>
      </c>
      <c r="E1371" t="str">
        <f>TEXT(ACTUAL_EXPENSES[[#This Row],[Date]],"mmm")</f>
        <v>Jan</v>
      </c>
    </row>
    <row r="1372" spans="1:5" x14ac:dyDescent="0.2">
      <c r="A1372" s="139" t="s">
        <v>51</v>
      </c>
      <c r="B1372" s="140"/>
      <c r="C1372">
        <v>5</v>
      </c>
      <c r="E1372" t="str">
        <f>TEXT(ACTUAL_EXPENSES[[#This Row],[Date]],"mmm")</f>
        <v>Jan</v>
      </c>
    </row>
    <row r="1373" spans="1:5" x14ac:dyDescent="0.2">
      <c r="A1373" s="139" t="s">
        <v>196</v>
      </c>
      <c r="B1373" s="140">
        <v>45200</v>
      </c>
      <c r="C1373">
        <v>1</v>
      </c>
      <c r="D1373">
        <v>10</v>
      </c>
      <c r="E1373" t="str">
        <f>TEXT(ACTUAL_EXPENSES[[#This Row],[Date]],"mmm")</f>
        <v>Oct</v>
      </c>
    </row>
    <row r="1374" spans="1:5" x14ac:dyDescent="0.2">
      <c r="A1374" s="139" t="s">
        <v>196</v>
      </c>
      <c r="B1374" s="140">
        <v>45201</v>
      </c>
      <c r="C1374">
        <v>2</v>
      </c>
      <c r="D1374">
        <v>10</v>
      </c>
      <c r="E1374" t="str">
        <f>TEXT(ACTUAL_EXPENSES[[#This Row],[Date]],"mmm")</f>
        <v>Oct</v>
      </c>
    </row>
    <row r="1375" spans="1:5" x14ac:dyDescent="0.2">
      <c r="A1375" s="139" t="s">
        <v>196</v>
      </c>
      <c r="B1375" s="140">
        <v>45202</v>
      </c>
      <c r="C1375">
        <v>3</v>
      </c>
      <c r="D1375">
        <v>10</v>
      </c>
      <c r="E1375" t="str">
        <f>TEXT(ACTUAL_EXPENSES[[#This Row],[Date]],"mmm")</f>
        <v>Oct</v>
      </c>
    </row>
    <row r="1376" spans="1:5" x14ac:dyDescent="0.2">
      <c r="A1376" s="139" t="s">
        <v>196</v>
      </c>
      <c r="B1376" s="140">
        <v>45203</v>
      </c>
      <c r="C1376">
        <v>4</v>
      </c>
      <c r="D1376">
        <v>10</v>
      </c>
      <c r="E1376" t="str">
        <f>TEXT(ACTUAL_EXPENSES[[#This Row],[Date]],"mmm")</f>
        <v>Oct</v>
      </c>
    </row>
    <row r="1377" spans="1:5" x14ac:dyDescent="0.2">
      <c r="A1377" s="139" t="s">
        <v>196</v>
      </c>
      <c r="B1377" s="140">
        <v>45204</v>
      </c>
      <c r="C1377">
        <v>5</v>
      </c>
      <c r="D1377">
        <v>10</v>
      </c>
      <c r="E1377" t="str">
        <f>TEXT(ACTUAL_EXPENSES[[#This Row],[Date]],"mmm")</f>
        <v>Oct</v>
      </c>
    </row>
    <row r="1378" spans="1:5" x14ac:dyDescent="0.2">
      <c r="A1378" s="139" t="s">
        <v>196</v>
      </c>
      <c r="B1378" s="140">
        <v>45205</v>
      </c>
      <c r="C1378">
        <v>6</v>
      </c>
      <c r="D1378">
        <v>10</v>
      </c>
      <c r="E1378" t="str">
        <f>TEXT(ACTUAL_EXPENSES[[#This Row],[Date]],"mmm")</f>
        <v>Oct</v>
      </c>
    </row>
    <row r="1379" spans="1:5" x14ac:dyDescent="0.2">
      <c r="A1379" s="139" t="s">
        <v>196</v>
      </c>
      <c r="B1379" s="140">
        <v>45206</v>
      </c>
      <c r="C1379">
        <v>7</v>
      </c>
      <c r="D1379">
        <v>10</v>
      </c>
      <c r="E1379" t="str">
        <f>TEXT(ACTUAL_EXPENSES[[#This Row],[Date]],"mmm")</f>
        <v>Oct</v>
      </c>
    </row>
    <row r="1380" spans="1:5" x14ac:dyDescent="0.2">
      <c r="A1380" s="139" t="s">
        <v>196</v>
      </c>
      <c r="B1380" s="140">
        <v>45207</v>
      </c>
      <c r="C1380">
        <v>8</v>
      </c>
      <c r="D1380">
        <v>10</v>
      </c>
      <c r="E1380" t="str">
        <f>TEXT(ACTUAL_EXPENSES[[#This Row],[Date]],"mmm")</f>
        <v>Oct</v>
      </c>
    </row>
    <row r="1381" spans="1:5" x14ac:dyDescent="0.2">
      <c r="A1381" s="139" t="s">
        <v>196</v>
      </c>
      <c r="B1381" s="140">
        <v>45208</v>
      </c>
      <c r="C1381">
        <v>9</v>
      </c>
      <c r="D1381">
        <v>10</v>
      </c>
      <c r="E1381" t="str">
        <f>TEXT(ACTUAL_EXPENSES[[#This Row],[Date]],"mmm")</f>
        <v>Oct</v>
      </c>
    </row>
    <row r="1382" spans="1:5" x14ac:dyDescent="0.2">
      <c r="A1382" s="139" t="s">
        <v>196</v>
      </c>
      <c r="B1382" s="140">
        <v>45209</v>
      </c>
      <c r="C1382">
        <v>10</v>
      </c>
      <c r="D1382">
        <v>10</v>
      </c>
      <c r="E1382" t="str">
        <f>TEXT(ACTUAL_EXPENSES[[#This Row],[Date]],"mmm")</f>
        <v>Oct</v>
      </c>
    </row>
    <row r="1383" spans="1:5" x14ac:dyDescent="0.2">
      <c r="A1383" s="139" t="s">
        <v>196</v>
      </c>
      <c r="B1383" s="140">
        <v>45210</v>
      </c>
      <c r="C1383">
        <v>11</v>
      </c>
      <c r="D1383">
        <v>10</v>
      </c>
      <c r="E1383" t="str">
        <f>TEXT(ACTUAL_EXPENSES[[#This Row],[Date]],"mmm")</f>
        <v>Oct</v>
      </c>
    </row>
    <row r="1384" spans="1:5" x14ac:dyDescent="0.2">
      <c r="A1384" s="139" t="s">
        <v>196</v>
      </c>
      <c r="B1384" s="140">
        <v>45211</v>
      </c>
      <c r="C1384">
        <v>12</v>
      </c>
      <c r="D1384">
        <v>10</v>
      </c>
      <c r="E1384" t="str">
        <f>TEXT(ACTUAL_EXPENSES[[#This Row],[Date]],"mmm")</f>
        <v>Oct</v>
      </c>
    </row>
    <row r="1385" spans="1:5" x14ac:dyDescent="0.2">
      <c r="A1385" s="139" t="s">
        <v>196</v>
      </c>
      <c r="B1385" s="140">
        <v>45212</v>
      </c>
      <c r="C1385">
        <v>13</v>
      </c>
      <c r="D1385">
        <v>10</v>
      </c>
      <c r="E1385" t="str">
        <f>TEXT(ACTUAL_EXPENSES[[#This Row],[Date]],"mmm")</f>
        <v>Oct</v>
      </c>
    </row>
    <row r="1386" spans="1:5" x14ac:dyDescent="0.2">
      <c r="A1386" s="139" t="s">
        <v>196</v>
      </c>
      <c r="B1386" s="140">
        <v>45213</v>
      </c>
      <c r="C1386">
        <v>14</v>
      </c>
      <c r="D1386">
        <v>10</v>
      </c>
      <c r="E1386" t="str">
        <f>TEXT(ACTUAL_EXPENSES[[#This Row],[Date]],"mmm")</f>
        <v>Oct</v>
      </c>
    </row>
    <row r="1387" spans="1:5" x14ac:dyDescent="0.2">
      <c r="A1387" s="139" t="s">
        <v>196</v>
      </c>
      <c r="B1387" s="140">
        <v>45214</v>
      </c>
      <c r="C1387">
        <v>15</v>
      </c>
      <c r="D1387">
        <v>10</v>
      </c>
      <c r="E1387" t="str">
        <f>TEXT(ACTUAL_EXPENSES[[#This Row],[Date]],"mmm")</f>
        <v>Oct</v>
      </c>
    </row>
    <row r="1388" spans="1:5" x14ac:dyDescent="0.2">
      <c r="A1388" s="139" t="s">
        <v>196</v>
      </c>
      <c r="B1388" s="140">
        <v>45215</v>
      </c>
      <c r="C1388">
        <v>16</v>
      </c>
      <c r="D1388">
        <v>10</v>
      </c>
      <c r="E1388" t="str">
        <f>TEXT(ACTUAL_EXPENSES[[#This Row],[Date]],"mmm")</f>
        <v>Oct</v>
      </c>
    </row>
    <row r="1389" spans="1:5" x14ac:dyDescent="0.2">
      <c r="A1389" s="139" t="s">
        <v>196</v>
      </c>
      <c r="B1389" s="140">
        <v>45216</v>
      </c>
      <c r="C1389">
        <v>17</v>
      </c>
      <c r="D1389">
        <v>10</v>
      </c>
      <c r="E1389" t="str">
        <f>TEXT(ACTUAL_EXPENSES[[#This Row],[Date]],"mmm")</f>
        <v>Oct</v>
      </c>
    </row>
    <row r="1390" spans="1:5" x14ac:dyDescent="0.2">
      <c r="A1390" s="139" t="s">
        <v>196</v>
      </c>
      <c r="B1390" s="140">
        <v>45217</v>
      </c>
      <c r="C1390">
        <v>18</v>
      </c>
      <c r="D1390">
        <v>10</v>
      </c>
      <c r="E1390" t="str">
        <f>TEXT(ACTUAL_EXPENSES[[#This Row],[Date]],"mmm")</f>
        <v>Oct</v>
      </c>
    </row>
    <row r="1391" spans="1:5" x14ac:dyDescent="0.2">
      <c r="A1391" s="139" t="s">
        <v>196</v>
      </c>
      <c r="B1391" s="140">
        <v>45218</v>
      </c>
      <c r="C1391">
        <v>19</v>
      </c>
      <c r="D1391">
        <v>10</v>
      </c>
      <c r="E1391" t="str">
        <f>TEXT(ACTUAL_EXPENSES[[#This Row],[Date]],"mmm")</f>
        <v>Oct</v>
      </c>
    </row>
    <row r="1392" spans="1:5" x14ac:dyDescent="0.2">
      <c r="A1392" s="139" t="s">
        <v>196</v>
      </c>
      <c r="B1392" s="140">
        <v>45219</v>
      </c>
      <c r="C1392">
        <v>20</v>
      </c>
      <c r="D1392">
        <v>10</v>
      </c>
      <c r="E1392" t="str">
        <f>TEXT(ACTUAL_EXPENSES[[#This Row],[Date]],"mmm")</f>
        <v>Oct</v>
      </c>
    </row>
    <row r="1393" spans="1:5" x14ac:dyDescent="0.2">
      <c r="A1393" s="139" t="s">
        <v>196</v>
      </c>
      <c r="B1393" s="140">
        <v>45220</v>
      </c>
      <c r="C1393">
        <v>21</v>
      </c>
      <c r="D1393">
        <v>10</v>
      </c>
      <c r="E1393" t="str">
        <f>TEXT(ACTUAL_EXPENSES[[#This Row],[Date]],"mmm")</f>
        <v>Oct</v>
      </c>
    </row>
    <row r="1394" spans="1:5" x14ac:dyDescent="0.2">
      <c r="A1394" s="139" t="s">
        <v>196</v>
      </c>
      <c r="B1394" s="140">
        <v>45221</v>
      </c>
      <c r="C1394">
        <v>22</v>
      </c>
      <c r="D1394">
        <v>10</v>
      </c>
      <c r="E1394" t="str">
        <f>TEXT(ACTUAL_EXPENSES[[#This Row],[Date]],"mmm")</f>
        <v>Oct</v>
      </c>
    </row>
    <row r="1395" spans="1:5" x14ac:dyDescent="0.2">
      <c r="A1395" s="139" t="s">
        <v>196</v>
      </c>
      <c r="B1395" s="140">
        <v>45222</v>
      </c>
      <c r="C1395">
        <v>23</v>
      </c>
      <c r="D1395">
        <v>10</v>
      </c>
      <c r="E1395" t="str">
        <f>TEXT(ACTUAL_EXPENSES[[#This Row],[Date]],"mmm")</f>
        <v>Oct</v>
      </c>
    </row>
    <row r="1396" spans="1:5" x14ac:dyDescent="0.2">
      <c r="A1396" s="139" t="s">
        <v>196</v>
      </c>
      <c r="B1396" s="140">
        <v>45223</v>
      </c>
      <c r="C1396">
        <v>24</v>
      </c>
      <c r="D1396">
        <v>10</v>
      </c>
      <c r="E1396" t="str">
        <f>TEXT(ACTUAL_EXPENSES[[#This Row],[Date]],"mmm")</f>
        <v>Oct</v>
      </c>
    </row>
    <row r="1397" spans="1:5" x14ac:dyDescent="0.2">
      <c r="A1397" s="139" t="s">
        <v>196</v>
      </c>
      <c r="B1397" s="140">
        <v>45224</v>
      </c>
      <c r="C1397">
        <v>25</v>
      </c>
      <c r="D1397">
        <v>10</v>
      </c>
      <c r="E1397" t="str">
        <f>TEXT(ACTUAL_EXPENSES[[#This Row],[Date]],"mmm")</f>
        <v>Oct</v>
      </c>
    </row>
    <row r="1398" spans="1:5" x14ac:dyDescent="0.2">
      <c r="A1398" s="139" t="s">
        <v>196</v>
      </c>
      <c r="B1398" s="140">
        <v>45225</v>
      </c>
      <c r="C1398">
        <v>26</v>
      </c>
      <c r="D1398">
        <v>10</v>
      </c>
      <c r="E1398" t="str">
        <f>TEXT(ACTUAL_EXPENSES[[#This Row],[Date]],"mmm")</f>
        <v>Oct</v>
      </c>
    </row>
    <row r="1399" spans="1:5" x14ac:dyDescent="0.2">
      <c r="A1399" s="139" t="s">
        <v>196</v>
      </c>
      <c r="B1399" s="140">
        <v>45226</v>
      </c>
      <c r="C1399">
        <v>27</v>
      </c>
      <c r="D1399">
        <v>10</v>
      </c>
      <c r="E1399" t="str">
        <f>TEXT(ACTUAL_EXPENSES[[#This Row],[Date]],"mmm")</f>
        <v>Oct</v>
      </c>
    </row>
    <row r="1400" spans="1:5" x14ac:dyDescent="0.2">
      <c r="A1400" s="139" t="s">
        <v>196</v>
      </c>
      <c r="B1400" s="140">
        <v>45227</v>
      </c>
      <c r="C1400">
        <v>28</v>
      </c>
      <c r="D1400">
        <v>10</v>
      </c>
      <c r="E1400" t="str">
        <f>TEXT(ACTUAL_EXPENSES[[#This Row],[Date]],"mmm")</f>
        <v>Oct</v>
      </c>
    </row>
    <row r="1401" spans="1:5" x14ac:dyDescent="0.2">
      <c r="A1401" s="139" t="s">
        <v>196</v>
      </c>
      <c r="B1401" s="140">
        <v>45228</v>
      </c>
      <c r="C1401">
        <v>29</v>
      </c>
      <c r="D1401">
        <v>10</v>
      </c>
      <c r="E1401" t="str">
        <f>TEXT(ACTUAL_EXPENSES[[#This Row],[Date]],"mmm")</f>
        <v>Oct</v>
      </c>
    </row>
    <row r="1402" spans="1:5" x14ac:dyDescent="0.2">
      <c r="A1402" s="139" t="s">
        <v>196</v>
      </c>
      <c r="B1402" s="140">
        <v>45229</v>
      </c>
      <c r="C1402">
        <v>30</v>
      </c>
      <c r="D1402">
        <v>10</v>
      </c>
      <c r="E1402" t="str">
        <f>TEXT(ACTUAL_EXPENSES[[#This Row],[Date]],"mmm")</f>
        <v>Oct</v>
      </c>
    </row>
    <row r="1403" spans="1:5" x14ac:dyDescent="0.2">
      <c r="A1403" s="139" t="s">
        <v>196</v>
      </c>
      <c r="B1403" s="140">
        <v>45230</v>
      </c>
      <c r="C1403">
        <v>31</v>
      </c>
      <c r="D1403">
        <v>10</v>
      </c>
      <c r="E1403" t="str">
        <f>TEXT(ACTUAL_EXPENSES[[#This Row],[Date]],"mmm")</f>
        <v>Oct</v>
      </c>
    </row>
    <row r="1404" spans="1:5" x14ac:dyDescent="0.2">
      <c r="A1404" s="139" t="s">
        <v>46</v>
      </c>
      <c r="B1404" s="140">
        <v>45204</v>
      </c>
      <c r="C1404">
        <v>6000</v>
      </c>
      <c r="D1404">
        <v>10</v>
      </c>
      <c r="E1404" t="str">
        <f>TEXT(ACTUAL_EXPENSES[[#This Row],[Date]],"mmm")</f>
        <v>Oct</v>
      </c>
    </row>
    <row r="1405" spans="1:5" x14ac:dyDescent="0.2">
      <c r="A1405" s="139" t="s">
        <v>52</v>
      </c>
      <c r="B1405" s="140">
        <v>45214</v>
      </c>
      <c r="C1405">
        <v>330</v>
      </c>
      <c r="D1405">
        <v>10</v>
      </c>
      <c r="E1405" t="str">
        <f>TEXT(ACTUAL_EXPENSES[[#This Row],[Date]],"mmm")</f>
        <v>Oct</v>
      </c>
    </row>
    <row r="1406" spans="1:5" x14ac:dyDescent="0.2">
      <c r="A1406" s="139" t="s">
        <v>44</v>
      </c>
      <c r="B1406" s="140">
        <v>45224</v>
      </c>
      <c r="C1406">
        <v>250</v>
      </c>
      <c r="D1406">
        <v>10</v>
      </c>
      <c r="E1406" t="str">
        <f>TEXT(ACTUAL_EXPENSES[[#This Row],[Date]],"mmm")</f>
        <v>Oct</v>
      </c>
    </row>
    <row r="1407" spans="1:5" x14ac:dyDescent="0.2">
      <c r="A1407" s="139" t="s">
        <v>41</v>
      </c>
      <c r="B1407" s="140">
        <v>45201</v>
      </c>
      <c r="C1407">
        <v>8</v>
      </c>
      <c r="D1407">
        <v>10</v>
      </c>
      <c r="E1407" t="str">
        <f>TEXT(ACTUAL_EXPENSES[[#This Row],[Date]],"mmm")</f>
        <v>Oct</v>
      </c>
    </row>
    <row r="1408" spans="1:5" x14ac:dyDescent="0.2">
      <c r="A1408" s="139" t="s">
        <v>41</v>
      </c>
      <c r="B1408" s="140">
        <v>45202</v>
      </c>
      <c r="C1408">
        <v>7</v>
      </c>
      <c r="D1408">
        <v>10</v>
      </c>
      <c r="E1408" t="str">
        <f>TEXT(ACTUAL_EXPENSES[[#This Row],[Date]],"mmm")</f>
        <v>Oct</v>
      </c>
    </row>
    <row r="1409" spans="1:5" x14ac:dyDescent="0.2">
      <c r="A1409" s="139" t="s">
        <v>41</v>
      </c>
      <c r="B1409" s="140">
        <v>45203</v>
      </c>
      <c r="C1409">
        <v>30</v>
      </c>
      <c r="D1409">
        <v>10</v>
      </c>
      <c r="E1409" t="str">
        <f>TEXT(ACTUAL_EXPENSES[[#This Row],[Date]],"mmm")</f>
        <v>Oct</v>
      </c>
    </row>
    <row r="1410" spans="1:5" x14ac:dyDescent="0.2">
      <c r="A1410" s="139" t="s">
        <v>41</v>
      </c>
      <c r="B1410" s="140">
        <v>45204</v>
      </c>
      <c r="C1410">
        <v>8</v>
      </c>
      <c r="D1410">
        <v>10</v>
      </c>
      <c r="E1410" t="str">
        <f>TEXT(ACTUAL_EXPENSES[[#This Row],[Date]],"mmm")</f>
        <v>Oct</v>
      </c>
    </row>
    <row r="1411" spans="1:5" x14ac:dyDescent="0.2">
      <c r="A1411" s="139" t="s">
        <v>41</v>
      </c>
      <c r="B1411" s="140">
        <v>45205</v>
      </c>
      <c r="C1411">
        <v>17</v>
      </c>
      <c r="D1411">
        <v>10</v>
      </c>
      <c r="E1411" t="str">
        <f>TEXT(ACTUAL_EXPENSES[[#This Row],[Date]],"mmm")</f>
        <v>Oct</v>
      </c>
    </row>
    <row r="1412" spans="1:5" x14ac:dyDescent="0.2">
      <c r="A1412" s="139" t="s">
        <v>41</v>
      </c>
      <c r="B1412" s="140">
        <v>45206</v>
      </c>
      <c r="C1412">
        <v>50</v>
      </c>
      <c r="D1412">
        <v>10</v>
      </c>
      <c r="E1412" t="str">
        <f>TEXT(ACTUAL_EXPENSES[[#This Row],[Date]],"mmm")</f>
        <v>Oct</v>
      </c>
    </row>
    <row r="1413" spans="1:5" x14ac:dyDescent="0.2">
      <c r="A1413" s="139" t="s">
        <v>41</v>
      </c>
      <c r="B1413" s="140">
        <v>45207</v>
      </c>
      <c r="C1413">
        <v>91</v>
      </c>
      <c r="D1413">
        <v>10</v>
      </c>
      <c r="E1413" t="str">
        <f>TEXT(ACTUAL_EXPENSES[[#This Row],[Date]],"mmm")</f>
        <v>Oct</v>
      </c>
    </row>
    <row r="1414" spans="1:5" x14ac:dyDescent="0.2">
      <c r="A1414" s="139" t="s">
        <v>41</v>
      </c>
      <c r="B1414" s="140">
        <v>45209</v>
      </c>
      <c r="C1414">
        <v>8</v>
      </c>
      <c r="D1414">
        <v>10</v>
      </c>
      <c r="E1414" t="str">
        <f>TEXT(ACTUAL_EXPENSES[[#This Row],[Date]],"mmm")</f>
        <v>Oct</v>
      </c>
    </row>
    <row r="1415" spans="1:5" x14ac:dyDescent="0.2">
      <c r="A1415" s="139" t="s">
        <v>41</v>
      </c>
      <c r="B1415" s="140">
        <v>45210</v>
      </c>
      <c r="C1415">
        <v>22</v>
      </c>
      <c r="D1415">
        <v>10</v>
      </c>
      <c r="E1415" t="str">
        <f>TEXT(ACTUAL_EXPENSES[[#This Row],[Date]],"mmm")</f>
        <v>Oct</v>
      </c>
    </row>
    <row r="1416" spans="1:5" x14ac:dyDescent="0.2">
      <c r="A1416" s="139" t="s">
        <v>41</v>
      </c>
      <c r="B1416" s="140">
        <v>45211</v>
      </c>
      <c r="C1416">
        <v>25</v>
      </c>
      <c r="D1416">
        <v>10</v>
      </c>
      <c r="E1416" t="str">
        <f>TEXT(ACTUAL_EXPENSES[[#This Row],[Date]],"mmm")</f>
        <v>Oct</v>
      </c>
    </row>
    <row r="1417" spans="1:5" x14ac:dyDescent="0.2">
      <c r="A1417" s="139" t="s">
        <v>41</v>
      </c>
      <c r="B1417" s="140">
        <v>45213</v>
      </c>
      <c r="C1417">
        <v>23</v>
      </c>
      <c r="D1417">
        <v>10</v>
      </c>
      <c r="E1417" t="str">
        <f>TEXT(ACTUAL_EXPENSES[[#This Row],[Date]],"mmm")</f>
        <v>Oct</v>
      </c>
    </row>
    <row r="1418" spans="1:5" x14ac:dyDescent="0.2">
      <c r="A1418" s="139" t="s">
        <v>41</v>
      </c>
      <c r="B1418" s="140">
        <v>45214</v>
      </c>
      <c r="C1418">
        <v>13</v>
      </c>
      <c r="D1418">
        <v>10</v>
      </c>
      <c r="E1418" t="str">
        <f>TEXT(ACTUAL_EXPENSES[[#This Row],[Date]],"mmm")</f>
        <v>Oct</v>
      </c>
    </row>
    <row r="1419" spans="1:5" x14ac:dyDescent="0.2">
      <c r="A1419" s="139" t="s">
        <v>41</v>
      </c>
      <c r="B1419" s="140">
        <v>45216</v>
      </c>
      <c r="C1419">
        <v>32</v>
      </c>
      <c r="D1419">
        <v>10</v>
      </c>
      <c r="E1419" t="str">
        <f>TEXT(ACTUAL_EXPENSES[[#This Row],[Date]],"mmm")</f>
        <v>Oct</v>
      </c>
    </row>
    <row r="1420" spans="1:5" x14ac:dyDescent="0.2">
      <c r="A1420" s="139" t="s">
        <v>41</v>
      </c>
      <c r="B1420" s="140">
        <v>45217</v>
      </c>
      <c r="C1420">
        <v>8</v>
      </c>
      <c r="D1420">
        <v>10</v>
      </c>
      <c r="E1420" t="str">
        <f>TEXT(ACTUAL_EXPENSES[[#This Row],[Date]],"mmm")</f>
        <v>Oct</v>
      </c>
    </row>
    <row r="1421" spans="1:5" x14ac:dyDescent="0.2">
      <c r="A1421" s="139" t="s">
        <v>41</v>
      </c>
      <c r="B1421" s="140">
        <v>45220</v>
      </c>
      <c r="C1421">
        <v>32</v>
      </c>
      <c r="D1421">
        <v>10</v>
      </c>
      <c r="E1421" t="str">
        <f>TEXT(ACTUAL_EXPENSES[[#This Row],[Date]],"mmm")</f>
        <v>Oct</v>
      </c>
    </row>
    <row r="1422" spans="1:5" x14ac:dyDescent="0.2">
      <c r="A1422" s="139" t="s">
        <v>41</v>
      </c>
      <c r="B1422" s="140">
        <v>45222</v>
      </c>
      <c r="C1422">
        <v>53</v>
      </c>
      <c r="D1422">
        <v>10</v>
      </c>
      <c r="E1422" t="str">
        <f>TEXT(ACTUAL_EXPENSES[[#This Row],[Date]],"mmm")</f>
        <v>Oct</v>
      </c>
    </row>
    <row r="1423" spans="1:5" x14ac:dyDescent="0.2">
      <c r="A1423" s="139" t="s">
        <v>41</v>
      </c>
      <c r="B1423" s="140">
        <v>45223</v>
      </c>
      <c r="C1423">
        <v>27.49</v>
      </c>
      <c r="D1423">
        <v>10</v>
      </c>
      <c r="E1423" t="str">
        <f>TEXT(ACTUAL_EXPENSES[[#This Row],[Date]],"mmm")</f>
        <v>Oct</v>
      </c>
    </row>
    <row r="1424" spans="1:5" x14ac:dyDescent="0.2">
      <c r="A1424" s="139" t="s">
        <v>41</v>
      </c>
      <c r="B1424" s="140">
        <v>45224</v>
      </c>
      <c r="C1424">
        <v>11</v>
      </c>
      <c r="D1424">
        <v>10</v>
      </c>
      <c r="E1424" t="str">
        <f>TEXT(ACTUAL_EXPENSES[[#This Row],[Date]],"mmm")</f>
        <v>Oct</v>
      </c>
    </row>
    <row r="1425" spans="1:5" x14ac:dyDescent="0.2">
      <c r="A1425" s="139" t="s">
        <v>41</v>
      </c>
      <c r="B1425" s="140">
        <v>45226</v>
      </c>
      <c r="C1425">
        <v>304</v>
      </c>
      <c r="D1425">
        <v>10</v>
      </c>
      <c r="E1425" t="str">
        <f>TEXT(ACTUAL_EXPENSES[[#This Row],[Date]],"mmm")</f>
        <v>Oct</v>
      </c>
    </row>
    <row r="1426" spans="1:5" x14ac:dyDescent="0.2">
      <c r="A1426" s="139" t="s">
        <v>41</v>
      </c>
      <c r="B1426" s="140">
        <v>45227</v>
      </c>
      <c r="C1426">
        <v>73</v>
      </c>
      <c r="D1426">
        <v>10</v>
      </c>
      <c r="E1426" t="str">
        <f>TEXT(ACTUAL_EXPENSES[[#This Row],[Date]],"mmm")</f>
        <v>Oct</v>
      </c>
    </row>
    <row r="1427" spans="1:5" x14ac:dyDescent="0.2">
      <c r="A1427" s="139" t="s">
        <v>41</v>
      </c>
      <c r="B1427" s="140">
        <v>45229</v>
      </c>
      <c r="C1427">
        <v>40</v>
      </c>
      <c r="D1427">
        <v>10</v>
      </c>
      <c r="E1427" t="str">
        <f>TEXT(ACTUAL_EXPENSES[[#This Row],[Date]],"mmm")</f>
        <v>Oct</v>
      </c>
    </row>
    <row r="1428" spans="1:5" x14ac:dyDescent="0.2">
      <c r="A1428" s="139" t="s">
        <v>41</v>
      </c>
      <c r="B1428" s="140">
        <v>45230</v>
      </c>
      <c r="C1428">
        <v>10</v>
      </c>
      <c r="D1428">
        <v>10</v>
      </c>
      <c r="E1428" t="str">
        <f>TEXT(ACTUAL_EXPENSES[[#This Row],[Date]],"mmm")</f>
        <v>Oct</v>
      </c>
    </row>
    <row r="1429" spans="1:5" x14ac:dyDescent="0.2">
      <c r="A1429" s="139" t="s">
        <v>45</v>
      </c>
      <c r="B1429" s="140">
        <v>45224</v>
      </c>
      <c r="C1429">
        <v>380</v>
      </c>
      <c r="D1429">
        <v>10</v>
      </c>
      <c r="E1429" t="str">
        <f>TEXT(ACTUAL_EXPENSES[[#This Row],[Date]],"mmm")</f>
        <v>Oct</v>
      </c>
    </row>
    <row r="1430" spans="1:5" x14ac:dyDescent="0.2">
      <c r="A1430" s="139" t="s">
        <v>53</v>
      </c>
      <c r="B1430" s="140">
        <v>45202</v>
      </c>
      <c r="C1430">
        <v>4</v>
      </c>
      <c r="D1430">
        <v>10</v>
      </c>
      <c r="E1430" t="str">
        <f>TEXT(ACTUAL_EXPENSES[[#This Row],[Date]],"mmm")</f>
        <v>Oct</v>
      </c>
    </row>
    <row r="1431" spans="1:5" x14ac:dyDescent="0.2">
      <c r="A1431" s="139" t="s">
        <v>53</v>
      </c>
      <c r="B1431" s="140">
        <v>45213</v>
      </c>
      <c r="C1431">
        <v>30</v>
      </c>
      <c r="D1431">
        <v>10</v>
      </c>
      <c r="E1431" t="str">
        <f>TEXT(ACTUAL_EXPENSES[[#This Row],[Date]],"mmm")</f>
        <v>Oct</v>
      </c>
    </row>
    <row r="1432" spans="1:5" x14ac:dyDescent="0.2">
      <c r="A1432" s="139" t="s">
        <v>53</v>
      </c>
      <c r="B1432" s="140">
        <v>45214</v>
      </c>
      <c r="C1432">
        <v>37.799999999999997</v>
      </c>
      <c r="D1432">
        <v>10</v>
      </c>
      <c r="E1432" t="str">
        <f>TEXT(ACTUAL_EXPENSES[[#This Row],[Date]],"mmm")</f>
        <v>Oct</v>
      </c>
    </row>
    <row r="1433" spans="1:5" x14ac:dyDescent="0.2">
      <c r="A1433" s="139" t="s">
        <v>53</v>
      </c>
      <c r="B1433" s="140">
        <v>45216</v>
      </c>
      <c r="C1433">
        <v>10.8</v>
      </c>
      <c r="D1433">
        <v>10</v>
      </c>
      <c r="E1433" t="str">
        <f>TEXT(ACTUAL_EXPENSES[[#This Row],[Date]],"mmm")</f>
        <v>Oct</v>
      </c>
    </row>
    <row r="1434" spans="1:5" x14ac:dyDescent="0.2">
      <c r="A1434" s="139" t="s">
        <v>53</v>
      </c>
      <c r="B1434" s="140">
        <v>45221</v>
      </c>
      <c r="C1434">
        <v>569.34</v>
      </c>
      <c r="D1434">
        <v>10</v>
      </c>
      <c r="E1434" t="str">
        <f>TEXT(ACTUAL_EXPENSES[[#This Row],[Date]],"mmm")</f>
        <v>Oct</v>
      </c>
    </row>
    <row r="1435" spans="1:5" x14ac:dyDescent="0.2">
      <c r="A1435" s="139" t="s">
        <v>39</v>
      </c>
      <c r="B1435" s="140">
        <v>45201</v>
      </c>
      <c r="C1435">
        <v>37</v>
      </c>
      <c r="D1435">
        <v>10</v>
      </c>
      <c r="E1435" t="str">
        <f>TEXT(ACTUAL_EXPENSES[[#This Row],[Date]],"mmm")</f>
        <v>Oct</v>
      </c>
    </row>
    <row r="1436" spans="1:5" x14ac:dyDescent="0.2">
      <c r="A1436" s="139" t="s">
        <v>39</v>
      </c>
      <c r="B1436" s="140">
        <v>45203</v>
      </c>
      <c r="C1436">
        <v>51</v>
      </c>
      <c r="D1436">
        <v>10</v>
      </c>
      <c r="E1436" t="str">
        <f>TEXT(ACTUAL_EXPENSES[[#This Row],[Date]],"mmm")</f>
        <v>Oct</v>
      </c>
    </row>
    <row r="1437" spans="1:5" x14ac:dyDescent="0.2">
      <c r="A1437" s="139" t="s">
        <v>39</v>
      </c>
      <c r="B1437" s="140">
        <v>45204</v>
      </c>
      <c r="C1437">
        <v>38</v>
      </c>
      <c r="D1437">
        <v>10</v>
      </c>
      <c r="E1437" t="str">
        <f>TEXT(ACTUAL_EXPENSES[[#This Row],[Date]],"mmm")</f>
        <v>Oct</v>
      </c>
    </row>
    <row r="1438" spans="1:5" x14ac:dyDescent="0.2">
      <c r="A1438" s="139" t="s">
        <v>39</v>
      </c>
      <c r="B1438" s="140">
        <v>45205</v>
      </c>
      <c r="C1438">
        <v>86</v>
      </c>
      <c r="D1438">
        <v>10</v>
      </c>
      <c r="E1438" t="str">
        <f>TEXT(ACTUAL_EXPENSES[[#This Row],[Date]],"mmm")</f>
        <v>Oct</v>
      </c>
    </row>
    <row r="1439" spans="1:5" x14ac:dyDescent="0.2">
      <c r="A1439" s="139" t="s">
        <v>39</v>
      </c>
      <c r="B1439" s="140">
        <v>45207</v>
      </c>
      <c r="C1439">
        <v>14</v>
      </c>
      <c r="D1439">
        <v>10</v>
      </c>
      <c r="E1439" t="str">
        <f>TEXT(ACTUAL_EXPENSES[[#This Row],[Date]],"mmm")</f>
        <v>Oct</v>
      </c>
    </row>
    <row r="1440" spans="1:5" x14ac:dyDescent="0.2">
      <c r="A1440" s="139" t="s">
        <v>39</v>
      </c>
      <c r="B1440" s="140">
        <v>45208</v>
      </c>
      <c r="C1440">
        <v>86</v>
      </c>
      <c r="D1440">
        <v>10</v>
      </c>
      <c r="E1440" t="str">
        <f>TEXT(ACTUAL_EXPENSES[[#This Row],[Date]],"mmm")</f>
        <v>Oct</v>
      </c>
    </row>
    <row r="1441" spans="1:5" x14ac:dyDescent="0.2">
      <c r="A1441" s="139" t="s">
        <v>39</v>
      </c>
      <c r="B1441" s="140">
        <v>45209</v>
      </c>
      <c r="C1441">
        <v>18</v>
      </c>
      <c r="D1441">
        <v>10</v>
      </c>
      <c r="E1441" t="str">
        <f>TEXT(ACTUAL_EXPENSES[[#This Row],[Date]],"mmm")</f>
        <v>Oct</v>
      </c>
    </row>
    <row r="1442" spans="1:5" x14ac:dyDescent="0.2">
      <c r="A1442" s="139" t="s">
        <v>39</v>
      </c>
      <c r="B1442" s="140">
        <v>45211</v>
      </c>
      <c r="C1442">
        <v>14</v>
      </c>
      <c r="D1442">
        <v>10</v>
      </c>
      <c r="E1442" t="str">
        <f>TEXT(ACTUAL_EXPENSES[[#This Row],[Date]],"mmm")</f>
        <v>Oct</v>
      </c>
    </row>
    <row r="1443" spans="1:5" x14ac:dyDescent="0.2">
      <c r="A1443" s="139" t="s">
        <v>39</v>
      </c>
      <c r="B1443" s="140">
        <v>45212</v>
      </c>
      <c r="C1443">
        <v>79</v>
      </c>
      <c r="D1443">
        <v>10</v>
      </c>
      <c r="E1443" t="str">
        <f>TEXT(ACTUAL_EXPENSES[[#This Row],[Date]],"mmm")</f>
        <v>Oct</v>
      </c>
    </row>
    <row r="1444" spans="1:5" x14ac:dyDescent="0.2">
      <c r="A1444" s="139" t="s">
        <v>39</v>
      </c>
      <c r="B1444" s="140">
        <v>45213</v>
      </c>
      <c r="C1444">
        <v>26</v>
      </c>
      <c r="D1444">
        <v>10</v>
      </c>
      <c r="E1444" t="str">
        <f>TEXT(ACTUAL_EXPENSES[[#This Row],[Date]],"mmm")</f>
        <v>Oct</v>
      </c>
    </row>
    <row r="1445" spans="1:5" x14ac:dyDescent="0.2">
      <c r="A1445" s="139" t="s">
        <v>39</v>
      </c>
      <c r="B1445" s="140">
        <v>45215</v>
      </c>
      <c r="C1445">
        <v>35</v>
      </c>
      <c r="D1445">
        <v>10</v>
      </c>
      <c r="E1445" t="str">
        <f>TEXT(ACTUAL_EXPENSES[[#This Row],[Date]],"mmm")</f>
        <v>Oct</v>
      </c>
    </row>
    <row r="1446" spans="1:5" x14ac:dyDescent="0.2">
      <c r="A1446" s="139" t="s">
        <v>39</v>
      </c>
      <c r="B1446" s="140">
        <v>45217</v>
      </c>
      <c r="C1446">
        <v>80</v>
      </c>
      <c r="D1446">
        <v>10</v>
      </c>
      <c r="E1446" t="str">
        <f>TEXT(ACTUAL_EXPENSES[[#This Row],[Date]],"mmm")</f>
        <v>Oct</v>
      </c>
    </row>
    <row r="1447" spans="1:5" x14ac:dyDescent="0.2">
      <c r="A1447" s="139" t="s">
        <v>39</v>
      </c>
      <c r="B1447" s="140">
        <v>45219</v>
      </c>
      <c r="C1447">
        <v>59</v>
      </c>
      <c r="D1447">
        <v>10</v>
      </c>
      <c r="E1447" t="str">
        <f>TEXT(ACTUAL_EXPENSES[[#This Row],[Date]],"mmm")</f>
        <v>Oct</v>
      </c>
    </row>
    <row r="1448" spans="1:5" x14ac:dyDescent="0.2">
      <c r="A1448" s="139" t="s">
        <v>39</v>
      </c>
      <c r="B1448" s="140">
        <v>45220</v>
      </c>
      <c r="C1448">
        <v>41</v>
      </c>
      <c r="D1448">
        <v>10</v>
      </c>
      <c r="E1448" t="str">
        <f>TEXT(ACTUAL_EXPENSES[[#This Row],[Date]],"mmm")</f>
        <v>Oct</v>
      </c>
    </row>
    <row r="1449" spans="1:5" x14ac:dyDescent="0.2">
      <c r="A1449" s="139" t="s">
        <v>39</v>
      </c>
      <c r="B1449" s="140">
        <v>45221</v>
      </c>
      <c r="C1449">
        <v>98</v>
      </c>
      <c r="D1449">
        <v>10</v>
      </c>
      <c r="E1449" t="str">
        <f>TEXT(ACTUAL_EXPENSES[[#This Row],[Date]],"mmm")</f>
        <v>Oct</v>
      </c>
    </row>
    <row r="1450" spans="1:5" x14ac:dyDescent="0.2">
      <c r="A1450" s="139" t="s">
        <v>39</v>
      </c>
      <c r="B1450" s="140">
        <v>45223</v>
      </c>
      <c r="C1450">
        <v>49</v>
      </c>
      <c r="D1450">
        <v>10</v>
      </c>
      <c r="E1450" t="str">
        <f>TEXT(ACTUAL_EXPENSES[[#This Row],[Date]],"mmm")</f>
        <v>Oct</v>
      </c>
    </row>
    <row r="1451" spans="1:5" x14ac:dyDescent="0.2">
      <c r="A1451" s="139" t="s">
        <v>39</v>
      </c>
      <c r="B1451" s="140">
        <v>45226</v>
      </c>
      <c r="C1451">
        <v>63</v>
      </c>
      <c r="D1451">
        <v>10</v>
      </c>
      <c r="E1451" t="str">
        <f>TEXT(ACTUAL_EXPENSES[[#This Row],[Date]],"mmm")</f>
        <v>Oct</v>
      </c>
    </row>
    <row r="1452" spans="1:5" x14ac:dyDescent="0.2">
      <c r="A1452" s="139" t="s">
        <v>39</v>
      </c>
      <c r="B1452" s="140">
        <v>45228</v>
      </c>
      <c r="C1452">
        <v>40</v>
      </c>
      <c r="D1452">
        <v>10</v>
      </c>
      <c r="E1452" t="str">
        <f>TEXT(ACTUAL_EXPENSES[[#This Row],[Date]],"mmm")</f>
        <v>Oct</v>
      </c>
    </row>
    <row r="1453" spans="1:5" x14ac:dyDescent="0.2">
      <c r="A1453" s="139" t="s">
        <v>39</v>
      </c>
      <c r="B1453" s="140">
        <v>45229</v>
      </c>
      <c r="C1453">
        <v>94</v>
      </c>
      <c r="D1453">
        <v>10</v>
      </c>
      <c r="E1453" t="str">
        <f>TEXT(ACTUAL_EXPENSES[[#This Row],[Date]],"mmm")</f>
        <v>Oct</v>
      </c>
    </row>
    <row r="1454" spans="1:5" x14ac:dyDescent="0.2">
      <c r="A1454" s="139" t="s">
        <v>127</v>
      </c>
      <c r="B1454" s="140">
        <v>45204</v>
      </c>
      <c r="C1454">
        <v>121</v>
      </c>
      <c r="D1454">
        <v>10</v>
      </c>
      <c r="E1454" t="str">
        <f>TEXT(ACTUAL_EXPENSES[[#This Row],[Date]],"mmm")</f>
        <v>Oct</v>
      </c>
    </row>
    <row r="1455" spans="1:5" x14ac:dyDescent="0.2">
      <c r="A1455" s="139" t="s">
        <v>127</v>
      </c>
      <c r="B1455" s="140">
        <v>45206</v>
      </c>
      <c r="C1455">
        <v>40</v>
      </c>
      <c r="D1455">
        <v>10</v>
      </c>
      <c r="E1455" t="str">
        <f>TEXT(ACTUAL_EXPENSES[[#This Row],[Date]],"mmm")</f>
        <v>Oct</v>
      </c>
    </row>
    <row r="1456" spans="1:5" x14ac:dyDescent="0.2">
      <c r="A1456" s="139" t="s">
        <v>127</v>
      </c>
      <c r="B1456" s="140">
        <v>45208</v>
      </c>
      <c r="C1456">
        <v>80</v>
      </c>
      <c r="D1456">
        <v>10</v>
      </c>
      <c r="E1456" t="str">
        <f>TEXT(ACTUAL_EXPENSES[[#This Row],[Date]],"mmm")</f>
        <v>Oct</v>
      </c>
    </row>
    <row r="1457" spans="1:5" x14ac:dyDescent="0.2">
      <c r="A1457" s="139" t="s">
        <v>127</v>
      </c>
      <c r="B1457" s="140">
        <v>45214</v>
      </c>
      <c r="C1457">
        <v>101</v>
      </c>
      <c r="D1457">
        <v>10</v>
      </c>
      <c r="E1457" t="str">
        <f>TEXT(ACTUAL_EXPENSES[[#This Row],[Date]],"mmm")</f>
        <v>Oct</v>
      </c>
    </row>
    <row r="1458" spans="1:5" x14ac:dyDescent="0.2">
      <c r="A1458" s="139" t="s">
        <v>127</v>
      </c>
      <c r="B1458" s="140">
        <v>45215</v>
      </c>
      <c r="C1458">
        <v>51</v>
      </c>
      <c r="D1458">
        <v>10</v>
      </c>
      <c r="E1458" t="str">
        <f>TEXT(ACTUAL_EXPENSES[[#This Row],[Date]],"mmm")</f>
        <v>Oct</v>
      </c>
    </row>
    <row r="1459" spans="1:5" x14ac:dyDescent="0.2">
      <c r="A1459" s="139" t="s">
        <v>127</v>
      </c>
      <c r="B1459" s="140">
        <v>45217</v>
      </c>
      <c r="C1459">
        <v>100</v>
      </c>
      <c r="D1459">
        <v>10</v>
      </c>
      <c r="E1459" t="str">
        <f>TEXT(ACTUAL_EXPENSES[[#This Row],[Date]],"mmm")</f>
        <v>Oct</v>
      </c>
    </row>
    <row r="1460" spans="1:5" x14ac:dyDescent="0.2">
      <c r="A1460" s="139" t="s">
        <v>127</v>
      </c>
      <c r="B1460" s="140">
        <v>45219</v>
      </c>
      <c r="C1460">
        <v>100</v>
      </c>
      <c r="D1460">
        <v>10</v>
      </c>
      <c r="E1460" t="str">
        <f>TEXT(ACTUAL_EXPENSES[[#This Row],[Date]],"mmm")</f>
        <v>Oct</v>
      </c>
    </row>
    <row r="1461" spans="1:5" x14ac:dyDescent="0.2">
      <c r="A1461" s="139" t="s">
        <v>127</v>
      </c>
      <c r="B1461" s="140">
        <v>45220</v>
      </c>
      <c r="C1461">
        <v>2.5</v>
      </c>
      <c r="D1461">
        <v>10</v>
      </c>
      <c r="E1461" t="str">
        <f>TEXT(ACTUAL_EXPENSES[[#This Row],[Date]],"mmm")</f>
        <v>Oct</v>
      </c>
    </row>
    <row r="1462" spans="1:5" x14ac:dyDescent="0.2">
      <c r="A1462" s="139" t="s">
        <v>127</v>
      </c>
      <c r="B1462" s="140">
        <v>45222</v>
      </c>
      <c r="C1462">
        <v>20</v>
      </c>
      <c r="D1462">
        <v>10</v>
      </c>
      <c r="E1462" t="str">
        <f>TEXT(ACTUAL_EXPENSES[[#This Row],[Date]],"mmm")</f>
        <v>Oct</v>
      </c>
    </row>
    <row r="1463" spans="1:5" x14ac:dyDescent="0.2">
      <c r="A1463" s="139" t="s">
        <v>127</v>
      </c>
      <c r="B1463" s="140">
        <v>45230</v>
      </c>
      <c r="C1463">
        <v>100</v>
      </c>
      <c r="D1463">
        <v>10</v>
      </c>
      <c r="E1463" t="str">
        <f>TEXT(ACTUAL_EXPENSES[[#This Row],[Date]],"mmm")</f>
        <v>Oct</v>
      </c>
    </row>
    <row r="1464" spans="1:5" x14ac:dyDescent="0.2">
      <c r="A1464" s="139" t="s">
        <v>48</v>
      </c>
      <c r="B1464" s="140">
        <v>45226</v>
      </c>
      <c r="C1464">
        <v>12.57</v>
      </c>
      <c r="D1464">
        <v>10</v>
      </c>
      <c r="E1464" t="str">
        <f>TEXT(ACTUAL_EXPENSES[[#This Row],[Date]],"mmm")</f>
        <v>Oct</v>
      </c>
    </row>
    <row r="1465" spans="1:5" x14ac:dyDescent="0.2">
      <c r="A1465" s="139" t="s">
        <v>49</v>
      </c>
      <c r="B1465" s="140">
        <v>45209</v>
      </c>
      <c r="C1465">
        <v>9</v>
      </c>
      <c r="D1465">
        <v>10</v>
      </c>
      <c r="E1465" t="str">
        <f>TEXT(ACTUAL_EXPENSES[[#This Row],[Date]],"mmm")</f>
        <v>Oct</v>
      </c>
    </row>
    <row r="1466" spans="1:5" x14ac:dyDescent="0.2">
      <c r="A1466" s="139" t="s">
        <v>126</v>
      </c>
      <c r="B1466" s="140">
        <v>45217</v>
      </c>
      <c r="C1466">
        <v>100.84</v>
      </c>
      <c r="D1466">
        <v>10</v>
      </c>
      <c r="E1466" t="str">
        <f>TEXT(ACTUAL_EXPENSES[[#This Row],[Date]],"mmm")</f>
        <v>Oct</v>
      </c>
    </row>
    <row r="1467" spans="1:5" x14ac:dyDescent="0.2">
      <c r="A1467" s="139" t="s">
        <v>51</v>
      </c>
      <c r="B1467" s="140">
        <v>45219</v>
      </c>
      <c r="C1467">
        <v>10</v>
      </c>
      <c r="D1467">
        <v>10</v>
      </c>
      <c r="E1467" t="str">
        <f>TEXT(ACTUAL_EXPENSES[[#This Row],[Date]],"mmm")</f>
        <v>Oct</v>
      </c>
    </row>
    <row r="1468" spans="1:5" x14ac:dyDescent="0.2">
      <c r="A1468" s="139" t="s">
        <v>51</v>
      </c>
      <c r="B1468" s="140">
        <v>45224</v>
      </c>
      <c r="C1468">
        <v>8.1999999999999993</v>
      </c>
      <c r="D1468">
        <v>10</v>
      </c>
      <c r="E1468" t="str">
        <f>TEXT(ACTUAL_EXPENSES[[#This Row],[Date]],"mmm")</f>
        <v>Oct</v>
      </c>
    </row>
    <row r="1469" spans="1:5" x14ac:dyDescent="0.2">
      <c r="A1469" s="139" t="s">
        <v>197</v>
      </c>
      <c r="B1469" s="140">
        <v>45231</v>
      </c>
      <c r="C1469">
        <v>1</v>
      </c>
      <c r="D1469">
        <v>11</v>
      </c>
      <c r="E1469" t="str">
        <f>TEXT(ACTUAL_EXPENSES[[#This Row],[Date]],"mmm")</f>
        <v>Nov</v>
      </c>
    </row>
    <row r="1470" spans="1:5" x14ac:dyDescent="0.2">
      <c r="A1470" s="139" t="s">
        <v>197</v>
      </c>
      <c r="B1470" s="140">
        <v>45232</v>
      </c>
      <c r="C1470">
        <v>2</v>
      </c>
      <c r="D1470">
        <v>11</v>
      </c>
      <c r="E1470" t="str">
        <f>TEXT(ACTUAL_EXPENSES[[#This Row],[Date]],"mmm")</f>
        <v>Nov</v>
      </c>
    </row>
    <row r="1471" spans="1:5" x14ac:dyDescent="0.2">
      <c r="A1471" s="139" t="s">
        <v>197</v>
      </c>
      <c r="B1471" s="140">
        <v>45233</v>
      </c>
      <c r="C1471">
        <v>3</v>
      </c>
      <c r="D1471">
        <v>11</v>
      </c>
      <c r="E1471" t="str">
        <f>TEXT(ACTUAL_EXPENSES[[#This Row],[Date]],"mmm")</f>
        <v>Nov</v>
      </c>
    </row>
    <row r="1472" spans="1:5" x14ac:dyDescent="0.2">
      <c r="A1472" s="139" t="s">
        <v>197</v>
      </c>
      <c r="B1472" s="140">
        <v>45234</v>
      </c>
      <c r="C1472">
        <v>4</v>
      </c>
      <c r="D1472">
        <v>11</v>
      </c>
      <c r="E1472" t="str">
        <f>TEXT(ACTUAL_EXPENSES[[#This Row],[Date]],"mmm")</f>
        <v>Nov</v>
      </c>
    </row>
    <row r="1473" spans="1:5" x14ac:dyDescent="0.2">
      <c r="A1473" s="139" t="s">
        <v>197</v>
      </c>
      <c r="B1473" s="140">
        <v>45235</v>
      </c>
      <c r="C1473">
        <v>5</v>
      </c>
      <c r="D1473">
        <v>11</v>
      </c>
      <c r="E1473" t="str">
        <f>TEXT(ACTUAL_EXPENSES[[#This Row],[Date]],"mmm")</f>
        <v>Nov</v>
      </c>
    </row>
    <row r="1474" spans="1:5" x14ac:dyDescent="0.2">
      <c r="A1474" s="139" t="s">
        <v>197</v>
      </c>
      <c r="B1474" s="140">
        <v>45236</v>
      </c>
      <c r="C1474">
        <v>6</v>
      </c>
      <c r="D1474">
        <v>11</v>
      </c>
      <c r="E1474" t="str">
        <f>TEXT(ACTUAL_EXPENSES[[#This Row],[Date]],"mmm")</f>
        <v>Nov</v>
      </c>
    </row>
    <row r="1475" spans="1:5" x14ac:dyDescent="0.2">
      <c r="A1475" s="139" t="s">
        <v>197</v>
      </c>
      <c r="B1475" s="140">
        <v>45237</v>
      </c>
      <c r="C1475">
        <v>7</v>
      </c>
      <c r="D1475">
        <v>11</v>
      </c>
      <c r="E1475" t="str">
        <f>TEXT(ACTUAL_EXPENSES[[#This Row],[Date]],"mmm")</f>
        <v>Nov</v>
      </c>
    </row>
    <row r="1476" spans="1:5" x14ac:dyDescent="0.2">
      <c r="A1476" s="139" t="s">
        <v>197</v>
      </c>
      <c r="B1476" s="140">
        <v>45238</v>
      </c>
      <c r="C1476">
        <v>8</v>
      </c>
      <c r="D1476">
        <v>11</v>
      </c>
      <c r="E1476" t="str">
        <f>TEXT(ACTUAL_EXPENSES[[#This Row],[Date]],"mmm")</f>
        <v>Nov</v>
      </c>
    </row>
    <row r="1477" spans="1:5" x14ac:dyDescent="0.2">
      <c r="A1477" s="139" t="s">
        <v>197</v>
      </c>
      <c r="B1477" s="140">
        <v>45239</v>
      </c>
      <c r="C1477">
        <v>9</v>
      </c>
      <c r="D1477">
        <v>11</v>
      </c>
      <c r="E1477" t="str">
        <f>TEXT(ACTUAL_EXPENSES[[#This Row],[Date]],"mmm")</f>
        <v>Nov</v>
      </c>
    </row>
    <row r="1478" spans="1:5" x14ac:dyDescent="0.2">
      <c r="A1478" s="139" t="s">
        <v>197</v>
      </c>
      <c r="B1478" s="140">
        <v>45240</v>
      </c>
      <c r="C1478">
        <v>10</v>
      </c>
      <c r="D1478">
        <v>11</v>
      </c>
      <c r="E1478" t="str">
        <f>TEXT(ACTUAL_EXPENSES[[#This Row],[Date]],"mmm")</f>
        <v>Nov</v>
      </c>
    </row>
    <row r="1479" spans="1:5" x14ac:dyDescent="0.2">
      <c r="A1479" s="139" t="s">
        <v>197</v>
      </c>
      <c r="B1479" s="140">
        <v>45241</v>
      </c>
      <c r="C1479">
        <v>11</v>
      </c>
      <c r="D1479">
        <v>11</v>
      </c>
      <c r="E1479" t="str">
        <f>TEXT(ACTUAL_EXPENSES[[#This Row],[Date]],"mmm")</f>
        <v>Nov</v>
      </c>
    </row>
    <row r="1480" spans="1:5" x14ac:dyDescent="0.2">
      <c r="A1480" s="139" t="s">
        <v>197</v>
      </c>
      <c r="B1480" s="140">
        <v>45242</v>
      </c>
      <c r="C1480">
        <v>12</v>
      </c>
      <c r="D1480">
        <v>11</v>
      </c>
      <c r="E1480" t="str">
        <f>TEXT(ACTUAL_EXPENSES[[#This Row],[Date]],"mmm")</f>
        <v>Nov</v>
      </c>
    </row>
    <row r="1481" spans="1:5" x14ac:dyDescent="0.2">
      <c r="A1481" s="139" t="s">
        <v>197</v>
      </c>
      <c r="B1481" s="140">
        <v>45243</v>
      </c>
      <c r="C1481">
        <v>13</v>
      </c>
      <c r="D1481">
        <v>11</v>
      </c>
      <c r="E1481" t="str">
        <f>TEXT(ACTUAL_EXPENSES[[#This Row],[Date]],"mmm")</f>
        <v>Nov</v>
      </c>
    </row>
    <row r="1482" spans="1:5" x14ac:dyDescent="0.2">
      <c r="A1482" s="139" t="s">
        <v>197</v>
      </c>
      <c r="B1482" s="140">
        <v>45244</v>
      </c>
      <c r="C1482">
        <v>14</v>
      </c>
      <c r="D1482">
        <v>11</v>
      </c>
      <c r="E1482" t="str">
        <f>TEXT(ACTUAL_EXPENSES[[#This Row],[Date]],"mmm")</f>
        <v>Nov</v>
      </c>
    </row>
    <row r="1483" spans="1:5" x14ac:dyDescent="0.2">
      <c r="A1483" s="139" t="s">
        <v>197</v>
      </c>
      <c r="B1483" s="140">
        <v>45245</v>
      </c>
      <c r="C1483">
        <v>15</v>
      </c>
      <c r="D1483">
        <v>11</v>
      </c>
      <c r="E1483" t="str">
        <f>TEXT(ACTUAL_EXPENSES[[#This Row],[Date]],"mmm")</f>
        <v>Nov</v>
      </c>
    </row>
    <row r="1484" spans="1:5" x14ac:dyDescent="0.2">
      <c r="A1484" s="139" t="s">
        <v>197</v>
      </c>
      <c r="B1484" s="140">
        <v>45246</v>
      </c>
      <c r="C1484">
        <v>16</v>
      </c>
      <c r="D1484">
        <v>11</v>
      </c>
      <c r="E1484" t="str">
        <f>TEXT(ACTUAL_EXPENSES[[#This Row],[Date]],"mmm")</f>
        <v>Nov</v>
      </c>
    </row>
    <row r="1485" spans="1:5" x14ac:dyDescent="0.2">
      <c r="A1485" s="139" t="s">
        <v>197</v>
      </c>
      <c r="B1485" s="140">
        <v>45247</v>
      </c>
      <c r="C1485">
        <v>17</v>
      </c>
      <c r="D1485">
        <v>11</v>
      </c>
      <c r="E1485" t="str">
        <f>TEXT(ACTUAL_EXPENSES[[#This Row],[Date]],"mmm")</f>
        <v>Nov</v>
      </c>
    </row>
    <row r="1486" spans="1:5" x14ac:dyDescent="0.2">
      <c r="A1486" s="139" t="s">
        <v>197</v>
      </c>
      <c r="B1486" s="140">
        <v>45248</v>
      </c>
      <c r="C1486">
        <v>18</v>
      </c>
      <c r="D1486">
        <v>11</v>
      </c>
      <c r="E1486" t="str">
        <f>TEXT(ACTUAL_EXPENSES[[#This Row],[Date]],"mmm")</f>
        <v>Nov</v>
      </c>
    </row>
    <row r="1487" spans="1:5" x14ac:dyDescent="0.2">
      <c r="A1487" s="139" t="s">
        <v>197</v>
      </c>
      <c r="B1487" s="140">
        <v>45249</v>
      </c>
      <c r="C1487">
        <v>19</v>
      </c>
      <c r="D1487">
        <v>11</v>
      </c>
      <c r="E1487" t="str">
        <f>TEXT(ACTUAL_EXPENSES[[#This Row],[Date]],"mmm")</f>
        <v>Nov</v>
      </c>
    </row>
    <row r="1488" spans="1:5" x14ac:dyDescent="0.2">
      <c r="A1488" s="139" t="s">
        <v>197</v>
      </c>
      <c r="B1488" s="140">
        <v>45250</v>
      </c>
      <c r="C1488">
        <v>20</v>
      </c>
      <c r="D1488">
        <v>11</v>
      </c>
      <c r="E1488" t="str">
        <f>TEXT(ACTUAL_EXPENSES[[#This Row],[Date]],"mmm")</f>
        <v>Nov</v>
      </c>
    </row>
    <row r="1489" spans="1:5" x14ac:dyDescent="0.2">
      <c r="A1489" s="139" t="s">
        <v>197</v>
      </c>
      <c r="B1489" s="140">
        <v>45251</v>
      </c>
      <c r="C1489">
        <v>21</v>
      </c>
      <c r="D1489">
        <v>11</v>
      </c>
      <c r="E1489" t="str">
        <f>TEXT(ACTUAL_EXPENSES[[#This Row],[Date]],"mmm")</f>
        <v>Nov</v>
      </c>
    </row>
    <row r="1490" spans="1:5" x14ac:dyDescent="0.2">
      <c r="A1490" s="139" t="s">
        <v>197</v>
      </c>
      <c r="B1490" s="140">
        <v>45252</v>
      </c>
      <c r="C1490">
        <v>22</v>
      </c>
      <c r="D1490">
        <v>11</v>
      </c>
      <c r="E1490" t="str">
        <f>TEXT(ACTUAL_EXPENSES[[#This Row],[Date]],"mmm")</f>
        <v>Nov</v>
      </c>
    </row>
    <row r="1491" spans="1:5" x14ac:dyDescent="0.2">
      <c r="A1491" s="139" t="s">
        <v>197</v>
      </c>
      <c r="B1491" s="140">
        <v>45253</v>
      </c>
      <c r="C1491">
        <v>23</v>
      </c>
      <c r="D1491">
        <v>11</v>
      </c>
      <c r="E1491" t="str">
        <f>TEXT(ACTUAL_EXPENSES[[#This Row],[Date]],"mmm")</f>
        <v>Nov</v>
      </c>
    </row>
    <row r="1492" spans="1:5" x14ac:dyDescent="0.2">
      <c r="A1492" s="139" t="s">
        <v>197</v>
      </c>
      <c r="B1492" s="140">
        <v>45254</v>
      </c>
      <c r="C1492">
        <v>24</v>
      </c>
      <c r="D1492">
        <v>11</v>
      </c>
      <c r="E1492" t="str">
        <f>TEXT(ACTUAL_EXPENSES[[#This Row],[Date]],"mmm")</f>
        <v>Nov</v>
      </c>
    </row>
    <row r="1493" spans="1:5" x14ac:dyDescent="0.2">
      <c r="A1493" s="139" t="s">
        <v>197</v>
      </c>
      <c r="B1493" s="140">
        <v>45255</v>
      </c>
      <c r="C1493">
        <v>25</v>
      </c>
      <c r="D1493">
        <v>11</v>
      </c>
      <c r="E1493" t="str">
        <f>TEXT(ACTUAL_EXPENSES[[#This Row],[Date]],"mmm")</f>
        <v>Nov</v>
      </c>
    </row>
    <row r="1494" spans="1:5" x14ac:dyDescent="0.2">
      <c r="A1494" s="139" t="s">
        <v>197</v>
      </c>
      <c r="B1494" s="140">
        <v>45256</v>
      </c>
      <c r="C1494">
        <v>26</v>
      </c>
      <c r="D1494">
        <v>11</v>
      </c>
      <c r="E1494" t="str">
        <f>TEXT(ACTUAL_EXPENSES[[#This Row],[Date]],"mmm")</f>
        <v>Nov</v>
      </c>
    </row>
    <row r="1495" spans="1:5" x14ac:dyDescent="0.2">
      <c r="A1495" s="139" t="s">
        <v>197</v>
      </c>
      <c r="B1495" s="140">
        <v>45257</v>
      </c>
      <c r="C1495">
        <v>27</v>
      </c>
      <c r="D1495">
        <v>11</v>
      </c>
      <c r="E1495" t="str">
        <f>TEXT(ACTUAL_EXPENSES[[#This Row],[Date]],"mmm")</f>
        <v>Nov</v>
      </c>
    </row>
    <row r="1496" spans="1:5" x14ac:dyDescent="0.2">
      <c r="A1496" s="139" t="s">
        <v>197</v>
      </c>
      <c r="B1496" s="140">
        <v>45258</v>
      </c>
      <c r="C1496">
        <v>28</v>
      </c>
      <c r="D1496">
        <v>11</v>
      </c>
      <c r="E1496" t="str">
        <f>TEXT(ACTUAL_EXPENSES[[#This Row],[Date]],"mmm")</f>
        <v>Nov</v>
      </c>
    </row>
    <row r="1497" spans="1:5" x14ac:dyDescent="0.2">
      <c r="A1497" s="139" t="s">
        <v>197</v>
      </c>
      <c r="B1497" s="140">
        <v>45259</v>
      </c>
      <c r="C1497">
        <v>29</v>
      </c>
      <c r="D1497">
        <v>11</v>
      </c>
      <c r="E1497" t="str">
        <f>TEXT(ACTUAL_EXPENSES[[#This Row],[Date]],"mmm")</f>
        <v>Nov</v>
      </c>
    </row>
    <row r="1498" spans="1:5" x14ac:dyDescent="0.2">
      <c r="A1498" s="139" t="s">
        <v>197</v>
      </c>
      <c r="B1498" s="140">
        <v>45260</v>
      </c>
      <c r="C1498">
        <v>30</v>
      </c>
      <c r="D1498">
        <v>11</v>
      </c>
      <c r="E1498" t="str">
        <f>TEXT(ACTUAL_EXPENSES[[#This Row],[Date]],"mmm")</f>
        <v>Nov</v>
      </c>
    </row>
    <row r="1499" spans="1:5" x14ac:dyDescent="0.2">
      <c r="A1499" s="139" t="s">
        <v>52</v>
      </c>
      <c r="B1499" s="140">
        <v>45246</v>
      </c>
      <c r="C1499">
        <v>330</v>
      </c>
      <c r="D1499">
        <v>11</v>
      </c>
      <c r="E1499" t="str">
        <f>TEXT(ACTUAL_EXPENSES[[#This Row],[Date]],"mmm")</f>
        <v>Nov</v>
      </c>
    </row>
    <row r="1500" spans="1:5" x14ac:dyDescent="0.2">
      <c r="A1500" s="139" t="s">
        <v>41</v>
      </c>
      <c r="B1500" s="140">
        <v>45231</v>
      </c>
      <c r="C1500">
        <v>100</v>
      </c>
      <c r="D1500">
        <v>11</v>
      </c>
      <c r="E1500" t="str">
        <f>TEXT(ACTUAL_EXPENSES[[#This Row],[Date]],"mmm")</f>
        <v>Nov</v>
      </c>
    </row>
    <row r="1501" spans="1:5" x14ac:dyDescent="0.2">
      <c r="A1501" s="139" t="s">
        <v>41</v>
      </c>
      <c r="B1501" s="140">
        <v>45234</v>
      </c>
      <c r="C1501">
        <v>28</v>
      </c>
      <c r="D1501">
        <v>11</v>
      </c>
      <c r="E1501" t="str">
        <f>TEXT(ACTUAL_EXPENSES[[#This Row],[Date]],"mmm")</f>
        <v>Nov</v>
      </c>
    </row>
    <row r="1502" spans="1:5" x14ac:dyDescent="0.2">
      <c r="A1502" s="139" t="s">
        <v>41</v>
      </c>
      <c r="B1502" s="140">
        <v>45236</v>
      </c>
      <c r="C1502">
        <v>16</v>
      </c>
      <c r="D1502">
        <v>11</v>
      </c>
      <c r="E1502" t="str">
        <f>TEXT(ACTUAL_EXPENSES[[#This Row],[Date]],"mmm")</f>
        <v>Nov</v>
      </c>
    </row>
    <row r="1503" spans="1:5" x14ac:dyDescent="0.2">
      <c r="A1503" s="139" t="s">
        <v>41</v>
      </c>
      <c r="B1503" s="140">
        <v>45237</v>
      </c>
      <c r="C1503">
        <v>18</v>
      </c>
      <c r="D1503">
        <v>11</v>
      </c>
      <c r="E1503" t="str">
        <f>TEXT(ACTUAL_EXPENSES[[#This Row],[Date]],"mmm")</f>
        <v>Nov</v>
      </c>
    </row>
    <row r="1504" spans="1:5" x14ac:dyDescent="0.2">
      <c r="A1504" s="139" t="s">
        <v>41</v>
      </c>
      <c r="B1504" s="140">
        <v>45239</v>
      </c>
      <c r="C1504">
        <v>10</v>
      </c>
      <c r="D1504">
        <v>11</v>
      </c>
      <c r="E1504" t="str">
        <f>TEXT(ACTUAL_EXPENSES[[#This Row],[Date]],"mmm")</f>
        <v>Nov</v>
      </c>
    </row>
    <row r="1505" spans="1:5" x14ac:dyDescent="0.2">
      <c r="A1505" s="139" t="s">
        <v>41</v>
      </c>
      <c r="B1505" s="140">
        <v>45240</v>
      </c>
      <c r="C1505">
        <v>43</v>
      </c>
      <c r="D1505">
        <v>11</v>
      </c>
      <c r="E1505" t="str">
        <f>TEXT(ACTUAL_EXPENSES[[#This Row],[Date]],"mmm")</f>
        <v>Nov</v>
      </c>
    </row>
    <row r="1506" spans="1:5" x14ac:dyDescent="0.2">
      <c r="A1506" s="139" t="s">
        <v>41</v>
      </c>
      <c r="B1506" s="140">
        <v>45241</v>
      </c>
      <c r="C1506">
        <v>113</v>
      </c>
      <c r="D1506">
        <v>11</v>
      </c>
      <c r="E1506" t="str">
        <f>TEXT(ACTUAL_EXPENSES[[#This Row],[Date]],"mmm")</f>
        <v>Nov</v>
      </c>
    </row>
    <row r="1507" spans="1:5" x14ac:dyDescent="0.2">
      <c r="A1507" s="139" t="s">
        <v>41</v>
      </c>
      <c r="B1507" s="140">
        <v>45243</v>
      </c>
      <c r="C1507">
        <v>5</v>
      </c>
      <c r="D1507">
        <v>11</v>
      </c>
      <c r="E1507" t="str">
        <f>TEXT(ACTUAL_EXPENSES[[#This Row],[Date]],"mmm")</f>
        <v>Nov</v>
      </c>
    </row>
    <row r="1508" spans="1:5" x14ac:dyDescent="0.2">
      <c r="A1508" s="139" t="s">
        <v>41</v>
      </c>
      <c r="B1508" s="140">
        <v>45244</v>
      </c>
      <c r="C1508">
        <v>10</v>
      </c>
      <c r="D1508">
        <v>11</v>
      </c>
      <c r="E1508" t="str">
        <f>TEXT(ACTUAL_EXPENSES[[#This Row],[Date]],"mmm")</f>
        <v>Nov</v>
      </c>
    </row>
    <row r="1509" spans="1:5" x14ac:dyDescent="0.2">
      <c r="A1509" s="139" t="s">
        <v>41</v>
      </c>
      <c r="B1509" s="140">
        <v>45246</v>
      </c>
      <c r="C1509">
        <v>10</v>
      </c>
      <c r="D1509">
        <v>11</v>
      </c>
      <c r="E1509" t="str">
        <f>TEXT(ACTUAL_EXPENSES[[#This Row],[Date]],"mmm")</f>
        <v>Nov</v>
      </c>
    </row>
    <row r="1510" spans="1:5" x14ac:dyDescent="0.2">
      <c r="A1510" s="139" t="s">
        <v>41</v>
      </c>
      <c r="B1510" s="140">
        <v>45247</v>
      </c>
      <c r="C1510">
        <v>35</v>
      </c>
      <c r="D1510">
        <v>11</v>
      </c>
      <c r="E1510" t="str">
        <f>TEXT(ACTUAL_EXPENSES[[#This Row],[Date]],"mmm")</f>
        <v>Nov</v>
      </c>
    </row>
    <row r="1511" spans="1:5" x14ac:dyDescent="0.2">
      <c r="A1511" s="139" t="s">
        <v>41</v>
      </c>
      <c r="B1511" s="140">
        <v>45248</v>
      </c>
      <c r="C1511">
        <v>145</v>
      </c>
      <c r="D1511">
        <v>11</v>
      </c>
      <c r="E1511" t="str">
        <f>TEXT(ACTUAL_EXPENSES[[#This Row],[Date]],"mmm")</f>
        <v>Nov</v>
      </c>
    </row>
    <row r="1512" spans="1:5" x14ac:dyDescent="0.2">
      <c r="A1512" s="139" t="s">
        <v>41</v>
      </c>
      <c r="B1512" s="140">
        <v>45250</v>
      </c>
      <c r="C1512">
        <v>10</v>
      </c>
      <c r="D1512">
        <v>11</v>
      </c>
      <c r="E1512" t="str">
        <f>TEXT(ACTUAL_EXPENSES[[#This Row],[Date]],"mmm")</f>
        <v>Nov</v>
      </c>
    </row>
    <row r="1513" spans="1:5" x14ac:dyDescent="0.2">
      <c r="A1513" s="139" t="s">
        <v>41</v>
      </c>
      <c r="B1513" s="140">
        <v>45252</v>
      </c>
      <c r="C1513">
        <v>16</v>
      </c>
      <c r="D1513">
        <v>11</v>
      </c>
      <c r="E1513" t="str">
        <f>TEXT(ACTUAL_EXPENSES[[#This Row],[Date]],"mmm")</f>
        <v>Nov</v>
      </c>
    </row>
    <row r="1514" spans="1:5" x14ac:dyDescent="0.2">
      <c r="A1514" s="139" t="s">
        <v>41</v>
      </c>
      <c r="B1514" s="140">
        <v>45253</v>
      </c>
      <c r="C1514">
        <v>10</v>
      </c>
      <c r="D1514">
        <v>11</v>
      </c>
      <c r="E1514" t="str">
        <f>TEXT(ACTUAL_EXPENSES[[#This Row],[Date]],"mmm")</f>
        <v>Nov</v>
      </c>
    </row>
    <row r="1515" spans="1:5" x14ac:dyDescent="0.2">
      <c r="A1515" s="139" t="s">
        <v>41</v>
      </c>
      <c r="B1515" s="140">
        <v>45254</v>
      </c>
      <c r="C1515">
        <v>21</v>
      </c>
      <c r="D1515">
        <v>11</v>
      </c>
      <c r="E1515" t="str">
        <f>TEXT(ACTUAL_EXPENSES[[#This Row],[Date]],"mmm")</f>
        <v>Nov</v>
      </c>
    </row>
    <row r="1516" spans="1:5" x14ac:dyDescent="0.2">
      <c r="A1516" s="139" t="s">
        <v>41</v>
      </c>
      <c r="B1516" s="140">
        <v>45255</v>
      </c>
      <c r="C1516">
        <v>120</v>
      </c>
      <c r="D1516">
        <v>11</v>
      </c>
      <c r="E1516" t="str">
        <f>TEXT(ACTUAL_EXPENSES[[#This Row],[Date]],"mmm")</f>
        <v>Nov</v>
      </c>
    </row>
    <row r="1517" spans="1:5" x14ac:dyDescent="0.2">
      <c r="A1517" s="139" t="s">
        <v>41</v>
      </c>
      <c r="B1517" s="140">
        <v>45257</v>
      </c>
      <c r="C1517">
        <v>93</v>
      </c>
      <c r="D1517">
        <v>11</v>
      </c>
      <c r="E1517" t="str">
        <f>TEXT(ACTUAL_EXPENSES[[#This Row],[Date]],"mmm")</f>
        <v>Nov</v>
      </c>
    </row>
    <row r="1518" spans="1:5" x14ac:dyDescent="0.2">
      <c r="A1518" s="139" t="s">
        <v>41</v>
      </c>
      <c r="B1518" s="140">
        <v>45260</v>
      </c>
      <c r="C1518">
        <v>50</v>
      </c>
      <c r="D1518">
        <v>11</v>
      </c>
      <c r="E1518" t="str">
        <f>TEXT(ACTUAL_EXPENSES[[#This Row],[Date]],"mmm")</f>
        <v>Nov</v>
      </c>
    </row>
    <row r="1519" spans="1:5" x14ac:dyDescent="0.2">
      <c r="A1519" s="139" t="s">
        <v>61</v>
      </c>
      <c r="B1519" s="140">
        <v>45234</v>
      </c>
      <c r="C1519">
        <v>48.5</v>
      </c>
      <c r="D1519">
        <v>11</v>
      </c>
      <c r="E1519" t="str">
        <f>TEXT(ACTUAL_EXPENSES[[#This Row],[Date]],"mmm")</f>
        <v>Nov</v>
      </c>
    </row>
    <row r="1520" spans="1:5" x14ac:dyDescent="0.2">
      <c r="A1520" s="139" t="s">
        <v>61</v>
      </c>
      <c r="B1520" s="140">
        <v>45236</v>
      </c>
      <c r="C1520">
        <v>2</v>
      </c>
      <c r="D1520">
        <v>11</v>
      </c>
      <c r="E1520" t="str">
        <f>TEXT(ACTUAL_EXPENSES[[#This Row],[Date]],"mmm")</f>
        <v>Nov</v>
      </c>
    </row>
    <row r="1521" spans="1:5" x14ac:dyDescent="0.2">
      <c r="A1521" s="139" t="s">
        <v>61</v>
      </c>
      <c r="B1521" s="140">
        <v>45238</v>
      </c>
      <c r="C1521">
        <v>23.3</v>
      </c>
      <c r="D1521">
        <v>11</v>
      </c>
      <c r="E1521" t="str">
        <f>TEXT(ACTUAL_EXPENSES[[#This Row],[Date]],"mmm")</f>
        <v>Nov</v>
      </c>
    </row>
    <row r="1522" spans="1:5" x14ac:dyDescent="0.2">
      <c r="A1522" s="139" t="s">
        <v>61</v>
      </c>
      <c r="B1522" s="140">
        <v>45247</v>
      </c>
      <c r="C1522">
        <v>17</v>
      </c>
      <c r="D1522">
        <v>11</v>
      </c>
      <c r="E1522" t="str">
        <f>TEXT(ACTUAL_EXPENSES[[#This Row],[Date]],"mmm")</f>
        <v>Nov</v>
      </c>
    </row>
    <row r="1523" spans="1:5" x14ac:dyDescent="0.2">
      <c r="A1523" s="139" t="s">
        <v>61</v>
      </c>
      <c r="B1523" s="140">
        <v>45257</v>
      </c>
      <c r="C1523">
        <v>46</v>
      </c>
      <c r="D1523">
        <v>11</v>
      </c>
      <c r="E1523" t="str">
        <f>TEXT(ACTUAL_EXPENSES[[#This Row],[Date]],"mmm")</f>
        <v>Nov</v>
      </c>
    </row>
    <row r="1524" spans="1:5" x14ac:dyDescent="0.2">
      <c r="A1524" s="139" t="s">
        <v>61</v>
      </c>
      <c r="B1524" s="140">
        <v>45260</v>
      </c>
      <c r="C1524">
        <v>15</v>
      </c>
      <c r="D1524">
        <v>11</v>
      </c>
      <c r="E1524" t="str">
        <f>TEXT(ACTUAL_EXPENSES[[#This Row],[Date]],"mmm")</f>
        <v>Nov</v>
      </c>
    </row>
    <row r="1525" spans="1:5" x14ac:dyDescent="0.2">
      <c r="A1525" s="139" t="s">
        <v>53</v>
      </c>
      <c r="B1525" s="140">
        <v>45231</v>
      </c>
      <c r="C1525">
        <v>120</v>
      </c>
      <c r="D1525">
        <v>11</v>
      </c>
      <c r="E1525" t="str">
        <f>TEXT(ACTUAL_EXPENSES[[#This Row],[Date]],"mmm")</f>
        <v>Nov</v>
      </c>
    </row>
    <row r="1526" spans="1:5" x14ac:dyDescent="0.2">
      <c r="A1526" s="139" t="s">
        <v>53</v>
      </c>
      <c r="B1526" s="140">
        <v>45247</v>
      </c>
      <c r="C1526">
        <v>50</v>
      </c>
      <c r="D1526">
        <v>11</v>
      </c>
      <c r="E1526" t="str">
        <f>TEXT(ACTUAL_EXPENSES[[#This Row],[Date]],"mmm")</f>
        <v>Nov</v>
      </c>
    </row>
    <row r="1527" spans="1:5" x14ac:dyDescent="0.2">
      <c r="A1527" s="139" t="s">
        <v>53</v>
      </c>
      <c r="B1527" s="140">
        <v>45248</v>
      </c>
      <c r="C1527">
        <v>1047.5999999999999</v>
      </c>
      <c r="D1527">
        <v>11</v>
      </c>
      <c r="E1527" t="str">
        <f>TEXT(ACTUAL_EXPENSES[[#This Row],[Date]],"mmm")</f>
        <v>Nov</v>
      </c>
    </row>
    <row r="1528" spans="1:5" x14ac:dyDescent="0.2">
      <c r="A1528" s="139" t="s">
        <v>53</v>
      </c>
      <c r="B1528" s="140">
        <v>45249</v>
      </c>
      <c r="C1528">
        <v>133.37</v>
      </c>
      <c r="D1528">
        <v>11</v>
      </c>
      <c r="E1528" t="str">
        <f>TEXT(ACTUAL_EXPENSES[[#This Row],[Date]],"mmm")</f>
        <v>Nov</v>
      </c>
    </row>
    <row r="1529" spans="1:5" x14ac:dyDescent="0.2">
      <c r="A1529" s="139" t="s">
        <v>53</v>
      </c>
      <c r="B1529" s="140">
        <v>45255</v>
      </c>
      <c r="C1529">
        <v>198</v>
      </c>
      <c r="D1529">
        <v>11</v>
      </c>
      <c r="E1529" t="str">
        <f>TEXT(ACTUAL_EXPENSES[[#This Row],[Date]],"mmm")</f>
        <v>Nov</v>
      </c>
    </row>
    <row r="1530" spans="1:5" x14ac:dyDescent="0.2">
      <c r="A1530" s="139" t="s">
        <v>53</v>
      </c>
      <c r="B1530" s="140">
        <v>45258</v>
      </c>
      <c r="C1530">
        <v>10</v>
      </c>
      <c r="D1530">
        <v>11</v>
      </c>
      <c r="E1530" t="str">
        <f>TEXT(ACTUAL_EXPENSES[[#This Row],[Date]],"mmm")</f>
        <v>Nov</v>
      </c>
    </row>
    <row r="1531" spans="1:5" x14ac:dyDescent="0.2">
      <c r="A1531" s="139" t="s">
        <v>39</v>
      </c>
      <c r="B1531" s="140">
        <v>45231</v>
      </c>
      <c r="C1531">
        <v>14</v>
      </c>
      <c r="D1531">
        <v>11</v>
      </c>
      <c r="E1531" t="str">
        <f>TEXT(ACTUAL_EXPENSES[[#This Row],[Date]],"mmm")</f>
        <v>Nov</v>
      </c>
    </row>
    <row r="1532" spans="1:5" x14ac:dyDescent="0.2">
      <c r="A1532" s="139" t="s">
        <v>39</v>
      </c>
      <c r="B1532" s="140">
        <v>45232</v>
      </c>
      <c r="C1532">
        <v>84</v>
      </c>
      <c r="D1532">
        <v>11</v>
      </c>
      <c r="E1532" t="str">
        <f>TEXT(ACTUAL_EXPENSES[[#This Row],[Date]],"mmm")</f>
        <v>Nov</v>
      </c>
    </row>
    <row r="1533" spans="1:5" x14ac:dyDescent="0.2">
      <c r="A1533" s="139" t="s">
        <v>39</v>
      </c>
      <c r="B1533" s="140">
        <v>45233</v>
      </c>
      <c r="C1533">
        <v>117</v>
      </c>
      <c r="D1533">
        <v>11</v>
      </c>
      <c r="E1533" t="str">
        <f>TEXT(ACTUAL_EXPENSES[[#This Row],[Date]],"mmm")</f>
        <v>Nov</v>
      </c>
    </row>
    <row r="1534" spans="1:5" x14ac:dyDescent="0.2">
      <c r="A1534" s="139" t="s">
        <v>39</v>
      </c>
      <c r="B1534" s="140">
        <v>45238</v>
      </c>
      <c r="C1534">
        <v>36</v>
      </c>
      <c r="D1534">
        <v>11</v>
      </c>
      <c r="E1534" t="str">
        <f>TEXT(ACTUAL_EXPENSES[[#This Row],[Date]],"mmm")</f>
        <v>Nov</v>
      </c>
    </row>
    <row r="1535" spans="1:5" x14ac:dyDescent="0.2">
      <c r="A1535" s="139" t="s">
        <v>39</v>
      </c>
      <c r="B1535" s="140">
        <v>45239</v>
      </c>
      <c r="C1535">
        <v>41.5</v>
      </c>
      <c r="D1535">
        <v>11</v>
      </c>
      <c r="E1535" t="str">
        <f>TEXT(ACTUAL_EXPENSES[[#This Row],[Date]],"mmm")</f>
        <v>Nov</v>
      </c>
    </row>
    <row r="1536" spans="1:5" x14ac:dyDescent="0.2">
      <c r="A1536" s="139" t="s">
        <v>39</v>
      </c>
      <c r="B1536" s="140">
        <v>45240</v>
      </c>
      <c r="C1536">
        <v>92</v>
      </c>
      <c r="D1536">
        <v>11</v>
      </c>
      <c r="E1536" t="str">
        <f>TEXT(ACTUAL_EXPENSES[[#This Row],[Date]],"mmm")</f>
        <v>Nov</v>
      </c>
    </row>
    <row r="1537" spans="1:5" x14ac:dyDescent="0.2">
      <c r="A1537" s="139" t="s">
        <v>39</v>
      </c>
      <c r="B1537" s="140">
        <v>45243</v>
      </c>
      <c r="C1537">
        <v>50</v>
      </c>
      <c r="D1537">
        <v>11</v>
      </c>
      <c r="E1537" t="str">
        <f>TEXT(ACTUAL_EXPENSES[[#This Row],[Date]],"mmm")</f>
        <v>Nov</v>
      </c>
    </row>
    <row r="1538" spans="1:5" x14ac:dyDescent="0.2">
      <c r="A1538" s="139" t="s">
        <v>39</v>
      </c>
      <c r="B1538" s="140">
        <v>45244</v>
      </c>
      <c r="C1538">
        <v>18</v>
      </c>
      <c r="D1538">
        <v>11</v>
      </c>
      <c r="E1538" t="str">
        <f>TEXT(ACTUAL_EXPENSES[[#This Row],[Date]],"mmm")</f>
        <v>Nov</v>
      </c>
    </row>
    <row r="1539" spans="1:5" x14ac:dyDescent="0.2">
      <c r="A1539" s="139" t="s">
        <v>39</v>
      </c>
      <c r="B1539" s="140">
        <v>45245</v>
      </c>
      <c r="C1539">
        <v>45</v>
      </c>
      <c r="D1539">
        <v>11</v>
      </c>
      <c r="E1539" t="str">
        <f>TEXT(ACTUAL_EXPENSES[[#This Row],[Date]],"mmm")</f>
        <v>Nov</v>
      </c>
    </row>
    <row r="1540" spans="1:5" x14ac:dyDescent="0.2">
      <c r="A1540" s="139" t="s">
        <v>39</v>
      </c>
      <c r="B1540" s="140">
        <v>45246</v>
      </c>
      <c r="C1540">
        <v>67</v>
      </c>
      <c r="D1540">
        <v>11</v>
      </c>
      <c r="E1540" t="str">
        <f>TEXT(ACTUAL_EXPENSES[[#This Row],[Date]],"mmm")</f>
        <v>Nov</v>
      </c>
    </row>
    <row r="1541" spans="1:5" x14ac:dyDescent="0.2">
      <c r="A1541" s="139" t="s">
        <v>39</v>
      </c>
      <c r="B1541" s="140">
        <v>45247</v>
      </c>
      <c r="C1541">
        <v>120</v>
      </c>
      <c r="D1541">
        <v>11</v>
      </c>
      <c r="E1541" t="str">
        <f>TEXT(ACTUAL_EXPENSES[[#This Row],[Date]],"mmm")</f>
        <v>Nov</v>
      </c>
    </row>
    <row r="1542" spans="1:5" x14ac:dyDescent="0.2">
      <c r="A1542" s="139" t="s">
        <v>39</v>
      </c>
      <c r="B1542" s="140">
        <v>45248</v>
      </c>
      <c r="C1542">
        <v>81</v>
      </c>
      <c r="D1542">
        <v>11</v>
      </c>
      <c r="E1542" t="str">
        <f>TEXT(ACTUAL_EXPENSES[[#This Row],[Date]],"mmm")</f>
        <v>Nov</v>
      </c>
    </row>
    <row r="1543" spans="1:5" x14ac:dyDescent="0.2">
      <c r="A1543" s="139" t="s">
        <v>39</v>
      </c>
      <c r="B1543" s="140">
        <v>45249</v>
      </c>
      <c r="C1543">
        <v>40</v>
      </c>
      <c r="D1543">
        <v>11</v>
      </c>
      <c r="E1543" t="str">
        <f>TEXT(ACTUAL_EXPENSES[[#This Row],[Date]],"mmm")</f>
        <v>Nov</v>
      </c>
    </row>
    <row r="1544" spans="1:5" x14ac:dyDescent="0.2">
      <c r="A1544" s="139" t="s">
        <v>39</v>
      </c>
      <c r="B1544" s="140">
        <v>45250</v>
      </c>
      <c r="C1544">
        <v>63</v>
      </c>
      <c r="D1544">
        <v>11</v>
      </c>
      <c r="E1544" t="str">
        <f>TEXT(ACTUAL_EXPENSES[[#This Row],[Date]],"mmm")</f>
        <v>Nov</v>
      </c>
    </row>
    <row r="1545" spans="1:5" x14ac:dyDescent="0.2">
      <c r="A1545" s="139" t="s">
        <v>39</v>
      </c>
      <c r="B1545" s="140">
        <v>45251</v>
      </c>
      <c r="C1545">
        <v>4</v>
      </c>
      <c r="D1545">
        <v>11</v>
      </c>
      <c r="E1545" t="str">
        <f>TEXT(ACTUAL_EXPENSES[[#This Row],[Date]],"mmm")</f>
        <v>Nov</v>
      </c>
    </row>
    <row r="1546" spans="1:5" x14ac:dyDescent="0.2">
      <c r="A1546" s="139" t="s">
        <v>39</v>
      </c>
      <c r="B1546" s="140">
        <v>45252</v>
      </c>
      <c r="C1546">
        <v>4.5</v>
      </c>
      <c r="D1546">
        <v>11</v>
      </c>
      <c r="E1546" t="str">
        <f>TEXT(ACTUAL_EXPENSES[[#This Row],[Date]],"mmm")</f>
        <v>Nov</v>
      </c>
    </row>
    <row r="1547" spans="1:5" x14ac:dyDescent="0.2">
      <c r="A1547" s="139" t="s">
        <v>39</v>
      </c>
      <c r="B1547" s="140">
        <v>45254</v>
      </c>
      <c r="C1547">
        <v>144</v>
      </c>
      <c r="D1547">
        <v>11</v>
      </c>
      <c r="E1547" t="str">
        <f>TEXT(ACTUAL_EXPENSES[[#This Row],[Date]],"mmm")</f>
        <v>Nov</v>
      </c>
    </row>
    <row r="1548" spans="1:5" x14ac:dyDescent="0.2">
      <c r="A1548" s="139" t="s">
        <v>39</v>
      </c>
      <c r="B1548" s="140">
        <v>45255</v>
      </c>
      <c r="C1548">
        <v>54</v>
      </c>
      <c r="D1548">
        <v>11</v>
      </c>
      <c r="E1548" t="str">
        <f>TEXT(ACTUAL_EXPENSES[[#This Row],[Date]],"mmm")</f>
        <v>Nov</v>
      </c>
    </row>
    <row r="1549" spans="1:5" x14ac:dyDescent="0.2">
      <c r="A1549" s="139" t="s">
        <v>39</v>
      </c>
      <c r="B1549" s="140">
        <v>45256</v>
      </c>
      <c r="C1549">
        <v>65</v>
      </c>
      <c r="D1549">
        <v>11</v>
      </c>
      <c r="E1549" t="str">
        <f>TEXT(ACTUAL_EXPENSES[[#This Row],[Date]],"mmm")</f>
        <v>Nov</v>
      </c>
    </row>
    <row r="1550" spans="1:5" x14ac:dyDescent="0.2">
      <c r="A1550" s="139" t="s">
        <v>39</v>
      </c>
      <c r="B1550" s="140">
        <v>45257</v>
      </c>
      <c r="C1550">
        <v>9.5</v>
      </c>
      <c r="D1550">
        <v>11</v>
      </c>
      <c r="E1550" t="str">
        <f>TEXT(ACTUAL_EXPENSES[[#This Row],[Date]],"mmm")</f>
        <v>Nov</v>
      </c>
    </row>
    <row r="1551" spans="1:5" x14ac:dyDescent="0.2">
      <c r="A1551" s="139" t="s">
        <v>39</v>
      </c>
      <c r="B1551" s="140">
        <v>45258</v>
      </c>
      <c r="C1551">
        <v>5.5</v>
      </c>
      <c r="D1551">
        <v>11</v>
      </c>
      <c r="E1551" t="str">
        <f>TEXT(ACTUAL_EXPENSES[[#This Row],[Date]],"mmm")</f>
        <v>Nov</v>
      </c>
    </row>
    <row r="1552" spans="1:5" x14ac:dyDescent="0.2">
      <c r="A1552" s="139" t="s">
        <v>39</v>
      </c>
      <c r="B1552" s="140">
        <v>45259</v>
      </c>
      <c r="C1552">
        <v>77.5</v>
      </c>
      <c r="D1552">
        <v>11</v>
      </c>
      <c r="E1552" t="str">
        <f>TEXT(ACTUAL_EXPENSES[[#This Row],[Date]],"mmm")</f>
        <v>Nov</v>
      </c>
    </row>
    <row r="1553" spans="1:5" x14ac:dyDescent="0.2">
      <c r="A1553" s="139" t="s">
        <v>39</v>
      </c>
      <c r="B1553" s="140">
        <v>45260</v>
      </c>
      <c r="C1553">
        <v>103</v>
      </c>
      <c r="D1553">
        <v>11</v>
      </c>
      <c r="E1553" t="str">
        <f>TEXT(ACTUAL_EXPENSES[[#This Row],[Date]],"mmm")</f>
        <v>Nov</v>
      </c>
    </row>
    <row r="1554" spans="1:5" x14ac:dyDescent="0.2">
      <c r="A1554" s="139" t="s">
        <v>127</v>
      </c>
      <c r="B1554" s="140">
        <v>45233</v>
      </c>
      <c r="C1554">
        <v>65</v>
      </c>
      <c r="D1554">
        <v>11</v>
      </c>
      <c r="E1554" t="str">
        <f>TEXT(ACTUAL_EXPENSES[[#This Row],[Date]],"mmm")</f>
        <v>Nov</v>
      </c>
    </row>
    <row r="1555" spans="1:5" x14ac:dyDescent="0.2">
      <c r="A1555" s="139" t="s">
        <v>127</v>
      </c>
      <c r="B1555" s="140">
        <v>45234</v>
      </c>
      <c r="C1555">
        <v>22</v>
      </c>
      <c r="D1555">
        <v>11</v>
      </c>
      <c r="E1555" t="str">
        <f>TEXT(ACTUAL_EXPENSES[[#This Row],[Date]],"mmm")</f>
        <v>Nov</v>
      </c>
    </row>
    <row r="1556" spans="1:5" x14ac:dyDescent="0.2">
      <c r="A1556" s="139" t="s">
        <v>127</v>
      </c>
      <c r="B1556" s="140">
        <v>45238</v>
      </c>
      <c r="C1556">
        <v>50</v>
      </c>
      <c r="D1556">
        <v>11</v>
      </c>
      <c r="E1556" t="str">
        <f>TEXT(ACTUAL_EXPENSES[[#This Row],[Date]],"mmm")</f>
        <v>Nov</v>
      </c>
    </row>
    <row r="1557" spans="1:5" x14ac:dyDescent="0.2">
      <c r="A1557" s="139" t="s">
        <v>127</v>
      </c>
      <c r="B1557" s="140">
        <v>45243</v>
      </c>
      <c r="C1557">
        <v>30</v>
      </c>
      <c r="D1557">
        <v>11</v>
      </c>
      <c r="E1557" t="str">
        <f>TEXT(ACTUAL_EXPENSES[[#This Row],[Date]],"mmm")</f>
        <v>Nov</v>
      </c>
    </row>
    <row r="1558" spans="1:5" x14ac:dyDescent="0.2">
      <c r="A1558" s="139" t="s">
        <v>127</v>
      </c>
      <c r="B1558" s="140">
        <v>45245</v>
      </c>
      <c r="C1558">
        <v>28</v>
      </c>
      <c r="D1558">
        <v>11</v>
      </c>
      <c r="E1558" t="str">
        <f>TEXT(ACTUAL_EXPENSES[[#This Row],[Date]],"mmm")</f>
        <v>Nov</v>
      </c>
    </row>
    <row r="1559" spans="1:5" x14ac:dyDescent="0.2">
      <c r="A1559" s="139" t="s">
        <v>127</v>
      </c>
      <c r="B1559" s="140">
        <v>45248</v>
      </c>
      <c r="C1559">
        <v>3</v>
      </c>
      <c r="D1559">
        <v>11</v>
      </c>
      <c r="E1559" t="str">
        <f>TEXT(ACTUAL_EXPENSES[[#This Row],[Date]],"mmm")</f>
        <v>Nov</v>
      </c>
    </row>
    <row r="1560" spans="1:5" x14ac:dyDescent="0.2">
      <c r="A1560" s="139" t="s">
        <v>127</v>
      </c>
      <c r="B1560" s="140">
        <v>45250</v>
      </c>
      <c r="C1560">
        <v>150</v>
      </c>
      <c r="D1560">
        <v>11</v>
      </c>
      <c r="E1560" t="str">
        <f>TEXT(ACTUAL_EXPENSES[[#This Row],[Date]],"mmm")</f>
        <v>Nov</v>
      </c>
    </row>
    <row r="1561" spans="1:5" x14ac:dyDescent="0.2">
      <c r="A1561" s="139" t="s">
        <v>127</v>
      </c>
      <c r="B1561" s="140">
        <v>45253</v>
      </c>
      <c r="C1561">
        <v>65</v>
      </c>
      <c r="D1561">
        <v>11</v>
      </c>
      <c r="E1561" t="str">
        <f>TEXT(ACTUAL_EXPENSES[[#This Row],[Date]],"mmm")</f>
        <v>Nov</v>
      </c>
    </row>
    <row r="1562" spans="1:5" x14ac:dyDescent="0.2">
      <c r="A1562" s="139" t="s">
        <v>127</v>
      </c>
      <c r="B1562" s="140">
        <v>45255</v>
      </c>
      <c r="C1562">
        <v>400</v>
      </c>
      <c r="D1562">
        <v>11</v>
      </c>
      <c r="E1562" t="str">
        <f>TEXT(ACTUAL_EXPENSES[[#This Row],[Date]],"mmm")</f>
        <v>Nov</v>
      </c>
    </row>
    <row r="1563" spans="1:5" x14ac:dyDescent="0.2">
      <c r="A1563" s="139" t="s">
        <v>127</v>
      </c>
      <c r="B1563" s="140">
        <v>45257</v>
      </c>
      <c r="C1563">
        <v>3</v>
      </c>
      <c r="D1563">
        <v>11</v>
      </c>
      <c r="E1563" t="str">
        <f>TEXT(ACTUAL_EXPENSES[[#This Row],[Date]],"mmm")</f>
        <v>Nov</v>
      </c>
    </row>
    <row r="1564" spans="1:5" x14ac:dyDescent="0.2">
      <c r="A1564" s="139" t="s">
        <v>127</v>
      </c>
      <c r="B1564" s="140">
        <v>45259</v>
      </c>
      <c r="C1564">
        <v>600</v>
      </c>
      <c r="D1564">
        <v>11</v>
      </c>
      <c r="E1564" t="str">
        <f>TEXT(ACTUAL_EXPENSES[[#This Row],[Date]],"mmm")</f>
        <v>Nov</v>
      </c>
    </row>
    <row r="1565" spans="1:5" x14ac:dyDescent="0.2">
      <c r="A1565" s="139" t="s">
        <v>127</v>
      </c>
      <c r="B1565" s="140">
        <v>45260</v>
      </c>
      <c r="C1565">
        <v>100</v>
      </c>
      <c r="D1565">
        <v>11</v>
      </c>
      <c r="E1565" t="str">
        <f>TEXT(ACTUAL_EXPENSES[[#This Row],[Date]],"mmm")</f>
        <v>Nov</v>
      </c>
    </row>
    <row r="1566" spans="1:5" x14ac:dyDescent="0.2">
      <c r="A1566" s="139" t="s">
        <v>48</v>
      </c>
      <c r="B1566" s="140">
        <v>45256</v>
      </c>
      <c r="C1566">
        <v>12.74</v>
      </c>
      <c r="D1566">
        <v>11</v>
      </c>
      <c r="E1566" t="str">
        <f>TEXT(ACTUAL_EXPENSES[[#This Row],[Date]],"mmm")</f>
        <v>Nov</v>
      </c>
    </row>
    <row r="1567" spans="1:5" x14ac:dyDescent="0.2">
      <c r="A1567" s="139" t="s">
        <v>49</v>
      </c>
      <c r="B1567" s="140">
        <v>45240</v>
      </c>
      <c r="C1567">
        <v>9</v>
      </c>
      <c r="D1567">
        <v>11</v>
      </c>
      <c r="E1567" t="str">
        <f>TEXT(ACTUAL_EXPENSES[[#This Row],[Date]],"mmm")</f>
        <v>Nov</v>
      </c>
    </row>
    <row r="1568" spans="1:5" x14ac:dyDescent="0.2">
      <c r="A1568" s="139" t="s">
        <v>126</v>
      </c>
      <c r="B1568" s="140">
        <v>45249</v>
      </c>
      <c r="C1568">
        <v>102.58</v>
      </c>
      <c r="D1568">
        <v>11</v>
      </c>
      <c r="E1568" t="str">
        <f>TEXT(ACTUAL_EXPENSES[[#This Row],[Date]],"mmm")</f>
        <v>Nov</v>
      </c>
    </row>
    <row r="1569" spans="1:5" x14ac:dyDescent="0.2">
      <c r="A1569" s="139" t="s">
        <v>73</v>
      </c>
      <c r="B1569" s="140">
        <v>45257</v>
      </c>
      <c r="C1569">
        <v>70</v>
      </c>
      <c r="D1569">
        <v>11</v>
      </c>
      <c r="E1569" t="str">
        <f>TEXT(ACTUAL_EXPENSES[[#This Row],[Date]],"mmm")</f>
        <v>Nov</v>
      </c>
    </row>
    <row r="1570" spans="1:5" x14ac:dyDescent="0.2">
      <c r="A1570" s="139" t="s">
        <v>51</v>
      </c>
      <c r="B1570" s="140">
        <v>45231</v>
      </c>
      <c r="C1570">
        <v>2.9</v>
      </c>
      <c r="D1570">
        <v>11</v>
      </c>
      <c r="E1570" t="str">
        <f>TEXT(ACTUAL_EXPENSES[[#This Row],[Date]],"mmm")</f>
        <v>Nov</v>
      </c>
    </row>
    <row r="1571" spans="1:5" x14ac:dyDescent="0.2">
      <c r="A1571" s="139" t="s">
        <v>51</v>
      </c>
      <c r="B1571" s="140">
        <v>45252</v>
      </c>
      <c r="C1571">
        <v>10</v>
      </c>
      <c r="D1571">
        <v>11</v>
      </c>
      <c r="E1571" t="str">
        <f>TEXT(ACTUAL_EXPENSES[[#This Row],[Date]],"mmm")</f>
        <v>Nov</v>
      </c>
    </row>
    <row r="1572" spans="1:5" x14ac:dyDescent="0.2">
      <c r="A1572" s="139" t="s">
        <v>51</v>
      </c>
      <c r="B1572" s="140">
        <v>45255</v>
      </c>
      <c r="C1572">
        <v>8</v>
      </c>
      <c r="D1572">
        <v>11</v>
      </c>
      <c r="E1572" t="str">
        <f>TEXT(ACTUAL_EXPENSES[[#This Row],[Date]],"mmm")</f>
        <v>Nov</v>
      </c>
    </row>
    <row r="1573" spans="1:5" x14ac:dyDescent="0.2">
      <c r="A1573" s="139" t="s">
        <v>198</v>
      </c>
      <c r="B1573" s="140">
        <v>45261</v>
      </c>
      <c r="C1573">
        <v>1</v>
      </c>
      <c r="D1573">
        <v>12</v>
      </c>
      <c r="E1573" t="str">
        <f>TEXT(ACTUAL_EXPENSES[[#This Row],[Date]],"mmm")</f>
        <v>Dec</v>
      </c>
    </row>
    <row r="1574" spans="1:5" x14ac:dyDescent="0.2">
      <c r="A1574" s="139" t="s">
        <v>198</v>
      </c>
      <c r="B1574" s="140">
        <v>45262</v>
      </c>
      <c r="C1574">
        <v>2</v>
      </c>
      <c r="D1574">
        <v>12</v>
      </c>
      <c r="E1574" t="str">
        <f>TEXT(ACTUAL_EXPENSES[[#This Row],[Date]],"mmm")</f>
        <v>Dec</v>
      </c>
    </row>
    <row r="1575" spans="1:5" x14ac:dyDescent="0.2">
      <c r="A1575" s="139" t="s">
        <v>198</v>
      </c>
      <c r="B1575" s="140">
        <v>45263</v>
      </c>
      <c r="C1575">
        <v>3</v>
      </c>
      <c r="D1575">
        <v>12</v>
      </c>
      <c r="E1575" t="str">
        <f>TEXT(ACTUAL_EXPENSES[[#This Row],[Date]],"mmm")</f>
        <v>Dec</v>
      </c>
    </row>
    <row r="1576" spans="1:5" x14ac:dyDescent="0.2">
      <c r="A1576" s="139" t="s">
        <v>198</v>
      </c>
      <c r="B1576" s="140">
        <v>45264</v>
      </c>
      <c r="C1576">
        <v>4</v>
      </c>
      <c r="D1576">
        <v>12</v>
      </c>
      <c r="E1576" t="str">
        <f>TEXT(ACTUAL_EXPENSES[[#This Row],[Date]],"mmm")</f>
        <v>Dec</v>
      </c>
    </row>
    <row r="1577" spans="1:5" x14ac:dyDescent="0.2">
      <c r="A1577" s="139" t="s">
        <v>198</v>
      </c>
      <c r="B1577" s="140">
        <v>45265</v>
      </c>
      <c r="C1577">
        <v>5</v>
      </c>
      <c r="D1577">
        <v>12</v>
      </c>
      <c r="E1577" t="str">
        <f>TEXT(ACTUAL_EXPENSES[[#This Row],[Date]],"mmm")</f>
        <v>Dec</v>
      </c>
    </row>
    <row r="1578" spans="1:5" x14ac:dyDescent="0.2">
      <c r="A1578" s="139" t="s">
        <v>198</v>
      </c>
      <c r="B1578" s="140">
        <v>45266</v>
      </c>
      <c r="C1578">
        <v>6</v>
      </c>
      <c r="D1578">
        <v>12</v>
      </c>
      <c r="E1578" t="str">
        <f>TEXT(ACTUAL_EXPENSES[[#This Row],[Date]],"mmm")</f>
        <v>Dec</v>
      </c>
    </row>
    <row r="1579" spans="1:5" x14ac:dyDescent="0.2">
      <c r="A1579" s="139" t="s">
        <v>198</v>
      </c>
      <c r="B1579" s="140">
        <v>45267</v>
      </c>
      <c r="C1579">
        <v>7</v>
      </c>
      <c r="D1579">
        <v>12</v>
      </c>
      <c r="E1579" t="str">
        <f>TEXT(ACTUAL_EXPENSES[[#This Row],[Date]],"mmm")</f>
        <v>Dec</v>
      </c>
    </row>
    <row r="1580" spans="1:5" x14ac:dyDescent="0.2">
      <c r="A1580" s="139" t="s">
        <v>198</v>
      </c>
      <c r="B1580" s="140">
        <v>45268</v>
      </c>
      <c r="C1580">
        <v>8</v>
      </c>
      <c r="D1580">
        <v>12</v>
      </c>
      <c r="E1580" t="str">
        <f>TEXT(ACTUAL_EXPENSES[[#This Row],[Date]],"mmm")</f>
        <v>Dec</v>
      </c>
    </row>
    <row r="1581" spans="1:5" x14ac:dyDescent="0.2">
      <c r="A1581" s="139" t="s">
        <v>198</v>
      </c>
      <c r="B1581" s="140">
        <v>45269</v>
      </c>
      <c r="C1581">
        <v>9</v>
      </c>
      <c r="D1581">
        <v>12</v>
      </c>
      <c r="E1581" t="str">
        <f>TEXT(ACTUAL_EXPENSES[[#This Row],[Date]],"mmm")</f>
        <v>Dec</v>
      </c>
    </row>
    <row r="1582" spans="1:5" x14ac:dyDescent="0.2">
      <c r="A1582" s="139" t="s">
        <v>198</v>
      </c>
      <c r="B1582" s="140">
        <v>45270</v>
      </c>
      <c r="C1582">
        <v>10</v>
      </c>
      <c r="D1582">
        <v>12</v>
      </c>
      <c r="E1582" t="str">
        <f>TEXT(ACTUAL_EXPENSES[[#This Row],[Date]],"mmm")</f>
        <v>Dec</v>
      </c>
    </row>
    <row r="1583" spans="1:5" x14ac:dyDescent="0.2">
      <c r="A1583" s="139" t="s">
        <v>198</v>
      </c>
      <c r="B1583" s="140">
        <v>45271</v>
      </c>
      <c r="C1583">
        <v>11</v>
      </c>
      <c r="D1583">
        <v>12</v>
      </c>
      <c r="E1583" t="str">
        <f>TEXT(ACTUAL_EXPENSES[[#This Row],[Date]],"mmm")</f>
        <v>Dec</v>
      </c>
    </row>
    <row r="1584" spans="1:5" x14ac:dyDescent="0.2">
      <c r="A1584" s="139" t="s">
        <v>198</v>
      </c>
      <c r="B1584" s="140">
        <v>45272</v>
      </c>
      <c r="C1584">
        <v>12</v>
      </c>
      <c r="D1584">
        <v>12</v>
      </c>
      <c r="E1584" t="str">
        <f>TEXT(ACTUAL_EXPENSES[[#This Row],[Date]],"mmm")</f>
        <v>Dec</v>
      </c>
    </row>
    <row r="1585" spans="1:5" x14ac:dyDescent="0.2">
      <c r="A1585" s="139" t="s">
        <v>198</v>
      </c>
      <c r="B1585" s="140">
        <v>45273</v>
      </c>
      <c r="C1585">
        <v>13</v>
      </c>
      <c r="D1585">
        <v>12</v>
      </c>
      <c r="E1585" t="str">
        <f>TEXT(ACTUAL_EXPENSES[[#This Row],[Date]],"mmm")</f>
        <v>Dec</v>
      </c>
    </row>
    <row r="1586" spans="1:5" x14ac:dyDescent="0.2">
      <c r="A1586" s="139" t="s">
        <v>198</v>
      </c>
      <c r="B1586" s="140">
        <v>45274</v>
      </c>
      <c r="C1586">
        <v>14</v>
      </c>
      <c r="D1586">
        <v>12</v>
      </c>
      <c r="E1586" t="str">
        <f>TEXT(ACTUAL_EXPENSES[[#This Row],[Date]],"mmm")</f>
        <v>Dec</v>
      </c>
    </row>
    <row r="1587" spans="1:5" x14ac:dyDescent="0.2">
      <c r="A1587" s="139" t="s">
        <v>198</v>
      </c>
      <c r="B1587" s="140">
        <v>45275</v>
      </c>
      <c r="C1587">
        <v>15</v>
      </c>
      <c r="D1587">
        <v>12</v>
      </c>
      <c r="E1587" t="str">
        <f>TEXT(ACTUAL_EXPENSES[[#This Row],[Date]],"mmm")</f>
        <v>Dec</v>
      </c>
    </row>
    <row r="1588" spans="1:5" x14ac:dyDescent="0.2">
      <c r="A1588" s="139" t="s">
        <v>198</v>
      </c>
      <c r="B1588" s="140">
        <v>45276</v>
      </c>
      <c r="C1588">
        <v>16</v>
      </c>
      <c r="D1588">
        <v>12</v>
      </c>
      <c r="E1588" t="str">
        <f>TEXT(ACTUAL_EXPENSES[[#This Row],[Date]],"mmm")</f>
        <v>Dec</v>
      </c>
    </row>
    <row r="1589" spans="1:5" x14ac:dyDescent="0.2">
      <c r="A1589" s="139" t="s">
        <v>198</v>
      </c>
      <c r="B1589" s="140">
        <v>45277</v>
      </c>
      <c r="C1589">
        <v>17</v>
      </c>
      <c r="D1589">
        <v>12</v>
      </c>
      <c r="E1589" t="str">
        <f>TEXT(ACTUAL_EXPENSES[[#This Row],[Date]],"mmm")</f>
        <v>Dec</v>
      </c>
    </row>
    <row r="1590" spans="1:5" x14ac:dyDescent="0.2">
      <c r="A1590" s="139" t="s">
        <v>198</v>
      </c>
      <c r="B1590" s="140">
        <v>45278</v>
      </c>
      <c r="C1590">
        <v>18</v>
      </c>
      <c r="D1590">
        <v>12</v>
      </c>
      <c r="E1590" t="str">
        <f>TEXT(ACTUAL_EXPENSES[[#This Row],[Date]],"mmm")</f>
        <v>Dec</v>
      </c>
    </row>
    <row r="1591" spans="1:5" x14ac:dyDescent="0.2">
      <c r="A1591" s="139" t="s">
        <v>198</v>
      </c>
      <c r="B1591" s="140">
        <v>45279</v>
      </c>
      <c r="C1591">
        <v>19</v>
      </c>
      <c r="D1591">
        <v>12</v>
      </c>
      <c r="E1591" t="str">
        <f>TEXT(ACTUAL_EXPENSES[[#This Row],[Date]],"mmm")</f>
        <v>Dec</v>
      </c>
    </row>
    <row r="1592" spans="1:5" x14ac:dyDescent="0.2">
      <c r="A1592" s="139" t="s">
        <v>198</v>
      </c>
      <c r="B1592" s="140">
        <v>45280</v>
      </c>
      <c r="C1592">
        <v>20</v>
      </c>
      <c r="D1592">
        <v>12</v>
      </c>
      <c r="E1592" t="str">
        <f>TEXT(ACTUAL_EXPENSES[[#This Row],[Date]],"mmm")</f>
        <v>Dec</v>
      </c>
    </row>
    <row r="1593" spans="1:5" x14ac:dyDescent="0.2">
      <c r="A1593" s="139" t="s">
        <v>198</v>
      </c>
      <c r="B1593" s="140">
        <v>45281</v>
      </c>
      <c r="C1593">
        <v>21</v>
      </c>
      <c r="D1593">
        <v>12</v>
      </c>
      <c r="E1593" t="str">
        <f>TEXT(ACTUAL_EXPENSES[[#This Row],[Date]],"mmm")</f>
        <v>Dec</v>
      </c>
    </row>
    <row r="1594" spans="1:5" x14ac:dyDescent="0.2">
      <c r="A1594" s="139" t="s">
        <v>198</v>
      </c>
      <c r="B1594" s="140">
        <v>45282</v>
      </c>
      <c r="C1594">
        <v>22</v>
      </c>
      <c r="D1594">
        <v>12</v>
      </c>
      <c r="E1594" t="str">
        <f>TEXT(ACTUAL_EXPENSES[[#This Row],[Date]],"mmm")</f>
        <v>Dec</v>
      </c>
    </row>
    <row r="1595" spans="1:5" x14ac:dyDescent="0.2">
      <c r="A1595" s="139" t="s">
        <v>198</v>
      </c>
      <c r="B1595" s="140">
        <v>45283</v>
      </c>
      <c r="C1595">
        <v>23</v>
      </c>
      <c r="D1595">
        <v>12</v>
      </c>
      <c r="E1595" t="str">
        <f>TEXT(ACTUAL_EXPENSES[[#This Row],[Date]],"mmm")</f>
        <v>Dec</v>
      </c>
    </row>
    <row r="1596" spans="1:5" x14ac:dyDescent="0.2">
      <c r="A1596" s="139" t="s">
        <v>198</v>
      </c>
      <c r="B1596" s="140">
        <v>45284</v>
      </c>
      <c r="C1596">
        <v>24</v>
      </c>
      <c r="D1596">
        <v>12</v>
      </c>
      <c r="E1596" t="str">
        <f>TEXT(ACTUAL_EXPENSES[[#This Row],[Date]],"mmm")</f>
        <v>Dec</v>
      </c>
    </row>
    <row r="1597" spans="1:5" x14ac:dyDescent="0.2">
      <c r="A1597" s="139" t="s">
        <v>198</v>
      </c>
      <c r="B1597" s="140">
        <v>45285</v>
      </c>
      <c r="C1597">
        <v>25</v>
      </c>
      <c r="D1597">
        <v>12</v>
      </c>
      <c r="E1597" t="str">
        <f>TEXT(ACTUAL_EXPENSES[[#This Row],[Date]],"mmm")</f>
        <v>Dec</v>
      </c>
    </row>
    <row r="1598" spans="1:5" x14ac:dyDescent="0.2">
      <c r="A1598" s="139" t="s">
        <v>198</v>
      </c>
      <c r="B1598" s="140">
        <v>45286</v>
      </c>
      <c r="C1598">
        <v>26</v>
      </c>
      <c r="D1598">
        <v>12</v>
      </c>
      <c r="E1598" t="str">
        <f>TEXT(ACTUAL_EXPENSES[[#This Row],[Date]],"mmm")</f>
        <v>Dec</v>
      </c>
    </row>
    <row r="1599" spans="1:5" x14ac:dyDescent="0.2">
      <c r="A1599" s="139" t="s">
        <v>198</v>
      </c>
      <c r="B1599" s="140">
        <v>45287</v>
      </c>
      <c r="C1599">
        <v>27</v>
      </c>
      <c r="D1599">
        <v>12</v>
      </c>
      <c r="E1599" t="str">
        <f>TEXT(ACTUAL_EXPENSES[[#This Row],[Date]],"mmm")</f>
        <v>Dec</v>
      </c>
    </row>
    <row r="1600" spans="1:5" x14ac:dyDescent="0.2">
      <c r="A1600" s="139" t="s">
        <v>198</v>
      </c>
      <c r="B1600" s="140">
        <v>45288</v>
      </c>
      <c r="C1600">
        <v>28</v>
      </c>
      <c r="D1600">
        <v>12</v>
      </c>
      <c r="E1600" t="str">
        <f>TEXT(ACTUAL_EXPENSES[[#This Row],[Date]],"mmm")</f>
        <v>Dec</v>
      </c>
    </row>
    <row r="1601" spans="1:5" x14ac:dyDescent="0.2">
      <c r="A1601" s="139" t="s">
        <v>198</v>
      </c>
      <c r="B1601" s="140">
        <v>45289</v>
      </c>
      <c r="C1601">
        <v>29</v>
      </c>
      <c r="D1601">
        <v>12</v>
      </c>
      <c r="E1601" t="str">
        <f>TEXT(ACTUAL_EXPENSES[[#This Row],[Date]],"mmm")</f>
        <v>Dec</v>
      </c>
    </row>
    <row r="1602" spans="1:5" x14ac:dyDescent="0.2">
      <c r="A1602" s="139" t="s">
        <v>198</v>
      </c>
      <c r="B1602" s="140">
        <v>45290</v>
      </c>
      <c r="C1602">
        <v>30</v>
      </c>
      <c r="D1602">
        <v>12</v>
      </c>
      <c r="E1602" t="str">
        <f>TEXT(ACTUAL_EXPENSES[[#This Row],[Date]],"mmm")</f>
        <v>Dec</v>
      </c>
    </row>
    <row r="1603" spans="1:5" x14ac:dyDescent="0.2">
      <c r="A1603" s="139" t="s">
        <v>198</v>
      </c>
      <c r="B1603" s="140">
        <v>45291</v>
      </c>
      <c r="C1603">
        <v>31</v>
      </c>
      <c r="D1603">
        <v>12</v>
      </c>
      <c r="E1603" t="str">
        <f>TEXT(ACTUAL_EXPENSES[[#This Row],[Date]],"mmm")</f>
        <v>Dec</v>
      </c>
    </row>
    <row r="1604" spans="1:5" x14ac:dyDescent="0.2">
      <c r="A1604" s="139" t="s">
        <v>46</v>
      </c>
      <c r="B1604" s="140">
        <v>45261</v>
      </c>
      <c r="C1604">
        <v>0</v>
      </c>
      <c r="D1604">
        <v>12</v>
      </c>
      <c r="E1604" t="str">
        <f>TEXT(ACTUAL_EXPENSES[[#This Row],[Date]],"mmm")</f>
        <v>Dec</v>
      </c>
    </row>
    <row r="1605" spans="1:5" x14ac:dyDescent="0.2">
      <c r="A1605" s="139" t="s">
        <v>46</v>
      </c>
      <c r="B1605" s="140">
        <v>45262</v>
      </c>
      <c r="C1605">
        <v>0</v>
      </c>
      <c r="D1605">
        <v>12</v>
      </c>
      <c r="E1605" t="str">
        <f>TEXT(ACTUAL_EXPENSES[[#This Row],[Date]],"mmm")</f>
        <v>Dec</v>
      </c>
    </row>
    <row r="1606" spans="1:5" x14ac:dyDescent="0.2">
      <c r="A1606" s="139" t="s">
        <v>46</v>
      </c>
      <c r="B1606" s="140">
        <v>45291</v>
      </c>
      <c r="C1606">
        <v>1000</v>
      </c>
      <c r="D1606">
        <v>12</v>
      </c>
      <c r="E1606" t="str">
        <f>TEXT(ACTUAL_EXPENSES[[#This Row],[Date]],"mmm")</f>
        <v>Dec</v>
      </c>
    </row>
    <row r="1607" spans="1:5" x14ac:dyDescent="0.2">
      <c r="A1607" s="139" t="s">
        <v>52</v>
      </c>
      <c r="B1607" s="140">
        <v>45261</v>
      </c>
      <c r="C1607">
        <v>0</v>
      </c>
      <c r="D1607">
        <v>12</v>
      </c>
      <c r="E1607" t="str">
        <f>TEXT(ACTUAL_EXPENSES[[#This Row],[Date]],"mmm")</f>
        <v>Dec</v>
      </c>
    </row>
    <row r="1608" spans="1:5" x14ac:dyDescent="0.2">
      <c r="A1608" s="139" t="s">
        <v>52</v>
      </c>
      <c r="B1608" s="140">
        <v>45262</v>
      </c>
      <c r="C1608">
        <v>0</v>
      </c>
      <c r="D1608">
        <v>12</v>
      </c>
      <c r="E1608" t="str">
        <f>TEXT(ACTUAL_EXPENSES[[#This Row],[Date]],"mmm")</f>
        <v>Dec</v>
      </c>
    </row>
    <row r="1609" spans="1:5" x14ac:dyDescent="0.2">
      <c r="A1609" s="139" t="s">
        <v>52</v>
      </c>
      <c r="B1609" s="140">
        <v>45267</v>
      </c>
      <c r="C1609">
        <v>5</v>
      </c>
      <c r="D1609">
        <v>12</v>
      </c>
      <c r="E1609" t="str">
        <f>TEXT(ACTUAL_EXPENSES[[#This Row],[Date]],"mmm")</f>
        <v>Dec</v>
      </c>
    </row>
    <row r="1610" spans="1:5" x14ac:dyDescent="0.2">
      <c r="A1610" s="139" t="s">
        <v>52</v>
      </c>
      <c r="B1610" s="140">
        <v>45276</v>
      </c>
      <c r="C1610">
        <v>450</v>
      </c>
      <c r="D1610">
        <v>12</v>
      </c>
      <c r="E1610" t="str">
        <f>TEXT(ACTUAL_EXPENSES[[#This Row],[Date]],"mmm")</f>
        <v>Dec</v>
      </c>
    </row>
    <row r="1611" spans="1:5" x14ac:dyDescent="0.2">
      <c r="A1611" s="139" t="s">
        <v>161</v>
      </c>
      <c r="B1611" s="140">
        <v>45261</v>
      </c>
      <c r="C1611">
        <v>0</v>
      </c>
      <c r="D1611">
        <v>12</v>
      </c>
      <c r="E1611" t="str">
        <f>TEXT(ACTUAL_EXPENSES[[#This Row],[Date]],"mmm")</f>
        <v>Dec</v>
      </c>
    </row>
    <row r="1612" spans="1:5" x14ac:dyDescent="0.2">
      <c r="A1612" s="139" t="s">
        <v>161</v>
      </c>
      <c r="B1612" s="140">
        <v>45262</v>
      </c>
      <c r="C1612">
        <v>0</v>
      </c>
      <c r="D1612">
        <v>12</v>
      </c>
      <c r="E1612" t="str">
        <f>TEXT(ACTUAL_EXPENSES[[#This Row],[Date]],"mmm")</f>
        <v>Dec</v>
      </c>
    </row>
    <row r="1613" spans="1:5" x14ac:dyDescent="0.2">
      <c r="A1613" s="139" t="s">
        <v>41</v>
      </c>
      <c r="B1613" s="140">
        <v>45261</v>
      </c>
      <c r="C1613">
        <v>0</v>
      </c>
      <c r="D1613">
        <v>12</v>
      </c>
      <c r="E1613" t="str">
        <f>TEXT(ACTUAL_EXPENSES[[#This Row],[Date]],"mmm")</f>
        <v>Dec</v>
      </c>
    </row>
    <row r="1614" spans="1:5" x14ac:dyDescent="0.2">
      <c r="A1614" s="139" t="s">
        <v>41</v>
      </c>
      <c r="B1614" s="140">
        <v>45262</v>
      </c>
      <c r="C1614">
        <v>3</v>
      </c>
      <c r="D1614">
        <v>12</v>
      </c>
      <c r="E1614" t="str">
        <f>TEXT(ACTUAL_EXPENSES[[#This Row],[Date]],"mmm")</f>
        <v>Dec</v>
      </c>
    </row>
    <row r="1615" spans="1:5" x14ac:dyDescent="0.2">
      <c r="A1615" s="139" t="s">
        <v>41</v>
      </c>
      <c r="B1615" s="140">
        <v>45264</v>
      </c>
      <c r="C1615">
        <v>10</v>
      </c>
      <c r="D1615">
        <v>12</v>
      </c>
      <c r="E1615" t="str">
        <f>TEXT(ACTUAL_EXPENSES[[#This Row],[Date]],"mmm")</f>
        <v>Dec</v>
      </c>
    </row>
    <row r="1616" spans="1:5" x14ac:dyDescent="0.2">
      <c r="A1616" s="139" t="s">
        <v>41</v>
      </c>
      <c r="B1616" s="140">
        <v>45265</v>
      </c>
      <c r="C1616">
        <v>62</v>
      </c>
      <c r="D1616">
        <v>12</v>
      </c>
      <c r="E1616" t="str">
        <f>TEXT(ACTUAL_EXPENSES[[#This Row],[Date]],"mmm")</f>
        <v>Dec</v>
      </c>
    </row>
    <row r="1617" spans="1:5" x14ac:dyDescent="0.2">
      <c r="A1617" s="139" t="s">
        <v>41</v>
      </c>
      <c r="B1617" s="140">
        <v>45266</v>
      </c>
      <c r="C1617">
        <v>10</v>
      </c>
      <c r="D1617">
        <v>12</v>
      </c>
      <c r="E1617" t="str">
        <f>TEXT(ACTUAL_EXPENSES[[#This Row],[Date]],"mmm")</f>
        <v>Dec</v>
      </c>
    </row>
    <row r="1618" spans="1:5" x14ac:dyDescent="0.2">
      <c r="A1618" s="139" t="s">
        <v>41</v>
      </c>
      <c r="B1618" s="140">
        <v>45267</v>
      </c>
      <c r="C1618">
        <v>85</v>
      </c>
      <c r="D1618">
        <v>12</v>
      </c>
      <c r="E1618" t="str">
        <f>TEXT(ACTUAL_EXPENSES[[#This Row],[Date]],"mmm")</f>
        <v>Dec</v>
      </c>
    </row>
    <row r="1619" spans="1:5" x14ac:dyDescent="0.2">
      <c r="A1619" s="139" t="s">
        <v>41</v>
      </c>
      <c r="B1619" s="140">
        <v>45268</v>
      </c>
      <c r="C1619">
        <v>17</v>
      </c>
      <c r="D1619">
        <v>12</v>
      </c>
      <c r="E1619" t="str">
        <f>TEXT(ACTUAL_EXPENSES[[#This Row],[Date]],"mmm")</f>
        <v>Dec</v>
      </c>
    </row>
    <row r="1620" spans="1:5" x14ac:dyDescent="0.2">
      <c r="A1620" s="139" t="s">
        <v>41</v>
      </c>
      <c r="B1620" s="140">
        <v>45269</v>
      </c>
      <c r="C1620">
        <v>35</v>
      </c>
      <c r="D1620">
        <v>12</v>
      </c>
      <c r="E1620" t="str">
        <f>TEXT(ACTUAL_EXPENSES[[#This Row],[Date]],"mmm")</f>
        <v>Dec</v>
      </c>
    </row>
    <row r="1621" spans="1:5" x14ac:dyDescent="0.2">
      <c r="A1621" s="139" t="s">
        <v>41</v>
      </c>
      <c r="B1621" s="140">
        <v>45271</v>
      </c>
      <c r="C1621">
        <v>120</v>
      </c>
      <c r="D1621">
        <v>12</v>
      </c>
      <c r="E1621" t="str">
        <f>TEXT(ACTUAL_EXPENSES[[#This Row],[Date]],"mmm")</f>
        <v>Dec</v>
      </c>
    </row>
    <row r="1622" spans="1:5" x14ac:dyDescent="0.2">
      <c r="A1622" s="139" t="s">
        <v>41</v>
      </c>
      <c r="B1622" s="140">
        <v>45272</v>
      </c>
      <c r="C1622">
        <v>20</v>
      </c>
      <c r="D1622">
        <v>12</v>
      </c>
      <c r="E1622" t="str">
        <f>TEXT(ACTUAL_EXPENSES[[#This Row],[Date]],"mmm")</f>
        <v>Dec</v>
      </c>
    </row>
    <row r="1623" spans="1:5" x14ac:dyDescent="0.2">
      <c r="A1623" s="139" t="s">
        <v>41</v>
      </c>
      <c r="B1623" s="140">
        <v>45273</v>
      </c>
      <c r="C1623">
        <v>20</v>
      </c>
      <c r="D1623">
        <v>12</v>
      </c>
      <c r="E1623" t="str">
        <f>TEXT(ACTUAL_EXPENSES[[#This Row],[Date]],"mmm")</f>
        <v>Dec</v>
      </c>
    </row>
    <row r="1624" spans="1:5" x14ac:dyDescent="0.2">
      <c r="A1624" s="139" t="s">
        <v>41</v>
      </c>
      <c r="B1624" s="140">
        <v>45274</v>
      </c>
      <c r="C1624">
        <v>105</v>
      </c>
      <c r="D1624">
        <v>12</v>
      </c>
      <c r="E1624" t="str">
        <f>TEXT(ACTUAL_EXPENSES[[#This Row],[Date]],"mmm")</f>
        <v>Dec</v>
      </c>
    </row>
    <row r="1625" spans="1:5" x14ac:dyDescent="0.2">
      <c r="A1625" s="139" t="s">
        <v>41</v>
      </c>
      <c r="B1625" s="140">
        <v>45275</v>
      </c>
      <c r="C1625">
        <v>30</v>
      </c>
      <c r="D1625">
        <v>12</v>
      </c>
      <c r="E1625" t="str">
        <f>TEXT(ACTUAL_EXPENSES[[#This Row],[Date]],"mmm")</f>
        <v>Dec</v>
      </c>
    </row>
    <row r="1626" spans="1:5" x14ac:dyDescent="0.2">
      <c r="A1626" s="139" t="s">
        <v>41</v>
      </c>
      <c r="B1626" s="140">
        <v>45276</v>
      </c>
      <c r="C1626">
        <v>98.1</v>
      </c>
      <c r="D1626">
        <v>12</v>
      </c>
      <c r="E1626" t="str">
        <f>TEXT(ACTUAL_EXPENSES[[#This Row],[Date]],"mmm")</f>
        <v>Dec</v>
      </c>
    </row>
    <row r="1627" spans="1:5" x14ac:dyDescent="0.2">
      <c r="A1627" s="139" t="s">
        <v>41</v>
      </c>
      <c r="B1627" s="140">
        <v>45278</v>
      </c>
      <c r="C1627">
        <v>20</v>
      </c>
      <c r="D1627">
        <v>12</v>
      </c>
      <c r="E1627" t="str">
        <f>TEXT(ACTUAL_EXPENSES[[#This Row],[Date]],"mmm")</f>
        <v>Dec</v>
      </c>
    </row>
    <row r="1628" spans="1:5" x14ac:dyDescent="0.2">
      <c r="A1628" s="139" t="s">
        <v>41</v>
      </c>
      <c r="B1628" s="140">
        <v>45279</v>
      </c>
      <c r="C1628">
        <v>23</v>
      </c>
      <c r="D1628">
        <v>12</v>
      </c>
      <c r="E1628" t="str">
        <f>TEXT(ACTUAL_EXPENSES[[#This Row],[Date]],"mmm")</f>
        <v>Dec</v>
      </c>
    </row>
    <row r="1629" spans="1:5" x14ac:dyDescent="0.2">
      <c r="A1629" s="139" t="s">
        <v>41</v>
      </c>
      <c r="B1629" s="140">
        <v>45281</v>
      </c>
      <c r="C1629">
        <v>6</v>
      </c>
      <c r="D1629">
        <v>12</v>
      </c>
      <c r="E1629" t="str">
        <f>TEXT(ACTUAL_EXPENSES[[#This Row],[Date]],"mmm")</f>
        <v>Dec</v>
      </c>
    </row>
    <row r="1630" spans="1:5" x14ac:dyDescent="0.2">
      <c r="A1630" s="139" t="s">
        <v>41</v>
      </c>
      <c r="B1630" s="140">
        <v>45282</v>
      </c>
      <c r="C1630">
        <v>58</v>
      </c>
      <c r="D1630">
        <v>12</v>
      </c>
      <c r="E1630" t="str">
        <f>TEXT(ACTUAL_EXPENSES[[#This Row],[Date]],"mmm")</f>
        <v>Dec</v>
      </c>
    </row>
    <row r="1631" spans="1:5" x14ac:dyDescent="0.2">
      <c r="A1631" s="139" t="s">
        <v>41</v>
      </c>
      <c r="B1631" s="140">
        <v>45283</v>
      </c>
      <c r="C1631">
        <v>207</v>
      </c>
      <c r="D1631">
        <v>12</v>
      </c>
      <c r="E1631" t="str">
        <f>TEXT(ACTUAL_EXPENSES[[#This Row],[Date]],"mmm")</f>
        <v>Dec</v>
      </c>
    </row>
    <row r="1632" spans="1:5" x14ac:dyDescent="0.2">
      <c r="A1632" s="139" t="s">
        <v>41</v>
      </c>
      <c r="B1632" s="140">
        <v>45286</v>
      </c>
      <c r="C1632">
        <v>184</v>
      </c>
      <c r="D1632">
        <v>12</v>
      </c>
      <c r="E1632" t="str">
        <f>TEXT(ACTUAL_EXPENSES[[#This Row],[Date]],"mmm")</f>
        <v>Dec</v>
      </c>
    </row>
    <row r="1633" spans="1:5" x14ac:dyDescent="0.2">
      <c r="A1633" s="139" t="s">
        <v>41</v>
      </c>
      <c r="B1633" s="140">
        <v>45289</v>
      </c>
      <c r="C1633">
        <v>134.80000000000001</v>
      </c>
      <c r="D1633">
        <v>12</v>
      </c>
      <c r="E1633" t="str">
        <f>TEXT(ACTUAL_EXPENSES[[#This Row],[Date]],"mmm")</f>
        <v>Dec</v>
      </c>
    </row>
    <row r="1634" spans="1:5" x14ac:dyDescent="0.2">
      <c r="A1634" s="139" t="s">
        <v>41</v>
      </c>
      <c r="B1634" s="140">
        <v>45291</v>
      </c>
      <c r="C1634">
        <v>475</v>
      </c>
      <c r="D1634">
        <v>12</v>
      </c>
      <c r="E1634" t="str">
        <f>TEXT(ACTUAL_EXPENSES[[#This Row],[Date]],"mmm")</f>
        <v>Dec</v>
      </c>
    </row>
    <row r="1635" spans="1:5" x14ac:dyDescent="0.2">
      <c r="A1635" s="139" t="s">
        <v>61</v>
      </c>
      <c r="B1635" s="140">
        <v>45267</v>
      </c>
      <c r="C1635">
        <v>22</v>
      </c>
      <c r="D1635">
        <v>12</v>
      </c>
      <c r="E1635" t="str">
        <f>TEXT(ACTUAL_EXPENSES[[#This Row],[Date]],"mmm")</f>
        <v>Dec</v>
      </c>
    </row>
    <row r="1636" spans="1:5" x14ac:dyDescent="0.2">
      <c r="A1636" s="139" t="s">
        <v>61</v>
      </c>
      <c r="B1636" s="140">
        <v>45276</v>
      </c>
      <c r="C1636">
        <v>18</v>
      </c>
      <c r="D1636">
        <v>12</v>
      </c>
      <c r="E1636" t="str">
        <f>TEXT(ACTUAL_EXPENSES[[#This Row],[Date]],"mmm")</f>
        <v>Dec</v>
      </c>
    </row>
    <row r="1637" spans="1:5" x14ac:dyDescent="0.2">
      <c r="A1637" s="139" t="s">
        <v>61</v>
      </c>
      <c r="B1637" s="140">
        <v>45286</v>
      </c>
      <c r="C1637">
        <v>16</v>
      </c>
      <c r="D1637">
        <v>12</v>
      </c>
      <c r="E1637" t="str">
        <f>TEXT(ACTUAL_EXPENSES[[#This Row],[Date]],"mmm")</f>
        <v>Dec</v>
      </c>
    </row>
    <row r="1638" spans="1:5" x14ac:dyDescent="0.2">
      <c r="A1638" s="139" t="s">
        <v>45</v>
      </c>
      <c r="B1638" s="140">
        <v>45262</v>
      </c>
      <c r="C1638">
        <v>120</v>
      </c>
      <c r="D1638">
        <v>12</v>
      </c>
      <c r="E1638" t="str">
        <f>TEXT(ACTUAL_EXPENSES[[#This Row],[Date]],"mmm")</f>
        <v>Dec</v>
      </c>
    </row>
    <row r="1639" spans="1:5" x14ac:dyDescent="0.2">
      <c r="A1639" s="139" t="s">
        <v>53</v>
      </c>
      <c r="B1639" s="140">
        <v>45261</v>
      </c>
      <c r="C1639">
        <v>0</v>
      </c>
      <c r="D1639">
        <v>12</v>
      </c>
      <c r="E1639" t="str">
        <f>TEXT(ACTUAL_EXPENSES[[#This Row],[Date]],"mmm")</f>
        <v>Dec</v>
      </c>
    </row>
    <row r="1640" spans="1:5" x14ac:dyDescent="0.2">
      <c r="A1640" s="139" t="s">
        <v>53</v>
      </c>
      <c r="B1640" s="140">
        <v>45262</v>
      </c>
      <c r="C1640">
        <v>0</v>
      </c>
      <c r="D1640">
        <v>12</v>
      </c>
      <c r="E1640" t="str">
        <f>TEXT(ACTUAL_EXPENSES[[#This Row],[Date]],"mmm")</f>
        <v>Dec</v>
      </c>
    </row>
    <row r="1641" spans="1:5" x14ac:dyDescent="0.2">
      <c r="A1641" s="139" t="s">
        <v>53</v>
      </c>
      <c r="B1641" s="140">
        <v>45283</v>
      </c>
      <c r="C1641">
        <v>313</v>
      </c>
      <c r="D1641">
        <v>12</v>
      </c>
      <c r="E1641" t="str">
        <f>TEXT(ACTUAL_EXPENSES[[#This Row],[Date]],"mmm")</f>
        <v>Dec</v>
      </c>
    </row>
    <row r="1642" spans="1:5" x14ac:dyDescent="0.2">
      <c r="A1642" s="139" t="s">
        <v>53</v>
      </c>
      <c r="B1642" s="140">
        <v>45284</v>
      </c>
      <c r="C1642">
        <v>1179.81</v>
      </c>
      <c r="D1642">
        <v>12</v>
      </c>
      <c r="E1642" t="str">
        <f>TEXT(ACTUAL_EXPENSES[[#This Row],[Date]],"mmm")</f>
        <v>Dec</v>
      </c>
    </row>
    <row r="1643" spans="1:5" x14ac:dyDescent="0.2">
      <c r="A1643" s="139" t="s">
        <v>53</v>
      </c>
      <c r="B1643" s="140">
        <v>45286</v>
      </c>
      <c r="C1643">
        <v>47</v>
      </c>
      <c r="D1643">
        <v>12</v>
      </c>
      <c r="E1643" t="str">
        <f>TEXT(ACTUAL_EXPENSES[[#This Row],[Date]],"mmm")</f>
        <v>Dec</v>
      </c>
    </row>
    <row r="1644" spans="1:5" x14ac:dyDescent="0.2">
      <c r="A1644" s="139" t="s">
        <v>39</v>
      </c>
      <c r="B1644" s="140">
        <v>45261</v>
      </c>
      <c r="C1644">
        <v>29</v>
      </c>
      <c r="D1644">
        <v>12</v>
      </c>
      <c r="E1644" t="str">
        <f>TEXT(ACTUAL_EXPENSES[[#This Row],[Date]],"mmm")</f>
        <v>Dec</v>
      </c>
    </row>
    <row r="1645" spans="1:5" x14ac:dyDescent="0.2">
      <c r="A1645" s="139" t="s">
        <v>39</v>
      </c>
      <c r="B1645" s="140">
        <v>45263</v>
      </c>
      <c r="C1645">
        <v>21</v>
      </c>
      <c r="D1645">
        <v>12</v>
      </c>
      <c r="E1645" t="str">
        <f>TEXT(ACTUAL_EXPENSES[[#This Row],[Date]],"mmm")</f>
        <v>Dec</v>
      </c>
    </row>
    <row r="1646" spans="1:5" x14ac:dyDescent="0.2">
      <c r="A1646" s="139" t="s">
        <v>39</v>
      </c>
      <c r="B1646" s="140">
        <v>45264</v>
      </c>
      <c r="C1646">
        <v>123</v>
      </c>
      <c r="D1646">
        <v>12</v>
      </c>
      <c r="E1646" t="str">
        <f>TEXT(ACTUAL_EXPENSES[[#This Row],[Date]],"mmm")</f>
        <v>Dec</v>
      </c>
    </row>
    <row r="1647" spans="1:5" x14ac:dyDescent="0.2">
      <c r="A1647" s="139" t="s">
        <v>39</v>
      </c>
      <c r="B1647" s="140">
        <v>45265</v>
      </c>
      <c r="C1647">
        <v>24</v>
      </c>
      <c r="D1647">
        <v>12</v>
      </c>
      <c r="E1647" t="str">
        <f>TEXT(ACTUAL_EXPENSES[[#This Row],[Date]],"mmm")</f>
        <v>Dec</v>
      </c>
    </row>
    <row r="1648" spans="1:5" x14ac:dyDescent="0.2">
      <c r="A1648" s="139" t="s">
        <v>39</v>
      </c>
      <c r="B1648" s="140">
        <v>45266</v>
      </c>
      <c r="C1648">
        <v>75</v>
      </c>
      <c r="D1648">
        <v>12</v>
      </c>
      <c r="E1648" t="str">
        <f>TEXT(ACTUAL_EXPENSES[[#This Row],[Date]],"mmm")</f>
        <v>Dec</v>
      </c>
    </row>
    <row r="1649" spans="1:5" x14ac:dyDescent="0.2">
      <c r="A1649" s="139" t="s">
        <v>39</v>
      </c>
      <c r="B1649" s="140">
        <v>45267</v>
      </c>
      <c r="C1649">
        <v>59</v>
      </c>
      <c r="D1649">
        <v>12</v>
      </c>
      <c r="E1649" t="str">
        <f>TEXT(ACTUAL_EXPENSES[[#This Row],[Date]],"mmm")</f>
        <v>Dec</v>
      </c>
    </row>
    <row r="1650" spans="1:5" x14ac:dyDescent="0.2">
      <c r="A1650" s="139" t="s">
        <v>39</v>
      </c>
      <c r="B1650" s="140">
        <v>45268</v>
      </c>
      <c r="C1650">
        <v>116</v>
      </c>
      <c r="D1650">
        <v>12</v>
      </c>
      <c r="E1650" t="str">
        <f>TEXT(ACTUAL_EXPENSES[[#This Row],[Date]],"mmm")</f>
        <v>Dec</v>
      </c>
    </row>
    <row r="1651" spans="1:5" x14ac:dyDescent="0.2">
      <c r="A1651" s="139" t="s">
        <v>39</v>
      </c>
      <c r="B1651" s="140">
        <v>45269</v>
      </c>
      <c r="C1651">
        <v>108</v>
      </c>
      <c r="D1651">
        <v>12</v>
      </c>
      <c r="E1651" t="str">
        <f>TEXT(ACTUAL_EXPENSES[[#This Row],[Date]],"mmm")</f>
        <v>Dec</v>
      </c>
    </row>
    <row r="1652" spans="1:5" x14ac:dyDescent="0.2">
      <c r="A1652" s="139" t="s">
        <v>39</v>
      </c>
      <c r="B1652" s="140">
        <v>45273</v>
      </c>
      <c r="C1652">
        <v>15.5</v>
      </c>
      <c r="D1652">
        <v>12</v>
      </c>
      <c r="E1652" t="str">
        <f>TEXT(ACTUAL_EXPENSES[[#This Row],[Date]],"mmm")</f>
        <v>Dec</v>
      </c>
    </row>
    <row r="1653" spans="1:5" x14ac:dyDescent="0.2">
      <c r="A1653" s="139" t="s">
        <v>39</v>
      </c>
      <c r="B1653" s="140">
        <v>45274</v>
      </c>
      <c r="C1653">
        <v>30</v>
      </c>
      <c r="D1653">
        <v>12</v>
      </c>
      <c r="E1653" t="str">
        <f>TEXT(ACTUAL_EXPENSES[[#This Row],[Date]],"mmm")</f>
        <v>Dec</v>
      </c>
    </row>
    <row r="1654" spans="1:5" x14ac:dyDescent="0.2">
      <c r="A1654" s="139" t="s">
        <v>39</v>
      </c>
      <c r="B1654" s="140">
        <v>45275</v>
      </c>
      <c r="C1654">
        <v>108</v>
      </c>
      <c r="D1654">
        <v>12</v>
      </c>
      <c r="E1654" t="str">
        <f>TEXT(ACTUAL_EXPENSES[[#This Row],[Date]],"mmm")</f>
        <v>Dec</v>
      </c>
    </row>
    <row r="1655" spans="1:5" x14ac:dyDescent="0.2">
      <c r="A1655" s="139" t="s">
        <v>39</v>
      </c>
      <c r="B1655" s="140">
        <v>45277</v>
      </c>
      <c r="C1655">
        <v>188</v>
      </c>
      <c r="D1655">
        <v>12</v>
      </c>
      <c r="E1655" t="str">
        <f>TEXT(ACTUAL_EXPENSES[[#This Row],[Date]],"mmm")</f>
        <v>Dec</v>
      </c>
    </row>
    <row r="1656" spans="1:5" x14ac:dyDescent="0.2">
      <c r="A1656" s="139" t="s">
        <v>39</v>
      </c>
      <c r="B1656" s="140">
        <v>45279</v>
      </c>
      <c r="C1656">
        <v>12.5</v>
      </c>
      <c r="D1656">
        <v>12</v>
      </c>
      <c r="E1656" t="str">
        <f>TEXT(ACTUAL_EXPENSES[[#This Row],[Date]],"mmm")</f>
        <v>Dec</v>
      </c>
    </row>
    <row r="1657" spans="1:5" x14ac:dyDescent="0.2">
      <c r="A1657" s="139" t="s">
        <v>39</v>
      </c>
      <c r="B1657" s="140">
        <v>45280</v>
      </c>
      <c r="C1657">
        <v>74.5</v>
      </c>
      <c r="D1657">
        <v>12</v>
      </c>
      <c r="E1657" t="str">
        <f>TEXT(ACTUAL_EXPENSES[[#This Row],[Date]],"mmm")</f>
        <v>Dec</v>
      </c>
    </row>
    <row r="1658" spans="1:5" x14ac:dyDescent="0.2">
      <c r="A1658" s="139" t="s">
        <v>39</v>
      </c>
      <c r="B1658" s="140">
        <v>45281</v>
      </c>
      <c r="C1658">
        <v>37.5</v>
      </c>
      <c r="D1658">
        <v>12</v>
      </c>
      <c r="E1658" t="str">
        <f>TEXT(ACTUAL_EXPENSES[[#This Row],[Date]],"mmm")</f>
        <v>Dec</v>
      </c>
    </row>
    <row r="1659" spans="1:5" x14ac:dyDescent="0.2">
      <c r="A1659" s="139" t="s">
        <v>39</v>
      </c>
      <c r="B1659" s="140">
        <v>45282</v>
      </c>
      <c r="C1659">
        <v>110.5</v>
      </c>
      <c r="D1659">
        <v>12</v>
      </c>
      <c r="E1659" t="str">
        <f>TEXT(ACTUAL_EXPENSES[[#This Row],[Date]],"mmm")</f>
        <v>Dec</v>
      </c>
    </row>
    <row r="1660" spans="1:5" x14ac:dyDescent="0.2">
      <c r="A1660" s="139" t="s">
        <v>39</v>
      </c>
      <c r="B1660" s="140">
        <v>45283</v>
      </c>
      <c r="C1660">
        <v>129</v>
      </c>
      <c r="D1660">
        <v>12</v>
      </c>
      <c r="E1660" t="str">
        <f>TEXT(ACTUAL_EXPENSES[[#This Row],[Date]],"mmm")</f>
        <v>Dec</v>
      </c>
    </row>
    <row r="1661" spans="1:5" x14ac:dyDescent="0.2">
      <c r="A1661" s="139" t="s">
        <v>39</v>
      </c>
      <c r="B1661" s="140">
        <v>45284</v>
      </c>
      <c r="C1661">
        <v>57</v>
      </c>
      <c r="D1661">
        <v>12</v>
      </c>
      <c r="E1661" t="str">
        <f>TEXT(ACTUAL_EXPENSES[[#This Row],[Date]],"mmm")</f>
        <v>Dec</v>
      </c>
    </row>
    <row r="1662" spans="1:5" x14ac:dyDescent="0.2">
      <c r="A1662" s="139" t="s">
        <v>39</v>
      </c>
      <c r="B1662" s="140">
        <v>45285</v>
      </c>
      <c r="C1662">
        <v>76</v>
      </c>
      <c r="D1662">
        <v>12</v>
      </c>
      <c r="E1662" t="str">
        <f>TEXT(ACTUAL_EXPENSES[[#This Row],[Date]],"mmm")</f>
        <v>Dec</v>
      </c>
    </row>
    <row r="1663" spans="1:5" x14ac:dyDescent="0.2">
      <c r="A1663" s="139" t="s">
        <v>39</v>
      </c>
      <c r="B1663" s="140">
        <v>45286</v>
      </c>
      <c r="C1663">
        <v>35</v>
      </c>
      <c r="D1663">
        <v>12</v>
      </c>
      <c r="E1663" t="str">
        <f>TEXT(ACTUAL_EXPENSES[[#This Row],[Date]],"mmm")</f>
        <v>Dec</v>
      </c>
    </row>
    <row r="1664" spans="1:5" x14ac:dyDescent="0.2">
      <c r="A1664" s="139" t="s">
        <v>39</v>
      </c>
      <c r="B1664" s="140">
        <v>45287</v>
      </c>
      <c r="C1664">
        <v>19</v>
      </c>
      <c r="D1664">
        <v>12</v>
      </c>
      <c r="E1664" t="str">
        <f>TEXT(ACTUAL_EXPENSES[[#This Row],[Date]],"mmm")</f>
        <v>Dec</v>
      </c>
    </row>
    <row r="1665" spans="1:5" x14ac:dyDescent="0.2">
      <c r="A1665" s="139" t="s">
        <v>39</v>
      </c>
      <c r="B1665" s="140">
        <v>45289</v>
      </c>
      <c r="C1665">
        <v>18</v>
      </c>
      <c r="D1665">
        <v>12</v>
      </c>
      <c r="E1665" t="str">
        <f>TEXT(ACTUAL_EXPENSES[[#This Row],[Date]],"mmm")</f>
        <v>Dec</v>
      </c>
    </row>
    <row r="1666" spans="1:5" x14ac:dyDescent="0.2">
      <c r="A1666" s="139" t="s">
        <v>39</v>
      </c>
      <c r="B1666" s="140">
        <v>45291</v>
      </c>
      <c r="C1666">
        <v>40</v>
      </c>
      <c r="D1666">
        <v>12</v>
      </c>
      <c r="E1666" t="str">
        <f>TEXT(ACTUAL_EXPENSES[[#This Row],[Date]],"mmm")</f>
        <v>Dec</v>
      </c>
    </row>
    <row r="1667" spans="1:5" x14ac:dyDescent="0.2">
      <c r="A1667" s="139" t="s">
        <v>127</v>
      </c>
      <c r="B1667" s="140">
        <v>45264</v>
      </c>
      <c r="C1667">
        <v>111</v>
      </c>
      <c r="D1667">
        <v>12</v>
      </c>
      <c r="E1667" t="str">
        <f>TEXT(ACTUAL_EXPENSES[[#This Row],[Date]],"mmm")</f>
        <v>Dec</v>
      </c>
    </row>
    <row r="1668" spans="1:5" x14ac:dyDescent="0.2">
      <c r="A1668" s="139" t="s">
        <v>127</v>
      </c>
      <c r="B1668" s="140">
        <v>45267</v>
      </c>
      <c r="C1668">
        <v>50</v>
      </c>
      <c r="D1668">
        <v>12</v>
      </c>
      <c r="E1668" t="str">
        <f>TEXT(ACTUAL_EXPENSES[[#This Row],[Date]],"mmm")</f>
        <v>Dec</v>
      </c>
    </row>
    <row r="1669" spans="1:5" x14ac:dyDescent="0.2">
      <c r="A1669" s="139" t="s">
        <v>127</v>
      </c>
      <c r="B1669" s="140">
        <v>45270</v>
      </c>
      <c r="C1669">
        <v>650</v>
      </c>
      <c r="D1669">
        <v>12</v>
      </c>
      <c r="E1669" t="str">
        <f>TEXT(ACTUAL_EXPENSES[[#This Row],[Date]],"mmm")</f>
        <v>Dec</v>
      </c>
    </row>
    <row r="1670" spans="1:5" x14ac:dyDescent="0.2">
      <c r="A1670" s="139" t="s">
        <v>127</v>
      </c>
      <c r="B1670" s="140">
        <v>45272</v>
      </c>
      <c r="C1670">
        <v>50</v>
      </c>
      <c r="D1670">
        <v>12</v>
      </c>
      <c r="E1670" t="str">
        <f>TEXT(ACTUAL_EXPENSES[[#This Row],[Date]],"mmm")</f>
        <v>Dec</v>
      </c>
    </row>
    <row r="1671" spans="1:5" x14ac:dyDescent="0.2">
      <c r="A1671" s="139" t="s">
        <v>127</v>
      </c>
      <c r="B1671" s="140">
        <v>45274</v>
      </c>
      <c r="C1671">
        <v>50</v>
      </c>
      <c r="D1671">
        <v>12</v>
      </c>
      <c r="E1671" t="str">
        <f>TEXT(ACTUAL_EXPENSES[[#This Row],[Date]],"mmm")</f>
        <v>Dec</v>
      </c>
    </row>
    <row r="1672" spans="1:5" x14ac:dyDescent="0.2">
      <c r="A1672" s="139" t="s">
        <v>127</v>
      </c>
      <c r="B1672" s="140">
        <v>45275</v>
      </c>
      <c r="C1672">
        <v>60</v>
      </c>
      <c r="D1672">
        <v>12</v>
      </c>
      <c r="E1672" t="str">
        <f>TEXT(ACTUAL_EXPENSES[[#This Row],[Date]],"mmm")</f>
        <v>Dec</v>
      </c>
    </row>
    <row r="1673" spans="1:5" x14ac:dyDescent="0.2">
      <c r="A1673" s="139" t="s">
        <v>127</v>
      </c>
      <c r="B1673" s="140">
        <v>45278</v>
      </c>
      <c r="C1673">
        <v>100</v>
      </c>
      <c r="D1673">
        <v>12</v>
      </c>
      <c r="E1673" t="str">
        <f>TEXT(ACTUAL_EXPENSES[[#This Row],[Date]],"mmm")</f>
        <v>Dec</v>
      </c>
    </row>
    <row r="1674" spans="1:5" x14ac:dyDescent="0.2">
      <c r="A1674" s="139" t="s">
        <v>127</v>
      </c>
      <c r="B1674" s="140">
        <v>45283</v>
      </c>
      <c r="C1674">
        <v>50</v>
      </c>
      <c r="D1674">
        <v>12</v>
      </c>
      <c r="E1674" t="str">
        <f>TEXT(ACTUAL_EXPENSES[[#This Row],[Date]],"mmm")</f>
        <v>Dec</v>
      </c>
    </row>
    <row r="1675" spans="1:5" x14ac:dyDescent="0.2">
      <c r="A1675" s="139" t="s">
        <v>127</v>
      </c>
      <c r="B1675" s="140">
        <v>45288</v>
      </c>
      <c r="C1675">
        <v>21</v>
      </c>
      <c r="D1675">
        <v>12</v>
      </c>
      <c r="E1675" t="str">
        <f>TEXT(ACTUAL_EXPENSES[[#This Row],[Date]],"mmm")</f>
        <v>Dec</v>
      </c>
    </row>
    <row r="1676" spans="1:5" x14ac:dyDescent="0.2">
      <c r="A1676" s="139" t="s">
        <v>48</v>
      </c>
      <c r="B1676" s="140">
        <v>45287</v>
      </c>
      <c r="C1676">
        <v>12.77</v>
      </c>
      <c r="D1676">
        <v>12</v>
      </c>
      <c r="E1676" t="str">
        <f>TEXT(ACTUAL_EXPENSES[[#This Row],[Date]],"mmm")</f>
        <v>Dec</v>
      </c>
    </row>
    <row r="1677" spans="1:5" x14ac:dyDescent="0.2">
      <c r="A1677" s="139" t="s">
        <v>49</v>
      </c>
      <c r="B1677" s="140">
        <v>45271</v>
      </c>
      <c r="C1677">
        <v>9</v>
      </c>
      <c r="D1677">
        <v>12</v>
      </c>
      <c r="E1677" t="str">
        <f>TEXT(ACTUAL_EXPENSES[[#This Row],[Date]],"mmm")</f>
        <v>Dec</v>
      </c>
    </row>
    <row r="1678" spans="1:5" x14ac:dyDescent="0.2">
      <c r="A1678" s="139" t="s">
        <v>126</v>
      </c>
      <c r="B1678" s="140">
        <v>45283</v>
      </c>
      <c r="C1678">
        <v>103.02</v>
      </c>
      <c r="D1678">
        <v>12</v>
      </c>
      <c r="E1678" t="str">
        <f>TEXT(ACTUAL_EXPENSES[[#This Row],[Date]],"mmm")</f>
        <v>Dec</v>
      </c>
    </row>
    <row r="1679" spans="1:5" x14ac:dyDescent="0.2">
      <c r="A1679" s="139" t="s">
        <v>73</v>
      </c>
      <c r="B1679" s="140">
        <v>45261</v>
      </c>
      <c r="C1679">
        <v>0</v>
      </c>
      <c r="D1679">
        <v>12</v>
      </c>
      <c r="E1679" t="str">
        <f>TEXT(ACTUAL_EXPENSES[[#This Row],[Date]],"mmm")</f>
        <v>Dec</v>
      </c>
    </row>
    <row r="1680" spans="1:5" x14ac:dyDescent="0.2">
      <c r="A1680" s="139" t="s">
        <v>73</v>
      </c>
      <c r="B1680" s="140">
        <v>45262</v>
      </c>
      <c r="C1680">
        <v>0</v>
      </c>
      <c r="D1680">
        <v>12</v>
      </c>
      <c r="E1680" t="str">
        <f>TEXT(ACTUAL_EXPENSES[[#This Row],[Date]],"mmm")</f>
        <v>Dec</v>
      </c>
    </row>
    <row r="1681" spans="1:5" x14ac:dyDescent="0.2">
      <c r="A1681" s="139" t="s">
        <v>51</v>
      </c>
      <c r="B1681" s="140">
        <v>45262</v>
      </c>
      <c r="C1681">
        <v>1.2</v>
      </c>
      <c r="D1681">
        <v>12</v>
      </c>
      <c r="E1681" t="str">
        <f>TEXT(ACTUAL_EXPENSES[[#This Row],[Date]],"mmm")</f>
        <v>Dec</v>
      </c>
    </row>
    <row r="1682" spans="1:5" x14ac:dyDescent="0.2">
      <c r="A1682" s="139" t="s">
        <v>51</v>
      </c>
      <c r="B1682" s="140">
        <v>45270</v>
      </c>
      <c r="C1682">
        <v>6.5</v>
      </c>
      <c r="D1682">
        <v>12</v>
      </c>
      <c r="E1682" t="str">
        <f>TEXT(ACTUAL_EXPENSES[[#This Row],[Date]],"mmm")</f>
        <v>Dec</v>
      </c>
    </row>
    <row r="1683" spans="1:5" x14ac:dyDescent="0.2">
      <c r="A1683" s="139" t="s">
        <v>51</v>
      </c>
      <c r="B1683" s="140">
        <v>45272</v>
      </c>
      <c r="C1683">
        <v>7</v>
      </c>
      <c r="D1683">
        <v>12</v>
      </c>
      <c r="E1683" t="str">
        <f>TEXT(ACTUAL_EXPENSES[[#This Row],[Date]],"mmm")</f>
        <v>Dec</v>
      </c>
    </row>
    <row r="1684" spans="1:5" x14ac:dyDescent="0.2">
      <c r="A1684" s="139" t="s">
        <v>51</v>
      </c>
      <c r="B1684" s="140">
        <v>45273</v>
      </c>
      <c r="C1684">
        <v>3</v>
      </c>
      <c r="D1684">
        <v>12</v>
      </c>
      <c r="E1684" t="str">
        <f>TEXT(ACTUAL_EXPENSES[[#This Row],[Date]],"mmm")</f>
        <v>Dec</v>
      </c>
    </row>
    <row r="1685" spans="1:5" x14ac:dyDescent="0.2">
      <c r="A1685" s="139" t="s">
        <v>51</v>
      </c>
      <c r="B1685" s="140">
        <v>45291</v>
      </c>
      <c r="C1685">
        <v>10</v>
      </c>
      <c r="D1685">
        <v>12</v>
      </c>
      <c r="E1685" t="str">
        <f>TEXT(ACTUAL_EXPENSES[[#This Row],[Date]],"mmm")</f>
        <v>Dec</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BO313"/>
  <sheetViews>
    <sheetView topLeftCell="A8" zoomScale="110" zoomScaleNormal="110" zoomScaleSheetLayoutView="100" workbookViewId="0">
      <pane xSplit="1" topLeftCell="M1" activePane="topRight" state="frozen"/>
      <selection activeCell="A229" sqref="A229"/>
      <selection pane="topRight" activeCell="L19" sqref="L19"/>
    </sheetView>
  </sheetViews>
  <sheetFormatPr baseColWidth="10" defaultColWidth="8.83203125" defaultRowHeight="15" x14ac:dyDescent="0.2"/>
  <cols>
    <col min="1" max="1" width="20.83203125" customWidth="1"/>
    <col min="2" max="2" width="10.6640625" customWidth="1"/>
    <col min="3" max="19" width="9.33203125" customWidth="1"/>
    <col min="20" max="20" width="10.33203125" customWidth="1"/>
    <col min="21" max="21" width="9.83203125" bestFit="1" customWidth="1"/>
    <col min="22" max="22" width="9.33203125" customWidth="1"/>
    <col min="23" max="23" width="9.83203125" bestFit="1" customWidth="1"/>
    <col min="24" max="24" width="9.6640625" bestFit="1" customWidth="1"/>
    <col min="25" max="28" width="9.33203125" customWidth="1"/>
    <col min="29" max="29" width="9.6640625" bestFit="1" customWidth="1"/>
    <col min="30" max="31" width="9.33203125" customWidth="1"/>
    <col min="32" max="32" width="9.1640625" bestFit="1" customWidth="1"/>
    <col min="33" max="33" width="10.5" bestFit="1" customWidth="1"/>
    <col min="35" max="35" width="19.33203125" bestFit="1" customWidth="1"/>
    <col min="67" max="67" width="9.5" bestFit="1" customWidth="1"/>
  </cols>
  <sheetData>
    <row r="1" spans="1:35" x14ac:dyDescent="0.2">
      <c r="A1" s="14" t="s">
        <v>187</v>
      </c>
      <c r="B1" s="7">
        <v>1</v>
      </c>
      <c r="C1" s="7">
        <v>2</v>
      </c>
      <c r="D1" s="7">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52" t="s">
        <v>0</v>
      </c>
    </row>
    <row r="2" spans="1:35" x14ac:dyDescent="0.2">
      <c r="A2" s="3"/>
      <c r="B2" s="3" t="s">
        <v>1</v>
      </c>
      <c r="C2" s="3" t="s">
        <v>1</v>
      </c>
      <c r="D2" s="3" t="s">
        <v>1</v>
      </c>
      <c r="E2" s="3" t="s">
        <v>1</v>
      </c>
      <c r="F2" s="3" t="s">
        <v>1</v>
      </c>
      <c r="G2" s="3" t="s">
        <v>1</v>
      </c>
      <c r="H2" s="3" t="s">
        <v>1</v>
      </c>
      <c r="I2" s="3" t="s">
        <v>1</v>
      </c>
      <c r="J2" s="3" t="s">
        <v>1</v>
      </c>
      <c r="K2" s="3" t="s">
        <v>1</v>
      </c>
      <c r="L2" s="3" t="s">
        <v>1</v>
      </c>
      <c r="M2" s="3" t="s">
        <v>1</v>
      </c>
      <c r="N2" s="3" t="s">
        <v>1</v>
      </c>
      <c r="O2" s="3" t="s">
        <v>1</v>
      </c>
      <c r="P2" s="3" t="s">
        <v>1</v>
      </c>
      <c r="Q2" s="3" t="s">
        <v>1</v>
      </c>
      <c r="R2" s="3" t="s">
        <v>1</v>
      </c>
      <c r="S2" s="3" t="s">
        <v>1</v>
      </c>
      <c r="T2" s="3" t="s">
        <v>1</v>
      </c>
      <c r="U2" s="3" t="s">
        <v>1</v>
      </c>
      <c r="V2" s="3" t="s">
        <v>1</v>
      </c>
      <c r="W2" s="3" t="s">
        <v>1</v>
      </c>
      <c r="X2" s="3" t="s">
        <v>1</v>
      </c>
      <c r="Y2" s="3" t="s">
        <v>1</v>
      </c>
      <c r="Z2" s="3" t="s">
        <v>1</v>
      </c>
      <c r="AA2" s="3" t="s">
        <v>1</v>
      </c>
      <c r="AB2" s="3" t="s">
        <v>1</v>
      </c>
      <c r="AC2" s="3" t="s">
        <v>1</v>
      </c>
      <c r="AD2" s="3" t="s">
        <v>1</v>
      </c>
      <c r="AE2" s="3" t="s">
        <v>1</v>
      </c>
      <c r="AF2" s="3" t="s">
        <v>1</v>
      </c>
      <c r="AG2" s="53" t="s">
        <v>1</v>
      </c>
    </row>
    <row r="3" spans="1:35" x14ac:dyDescent="0.2">
      <c r="A3" s="16" t="str">
        <f>BUDGET!A9</f>
        <v>Rent</v>
      </c>
      <c r="B3" s="6"/>
      <c r="C3" s="6"/>
      <c r="D3" s="6"/>
      <c r="E3" s="6"/>
      <c r="F3" s="6"/>
      <c r="G3" s="6"/>
      <c r="H3" s="6"/>
      <c r="I3" s="6"/>
      <c r="J3" s="6"/>
      <c r="K3" s="6"/>
      <c r="L3" s="6"/>
      <c r="M3" s="6"/>
      <c r="N3" s="6"/>
      <c r="O3" s="6"/>
      <c r="P3" s="6"/>
      <c r="Q3" s="6"/>
      <c r="R3" s="6"/>
      <c r="S3" s="6"/>
      <c r="T3" s="6"/>
      <c r="U3" s="6"/>
      <c r="V3" s="6"/>
      <c r="W3" s="6"/>
      <c r="X3" s="6">
        <v>1205</v>
      </c>
      <c r="Y3" s="6"/>
      <c r="Z3" s="6"/>
      <c r="AA3" s="6"/>
      <c r="AB3" s="6"/>
      <c r="AC3" s="6"/>
      <c r="AD3" s="6"/>
      <c r="AE3" s="6"/>
      <c r="AF3" s="6"/>
      <c r="AG3" s="54">
        <f t="shared" ref="AG3:AG22" si="0">SUM(B3:AF3)</f>
        <v>1205</v>
      </c>
      <c r="AH3" s="13">
        <v>1205</v>
      </c>
    </row>
    <row r="4" spans="1:35" x14ac:dyDescent="0.2">
      <c r="A4" s="16" t="str">
        <f>BUDGET!A10</f>
        <v>Tithe</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54">
        <f t="shared" si="0"/>
        <v>0</v>
      </c>
      <c r="AH4" s="13">
        <v>394.5</v>
      </c>
    </row>
    <row r="5" spans="1:35" x14ac:dyDescent="0.2">
      <c r="A5" s="16" t="str">
        <f>BUDGET!A11</f>
        <v>Data</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54">
        <f t="shared" si="0"/>
        <v>0</v>
      </c>
      <c r="AH5" s="13">
        <v>300</v>
      </c>
    </row>
    <row r="6" spans="1:35" x14ac:dyDescent="0.2">
      <c r="A6" s="16" t="str">
        <f>BUDGET!A12</f>
        <v xml:space="preserve">Savings/ Investment </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54">
        <f t="shared" si="0"/>
        <v>0</v>
      </c>
      <c r="AH6" s="13">
        <v>200</v>
      </c>
    </row>
    <row r="7" spans="1:35" x14ac:dyDescent="0.2">
      <c r="A7" s="16" t="str">
        <f>BUDGET!A13</f>
        <v>Hair / Gym</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54">
        <f t="shared" si="0"/>
        <v>0</v>
      </c>
      <c r="AH7" s="13">
        <v>20</v>
      </c>
    </row>
    <row r="8" spans="1:35" x14ac:dyDescent="0.2">
      <c r="A8" s="16" t="str">
        <f>BUDGET!A14</f>
        <v>Food</v>
      </c>
      <c r="B8" s="6"/>
      <c r="C8" s="6"/>
      <c r="D8" s="6"/>
      <c r="E8" s="6"/>
      <c r="F8" s="6"/>
      <c r="G8" s="6"/>
      <c r="H8" s="6"/>
      <c r="I8" s="6"/>
      <c r="J8" s="6"/>
      <c r="K8" s="6"/>
      <c r="L8" s="6"/>
      <c r="M8" s="6"/>
      <c r="N8" s="6"/>
      <c r="O8" s="6"/>
      <c r="P8" s="6"/>
      <c r="Q8" s="6">
        <v>5</v>
      </c>
      <c r="R8" s="6"/>
      <c r="S8" s="6">
        <v>48</v>
      </c>
      <c r="T8" s="6">
        <v>15</v>
      </c>
      <c r="U8" s="6">
        <v>104.31</v>
      </c>
      <c r="V8" s="6">
        <v>76</v>
      </c>
      <c r="W8" s="6">
        <v>46</v>
      </c>
      <c r="X8" s="6">
        <v>16</v>
      </c>
      <c r="Y8" s="6">
        <v>15</v>
      </c>
      <c r="Z8" s="6">
        <f>15+51.21</f>
        <v>66.210000000000008</v>
      </c>
      <c r="AA8" s="6">
        <v>8</v>
      </c>
      <c r="AB8" s="6">
        <f>30+5.5</f>
        <v>35.5</v>
      </c>
      <c r="AC8" s="6"/>
      <c r="AD8" s="6">
        <v>35</v>
      </c>
      <c r="AE8" s="6"/>
      <c r="AF8" s="6"/>
      <c r="AG8" s="54">
        <f t="shared" si="0"/>
        <v>470.02</v>
      </c>
      <c r="AH8" s="13">
        <v>150</v>
      </c>
      <c r="AI8" s="34"/>
    </row>
    <row r="9" spans="1:35" x14ac:dyDescent="0.2">
      <c r="A9" s="16" t="str">
        <f>BUDGET!A15</f>
        <v>Healthcare</v>
      </c>
      <c r="B9" s="6"/>
      <c r="C9" s="6"/>
      <c r="D9" s="6"/>
      <c r="E9" s="6"/>
      <c r="F9" s="6"/>
      <c r="G9" s="6"/>
      <c r="H9" s="6"/>
      <c r="I9" s="6"/>
      <c r="J9" s="6"/>
      <c r="K9" s="6"/>
      <c r="L9" s="6"/>
      <c r="M9" s="6"/>
      <c r="N9" s="6"/>
      <c r="O9" s="6"/>
      <c r="P9" s="6"/>
      <c r="Q9" s="6">
        <v>25</v>
      </c>
      <c r="R9" s="6"/>
      <c r="S9" s="6"/>
      <c r="T9" s="6"/>
      <c r="U9" s="6"/>
      <c r="V9" s="6"/>
      <c r="W9" s="6"/>
      <c r="X9" s="6"/>
      <c r="Y9" s="6"/>
      <c r="Z9" s="6"/>
      <c r="AA9" s="6"/>
      <c r="AB9" s="6"/>
      <c r="AC9" s="6"/>
      <c r="AD9" s="6"/>
      <c r="AE9" s="6"/>
      <c r="AF9" s="6"/>
      <c r="AG9" s="54">
        <f t="shared" si="0"/>
        <v>25</v>
      </c>
      <c r="AH9" s="13">
        <v>350</v>
      </c>
    </row>
    <row r="10" spans="1:35" x14ac:dyDescent="0.2">
      <c r="A10" s="16" t="str">
        <f>BUDGET!A16</f>
        <v xml:space="preserve">Clothes/ Shoes/ Jewelry </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v>230</v>
      </c>
      <c r="AD10" s="6"/>
      <c r="AE10" s="6"/>
      <c r="AF10" s="6"/>
      <c r="AG10" s="54">
        <f t="shared" si="0"/>
        <v>230</v>
      </c>
      <c r="AH10" s="13">
        <v>200</v>
      </c>
    </row>
    <row r="11" spans="1:35" x14ac:dyDescent="0.2">
      <c r="A11" s="16" t="str">
        <f>BUDGET!A17</f>
        <v>shoes</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54">
        <f t="shared" si="0"/>
        <v>0</v>
      </c>
      <c r="AH11" s="13">
        <v>100</v>
      </c>
    </row>
    <row r="12" spans="1:35" x14ac:dyDescent="0.2">
      <c r="A12" s="16" t="str">
        <f>BUDGET!A18</f>
        <v xml:space="preserve">Travel/ Vacations </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54">
        <f t="shared" si="0"/>
        <v>0</v>
      </c>
      <c r="AH12" s="13"/>
    </row>
    <row r="13" spans="1:35" x14ac:dyDescent="0.2">
      <c r="A13" s="16" t="str">
        <f>BUDGET!A19</f>
        <v>Outings</v>
      </c>
      <c r="B13" s="6"/>
      <c r="C13" s="6"/>
      <c r="D13" s="6"/>
      <c r="E13" s="6"/>
      <c r="F13" s="6"/>
      <c r="G13" s="6"/>
      <c r="H13" s="6"/>
      <c r="I13" s="6"/>
      <c r="J13" s="6"/>
      <c r="K13" s="6"/>
      <c r="L13" s="6"/>
      <c r="M13" s="6"/>
      <c r="N13" s="6"/>
      <c r="O13" s="6"/>
      <c r="P13" s="6"/>
      <c r="Q13" s="6"/>
      <c r="R13" s="6">
        <v>50</v>
      </c>
      <c r="S13" s="6">
        <v>7</v>
      </c>
      <c r="U13" s="6"/>
      <c r="V13" s="6"/>
      <c r="W13" s="6"/>
      <c r="X13" s="6"/>
      <c r="Y13" s="6"/>
      <c r="Z13" s="6"/>
      <c r="AA13" s="6"/>
      <c r="AB13" s="6"/>
      <c r="AC13" s="6"/>
      <c r="AD13" s="6"/>
      <c r="AE13" s="6"/>
      <c r="AF13" s="6"/>
      <c r="AG13" s="54">
        <f t="shared" si="0"/>
        <v>57</v>
      </c>
      <c r="AH13" s="13">
        <v>500</v>
      </c>
    </row>
    <row r="14" spans="1:35" x14ac:dyDescent="0.2">
      <c r="A14" s="16" t="str">
        <f>BUDGET!A20</f>
        <v>Toiletries/Groceries</v>
      </c>
      <c r="B14" s="6"/>
      <c r="C14" s="6"/>
      <c r="D14" s="6"/>
      <c r="E14" s="6"/>
      <c r="F14" s="6"/>
      <c r="G14" s="6"/>
      <c r="H14" s="6"/>
      <c r="I14" s="6"/>
      <c r="J14" s="6"/>
      <c r="K14" s="6"/>
      <c r="L14" s="6"/>
      <c r="M14" s="6"/>
      <c r="N14" s="6"/>
      <c r="O14" s="6"/>
      <c r="P14" s="6"/>
      <c r="Q14" s="6"/>
      <c r="R14" s="6"/>
      <c r="S14" s="6"/>
      <c r="U14" s="6">
        <v>5</v>
      </c>
      <c r="V14" s="6"/>
      <c r="W14" s="6"/>
      <c r="X14" s="6"/>
      <c r="Y14" s="6"/>
      <c r="Z14" s="6"/>
      <c r="AA14" s="6">
        <v>24</v>
      </c>
      <c r="AB14" s="6"/>
      <c r="AC14" s="6">
        <f>45+688</f>
        <v>733</v>
      </c>
      <c r="AD14" s="6"/>
      <c r="AE14" s="6"/>
      <c r="AF14" s="6"/>
      <c r="AG14" s="54">
        <f t="shared" si="0"/>
        <v>762</v>
      </c>
      <c r="AH14" s="13">
        <v>300</v>
      </c>
    </row>
    <row r="15" spans="1:35" x14ac:dyDescent="0.2">
      <c r="A15" s="16" t="str">
        <f>BUDGET!A21</f>
        <v xml:space="preserve">Transportation </v>
      </c>
      <c r="B15" s="6"/>
      <c r="C15" s="6"/>
      <c r="D15" s="6"/>
      <c r="E15" s="6"/>
      <c r="F15" s="6"/>
      <c r="G15" s="6"/>
      <c r="H15" s="6">
        <v>23</v>
      </c>
      <c r="I15" s="6"/>
      <c r="J15" s="6"/>
      <c r="K15" s="6">
        <v>63</v>
      </c>
      <c r="L15" s="6"/>
      <c r="M15" s="6"/>
      <c r="N15" s="6"/>
      <c r="O15" s="6"/>
      <c r="P15" s="6"/>
      <c r="Q15" s="6"/>
      <c r="R15" s="6"/>
      <c r="S15" s="6"/>
      <c r="T15" s="6">
        <v>63</v>
      </c>
      <c r="U15" s="6">
        <v>73</v>
      </c>
      <c r="V15" s="6"/>
      <c r="W15" s="6"/>
      <c r="X15" s="6">
        <v>48</v>
      </c>
      <c r="Y15" s="6">
        <v>7</v>
      </c>
      <c r="Z15" s="6">
        <f>7.5+5</f>
        <v>12.5</v>
      </c>
      <c r="AA15" s="6">
        <v>15</v>
      </c>
      <c r="AB15" s="6">
        <v>40</v>
      </c>
      <c r="AC15" s="6">
        <v>22</v>
      </c>
      <c r="AD15" s="6">
        <f>26+60</f>
        <v>86</v>
      </c>
      <c r="AE15" s="6"/>
      <c r="AF15" s="6">
        <v>39</v>
      </c>
      <c r="AG15" s="54">
        <f t="shared" si="0"/>
        <v>491.5</v>
      </c>
      <c r="AH15" s="13">
        <v>200</v>
      </c>
    </row>
    <row r="16" spans="1:35" x14ac:dyDescent="0.2">
      <c r="A16" s="16" t="str">
        <f>BUDGET!A22</f>
        <v>Miscellaneous</v>
      </c>
      <c r="B16" s="6">
        <v>55</v>
      </c>
      <c r="D16" s="6">
        <v>600</v>
      </c>
      <c r="E16" s="6"/>
      <c r="F16" s="6"/>
      <c r="G16" s="6"/>
      <c r="H16" s="6"/>
      <c r="I16" s="6">
        <v>61</v>
      </c>
      <c r="J16" s="6"/>
      <c r="K16" s="6"/>
      <c r="L16" s="6"/>
      <c r="M16" s="6"/>
      <c r="N16" s="6">
        <v>100</v>
      </c>
      <c r="O16" s="6">
        <v>51</v>
      </c>
      <c r="P16" s="6"/>
      <c r="Q16" s="6"/>
      <c r="S16" s="6"/>
      <c r="T16" s="6"/>
      <c r="V16" s="6"/>
      <c r="W16" s="6"/>
      <c r="X16" s="6"/>
      <c r="Y16" s="6"/>
      <c r="Z16" s="6"/>
      <c r="AA16" s="6"/>
      <c r="AB16" s="6"/>
      <c r="AC16" s="6">
        <v>128.25</v>
      </c>
      <c r="AD16" s="6"/>
      <c r="AE16" s="6"/>
      <c r="AF16" s="6"/>
      <c r="AG16" s="54">
        <f t="shared" si="0"/>
        <v>995.25</v>
      </c>
      <c r="AH16" s="13">
        <v>0</v>
      </c>
    </row>
    <row r="17" spans="1:34" x14ac:dyDescent="0.2">
      <c r="A17" s="16" t="str">
        <f>BUDGET!A23</f>
        <v>Apple Subscriptions</v>
      </c>
      <c r="B17" s="6"/>
      <c r="C17" s="6"/>
      <c r="D17" s="6"/>
      <c r="E17" s="6"/>
      <c r="F17" s="6"/>
      <c r="G17" s="6"/>
      <c r="H17" s="6"/>
      <c r="I17" s="6"/>
      <c r="J17" s="6"/>
      <c r="K17" s="6"/>
      <c r="L17" s="6"/>
      <c r="M17" s="6"/>
      <c r="N17" s="6"/>
      <c r="O17" s="6"/>
      <c r="P17" s="6"/>
      <c r="Q17" s="6"/>
      <c r="R17" s="6"/>
      <c r="S17" s="6"/>
      <c r="T17" s="6">
        <v>45.06</v>
      </c>
      <c r="U17" s="6"/>
      <c r="V17" s="6"/>
      <c r="W17" s="6"/>
      <c r="X17" s="6"/>
      <c r="Y17" s="6"/>
      <c r="Z17" s="6"/>
      <c r="AB17" s="6">
        <v>13.56</v>
      </c>
      <c r="AC17" s="6"/>
      <c r="AD17" s="6"/>
      <c r="AE17" s="6"/>
      <c r="AF17" s="6"/>
      <c r="AG17" s="54">
        <f t="shared" si="0"/>
        <v>58.620000000000005</v>
      </c>
      <c r="AH17" s="13">
        <v>16</v>
      </c>
    </row>
    <row r="18" spans="1:34" x14ac:dyDescent="0.2">
      <c r="A18" s="16" t="str">
        <f>BUDGET!A24</f>
        <v>Google 1</v>
      </c>
      <c r="B18" s="6"/>
      <c r="C18" s="6"/>
      <c r="D18" s="6"/>
      <c r="E18" s="6"/>
      <c r="F18" s="6"/>
      <c r="G18" s="6"/>
      <c r="H18" s="6"/>
      <c r="I18" s="6"/>
      <c r="J18" s="6"/>
      <c r="K18" s="6">
        <v>9</v>
      </c>
      <c r="L18" s="6"/>
      <c r="M18" s="6"/>
      <c r="N18" s="6"/>
      <c r="O18" s="6"/>
      <c r="P18" s="6"/>
      <c r="Q18" s="6"/>
      <c r="R18" s="6"/>
      <c r="S18" s="6"/>
      <c r="T18" s="6"/>
      <c r="U18" s="6"/>
      <c r="V18" s="6"/>
      <c r="W18" s="6"/>
      <c r="X18" s="6"/>
      <c r="Y18" s="6"/>
      <c r="Z18" s="6"/>
      <c r="AA18" s="6"/>
      <c r="AB18" s="6"/>
      <c r="AC18" s="6"/>
      <c r="AD18" s="6"/>
      <c r="AE18" s="6"/>
      <c r="AF18" s="6"/>
      <c r="AG18" s="54">
        <f t="shared" si="0"/>
        <v>9</v>
      </c>
      <c r="AH18" s="13">
        <v>12</v>
      </c>
    </row>
    <row r="19" spans="1:34" x14ac:dyDescent="0.2">
      <c r="A19" s="16" t="str">
        <f>BUDGET!A25</f>
        <v>Netflix</v>
      </c>
      <c r="B19" s="6"/>
      <c r="C19" s="6"/>
      <c r="D19" s="6"/>
      <c r="E19" s="6"/>
      <c r="F19" s="6"/>
      <c r="G19" s="6"/>
      <c r="H19" s="6"/>
      <c r="I19" s="6"/>
      <c r="J19" s="6"/>
      <c r="K19" s="6"/>
      <c r="L19" s="6"/>
      <c r="M19" s="6"/>
      <c r="N19" s="6"/>
      <c r="O19" s="6"/>
      <c r="P19" s="6"/>
      <c r="Q19" s="6"/>
      <c r="R19" s="6"/>
      <c r="S19" s="6"/>
      <c r="T19" s="6">
        <v>133.62</v>
      </c>
      <c r="U19" s="6"/>
      <c r="V19" s="6"/>
      <c r="W19" s="6"/>
      <c r="X19" s="6"/>
      <c r="Y19" s="6"/>
      <c r="Z19" s="6"/>
      <c r="AA19" s="6"/>
      <c r="AB19" s="6"/>
      <c r="AC19" s="6"/>
      <c r="AD19" s="6"/>
      <c r="AE19" s="6"/>
      <c r="AF19" s="6"/>
      <c r="AG19" s="54">
        <f t="shared" si="0"/>
        <v>133.62</v>
      </c>
      <c r="AH19" s="13">
        <v>0</v>
      </c>
    </row>
    <row r="20" spans="1:34" x14ac:dyDescent="0.2">
      <c r="A20" s="16" t="str">
        <f>BUDGET!A26</f>
        <v>Amuse</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54">
        <f t="shared" si="0"/>
        <v>0</v>
      </c>
      <c r="AH20" s="13">
        <v>0</v>
      </c>
    </row>
    <row r="21" spans="1:34" x14ac:dyDescent="0.2">
      <c r="A21" s="16" t="str">
        <f>BUDGET!A27</f>
        <v>electricity</v>
      </c>
      <c r="B21" s="6"/>
      <c r="C21" s="6"/>
      <c r="D21" s="6"/>
      <c r="E21" s="6"/>
      <c r="F21" s="6"/>
      <c r="G21" s="6"/>
      <c r="H21" s="6"/>
      <c r="I21" s="6"/>
      <c r="J21" s="6"/>
      <c r="K21" s="6"/>
      <c r="L21" s="6"/>
      <c r="M21" s="6"/>
      <c r="N21" s="6"/>
      <c r="O21" s="6"/>
      <c r="P21" s="6"/>
      <c r="Q21" s="6"/>
      <c r="R21" s="6"/>
      <c r="S21" s="6"/>
      <c r="T21" s="6"/>
      <c r="U21" s="6">
        <v>101</v>
      </c>
      <c r="V21" s="6"/>
      <c r="W21" s="6"/>
      <c r="X21" s="6"/>
      <c r="Y21" s="6"/>
      <c r="Z21" s="6"/>
      <c r="AA21" s="6"/>
      <c r="AB21" s="6"/>
      <c r="AC21" s="6"/>
      <c r="AD21" s="6"/>
      <c r="AE21" s="6"/>
      <c r="AF21" s="6"/>
      <c r="AG21" s="54">
        <f t="shared" si="0"/>
        <v>101</v>
      </c>
      <c r="AH21" s="13">
        <v>0</v>
      </c>
    </row>
    <row r="22" spans="1:34" ht="16" thickBot="1" x14ac:dyDescent="0.25">
      <c r="A22" s="16" t="str">
        <f>BUDGET!A28</f>
        <v>Account Charges</v>
      </c>
      <c r="B22" s="6"/>
      <c r="C22" s="6"/>
      <c r="D22" s="6"/>
      <c r="E22" s="6"/>
      <c r="F22" s="6"/>
      <c r="G22" s="6"/>
      <c r="H22" s="6"/>
      <c r="I22" s="6"/>
      <c r="J22" s="6"/>
      <c r="K22" s="6"/>
      <c r="L22" s="6"/>
      <c r="M22" s="6"/>
      <c r="N22" s="6"/>
      <c r="O22" s="6"/>
      <c r="P22" s="6"/>
      <c r="Q22" s="6"/>
      <c r="R22" s="6"/>
      <c r="S22" s="6"/>
      <c r="T22" s="6"/>
      <c r="U22" s="6"/>
      <c r="V22" s="6">
        <v>10</v>
      </c>
      <c r="W22" s="6"/>
      <c r="X22" s="6"/>
      <c r="Y22" s="6"/>
      <c r="Z22" s="6"/>
      <c r="AA22" s="6"/>
      <c r="AB22" s="6"/>
      <c r="AC22" s="6"/>
      <c r="AD22" s="6"/>
      <c r="AE22" s="6"/>
      <c r="AF22" s="6"/>
      <c r="AG22" s="54">
        <f t="shared" si="0"/>
        <v>10</v>
      </c>
      <c r="AH22" s="13">
        <v>10</v>
      </c>
    </row>
    <row r="23" spans="1:34" ht="17" thickBot="1" x14ac:dyDescent="0.25">
      <c r="A23" s="18" t="s">
        <v>11</v>
      </c>
      <c r="B23" s="19">
        <f t="shared" ref="B23:AG23" si="1">SUM(B3:B22)</f>
        <v>55</v>
      </c>
      <c r="C23" s="19">
        <f t="shared" si="1"/>
        <v>0</v>
      </c>
      <c r="D23" s="19">
        <f t="shared" si="1"/>
        <v>600</v>
      </c>
      <c r="E23" s="19">
        <f t="shared" si="1"/>
        <v>0</v>
      </c>
      <c r="F23" s="19">
        <f t="shared" si="1"/>
        <v>0</v>
      </c>
      <c r="G23" s="19">
        <f t="shared" si="1"/>
        <v>0</v>
      </c>
      <c r="H23" s="19">
        <f t="shared" si="1"/>
        <v>23</v>
      </c>
      <c r="I23" s="19">
        <f t="shared" si="1"/>
        <v>61</v>
      </c>
      <c r="J23" s="19">
        <f t="shared" si="1"/>
        <v>0</v>
      </c>
      <c r="K23" s="19">
        <f t="shared" si="1"/>
        <v>72</v>
      </c>
      <c r="L23" s="19">
        <f t="shared" si="1"/>
        <v>0</v>
      </c>
      <c r="M23" s="19">
        <f t="shared" si="1"/>
        <v>0</v>
      </c>
      <c r="N23" s="19">
        <f t="shared" si="1"/>
        <v>100</v>
      </c>
      <c r="O23" s="19">
        <f t="shared" si="1"/>
        <v>51</v>
      </c>
      <c r="P23" s="19">
        <f t="shared" si="1"/>
        <v>0</v>
      </c>
      <c r="Q23" s="19">
        <f t="shared" si="1"/>
        <v>30</v>
      </c>
      <c r="R23" s="19">
        <f t="shared" si="1"/>
        <v>50</v>
      </c>
      <c r="S23" s="19">
        <f t="shared" si="1"/>
        <v>55</v>
      </c>
      <c r="T23" s="19">
        <f t="shared" si="1"/>
        <v>256.68</v>
      </c>
      <c r="U23" s="19">
        <f t="shared" si="1"/>
        <v>283.31</v>
      </c>
      <c r="V23" s="19">
        <f t="shared" si="1"/>
        <v>86</v>
      </c>
      <c r="W23" s="19">
        <f t="shared" si="1"/>
        <v>46</v>
      </c>
      <c r="X23" s="19">
        <f t="shared" si="1"/>
        <v>1269</v>
      </c>
      <c r="Y23" s="19">
        <f t="shared" si="1"/>
        <v>22</v>
      </c>
      <c r="Z23" s="19">
        <f t="shared" si="1"/>
        <v>78.710000000000008</v>
      </c>
      <c r="AA23" s="19">
        <f t="shared" si="1"/>
        <v>47</v>
      </c>
      <c r="AB23" s="19">
        <f t="shared" si="1"/>
        <v>89.06</v>
      </c>
      <c r="AC23" s="19">
        <f t="shared" si="1"/>
        <v>1113.25</v>
      </c>
      <c r="AD23" s="19">
        <f t="shared" si="1"/>
        <v>121</v>
      </c>
      <c r="AE23" s="19">
        <f t="shared" si="1"/>
        <v>0</v>
      </c>
      <c r="AF23" s="19">
        <f t="shared" si="1"/>
        <v>39</v>
      </c>
      <c r="AG23" s="55">
        <f t="shared" si="1"/>
        <v>4548.01</v>
      </c>
      <c r="AH23" s="34"/>
    </row>
    <row r="24" spans="1:34" ht="16" thickTop="1" x14ac:dyDescent="0.2">
      <c r="AG24" s="49"/>
    </row>
    <row r="25" spans="1:34" x14ac:dyDescent="0.2">
      <c r="AG25" s="49"/>
    </row>
    <row r="26" spans="1:34" x14ac:dyDescent="0.2">
      <c r="AG26" s="49"/>
    </row>
    <row r="27" spans="1:34" x14ac:dyDescent="0.2">
      <c r="A27" s="14" t="s">
        <v>188</v>
      </c>
      <c r="B27" s="7">
        <v>1</v>
      </c>
      <c r="C27" s="7">
        <v>2</v>
      </c>
      <c r="D27" s="7">
        <v>3</v>
      </c>
      <c r="E27" s="2">
        <v>4</v>
      </c>
      <c r="F27" s="2">
        <v>5</v>
      </c>
      <c r="G27" s="2">
        <v>6</v>
      </c>
      <c r="H27" s="2">
        <v>7</v>
      </c>
      <c r="I27" s="2">
        <v>8</v>
      </c>
      <c r="J27" s="2">
        <v>9</v>
      </c>
      <c r="K27" s="2">
        <v>10</v>
      </c>
      <c r="L27" s="2">
        <v>11</v>
      </c>
      <c r="M27" s="2">
        <v>12</v>
      </c>
      <c r="N27" s="2">
        <v>13</v>
      </c>
      <c r="O27" s="2">
        <v>14</v>
      </c>
      <c r="P27" s="2">
        <v>15</v>
      </c>
      <c r="Q27" s="2">
        <v>16</v>
      </c>
      <c r="R27" s="2">
        <v>17</v>
      </c>
      <c r="S27" s="2">
        <v>18</v>
      </c>
      <c r="T27" s="2">
        <v>19</v>
      </c>
      <c r="U27" s="2">
        <v>20</v>
      </c>
      <c r="V27" s="2">
        <v>21</v>
      </c>
      <c r="W27" s="2">
        <v>22</v>
      </c>
      <c r="X27" s="2">
        <v>23</v>
      </c>
      <c r="Y27" s="2">
        <v>24</v>
      </c>
      <c r="Z27" s="2">
        <v>25</v>
      </c>
      <c r="AA27" s="2">
        <v>26</v>
      </c>
      <c r="AB27" s="2">
        <v>27</v>
      </c>
      <c r="AC27" s="2">
        <v>28</v>
      </c>
      <c r="AD27" s="2">
        <v>29</v>
      </c>
      <c r="AE27" s="2">
        <v>30</v>
      </c>
      <c r="AF27" s="2">
        <v>31</v>
      </c>
      <c r="AG27" s="52" t="s">
        <v>0</v>
      </c>
    </row>
    <row r="28" spans="1:34" x14ac:dyDescent="0.2">
      <c r="A28" s="3"/>
      <c r="B28" s="3" t="s">
        <v>1</v>
      </c>
      <c r="C28" s="3" t="s">
        <v>1</v>
      </c>
      <c r="D28" s="3" t="s">
        <v>1</v>
      </c>
      <c r="E28" s="3" t="s">
        <v>1</v>
      </c>
      <c r="F28" s="3" t="s">
        <v>1</v>
      </c>
      <c r="G28" s="3" t="s">
        <v>1</v>
      </c>
      <c r="H28" s="3" t="s">
        <v>1</v>
      </c>
      <c r="I28" s="3" t="s">
        <v>1</v>
      </c>
      <c r="J28" s="3" t="s">
        <v>1</v>
      </c>
      <c r="K28" s="3" t="s">
        <v>1</v>
      </c>
      <c r="L28" s="3" t="s">
        <v>1</v>
      </c>
      <c r="M28" s="3" t="s">
        <v>1</v>
      </c>
      <c r="N28" s="3" t="s">
        <v>1</v>
      </c>
      <c r="O28" s="3" t="s">
        <v>1</v>
      </c>
      <c r="P28" s="3" t="s">
        <v>1</v>
      </c>
      <c r="Q28" s="3" t="s">
        <v>1</v>
      </c>
      <c r="R28" s="3" t="s">
        <v>1</v>
      </c>
      <c r="S28" s="3" t="s">
        <v>1</v>
      </c>
      <c r="T28" s="3" t="s">
        <v>1</v>
      </c>
      <c r="U28" s="3" t="s">
        <v>1</v>
      </c>
      <c r="V28" s="3" t="s">
        <v>1</v>
      </c>
      <c r="W28" s="3" t="s">
        <v>1</v>
      </c>
      <c r="X28" s="3" t="s">
        <v>1</v>
      </c>
      <c r="Y28" s="3" t="s">
        <v>1</v>
      </c>
      <c r="Z28" s="3" t="s">
        <v>1</v>
      </c>
      <c r="AA28" s="3" t="s">
        <v>1</v>
      </c>
      <c r="AB28" s="3" t="s">
        <v>1</v>
      </c>
      <c r="AC28" s="3" t="s">
        <v>1</v>
      </c>
      <c r="AD28" s="3" t="s">
        <v>1</v>
      </c>
      <c r="AE28" s="3" t="s">
        <v>1</v>
      </c>
      <c r="AF28" s="3" t="s">
        <v>1</v>
      </c>
      <c r="AG28" s="53" t="s">
        <v>1</v>
      </c>
    </row>
    <row r="29" spans="1:34" x14ac:dyDescent="0.2">
      <c r="A29" s="16" t="str">
        <f>BUDGET!A9</f>
        <v>Rent</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54">
        <f t="shared" ref="AG29:AG50" si="2">SUM(B29:AF29)</f>
        <v>0</v>
      </c>
    </row>
    <row r="30" spans="1:34" x14ac:dyDescent="0.2">
      <c r="A30" s="16" t="str">
        <f>BUDGET!A10</f>
        <v>Tithe</v>
      </c>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54">
        <f t="shared" si="2"/>
        <v>0</v>
      </c>
    </row>
    <row r="31" spans="1:34" x14ac:dyDescent="0.2">
      <c r="A31" s="16" t="str">
        <f>BUDGET!A11</f>
        <v>Data</v>
      </c>
      <c r="B31" s="6">
        <v>300</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54">
        <f t="shared" si="2"/>
        <v>300</v>
      </c>
    </row>
    <row r="32" spans="1:34" x14ac:dyDescent="0.2">
      <c r="A32" s="16" t="str">
        <f>BUDGET!A12</f>
        <v xml:space="preserve">Savings/ Investment </v>
      </c>
      <c r="B32" s="6"/>
      <c r="C32" s="6"/>
      <c r="D32" s="6"/>
      <c r="E32" s="6"/>
      <c r="F32" s="6"/>
      <c r="G32" s="6"/>
      <c r="H32" s="6"/>
      <c r="I32" s="6"/>
      <c r="J32" s="6"/>
      <c r="K32" s="6"/>
      <c r="L32" s="6"/>
      <c r="M32" s="6"/>
      <c r="N32" s="6"/>
      <c r="O32" s="6"/>
      <c r="P32" s="6"/>
      <c r="Q32" s="6"/>
      <c r="R32" s="6"/>
      <c r="S32" s="6"/>
      <c r="T32" s="6"/>
      <c r="U32" s="6"/>
      <c r="V32" s="6"/>
      <c r="W32" s="6"/>
      <c r="X32" s="6">
        <v>200</v>
      </c>
      <c r="Y32" s="6"/>
      <c r="Z32" s="6"/>
      <c r="AA32" s="6"/>
      <c r="AB32" s="6"/>
      <c r="AC32" s="6"/>
      <c r="AD32" s="6"/>
      <c r="AE32" s="6"/>
      <c r="AF32" s="6"/>
      <c r="AG32" s="54">
        <f t="shared" si="2"/>
        <v>200</v>
      </c>
    </row>
    <row r="33" spans="1:33" x14ac:dyDescent="0.2">
      <c r="A33" s="16" t="str">
        <f>BUDGET!A13</f>
        <v>Hair / Gym</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v>20</v>
      </c>
      <c r="AD33" s="6"/>
      <c r="AE33" s="6"/>
      <c r="AF33" s="6"/>
      <c r="AG33" s="54">
        <f t="shared" si="2"/>
        <v>20</v>
      </c>
    </row>
    <row r="34" spans="1:33" x14ac:dyDescent="0.2">
      <c r="A34" s="16" t="str">
        <f>BUDGET!A14</f>
        <v>Food</v>
      </c>
      <c r="B34" s="6">
        <v>10</v>
      </c>
      <c r="C34" s="6">
        <v>15</v>
      </c>
      <c r="E34" s="6">
        <f>66+46</f>
        <v>112</v>
      </c>
      <c r="F34" s="6"/>
      <c r="G34" s="6">
        <v>10</v>
      </c>
      <c r="H34" s="6">
        <f>20+40</f>
        <v>60</v>
      </c>
      <c r="I34" s="6">
        <v>10</v>
      </c>
      <c r="J34" s="6">
        <f>7+4.5+25</f>
        <v>36.5</v>
      </c>
      <c r="K34" s="6"/>
      <c r="L34" s="6"/>
      <c r="M34" s="6">
        <v>10</v>
      </c>
      <c r="N34" s="6"/>
      <c r="O34" s="6">
        <v>128</v>
      </c>
      <c r="P34" s="6">
        <v>15</v>
      </c>
      <c r="Q34" s="6"/>
      <c r="R34" s="6"/>
      <c r="S34" s="6">
        <v>10</v>
      </c>
      <c r="U34" s="6"/>
      <c r="V34" s="6">
        <v>40</v>
      </c>
      <c r="W34" s="6">
        <f>18+20</f>
        <v>38</v>
      </c>
      <c r="X34" s="6">
        <v>10</v>
      </c>
      <c r="Y34" s="6">
        <f>28+47</f>
        <v>75</v>
      </c>
      <c r="Z34" s="6"/>
      <c r="AA34" s="6"/>
      <c r="AB34" s="6"/>
      <c r="AC34" s="6">
        <f>4+6+5+15</f>
        <v>30</v>
      </c>
      <c r="AD34" s="6"/>
      <c r="AE34" s="6"/>
      <c r="AF34" s="6"/>
      <c r="AG34" s="54">
        <f t="shared" si="2"/>
        <v>609.5</v>
      </c>
    </row>
    <row r="35" spans="1:33" x14ac:dyDescent="0.2">
      <c r="A35" s="16" t="str">
        <f>BUDGET!A15</f>
        <v>Healthcare</v>
      </c>
      <c r="B35" s="6"/>
      <c r="C35" s="6"/>
      <c r="E35" s="6">
        <v>52</v>
      </c>
      <c r="F35" s="6"/>
      <c r="G35" s="6"/>
      <c r="H35" s="6"/>
      <c r="I35" s="6"/>
      <c r="J35" s="104" t="s">
        <v>151</v>
      </c>
      <c r="K35" s="6"/>
      <c r="L35" s="6"/>
      <c r="M35" s="6"/>
      <c r="N35" s="6"/>
      <c r="O35" s="6"/>
      <c r="P35" s="6"/>
      <c r="Q35" s="6">
        <v>13.5</v>
      </c>
      <c r="R35" s="6"/>
      <c r="S35" s="6"/>
      <c r="T35" s="6"/>
      <c r="U35" s="6"/>
      <c r="V35" s="6"/>
      <c r="W35" s="6"/>
      <c r="X35" s="6">
        <v>13.5</v>
      </c>
      <c r="Y35" s="6"/>
      <c r="Z35" s="6"/>
      <c r="AA35" s="6"/>
      <c r="AB35" s="6">
        <v>17</v>
      </c>
      <c r="AD35" s="6"/>
      <c r="AE35" s="6"/>
      <c r="AF35" s="6"/>
      <c r="AG35" s="54">
        <f t="shared" si="2"/>
        <v>96</v>
      </c>
    </row>
    <row r="36" spans="1:33" x14ac:dyDescent="0.2">
      <c r="A36" s="16" t="str">
        <f>BUDGET!A16</f>
        <v xml:space="preserve">Clothes/ Shoes/ Jewelry </v>
      </c>
      <c r="B36" s="6"/>
      <c r="C36" s="6"/>
      <c r="D36" s="6"/>
      <c r="E36" s="6"/>
      <c r="F36" s="6"/>
      <c r="G36" s="6"/>
      <c r="H36" s="6"/>
      <c r="I36" s="6"/>
      <c r="J36" s="6"/>
      <c r="K36" s="6"/>
      <c r="L36" s="6"/>
      <c r="M36" s="6"/>
      <c r="N36" s="6"/>
      <c r="O36" s="6"/>
      <c r="P36" s="6"/>
      <c r="Q36" s="6"/>
      <c r="R36" s="6"/>
      <c r="S36" s="6"/>
      <c r="T36" s="6"/>
      <c r="U36" s="6"/>
      <c r="V36" s="6"/>
      <c r="W36" s="6">
        <v>100</v>
      </c>
      <c r="X36" s="6"/>
      <c r="Y36" s="6"/>
      <c r="Z36" s="6"/>
      <c r="AA36" s="6"/>
      <c r="AB36" s="6"/>
      <c r="AC36" s="6"/>
      <c r="AD36" s="6"/>
      <c r="AE36" s="6"/>
      <c r="AF36" s="6"/>
      <c r="AG36" s="54">
        <f t="shared" si="2"/>
        <v>100</v>
      </c>
    </row>
    <row r="37" spans="1:33" x14ac:dyDescent="0.2">
      <c r="A37" s="16" t="str">
        <f>BUDGET!A17</f>
        <v>shoes</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54">
        <f t="shared" si="2"/>
        <v>0</v>
      </c>
    </row>
    <row r="38" spans="1:33" x14ac:dyDescent="0.2">
      <c r="A38" s="16" t="str">
        <f>BUDGET!A18</f>
        <v xml:space="preserve">Travel/ Vacations </v>
      </c>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54">
        <f t="shared" si="2"/>
        <v>0</v>
      </c>
    </row>
    <row r="39" spans="1:33" x14ac:dyDescent="0.2">
      <c r="A39" s="16" t="str">
        <f>BUDGET!A19</f>
        <v>Outings</v>
      </c>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54">
        <f t="shared" si="2"/>
        <v>0</v>
      </c>
    </row>
    <row r="40" spans="1:33" x14ac:dyDescent="0.2">
      <c r="A40" s="16" t="str">
        <f>BUDGET!A20</f>
        <v>Toiletries/Groceries</v>
      </c>
      <c r="B40" s="6"/>
      <c r="C40" s="6"/>
      <c r="D40" s="6"/>
      <c r="E40" s="6"/>
      <c r="F40" s="6"/>
      <c r="G40" s="6"/>
      <c r="H40" s="6"/>
      <c r="I40" s="6"/>
      <c r="J40" s="6">
        <v>150</v>
      </c>
      <c r="K40" s="6"/>
      <c r="L40" s="6"/>
      <c r="M40" s="6"/>
      <c r="N40" s="6"/>
      <c r="O40" s="6"/>
      <c r="P40" s="6"/>
      <c r="Q40" s="6"/>
      <c r="R40" s="6"/>
      <c r="S40" s="6"/>
      <c r="T40" s="6"/>
      <c r="U40" s="6"/>
      <c r="V40" s="6"/>
      <c r="W40" s="6"/>
      <c r="X40" s="6"/>
      <c r="Y40" s="6"/>
      <c r="Z40" s="6"/>
      <c r="AA40" s="6"/>
      <c r="AB40" s="6"/>
      <c r="AC40" s="6">
        <v>122</v>
      </c>
      <c r="AD40" s="6"/>
      <c r="AE40" s="6"/>
      <c r="AF40" s="6"/>
      <c r="AG40" s="54">
        <f t="shared" si="2"/>
        <v>272</v>
      </c>
    </row>
    <row r="41" spans="1:33" x14ac:dyDescent="0.2">
      <c r="A41" s="16" t="str">
        <f>BUDGET!A21</f>
        <v xml:space="preserve">Transportation </v>
      </c>
      <c r="B41" s="6">
        <f>5+14</f>
        <v>19</v>
      </c>
      <c r="D41" s="6">
        <v>2.5</v>
      </c>
      <c r="E41" s="6">
        <v>38</v>
      </c>
      <c r="F41" s="6"/>
      <c r="G41" s="6"/>
      <c r="H41" s="6"/>
      <c r="I41" s="6"/>
      <c r="J41" s="6"/>
      <c r="K41" s="6">
        <f>2.5+7</f>
        <v>9.5</v>
      </c>
      <c r="L41" s="6"/>
      <c r="M41" s="6">
        <v>58</v>
      </c>
      <c r="O41" s="6">
        <f>58+55</f>
        <v>113</v>
      </c>
      <c r="P41" s="6">
        <f>5+7</f>
        <v>12</v>
      </c>
      <c r="Q41" s="6"/>
      <c r="R41" s="6"/>
      <c r="S41" s="6"/>
      <c r="T41" s="6"/>
      <c r="U41" s="6"/>
      <c r="V41" s="6">
        <v>98</v>
      </c>
      <c r="W41" s="6">
        <v>50</v>
      </c>
      <c r="X41" s="6">
        <v>14</v>
      </c>
      <c r="Y41" s="6">
        <v>1</v>
      </c>
      <c r="Z41" s="6">
        <v>55</v>
      </c>
      <c r="AA41" s="6">
        <v>50</v>
      </c>
      <c r="AB41" s="6"/>
      <c r="AC41" s="6">
        <v>20</v>
      </c>
      <c r="AD41" s="6"/>
      <c r="AE41" s="6"/>
      <c r="AF41" s="6"/>
      <c r="AG41" s="54">
        <f t="shared" si="2"/>
        <v>540</v>
      </c>
    </row>
    <row r="42" spans="1:33" x14ac:dyDescent="0.2">
      <c r="A42" s="16" t="str">
        <f>BUDGET!A22</f>
        <v>Miscellaneous</v>
      </c>
      <c r="B42" s="6"/>
      <c r="C42" s="6"/>
      <c r="D42" s="6"/>
      <c r="E42" s="6"/>
      <c r="F42" s="6"/>
      <c r="G42" s="6"/>
      <c r="H42" s="6"/>
      <c r="I42" s="6"/>
      <c r="J42" s="6">
        <f>35+28</f>
        <v>63</v>
      </c>
      <c r="K42" s="6"/>
      <c r="L42" s="6"/>
      <c r="M42" s="6">
        <v>50</v>
      </c>
      <c r="O42" s="6"/>
      <c r="P42" s="6"/>
      <c r="Q42" s="6"/>
      <c r="R42" s="6"/>
      <c r="S42" s="6"/>
      <c r="T42" s="6"/>
      <c r="U42" s="6"/>
      <c r="V42" s="6"/>
      <c r="W42" s="6"/>
      <c r="X42" s="6"/>
      <c r="Y42" s="6"/>
      <c r="Z42" s="6"/>
      <c r="AA42" s="6"/>
      <c r="AB42" s="6"/>
      <c r="AC42" s="6"/>
      <c r="AD42" s="6"/>
      <c r="AE42" s="6"/>
      <c r="AF42" s="6"/>
      <c r="AG42" s="54">
        <f t="shared" si="2"/>
        <v>113</v>
      </c>
    </row>
    <row r="43" spans="1:33" x14ac:dyDescent="0.2">
      <c r="A43" s="16" t="str">
        <f>BUDGET!A23</f>
        <v>Apple Subscriptions</v>
      </c>
      <c r="B43" s="6"/>
      <c r="C43" s="6"/>
      <c r="D43" s="6"/>
      <c r="E43" s="6"/>
      <c r="F43" s="6"/>
      <c r="G43" s="6"/>
      <c r="H43" s="6"/>
      <c r="I43" s="6"/>
      <c r="J43" s="6"/>
      <c r="K43" s="6"/>
      <c r="L43" s="6"/>
      <c r="M43" s="6"/>
      <c r="N43" s="6"/>
      <c r="O43" s="6"/>
      <c r="P43" s="6"/>
      <c r="Q43" s="6"/>
      <c r="R43" s="6"/>
      <c r="S43" s="6"/>
      <c r="T43" s="6"/>
      <c r="U43" s="6"/>
      <c r="V43" s="6"/>
      <c r="W43" s="6"/>
      <c r="X43" s="6"/>
      <c r="Y43" s="6"/>
      <c r="Z43" s="6"/>
      <c r="AA43" s="6">
        <v>14</v>
      </c>
      <c r="AB43" s="6"/>
      <c r="AC43" s="6"/>
      <c r="AD43" s="6"/>
      <c r="AE43" s="6"/>
      <c r="AF43" s="6"/>
      <c r="AG43" s="54">
        <f t="shared" si="2"/>
        <v>14</v>
      </c>
    </row>
    <row r="44" spans="1:33" x14ac:dyDescent="0.2">
      <c r="A44" s="16" t="str">
        <f>BUDGET!A24</f>
        <v>Google 1</v>
      </c>
      <c r="B44" s="6"/>
      <c r="C44" s="6"/>
      <c r="D44" s="6"/>
      <c r="E44" s="6"/>
      <c r="F44" s="6"/>
      <c r="G44" s="6"/>
      <c r="H44" s="6"/>
      <c r="I44" s="6"/>
      <c r="J44" s="6"/>
      <c r="K44" s="6">
        <v>9</v>
      </c>
      <c r="L44" s="6"/>
      <c r="M44" s="6"/>
      <c r="N44" s="6"/>
      <c r="O44" s="6"/>
      <c r="P44" s="6"/>
      <c r="Q44" s="6"/>
      <c r="R44" s="6"/>
      <c r="S44" s="6"/>
      <c r="T44" s="6"/>
      <c r="U44" s="6"/>
      <c r="V44" s="6"/>
      <c r="W44" s="6"/>
      <c r="X44" s="6"/>
      <c r="Y44" s="6"/>
      <c r="Z44" s="6"/>
      <c r="AA44" s="6"/>
      <c r="AB44" s="6"/>
      <c r="AC44" s="6"/>
      <c r="AD44" s="6"/>
      <c r="AE44" s="6"/>
      <c r="AF44" s="6"/>
      <c r="AG44" s="54">
        <f t="shared" si="2"/>
        <v>9</v>
      </c>
    </row>
    <row r="45" spans="1:33" x14ac:dyDescent="0.2">
      <c r="A45" s="16" t="str">
        <f>BUDGET!A25</f>
        <v>Netflix</v>
      </c>
      <c r="B45" s="6"/>
      <c r="C45" s="6"/>
      <c r="D45" s="6"/>
      <c r="E45" s="6"/>
      <c r="F45" s="6"/>
      <c r="G45" s="6"/>
      <c r="H45" s="6"/>
      <c r="I45" s="6"/>
      <c r="J45" s="6"/>
      <c r="K45" s="6"/>
      <c r="L45" s="6"/>
      <c r="M45" s="6"/>
      <c r="N45" s="6"/>
      <c r="O45" s="6"/>
      <c r="P45" s="6"/>
      <c r="Q45" s="6"/>
      <c r="R45" s="6"/>
      <c r="S45" s="6"/>
      <c r="T45" s="6"/>
      <c r="U45" s="6"/>
      <c r="V45" s="6"/>
      <c r="W45" s="6">
        <v>140</v>
      </c>
      <c r="X45" s="6"/>
      <c r="Y45" s="6"/>
      <c r="Z45" s="6"/>
      <c r="AA45" s="6"/>
      <c r="AB45" s="6"/>
      <c r="AC45" s="6"/>
      <c r="AD45" s="6"/>
      <c r="AE45" s="6"/>
      <c r="AF45" s="6"/>
      <c r="AG45" s="54">
        <f t="shared" si="2"/>
        <v>140</v>
      </c>
    </row>
    <row r="46" spans="1:33" x14ac:dyDescent="0.2">
      <c r="A46" s="16" t="str">
        <f>BUDGET!A26</f>
        <v>Amuse</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54">
        <f t="shared" si="2"/>
        <v>0</v>
      </c>
    </row>
    <row r="47" spans="1:33" x14ac:dyDescent="0.2">
      <c r="A47" s="16" t="str">
        <f>BUDGET!A27</f>
        <v>electricity</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54">
        <f t="shared" si="2"/>
        <v>0</v>
      </c>
    </row>
    <row r="48" spans="1:33" x14ac:dyDescent="0.2">
      <c r="A48" s="16" t="str">
        <f>BUDGET!A28</f>
        <v>Account Charges</v>
      </c>
      <c r="B48" s="6"/>
      <c r="C48" s="6"/>
      <c r="D48" s="6"/>
      <c r="E48" s="6"/>
      <c r="F48" s="6"/>
      <c r="G48" s="6"/>
      <c r="H48" s="6"/>
      <c r="I48" s="6"/>
      <c r="J48" s="6"/>
      <c r="K48" s="6"/>
      <c r="L48" s="6"/>
      <c r="M48" s="6"/>
      <c r="N48" s="6"/>
      <c r="O48" s="6"/>
      <c r="P48" s="6"/>
      <c r="Q48" s="6"/>
      <c r="R48" s="6"/>
      <c r="S48" s="6"/>
      <c r="T48" s="6"/>
      <c r="U48" s="6"/>
      <c r="V48" s="6"/>
      <c r="W48" s="6"/>
      <c r="X48" s="6">
        <v>10</v>
      </c>
      <c r="Y48" s="6"/>
      <c r="Z48" s="6"/>
      <c r="AA48" s="6"/>
      <c r="AB48" s="6"/>
      <c r="AC48" s="6"/>
      <c r="AD48" s="6"/>
      <c r="AE48" s="6"/>
      <c r="AF48" s="6"/>
      <c r="AG48" s="54">
        <f t="shared" si="2"/>
        <v>10</v>
      </c>
    </row>
    <row r="49" spans="1:33" x14ac:dyDescent="0.2">
      <c r="A49" s="1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54">
        <f t="shared" si="2"/>
        <v>0</v>
      </c>
    </row>
    <row r="50" spans="1:33" ht="16" thickBot="1" x14ac:dyDescent="0.25">
      <c r="A50" s="1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54">
        <f t="shared" si="2"/>
        <v>0</v>
      </c>
    </row>
    <row r="51" spans="1:33" ht="17" thickBot="1" x14ac:dyDescent="0.25">
      <c r="A51" s="20" t="s">
        <v>11</v>
      </c>
      <c r="B51" s="21">
        <f t="shared" ref="B51:AG51" si="3">SUM(B29:B50)</f>
        <v>329</v>
      </c>
      <c r="C51" s="21">
        <f t="shared" si="3"/>
        <v>15</v>
      </c>
      <c r="D51" s="21">
        <f t="shared" si="3"/>
        <v>2.5</v>
      </c>
      <c r="E51" s="21">
        <f t="shared" si="3"/>
        <v>202</v>
      </c>
      <c r="F51" s="21">
        <f t="shared" si="3"/>
        <v>0</v>
      </c>
      <c r="G51" s="21">
        <f t="shared" si="3"/>
        <v>10</v>
      </c>
      <c r="H51" s="21">
        <f t="shared" si="3"/>
        <v>60</v>
      </c>
      <c r="I51" s="21">
        <f t="shared" si="3"/>
        <v>10</v>
      </c>
      <c r="J51" s="21">
        <f t="shared" si="3"/>
        <v>249.5</v>
      </c>
      <c r="K51" s="21">
        <f t="shared" si="3"/>
        <v>18.5</v>
      </c>
      <c r="L51" s="21">
        <f t="shared" si="3"/>
        <v>0</v>
      </c>
      <c r="M51" s="21">
        <f t="shared" si="3"/>
        <v>118</v>
      </c>
      <c r="N51" s="21">
        <f t="shared" si="3"/>
        <v>0</v>
      </c>
      <c r="O51" s="21">
        <f>SUM(O29:O50)</f>
        <v>241</v>
      </c>
      <c r="P51" s="21">
        <f>SUM(P29:P50)</f>
        <v>27</v>
      </c>
      <c r="Q51" s="21">
        <f t="shared" si="3"/>
        <v>13.5</v>
      </c>
      <c r="R51" s="21">
        <f>SUM(R29:R50)</f>
        <v>0</v>
      </c>
      <c r="S51" s="21">
        <f t="shared" si="3"/>
        <v>10</v>
      </c>
      <c r="T51" s="21">
        <f t="shared" si="3"/>
        <v>0</v>
      </c>
      <c r="U51" s="21">
        <f t="shared" si="3"/>
        <v>0</v>
      </c>
      <c r="V51" s="21">
        <f t="shared" si="3"/>
        <v>138</v>
      </c>
      <c r="W51" s="21">
        <f t="shared" si="3"/>
        <v>328</v>
      </c>
      <c r="X51" s="21">
        <f>SUM(X29:X50)</f>
        <v>247.5</v>
      </c>
      <c r="Y51" s="21">
        <f t="shared" si="3"/>
        <v>76</v>
      </c>
      <c r="Z51" s="21">
        <f t="shared" si="3"/>
        <v>55</v>
      </c>
      <c r="AA51" s="21">
        <f t="shared" si="3"/>
        <v>64</v>
      </c>
      <c r="AB51" s="21">
        <f t="shared" si="3"/>
        <v>17</v>
      </c>
      <c r="AC51" s="21">
        <f t="shared" si="3"/>
        <v>192</v>
      </c>
      <c r="AD51" s="21">
        <f t="shared" si="3"/>
        <v>0</v>
      </c>
      <c r="AE51" s="21">
        <f t="shared" si="3"/>
        <v>0</v>
      </c>
      <c r="AF51" s="21">
        <f t="shared" si="3"/>
        <v>0</v>
      </c>
      <c r="AG51" s="56">
        <f t="shared" si="3"/>
        <v>2423.5</v>
      </c>
    </row>
    <row r="52" spans="1:33" ht="16" thickTop="1" x14ac:dyDescent="0.2">
      <c r="AG52" s="49"/>
    </row>
    <row r="53" spans="1:33" x14ac:dyDescent="0.2">
      <c r="AG53" s="49"/>
    </row>
    <row r="54" spans="1:33" x14ac:dyDescent="0.2">
      <c r="AG54" s="49"/>
    </row>
    <row r="55" spans="1:33" x14ac:dyDescent="0.2">
      <c r="A55" s="14" t="s">
        <v>189</v>
      </c>
      <c r="B55" s="7">
        <v>1</v>
      </c>
      <c r="C55" s="7">
        <v>2</v>
      </c>
      <c r="D55" s="7">
        <v>3</v>
      </c>
      <c r="E55" s="2">
        <v>4</v>
      </c>
      <c r="F55" s="2">
        <v>5</v>
      </c>
      <c r="G55" s="2">
        <v>6</v>
      </c>
      <c r="H55" s="2">
        <v>7</v>
      </c>
      <c r="I55" s="2">
        <v>8</v>
      </c>
      <c r="J55" s="2">
        <v>9</v>
      </c>
      <c r="K55" s="2">
        <v>10</v>
      </c>
      <c r="L55" s="2">
        <v>11</v>
      </c>
      <c r="M55" s="2">
        <v>12</v>
      </c>
      <c r="N55" s="2">
        <v>13</v>
      </c>
      <c r="O55" s="2">
        <v>14</v>
      </c>
      <c r="P55" s="2">
        <v>15</v>
      </c>
      <c r="Q55" s="2">
        <v>16</v>
      </c>
      <c r="R55" s="2">
        <v>17</v>
      </c>
      <c r="S55" s="2">
        <v>18</v>
      </c>
      <c r="T55" s="2">
        <v>19</v>
      </c>
      <c r="U55" s="2">
        <v>20</v>
      </c>
      <c r="V55" s="2">
        <v>21</v>
      </c>
      <c r="W55" s="2">
        <v>22</v>
      </c>
      <c r="X55" s="2">
        <v>23</v>
      </c>
      <c r="Y55" s="2">
        <v>24</v>
      </c>
      <c r="Z55" s="2">
        <v>25</v>
      </c>
      <c r="AA55" s="2">
        <v>26</v>
      </c>
      <c r="AB55" s="2">
        <v>27</v>
      </c>
      <c r="AC55" s="2">
        <v>28</v>
      </c>
      <c r="AD55" s="2">
        <v>29</v>
      </c>
      <c r="AE55" s="2">
        <v>30</v>
      </c>
      <c r="AF55" s="2">
        <v>31</v>
      </c>
      <c r="AG55" s="52" t="s">
        <v>0</v>
      </c>
    </row>
    <row r="56" spans="1:33" x14ac:dyDescent="0.2">
      <c r="A56" s="3"/>
      <c r="B56" s="3" t="s">
        <v>1</v>
      </c>
      <c r="C56" s="3" t="s">
        <v>1</v>
      </c>
      <c r="D56" s="3" t="s">
        <v>1</v>
      </c>
      <c r="E56" s="3" t="s">
        <v>1</v>
      </c>
      <c r="F56" s="3" t="s">
        <v>1</v>
      </c>
      <c r="G56" s="3" t="s">
        <v>1</v>
      </c>
      <c r="H56" s="3" t="s">
        <v>1</v>
      </c>
      <c r="I56" s="3" t="s">
        <v>1</v>
      </c>
      <c r="J56" s="3" t="s">
        <v>1</v>
      </c>
      <c r="K56" s="3" t="s">
        <v>1</v>
      </c>
      <c r="L56" s="3" t="s">
        <v>1</v>
      </c>
      <c r="M56" s="3" t="s">
        <v>1</v>
      </c>
      <c r="N56" s="3" t="s">
        <v>1</v>
      </c>
      <c r="O56" s="3" t="s">
        <v>1</v>
      </c>
      <c r="P56" s="3" t="s">
        <v>1</v>
      </c>
      <c r="Q56" s="3" t="s">
        <v>1</v>
      </c>
      <c r="R56" s="3" t="s">
        <v>1</v>
      </c>
      <c r="S56" s="3" t="s">
        <v>1</v>
      </c>
      <c r="T56" s="3" t="s">
        <v>1</v>
      </c>
      <c r="U56" s="3" t="s">
        <v>1</v>
      </c>
      <c r="V56" s="3" t="s">
        <v>1</v>
      </c>
      <c r="W56" s="3" t="s">
        <v>1</v>
      </c>
      <c r="X56" s="3" t="s">
        <v>1</v>
      </c>
      <c r="Y56" s="3" t="s">
        <v>1</v>
      </c>
      <c r="Z56" s="3" t="s">
        <v>1</v>
      </c>
      <c r="AA56" s="3" t="s">
        <v>1</v>
      </c>
      <c r="AB56" s="3" t="s">
        <v>1</v>
      </c>
      <c r="AC56" s="3" t="s">
        <v>1</v>
      </c>
      <c r="AD56" s="3" t="s">
        <v>1</v>
      </c>
      <c r="AE56" s="3" t="s">
        <v>1</v>
      </c>
      <c r="AF56" s="3" t="s">
        <v>1</v>
      </c>
      <c r="AG56" s="53" t="s">
        <v>1</v>
      </c>
    </row>
    <row r="57" spans="1:33" x14ac:dyDescent="0.2">
      <c r="A57" s="16" t="str">
        <f>BUDGET!A9</f>
        <v>Rent</v>
      </c>
      <c r="B57" s="6">
        <v>0</v>
      </c>
      <c r="C57" s="6">
        <v>0</v>
      </c>
      <c r="D57" s="6"/>
      <c r="E57" s="6"/>
      <c r="F57" s="6"/>
      <c r="G57" s="6"/>
      <c r="H57" s="6"/>
      <c r="I57" s="6"/>
      <c r="J57" s="6"/>
      <c r="K57" s="6"/>
      <c r="L57" s="6"/>
      <c r="M57" s="6"/>
      <c r="N57" s="6"/>
      <c r="O57" s="6"/>
      <c r="P57" s="6"/>
      <c r="Q57" s="6"/>
      <c r="R57" s="6"/>
      <c r="S57" s="6"/>
      <c r="T57" s="6"/>
      <c r="U57" s="6"/>
      <c r="V57" s="6"/>
      <c r="W57" s="6">
        <v>1400</v>
      </c>
      <c r="X57" s="6"/>
      <c r="Y57" s="6"/>
      <c r="Z57" s="6"/>
      <c r="AA57" s="6"/>
      <c r="AB57" s="6"/>
      <c r="AC57" s="6"/>
      <c r="AD57" s="6"/>
      <c r="AE57" s="6"/>
      <c r="AF57" s="6"/>
      <c r="AG57" s="54">
        <f t="shared" ref="AG57:AG76" si="4">SUM(B57:AF57)</f>
        <v>1400</v>
      </c>
    </row>
    <row r="58" spans="1:33" x14ac:dyDescent="0.2">
      <c r="A58" s="16" t="str">
        <f>BUDGET!A10</f>
        <v>Tithe</v>
      </c>
      <c r="B58" s="6">
        <v>0</v>
      </c>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54">
        <f t="shared" si="4"/>
        <v>0</v>
      </c>
    </row>
    <row r="59" spans="1:33" x14ac:dyDescent="0.2">
      <c r="A59" s="16" t="str">
        <f>BUDGET!A11</f>
        <v>Data</v>
      </c>
      <c r="B59" s="6">
        <v>0</v>
      </c>
      <c r="C59" s="6">
        <v>0</v>
      </c>
      <c r="D59" s="6"/>
      <c r="E59" s="6">
        <v>300</v>
      </c>
      <c r="F59" s="6"/>
      <c r="G59" s="6"/>
      <c r="H59" s="6"/>
      <c r="I59" s="6">
        <v>6</v>
      </c>
      <c r="J59" s="6"/>
      <c r="K59" s="6"/>
      <c r="L59" s="6"/>
      <c r="M59" s="6"/>
      <c r="N59" s="6"/>
      <c r="O59" s="6"/>
      <c r="P59" s="6"/>
      <c r="Q59" s="6"/>
      <c r="R59" s="6"/>
      <c r="S59" s="6"/>
      <c r="T59" s="6"/>
      <c r="U59" s="6"/>
      <c r="V59" s="6"/>
      <c r="W59" s="6"/>
      <c r="X59" s="6"/>
      <c r="Y59" s="6"/>
      <c r="Z59" s="6"/>
      <c r="AA59" s="6"/>
      <c r="AB59" s="6"/>
      <c r="AC59" s="6"/>
      <c r="AD59" s="6"/>
      <c r="AE59" s="6"/>
      <c r="AF59" s="6"/>
      <c r="AG59" s="54">
        <f t="shared" si="4"/>
        <v>306</v>
      </c>
    </row>
    <row r="60" spans="1:33" x14ac:dyDescent="0.2">
      <c r="A60" s="16" t="str">
        <f>BUDGET!A12</f>
        <v xml:space="preserve">Savings/ Investment </v>
      </c>
      <c r="B60" s="6">
        <v>0</v>
      </c>
      <c r="C60" s="6"/>
      <c r="D60" s="6"/>
      <c r="E60" s="6"/>
      <c r="F60" s="6"/>
      <c r="G60" s="6"/>
      <c r="H60" s="6"/>
      <c r="I60" s="6"/>
      <c r="J60" s="6"/>
      <c r="K60" s="6"/>
      <c r="L60" s="6"/>
      <c r="M60" s="6"/>
      <c r="N60" s="6"/>
      <c r="O60" s="6"/>
      <c r="P60" s="6"/>
      <c r="Q60" s="6"/>
      <c r="R60" s="6"/>
      <c r="S60" s="6"/>
      <c r="T60" s="6"/>
      <c r="U60" s="6"/>
      <c r="V60" s="6"/>
      <c r="W60" s="6"/>
      <c r="X60" s="6">
        <v>350</v>
      </c>
      <c r="Y60" s="6"/>
      <c r="Z60" s="6"/>
      <c r="AA60" s="6"/>
      <c r="AB60" s="6"/>
      <c r="AC60" s="6"/>
      <c r="AD60" s="6"/>
      <c r="AE60" s="6"/>
      <c r="AF60" s="6"/>
      <c r="AG60" s="54">
        <f t="shared" si="4"/>
        <v>350</v>
      </c>
    </row>
    <row r="61" spans="1:33" x14ac:dyDescent="0.2">
      <c r="A61" s="16" t="str">
        <f>BUDGET!A13</f>
        <v>Hair / Gym</v>
      </c>
      <c r="B61" s="6">
        <v>0</v>
      </c>
      <c r="C61" s="6">
        <v>0</v>
      </c>
      <c r="D61" s="6"/>
      <c r="E61" s="6"/>
      <c r="F61" s="6"/>
      <c r="G61" s="6"/>
      <c r="H61" s="6"/>
      <c r="I61" s="6"/>
      <c r="J61" s="6"/>
      <c r="K61" s="6"/>
      <c r="L61" s="6"/>
      <c r="M61" s="6"/>
      <c r="N61" s="6"/>
      <c r="O61" s="6"/>
      <c r="P61" s="6"/>
      <c r="Q61" s="6"/>
      <c r="R61" s="6"/>
      <c r="S61" s="6"/>
      <c r="T61" s="6"/>
      <c r="U61" s="6"/>
      <c r="V61" s="6"/>
      <c r="W61" s="6"/>
      <c r="X61" s="6"/>
      <c r="Y61" s="6"/>
      <c r="Z61" s="6"/>
      <c r="AA61" s="6"/>
      <c r="AB61" s="6">
        <v>500</v>
      </c>
      <c r="AC61" s="6"/>
      <c r="AD61" s="6"/>
      <c r="AE61" s="6"/>
      <c r="AF61" s="6"/>
      <c r="AG61" s="54">
        <f t="shared" si="4"/>
        <v>500</v>
      </c>
    </row>
    <row r="62" spans="1:33" x14ac:dyDescent="0.2">
      <c r="A62" s="16" t="str">
        <f>BUDGET!A14</f>
        <v>Food</v>
      </c>
      <c r="B62" s="6">
        <v>10</v>
      </c>
      <c r="C62" s="6">
        <v>11</v>
      </c>
      <c r="D62" s="6">
        <f>11+45+50</f>
        <v>106</v>
      </c>
      <c r="E62" s="6">
        <f>86+34+4</f>
        <v>124</v>
      </c>
      <c r="F62" s="6">
        <v>146.9</v>
      </c>
      <c r="G62" s="6">
        <v>40</v>
      </c>
      <c r="H62" s="6">
        <v>41</v>
      </c>
      <c r="I62" s="6"/>
      <c r="J62" s="6">
        <v>9</v>
      </c>
      <c r="K62" s="6">
        <v>163</v>
      </c>
      <c r="L62" s="6">
        <v>10</v>
      </c>
      <c r="M62" s="6">
        <v>10</v>
      </c>
      <c r="N62" s="6">
        <v>2</v>
      </c>
      <c r="O62" s="6">
        <f>10+4+5</f>
        <v>19</v>
      </c>
      <c r="P62" s="6">
        <v>5.5</v>
      </c>
      <c r="Q62" s="6">
        <f>4+6</f>
        <v>10</v>
      </c>
      <c r="R62" s="6">
        <f>5.5+4+111</f>
        <v>120.5</v>
      </c>
      <c r="S62" s="6">
        <f>5+37.2+30.2</f>
        <v>72.400000000000006</v>
      </c>
      <c r="T62">
        <f>15+100</f>
        <v>115</v>
      </c>
      <c r="U62">
        <v>4</v>
      </c>
      <c r="V62">
        <f>3+82</f>
        <v>85</v>
      </c>
      <c r="W62">
        <v>7</v>
      </c>
      <c r="X62">
        <v>6</v>
      </c>
      <c r="Y62">
        <v>4</v>
      </c>
      <c r="Z62">
        <f>16+40</f>
        <v>56</v>
      </c>
      <c r="AA62">
        <v>10</v>
      </c>
      <c r="AB62">
        <v>8</v>
      </c>
      <c r="AC62">
        <v>4.5</v>
      </c>
      <c r="AD62">
        <f>15+6</f>
        <v>21</v>
      </c>
      <c r="AE62">
        <f>5.5+6</f>
        <v>11.5</v>
      </c>
      <c r="AF62" s="72">
        <f>8.5+12</f>
        <v>20.5</v>
      </c>
      <c r="AG62" s="54">
        <f>SUM(B62:AF62)</f>
        <v>1252.8</v>
      </c>
    </row>
    <row r="63" spans="1:33" x14ac:dyDescent="0.2">
      <c r="A63" s="16" t="str">
        <f>BUDGET!A15</f>
        <v>Healthcare</v>
      </c>
      <c r="P63">
        <v>245</v>
      </c>
      <c r="T63" s="6"/>
      <c r="U63" s="6"/>
      <c r="V63" s="6"/>
      <c r="W63" s="6"/>
      <c r="X63" s="6"/>
      <c r="Y63" s="6"/>
      <c r="Z63" s="6"/>
      <c r="AA63" s="6"/>
      <c r="AB63" s="6"/>
      <c r="AC63" s="6"/>
      <c r="AD63" s="6"/>
      <c r="AE63" s="6"/>
      <c r="AF63" s="6"/>
      <c r="AG63" s="54">
        <f t="shared" si="4"/>
        <v>245</v>
      </c>
    </row>
    <row r="64" spans="1:33" x14ac:dyDescent="0.2">
      <c r="A64" s="16" t="str">
        <f>BUDGET!A16</f>
        <v xml:space="preserve">Clothes/ Shoes/ Jewelry </v>
      </c>
      <c r="B64" s="6">
        <v>0</v>
      </c>
      <c r="C64" s="6"/>
      <c r="D64" s="6"/>
      <c r="E64" s="6"/>
      <c r="F64" s="6"/>
      <c r="G64" s="6"/>
      <c r="H64" s="6"/>
      <c r="I64" s="6"/>
      <c r="J64" s="6">
        <v>14</v>
      </c>
      <c r="K64" s="6"/>
      <c r="L64" s="6"/>
      <c r="M64" s="6"/>
      <c r="N64" s="6"/>
      <c r="O64" s="6"/>
      <c r="P64" s="6"/>
      <c r="Q64" s="6"/>
      <c r="R64" s="6"/>
      <c r="S64" s="6"/>
      <c r="T64" s="6"/>
      <c r="U64" s="6"/>
      <c r="V64" s="6"/>
      <c r="W64" s="6">
        <v>40</v>
      </c>
      <c r="X64" s="6">
        <v>200</v>
      </c>
      <c r="Y64" s="6"/>
      <c r="Z64" s="6"/>
      <c r="AA64" s="6"/>
      <c r="AB64" s="6">
        <v>10</v>
      </c>
      <c r="AC64" s="6"/>
      <c r="AD64" s="6"/>
      <c r="AE64" s="6"/>
      <c r="AF64" s="6"/>
      <c r="AG64" s="54">
        <f t="shared" si="4"/>
        <v>264</v>
      </c>
    </row>
    <row r="65" spans="1:33" x14ac:dyDescent="0.2">
      <c r="A65" s="16" t="str">
        <f>BUDGET!A17</f>
        <v>shoes</v>
      </c>
      <c r="B65" s="6">
        <v>0</v>
      </c>
      <c r="C65" s="6">
        <v>0</v>
      </c>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54">
        <f t="shared" si="4"/>
        <v>0</v>
      </c>
    </row>
    <row r="66" spans="1:33" x14ac:dyDescent="0.2">
      <c r="A66" s="16" t="str">
        <f>BUDGET!A18</f>
        <v xml:space="preserve">Travel/ Vacations </v>
      </c>
      <c r="B66" s="6">
        <v>0</v>
      </c>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54">
        <f t="shared" si="4"/>
        <v>0</v>
      </c>
    </row>
    <row r="67" spans="1:33" x14ac:dyDescent="0.2">
      <c r="A67" s="16" t="str">
        <f>BUDGET!A19</f>
        <v>Outings</v>
      </c>
      <c r="B67" s="6">
        <v>0</v>
      </c>
      <c r="C67" s="6"/>
      <c r="D67" s="6"/>
      <c r="E67" s="6"/>
      <c r="F67" s="6"/>
      <c r="G67" s="6"/>
      <c r="H67" s="6"/>
      <c r="I67" s="6"/>
      <c r="J67" s="6"/>
      <c r="K67" s="6"/>
      <c r="L67" s="6"/>
      <c r="M67" s="6"/>
      <c r="N67" s="6"/>
      <c r="O67" s="6"/>
      <c r="P67" s="6"/>
      <c r="Q67" s="6">
        <v>200</v>
      </c>
      <c r="R67" s="6"/>
      <c r="S67" s="6"/>
      <c r="T67" s="6"/>
      <c r="U67" s="6"/>
      <c r="V67" s="6"/>
      <c r="W67" s="6"/>
      <c r="X67" s="6"/>
      <c r="Y67" s="6"/>
      <c r="Z67" s="6"/>
      <c r="AA67" s="6"/>
      <c r="AB67" s="6"/>
      <c r="AC67" s="6"/>
      <c r="AD67" s="6"/>
      <c r="AE67" s="6"/>
      <c r="AF67" s="6"/>
      <c r="AG67" s="54">
        <f t="shared" si="4"/>
        <v>200</v>
      </c>
    </row>
    <row r="68" spans="1:33" x14ac:dyDescent="0.2">
      <c r="A68" s="16" t="str">
        <f>BUDGET!A20</f>
        <v>Toiletries/Groceries</v>
      </c>
      <c r="B68" s="6">
        <v>0</v>
      </c>
      <c r="C68" s="6"/>
      <c r="D68" s="6">
        <v>30</v>
      </c>
      <c r="E68" s="6"/>
      <c r="F68" s="6"/>
      <c r="G68" s="6">
        <v>39</v>
      </c>
      <c r="H68" s="6"/>
      <c r="I68" s="6"/>
      <c r="J68" s="6"/>
      <c r="K68" s="6"/>
      <c r="L68" s="6"/>
      <c r="M68" s="6"/>
      <c r="N68" s="6"/>
      <c r="O68" s="6"/>
      <c r="P68" s="6"/>
      <c r="Q68" s="6"/>
      <c r="R68" s="6"/>
      <c r="S68" s="6"/>
      <c r="T68" s="6"/>
      <c r="U68" s="6"/>
      <c r="V68" s="6"/>
      <c r="W68" s="6"/>
      <c r="X68" s="6"/>
      <c r="Y68" s="6">
        <v>48.48</v>
      </c>
      <c r="Z68" s="6"/>
      <c r="AA68" s="6"/>
      <c r="AB68" s="6"/>
      <c r="AC68" s="6"/>
      <c r="AD68" s="6"/>
      <c r="AE68" s="6"/>
      <c r="AF68" s="6"/>
      <c r="AG68" s="54">
        <f t="shared" si="4"/>
        <v>117.47999999999999</v>
      </c>
    </row>
    <row r="69" spans="1:33" x14ac:dyDescent="0.2">
      <c r="A69" s="16" t="str">
        <f>BUDGET!A21</f>
        <v xml:space="preserve">Transportation </v>
      </c>
      <c r="B69" s="6">
        <v>38</v>
      </c>
      <c r="C69" s="6">
        <v>38</v>
      </c>
      <c r="D69" s="6">
        <f>17+12</f>
        <v>29</v>
      </c>
      <c r="E69" s="6">
        <v>8</v>
      </c>
      <c r="F69" s="6"/>
      <c r="G69" s="6"/>
      <c r="H69" s="6">
        <v>14</v>
      </c>
      <c r="I69" s="6"/>
      <c r="J69" s="6">
        <v>4.5</v>
      </c>
      <c r="K69" s="6">
        <v>56</v>
      </c>
      <c r="L69" s="6"/>
      <c r="M69" s="6"/>
      <c r="N69" s="6"/>
      <c r="O69" s="6">
        <f>4+5+12</f>
        <v>21</v>
      </c>
      <c r="P69" s="6">
        <v>13</v>
      </c>
      <c r="R69" s="6">
        <f>2.5+7.5</f>
        <v>10</v>
      </c>
      <c r="S69" s="6"/>
      <c r="T69" s="6"/>
      <c r="U69" s="6">
        <f>7+5.5+2.5+7.5</f>
        <v>22.5</v>
      </c>
      <c r="V69" s="6">
        <f>7+5.5+4+12+4.5</f>
        <v>33</v>
      </c>
      <c r="W69" s="6">
        <f>7+5.5+4+5+4</f>
        <v>25.5</v>
      </c>
      <c r="X69" s="6">
        <f>5.5</f>
        <v>5.5</v>
      </c>
      <c r="Y69" s="6">
        <f>49+4+5+4</f>
        <v>62</v>
      </c>
      <c r="Z69" s="6">
        <f>33+56</f>
        <v>89</v>
      </c>
      <c r="AA69" s="6"/>
      <c r="AB69" s="6">
        <f>7+5.5+4+5+4</f>
        <v>25.5</v>
      </c>
      <c r="AC69" s="6">
        <f>7+5.5+4+5+4.5</f>
        <v>26</v>
      </c>
      <c r="AD69" s="6">
        <f>7+5.5+5+5+4.5</f>
        <v>27</v>
      </c>
      <c r="AE69" s="6">
        <f>7+5.5+4+5+4.5</f>
        <v>26</v>
      </c>
      <c r="AF69" s="6">
        <f>7+5.5+25+33</f>
        <v>70.5</v>
      </c>
      <c r="AG69" s="54">
        <f t="shared" si="4"/>
        <v>644</v>
      </c>
    </row>
    <row r="70" spans="1:33" x14ac:dyDescent="0.2">
      <c r="A70" s="16" t="str">
        <f>BUDGET!A22</f>
        <v>Miscellaneous</v>
      </c>
      <c r="B70" s="6">
        <v>0</v>
      </c>
      <c r="C70" s="6"/>
      <c r="D70" s="6"/>
      <c r="E70" s="6"/>
      <c r="F70" s="6"/>
      <c r="G70" s="6"/>
      <c r="H70" s="6">
        <v>95</v>
      </c>
      <c r="I70" s="6"/>
      <c r="J70" s="6"/>
      <c r="K70" s="6">
        <v>50</v>
      </c>
      <c r="L70" s="6">
        <v>65</v>
      </c>
      <c r="M70" s="6"/>
      <c r="N70" s="6"/>
      <c r="O70" s="6">
        <v>2</v>
      </c>
      <c r="P70" s="6"/>
      <c r="Q70" s="6"/>
      <c r="R70" s="6"/>
      <c r="S70" s="6"/>
      <c r="T70" s="6"/>
      <c r="U70" s="6"/>
      <c r="V70" s="6"/>
      <c r="W70" s="6"/>
      <c r="X70" s="6"/>
      <c r="Y70" s="6"/>
      <c r="Z70" s="6"/>
      <c r="AA70" s="6"/>
      <c r="AB70" s="6"/>
      <c r="AC70" s="6"/>
      <c r="AD70" s="6"/>
      <c r="AE70" s="6"/>
      <c r="AF70" s="6"/>
      <c r="AG70" s="54">
        <f t="shared" si="4"/>
        <v>212</v>
      </c>
    </row>
    <row r="71" spans="1:33" x14ac:dyDescent="0.2">
      <c r="A71" s="16" t="str">
        <f>BUDGET!A23</f>
        <v>Apple Subscriptions</v>
      </c>
      <c r="B71" s="6">
        <v>0</v>
      </c>
      <c r="C71" s="6"/>
      <c r="D71" s="6"/>
      <c r="E71" s="6"/>
      <c r="F71" s="6"/>
      <c r="G71" s="6"/>
      <c r="H71" s="6"/>
      <c r="I71" s="6"/>
      <c r="J71" s="6"/>
      <c r="K71" s="6"/>
      <c r="L71" s="6"/>
      <c r="M71" s="6"/>
      <c r="N71" s="6"/>
      <c r="O71" s="6"/>
      <c r="P71" s="6"/>
      <c r="Q71" s="6"/>
      <c r="R71" s="6"/>
      <c r="S71" s="6"/>
      <c r="T71" s="6"/>
      <c r="U71" s="6"/>
      <c r="V71" s="6"/>
      <c r="W71" s="6"/>
      <c r="X71" s="6"/>
      <c r="Y71" s="6"/>
      <c r="Z71" s="6"/>
      <c r="AA71" s="6">
        <v>13.25</v>
      </c>
      <c r="AB71" s="6"/>
      <c r="AC71" s="6"/>
      <c r="AD71" s="6"/>
      <c r="AE71" s="6"/>
      <c r="AF71" s="6"/>
      <c r="AG71" s="54">
        <f t="shared" si="4"/>
        <v>13.25</v>
      </c>
    </row>
    <row r="72" spans="1:33" x14ac:dyDescent="0.2">
      <c r="A72" s="16" t="str">
        <f>BUDGET!A24</f>
        <v>Google 1</v>
      </c>
      <c r="B72" s="6">
        <v>0</v>
      </c>
      <c r="C72" s="6"/>
      <c r="D72" s="6"/>
      <c r="E72" s="6"/>
      <c r="F72" s="6"/>
      <c r="G72" s="6"/>
      <c r="H72" s="6"/>
      <c r="I72" s="6"/>
      <c r="J72" s="6"/>
      <c r="K72" s="6">
        <v>9</v>
      </c>
      <c r="L72" s="6"/>
      <c r="M72" s="6"/>
      <c r="N72" s="6"/>
      <c r="O72" s="6"/>
      <c r="P72" s="6"/>
      <c r="Q72" s="6"/>
      <c r="R72" s="6"/>
      <c r="S72" s="6"/>
      <c r="T72" s="6"/>
      <c r="U72" s="6"/>
      <c r="V72" s="6"/>
      <c r="W72" s="6"/>
      <c r="X72" s="6"/>
      <c r="Y72" s="6"/>
      <c r="Z72" s="6"/>
      <c r="AA72" s="6"/>
      <c r="AB72" s="6"/>
      <c r="AC72" s="6"/>
      <c r="AD72" s="6"/>
      <c r="AE72" s="6"/>
      <c r="AF72" s="6"/>
      <c r="AG72" s="54">
        <f t="shared" si="4"/>
        <v>9</v>
      </c>
    </row>
    <row r="73" spans="1:33" x14ac:dyDescent="0.2">
      <c r="A73" s="16" t="str">
        <f>BUDGET!A25</f>
        <v>Netflix</v>
      </c>
      <c r="B73" s="6">
        <v>0</v>
      </c>
      <c r="C73" s="6"/>
      <c r="D73" s="6"/>
      <c r="E73" s="6"/>
      <c r="F73" s="6"/>
      <c r="G73" s="6"/>
      <c r="H73" s="6"/>
      <c r="I73" s="6"/>
      <c r="J73" s="6"/>
      <c r="K73" s="6"/>
      <c r="L73" s="6"/>
      <c r="M73" s="6"/>
      <c r="N73" s="6"/>
      <c r="O73" s="6"/>
      <c r="P73" s="6"/>
      <c r="Q73" s="6"/>
      <c r="R73" s="6"/>
      <c r="S73" s="6"/>
      <c r="T73" s="6">
        <v>108.57</v>
      </c>
      <c r="U73" s="6"/>
      <c r="V73" s="6"/>
      <c r="W73" s="6"/>
      <c r="X73" s="6"/>
      <c r="Y73" s="6"/>
      <c r="Z73" s="6"/>
      <c r="AA73" s="6"/>
      <c r="AB73" s="6"/>
      <c r="AC73" s="6"/>
      <c r="AD73" s="6"/>
      <c r="AE73" s="6"/>
      <c r="AF73" s="6"/>
      <c r="AG73" s="54">
        <f t="shared" si="4"/>
        <v>108.57</v>
      </c>
    </row>
    <row r="74" spans="1:33" x14ac:dyDescent="0.2">
      <c r="A74" s="16" t="str">
        <f>BUDGET!A26</f>
        <v>Amuse</v>
      </c>
      <c r="B74" s="6">
        <v>0</v>
      </c>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54">
        <f t="shared" si="4"/>
        <v>0</v>
      </c>
    </row>
    <row r="75" spans="1:33" x14ac:dyDescent="0.2">
      <c r="A75" s="16" t="str">
        <f>BUDGET!A27</f>
        <v>electricity</v>
      </c>
      <c r="B75" s="6">
        <v>0</v>
      </c>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54">
        <f t="shared" si="4"/>
        <v>0</v>
      </c>
    </row>
    <row r="76" spans="1:33" ht="16" thickBot="1" x14ac:dyDescent="0.25">
      <c r="A76" s="16" t="str">
        <f>BUDGET!A28</f>
        <v>Account Charges</v>
      </c>
      <c r="B76" s="6">
        <v>0</v>
      </c>
      <c r="C76" s="6"/>
      <c r="D76" s="6"/>
      <c r="E76" s="6"/>
      <c r="F76" s="6"/>
      <c r="G76" s="6"/>
      <c r="H76" s="6"/>
      <c r="I76" s="6"/>
      <c r="J76" s="6"/>
      <c r="K76" s="6"/>
      <c r="L76" s="6"/>
      <c r="M76" s="6"/>
      <c r="N76" s="6"/>
      <c r="O76" s="6"/>
      <c r="P76" s="6"/>
      <c r="Q76" s="6"/>
      <c r="R76" s="6"/>
      <c r="S76" s="6"/>
      <c r="T76" s="6"/>
      <c r="U76" s="6"/>
      <c r="V76" s="6">
        <v>10</v>
      </c>
      <c r="W76" s="6">
        <v>14</v>
      </c>
      <c r="X76" s="6">
        <v>4</v>
      </c>
      <c r="Y76" s="6"/>
      <c r="Z76" s="6"/>
      <c r="AA76" s="6"/>
      <c r="AB76" s="6"/>
      <c r="AC76" s="6"/>
      <c r="AD76" s="6"/>
      <c r="AE76" s="6"/>
      <c r="AF76" s="6"/>
      <c r="AG76" s="54">
        <f t="shared" si="4"/>
        <v>28</v>
      </c>
    </row>
    <row r="77" spans="1:33" ht="17" thickBot="1" x14ac:dyDescent="0.25">
      <c r="A77" s="20" t="s">
        <v>11</v>
      </c>
      <c r="B77" s="21">
        <f>SUM(B57:B76)</f>
        <v>48</v>
      </c>
      <c r="C77" s="21">
        <f>SUM(C57:C76)</f>
        <v>49</v>
      </c>
      <c r="D77" s="21">
        <f>SUM(D57:D76)</f>
        <v>165</v>
      </c>
      <c r="E77" s="21">
        <f>SUM(E57:E76)</f>
        <v>432</v>
      </c>
      <c r="F77" s="21">
        <f>SUM(F57:F76)</f>
        <v>146.9</v>
      </c>
      <c r="G77" s="21">
        <f t="shared" ref="G77:AG77" si="5">SUM(G57:G76)</f>
        <v>79</v>
      </c>
      <c r="H77" s="21">
        <f t="shared" si="5"/>
        <v>150</v>
      </c>
      <c r="I77" s="21">
        <f t="shared" si="5"/>
        <v>6</v>
      </c>
      <c r="J77" s="21">
        <f t="shared" si="5"/>
        <v>27.5</v>
      </c>
      <c r="K77" s="21">
        <f t="shared" si="5"/>
        <v>278</v>
      </c>
      <c r="L77" s="21">
        <f t="shared" si="5"/>
        <v>75</v>
      </c>
      <c r="M77" s="21">
        <f t="shared" si="5"/>
        <v>10</v>
      </c>
      <c r="N77" s="21">
        <f>SUM(N57:N76)</f>
        <v>2</v>
      </c>
      <c r="O77" s="21">
        <f t="shared" si="5"/>
        <v>42</v>
      </c>
      <c r="P77" s="21">
        <f t="shared" si="5"/>
        <v>263.5</v>
      </c>
      <c r="Q77" s="21">
        <f t="shared" si="5"/>
        <v>210</v>
      </c>
      <c r="R77" s="21">
        <f t="shared" si="5"/>
        <v>130.5</v>
      </c>
      <c r="S77" s="21">
        <f t="shared" si="5"/>
        <v>72.400000000000006</v>
      </c>
      <c r="T77" s="21">
        <f t="shared" si="5"/>
        <v>223.57</v>
      </c>
      <c r="U77" s="21">
        <f t="shared" si="5"/>
        <v>26.5</v>
      </c>
      <c r="V77" s="21">
        <f t="shared" si="5"/>
        <v>128</v>
      </c>
      <c r="W77" s="21">
        <f t="shared" si="5"/>
        <v>1486.5</v>
      </c>
      <c r="X77" s="21">
        <f t="shared" si="5"/>
        <v>565.5</v>
      </c>
      <c r="Y77" s="21">
        <f t="shared" si="5"/>
        <v>114.47999999999999</v>
      </c>
      <c r="Z77" s="21">
        <f t="shared" si="5"/>
        <v>145</v>
      </c>
      <c r="AA77" s="21">
        <f t="shared" si="5"/>
        <v>23.25</v>
      </c>
      <c r="AB77" s="21">
        <f t="shared" si="5"/>
        <v>543.5</v>
      </c>
      <c r="AC77" s="21">
        <f t="shared" si="5"/>
        <v>30.5</v>
      </c>
      <c r="AD77" s="21">
        <f t="shared" si="5"/>
        <v>48</v>
      </c>
      <c r="AE77" s="21">
        <f t="shared" si="5"/>
        <v>37.5</v>
      </c>
      <c r="AF77" s="21">
        <f t="shared" si="5"/>
        <v>91</v>
      </c>
      <c r="AG77" s="56">
        <f t="shared" si="5"/>
        <v>5650.0999999999995</v>
      </c>
    </row>
    <row r="78" spans="1:33" ht="17" thickTop="1" x14ac:dyDescent="0.2">
      <c r="A78" s="5"/>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57"/>
    </row>
    <row r="79" spans="1:33" ht="16" x14ac:dyDescent="0.2">
      <c r="A79" s="5"/>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57"/>
    </row>
    <row r="80" spans="1:33" ht="16" x14ac:dyDescent="0.2">
      <c r="A80" s="5"/>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57"/>
    </row>
    <row r="81" spans="1:36" x14ac:dyDescent="0.2">
      <c r="A81" s="14" t="s">
        <v>190</v>
      </c>
      <c r="B81" s="7">
        <v>1</v>
      </c>
      <c r="C81" s="7">
        <v>2</v>
      </c>
      <c r="D81" s="7">
        <v>3</v>
      </c>
      <c r="E81" s="2">
        <v>4</v>
      </c>
      <c r="F81" s="2">
        <v>5</v>
      </c>
      <c r="G81" s="2">
        <v>6</v>
      </c>
      <c r="H81" s="2">
        <v>7</v>
      </c>
      <c r="I81" s="2">
        <v>8</v>
      </c>
      <c r="J81" s="2">
        <v>9</v>
      </c>
      <c r="K81" s="2">
        <v>10</v>
      </c>
      <c r="L81" s="2">
        <v>11</v>
      </c>
      <c r="M81" s="2">
        <v>12</v>
      </c>
      <c r="N81" s="2">
        <v>13</v>
      </c>
      <c r="O81" s="2">
        <v>14</v>
      </c>
      <c r="P81" s="2">
        <v>15</v>
      </c>
      <c r="Q81" s="2">
        <v>16</v>
      </c>
      <c r="R81" s="2">
        <v>17</v>
      </c>
      <c r="S81" s="2">
        <v>18</v>
      </c>
      <c r="T81" s="2">
        <v>19</v>
      </c>
      <c r="U81" s="2">
        <v>20</v>
      </c>
      <c r="V81" s="2">
        <v>21</v>
      </c>
      <c r="W81" s="2">
        <v>22</v>
      </c>
      <c r="X81" s="2">
        <v>23</v>
      </c>
      <c r="Y81" s="2">
        <v>24</v>
      </c>
      <c r="Z81" s="2">
        <v>25</v>
      </c>
      <c r="AA81" s="2">
        <v>26</v>
      </c>
      <c r="AB81" s="2">
        <v>27</v>
      </c>
      <c r="AC81" s="2">
        <v>28</v>
      </c>
      <c r="AD81" s="2">
        <v>29</v>
      </c>
      <c r="AE81" s="2">
        <v>30</v>
      </c>
      <c r="AF81" s="2">
        <v>31</v>
      </c>
      <c r="AG81" s="52" t="s">
        <v>0</v>
      </c>
    </row>
    <row r="82" spans="1:36" x14ac:dyDescent="0.2">
      <c r="A82" s="3"/>
      <c r="B82" s="3" t="s">
        <v>1</v>
      </c>
      <c r="C82" s="3" t="s">
        <v>1</v>
      </c>
      <c r="D82" s="3" t="s">
        <v>1</v>
      </c>
      <c r="E82" s="3" t="s">
        <v>1</v>
      </c>
      <c r="F82" s="3" t="s">
        <v>1</v>
      </c>
      <c r="G82" s="3" t="s">
        <v>1</v>
      </c>
      <c r="H82" s="3" t="s">
        <v>1</v>
      </c>
      <c r="I82" s="3" t="s">
        <v>1</v>
      </c>
      <c r="J82" s="3" t="s">
        <v>1</v>
      </c>
      <c r="K82" s="3" t="s">
        <v>1</v>
      </c>
      <c r="L82" s="3" t="s">
        <v>1</v>
      </c>
      <c r="M82" s="3" t="s">
        <v>1</v>
      </c>
      <c r="N82" s="3" t="s">
        <v>1</v>
      </c>
      <c r="O82" s="3" t="s">
        <v>1</v>
      </c>
      <c r="P82" s="3" t="s">
        <v>1</v>
      </c>
      <c r="Q82" s="3" t="s">
        <v>1</v>
      </c>
      <c r="R82" s="3" t="s">
        <v>1</v>
      </c>
      <c r="S82" s="3" t="s">
        <v>1</v>
      </c>
      <c r="T82" s="3" t="s">
        <v>1</v>
      </c>
      <c r="U82" s="3" t="s">
        <v>1</v>
      </c>
      <c r="V82" s="3" t="s">
        <v>1</v>
      </c>
      <c r="W82" s="3" t="s">
        <v>1</v>
      </c>
      <c r="X82" s="3" t="s">
        <v>1</v>
      </c>
      <c r="Y82" s="3" t="s">
        <v>1</v>
      </c>
      <c r="Z82" s="3" t="s">
        <v>1</v>
      </c>
      <c r="AA82" s="3" t="s">
        <v>1</v>
      </c>
      <c r="AB82" s="3" t="s">
        <v>1</v>
      </c>
      <c r="AC82" s="3" t="s">
        <v>1</v>
      </c>
      <c r="AD82" s="3" t="s">
        <v>1</v>
      </c>
      <c r="AE82" s="3" t="s">
        <v>1</v>
      </c>
      <c r="AF82" s="3" t="s">
        <v>1</v>
      </c>
      <c r="AG82" s="53" t="s">
        <v>1</v>
      </c>
    </row>
    <row r="83" spans="1:36" x14ac:dyDescent="0.2">
      <c r="A83" s="16" t="str">
        <f>BUDGET!A9</f>
        <v>Rent</v>
      </c>
      <c r="B83" s="6">
        <v>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54">
        <f t="shared" ref="AG83:AG102" si="6">SUM(B83:AF83)</f>
        <v>0</v>
      </c>
    </row>
    <row r="84" spans="1:36" x14ac:dyDescent="0.2">
      <c r="A84" s="16" t="str">
        <f>BUDGET!A10</f>
        <v>Tithe</v>
      </c>
      <c r="B84" s="6"/>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385</v>
      </c>
      <c r="Y84" s="6">
        <v>0</v>
      </c>
      <c r="Z84" s="6">
        <v>0</v>
      </c>
      <c r="AA84" s="6">
        <v>0</v>
      </c>
      <c r="AB84" s="6">
        <v>0</v>
      </c>
      <c r="AC84" s="6">
        <v>0</v>
      </c>
      <c r="AD84" s="6">
        <v>0</v>
      </c>
      <c r="AE84" s="6">
        <v>0</v>
      </c>
      <c r="AF84" s="6">
        <v>0</v>
      </c>
      <c r="AG84" s="54">
        <f t="shared" si="6"/>
        <v>385</v>
      </c>
    </row>
    <row r="85" spans="1:36" x14ac:dyDescent="0.2">
      <c r="A85" s="16" t="str">
        <f>BUDGET!A11</f>
        <v>Data</v>
      </c>
      <c r="B85" s="6">
        <v>0</v>
      </c>
      <c r="C85" s="6">
        <v>0</v>
      </c>
      <c r="D85" s="6">
        <v>0</v>
      </c>
      <c r="E85" s="6">
        <v>0</v>
      </c>
      <c r="F85" s="6">
        <v>0</v>
      </c>
      <c r="G85" s="6">
        <v>300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54">
        <f t="shared" si="6"/>
        <v>300</v>
      </c>
    </row>
    <row r="86" spans="1:36" x14ac:dyDescent="0.2">
      <c r="A86" s="16" t="str">
        <f>BUDGET!A12</f>
        <v xml:space="preserve">Savings/ Investment </v>
      </c>
      <c r="B86" s="6"/>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500</v>
      </c>
      <c r="V86" s="6">
        <v>0</v>
      </c>
      <c r="W86" s="6">
        <v>0</v>
      </c>
      <c r="X86" s="6">
        <v>0</v>
      </c>
      <c r="Y86" s="6">
        <v>0</v>
      </c>
      <c r="Z86" s="6">
        <v>0</v>
      </c>
      <c r="AA86" s="6">
        <v>0</v>
      </c>
      <c r="AB86" s="6">
        <v>0</v>
      </c>
      <c r="AC86" s="6">
        <v>0</v>
      </c>
      <c r="AD86" s="6">
        <v>0</v>
      </c>
      <c r="AE86" s="6">
        <v>0</v>
      </c>
      <c r="AF86" s="6">
        <v>0</v>
      </c>
      <c r="AG86" s="54">
        <f t="shared" si="6"/>
        <v>500</v>
      </c>
      <c r="AI86">
        <f>23+7</f>
        <v>30</v>
      </c>
      <c r="AJ86">
        <f>7+50</f>
        <v>57</v>
      </c>
    </row>
    <row r="87" spans="1:36" x14ac:dyDescent="0.2">
      <c r="A87" s="16" t="str">
        <f>BUDGET!A13</f>
        <v>Hair / Gym</v>
      </c>
      <c r="B87" s="6">
        <v>0</v>
      </c>
      <c r="C87" s="6">
        <v>0</v>
      </c>
      <c r="D87" s="6">
        <v>0</v>
      </c>
      <c r="E87" s="6">
        <v>0</v>
      </c>
      <c r="F87" s="6">
        <v>0</v>
      </c>
      <c r="G87" s="6">
        <v>0</v>
      </c>
      <c r="H87" s="6">
        <v>0</v>
      </c>
      <c r="I87" s="6">
        <v>0</v>
      </c>
      <c r="J87" s="6">
        <v>0</v>
      </c>
      <c r="K87" s="6">
        <v>0</v>
      </c>
      <c r="L87" s="6">
        <v>0</v>
      </c>
      <c r="M87" s="6">
        <v>0</v>
      </c>
      <c r="N87" s="6">
        <v>0</v>
      </c>
      <c r="O87" s="6">
        <v>0</v>
      </c>
      <c r="P87" s="6">
        <v>0</v>
      </c>
      <c r="Q87" s="6">
        <v>0</v>
      </c>
      <c r="R87" s="6">
        <v>0</v>
      </c>
      <c r="S87" s="6">
        <v>0</v>
      </c>
      <c r="T87" s="6">
        <v>0</v>
      </c>
      <c r="U87" s="6">
        <v>20</v>
      </c>
      <c r="V87" s="6">
        <v>0</v>
      </c>
      <c r="W87" s="6">
        <v>0</v>
      </c>
      <c r="X87" s="6">
        <v>0</v>
      </c>
      <c r="Y87" s="6">
        <v>0</v>
      </c>
      <c r="Z87" s="6">
        <v>0</v>
      </c>
      <c r="AA87" s="6">
        <v>0</v>
      </c>
      <c r="AB87" s="6">
        <v>0</v>
      </c>
      <c r="AC87" s="6">
        <v>0</v>
      </c>
      <c r="AD87" s="6">
        <v>0</v>
      </c>
      <c r="AE87" s="6">
        <v>0</v>
      </c>
      <c r="AF87" s="6">
        <v>0</v>
      </c>
      <c r="AG87" s="54">
        <f t="shared" si="6"/>
        <v>20</v>
      </c>
    </row>
    <row r="88" spans="1:36" x14ac:dyDescent="0.2">
      <c r="A88" s="16" t="str">
        <f>BUDGET!A14</f>
        <v>Food</v>
      </c>
      <c r="B88" s="6">
        <f>8+100.35</f>
        <v>108.35</v>
      </c>
      <c r="C88" s="6">
        <v>0</v>
      </c>
      <c r="D88" s="6">
        <f>6+12.5+2.5</f>
        <v>21</v>
      </c>
      <c r="E88" s="6">
        <f>2.5+5</f>
        <v>7.5</v>
      </c>
      <c r="F88" s="6">
        <v>20</v>
      </c>
      <c r="G88" s="6">
        <v>0</v>
      </c>
      <c r="H88" s="6">
        <f>10+7</f>
        <v>17</v>
      </c>
      <c r="I88" s="6">
        <v>0</v>
      </c>
      <c r="J88" s="6">
        <v>0</v>
      </c>
      <c r="K88" s="6">
        <f>10+10</f>
        <v>20</v>
      </c>
      <c r="L88" s="6">
        <v>0</v>
      </c>
      <c r="M88" s="6">
        <f>10+10</f>
        <v>20</v>
      </c>
      <c r="N88" s="6">
        <v>8</v>
      </c>
      <c r="O88" s="6">
        <f>9+6</f>
        <v>15</v>
      </c>
      <c r="P88" s="6">
        <v>0</v>
      </c>
      <c r="Q88" s="104">
        <f>5+17.5+10</f>
        <v>32.5</v>
      </c>
      <c r="R88" s="6">
        <v>0</v>
      </c>
      <c r="S88" s="6">
        <v>0</v>
      </c>
      <c r="T88" s="104">
        <f>3+19+10+8</f>
        <v>40</v>
      </c>
      <c r="U88" s="6">
        <f>3+10</f>
        <v>13</v>
      </c>
      <c r="V88" s="6">
        <f>54+17+30</f>
        <v>101</v>
      </c>
      <c r="W88" s="6">
        <f>99+29+3+60+40</f>
        <v>231</v>
      </c>
      <c r="X88" s="6">
        <v>12</v>
      </c>
      <c r="Y88" s="6">
        <f>38+10</f>
        <v>48</v>
      </c>
      <c r="Z88" s="6">
        <f>5+9</f>
        <v>14</v>
      </c>
      <c r="AA88" s="6">
        <v>5</v>
      </c>
      <c r="AB88" s="6">
        <v>20</v>
      </c>
      <c r="AC88" s="6">
        <f>5+80+12</f>
        <v>97</v>
      </c>
      <c r="AD88" s="6">
        <v>0</v>
      </c>
      <c r="AE88" s="6">
        <v>0</v>
      </c>
      <c r="AF88" s="6">
        <v>0</v>
      </c>
      <c r="AG88" s="54">
        <f t="shared" si="6"/>
        <v>850.35</v>
      </c>
      <c r="AI88">
        <f>AI86+AJ86</f>
        <v>87</v>
      </c>
    </row>
    <row r="89" spans="1:36" x14ac:dyDescent="0.2">
      <c r="A89" s="16" t="str">
        <f>BUDGET!A15</f>
        <v>Healthcare</v>
      </c>
      <c r="B89" s="6">
        <v>0</v>
      </c>
      <c r="C89" s="6">
        <v>0</v>
      </c>
      <c r="D89" s="6">
        <v>0</v>
      </c>
      <c r="E89" s="6">
        <v>0</v>
      </c>
      <c r="F89" s="6">
        <v>0</v>
      </c>
      <c r="G89" s="6">
        <v>0</v>
      </c>
      <c r="H89" s="6">
        <v>0</v>
      </c>
      <c r="I89" s="6">
        <v>0</v>
      </c>
      <c r="J89" s="6">
        <v>0</v>
      </c>
      <c r="K89" s="6">
        <v>0</v>
      </c>
      <c r="L89" s="6">
        <v>0</v>
      </c>
      <c r="M89" s="6">
        <v>0</v>
      </c>
      <c r="N89" s="6">
        <v>0</v>
      </c>
      <c r="O89" s="6">
        <v>0</v>
      </c>
      <c r="P89" s="6">
        <v>0</v>
      </c>
      <c r="Q89" s="6">
        <v>0</v>
      </c>
      <c r="R89" s="6">
        <v>0</v>
      </c>
      <c r="S89" s="6">
        <v>17</v>
      </c>
      <c r="T89" s="6">
        <v>0</v>
      </c>
      <c r="U89" s="6">
        <v>0</v>
      </c>
      <c r="V89" s="6">
        <v>0</v>
      </c>
      <c r="W89" s="6"/>
      <c r="X89" s="6">
        <v>0</v>
      </c>
      <c r="Y89" s="6">
        <v>0</v>
      </c>
      <c r="Z89" s="6">
        <v>0</v>
      </c>
      <c r="AA89" s="6">
        <v>0</v>
      </c>
      <c r="AB89" s="6">
        <v>0</v>
      </c>
      <c r="AC89" s="6">
        <v>0</v>
      </c>
      <c r="AD89" s="6">
        <v>0</v>
      </c>
      <c r="AE89" s="6">
        <v>0</v>
      </c>
      <c r="AF89" s="6">
        <v>0</v>
      </c>
      <c r="AG89" s="54">
        <f t="shared" si="6"/>
        <v>17</v>
      </c>
    </row>
    <row r="90" spans="1:36" x14ac:dyDescent="0.2">
      <c r="A90" s="16" t="str">
        <f>BUDGET!A16</f>
        <v xml:space="preserve">Clothes/ Shoes/ Jewelry </v>
      </c>
      <c r="B90" s="6"/>
      <c r="C90" s="6">
        <v>0</v>
      </c>
      <c r="D90" s="6">
        <v>0</v>
      </c>
      <c r="E90" s="6">
        <v>0</v>
      </c>
      <c r="F90" s="6">
        <v>0</v>
      </c>
      <c r="G90" s="6">
        <v>0</v>
      </c>
      <c r="H90" s="6">
        <v>0</v>
      </c>
      <c r="I90" s="6">
        <v>0</v>
      </c>
      <c r="J90" s="6">
        <v>0</v>
      </c>
      <c r="K90" s="6">
        <v>0</v>
      </c>
      <c r="L90" s="6">
        <v>0</v>
      </c>
      <c r="M90" s="6">
        <v>0</v>
      </c>
      <c r="N90" s="6">
        <v>0</v>
      </c>
      <c r="O90" s="6">
        <v>0</v>
      </c>
      <c r="P90" s="6">
        <v>0</v>
      </c>
      <c r="Q90" s="6">
        <v>0</v>
      </c>
      <c r="R90" s="6">
        <v>0</v>
      </c>
      <c r="S90" s="6">
        <v>0</v>
      </c>
      <c r="T90" s="6">
        <v>0</v>
      </c>
      <c r="U90" s="6">
        <v>470</v>
      </c>
      <c r="V90" s="6">
        <v>0</v>
      </c>
      <c r="W90" s="6">
        <v>0</v>
      </c>
      <c r="X90" s="6">
        <v>0</v>
      </c>
      <c r="Y90" s="6">
        <v>0</v>
      </c>
      <c r="Z90" s="6">
        <v>0</v>
      </c>
      <c r="AA90" s="6">
        <v>0</v>
      </c>
      <c r="AB90" s="6">
        <v>0</v>
      </c>
      <c r="AC90" s="6">
        <v>0</v>
      </c>
      <c r="AD90" s="6">
        <v>0</v>
      </c>
      <c r="AE90" s="6">
        <v>0</v>
      </c>
      <c r="AF90" s="6">
        <v>0</v>
      </c>
      <c r="AG90" s="54">
        <f t="shared" si="6"/>
        <v>470</v>
      </c>
    </row>
    <row r="91" spans="1:36" x14ac:dyDescent="0.2">
      <c r="A91" s="16" t="str">
        <f>BUDGET!A17</f>
        <v>shoes</v>
      </c>
      <c r="B91" s="6">
        <v>0</v>
      </c>
      <c r="C91" s="6">
        <v>0</v>
      </c>
      <c r="D91" s="6">
        <v>0</v>
      </c>
      <c r="E91" s="6">
        <v>0</v>
      </c>
      <c r="F91" s="6">
        <v>0</v>
      </c>
      <c r="G91" s="6">
        <v>0</v>
      </c>
      <c r="H91" s="6">
        <v>0</v>
      </c>
      <c r="I91" s="6">
        <v>0</v>
      </c>
      <c r="J91" s="6">
        <v>0</v>
      </c>
      <c r="K91" s="6">
        <v>0</v>
      </c>
      <c r="L91" s="6">
        <v>0</v>
      </c>
      <c r="M91" s="6">
        <v>0</v>
      </c>
      <c r="N91" s="6">
        <v>0</v>
      </c>
      <c r="O91" s="6">
        <v>0</v>
      </c>
      <c r="P91" s="6">
        <v>0</v>
      </c>
      <c r="Q91" s="6">
        <v>0</v>
      </c>
      <c r="R91" s="6">
        <v>0</v>
      </c>
      <c r="S91" s="6">
        <v>0</v>
      </c>
      <c r="T91" s="6">
        <v>0</v>
      </c>
      <c r="U91" s="6">
        <v>0</v>
      </c>
      <c r="V91" s="6">
        <v>0</v>
      </c>
      <c r="W91" s="6">
        <v>0</v>
      </c>
      <c r="X91" s="6">
        <v>0</v>
      </c>
      <c r="Y91" s="6">
        <v>0</v>
      </c>
      <c r="Z91" s="6">
        <v>0</v>
      </c>
      <c r="AA91" s="6">
        <v>0</v>
      </c>
      <c r="AB91" s="6">
        <v>0</v>
      </c>
      <c r="AC91" s="6">
        <v>0</v>
      </c>
      <c r="AD91" s="6">
        <v>0</v>
      </c>
      <c r="AE91" s="6">
        <v>0</v>
      </c>
      <c r="AF91" s="6">
        <v>0</v>
      </c>
      <c r="AG91" s="54">
        <f t="shared" si="6"/>
        <v>0</v>
      </c>
    </row>
    <row r="92" spans="1:36" x14ac:dyDescent="0.2">
      <c r="A92" s="16" t="str">
        <f>BUDGET!A18</f>
        <v xml:space="preserve">Travel/ Vacations </v>
      </c>
      <c r="B92" s="6"/>
      <c r="C92" s="6">
        <v>0</v>
      </c>
      <c r="D92" s="6">
        <v>0</v>
      </c>
      <c r="E92" s="6">
        <v>0</v>
      </c>
      <c r="F92" s="6">
        <v>0</v>
      </c>
      <c r="G92" s="6">
        <v>0</v>
      </c>
      <c r="H92" s="6">
        <v>0</v>
      </c>
      <c r="I92" s="6">
        <v>0</v>
      </c>
      <c r="J92" s="6">
        <v>0</v>
      </c>
      <c r="K92" s="6">
        <v>0</v>
      </c>
      <c r="L92" s="6">
        <v>0</v>
      </c>
      <c r="M92" s="6">
        <v>0</v>
      </c>
      <c r="N92" s="6">
        <v>0</v>
      </c>
      <c r="O92" s="6">
        <v>0</v>
      </c>
      <c r="P92" s="6">
        <v>0</v>
      </c>
      <c r="Q92" s="6">
        <v>0</v>
      </c>
      <c r="R92" s="6">
        <v>0</v>
      </c>
      <c r="S92" s="6">
        <v>0</v>
      </c>
      <c r="T92" s="6">
        <v>0</v>
      </c>
      <c r="U92" s="6">
        <v>0</v>
      </c>
      <c r="V92" s="6">
        <v>0</v>
      </c>
      <c r="W92" s="6">
        <v>0</v>
      </c>
      <c r="X92" s="6">
        <v>0</v>
      </c>
      <c r="Y92" s="6">
        <v>0</v>
      </c>
      <c r="Z92" s="6">
        <v>0</v>
      </c>
      <c r="AA92" s="6">
        <v>0</v>
      </c>
      <c r="AB92" s="6">
        <v>0</v>
      </c>
      <c r="AC92" s="6">
        <v>0</v>
      </c>
      <c r="AD92" s="6">
        <v>0</v>
      </c>
      <c r="AE92" s="6">
        <v>0</v>
      </c>
      <c r="AF92" s="6">
        <v>0</v>
      </c>
      <c r="AG92" s="54">
        <f t="shared" si="6"/>
        <v>0</v>
      </c>
    </row>
    <row r="93" spans="1:36" x14ac:dyDescent="0.2">
      <c r="A93" s="16" t="str">
        <f>BUDGET!A19</f>
        <v>Outings</v>
      </c>
      <c r="B93" s="6"/>
      <c r="C93" s="6">
        <v>0</v>
      </c>
      <c r="D93" s="6">
        <v>0</v>
      </c>
      <c r="E93" s="6">
        <v>100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54">
        <f t="shared" si="6"/>
        <v>100</v>
      </c>
    </row>
    <row r="94" spans="1:36" x14ac:dyDescent="0.2">
      <c r="A94" s="16" t="str">
        <f>BUDGET!A20</f>
        <v>Toiletries/Groceries</v>
      </c>
      <c r="B94" s="6"/>
      <c r="C94" s="6">
        <v>136.91999999999999</v>
      </c>
      <c r="D94" s="6">
        <v>39</v>
      </c>
      <c r="E94" s="6">
        <v>0</v>
      </c>
      <c r="F94" s="6">
        <v>0</v>
      </c>
      <c r="G94" s="6">
        <v>0</v>
      </c>
      <c r="H94" s="6">
        <v>0</v>
      </c>
      <c r="I94" s="6">
        <v>0</v>
      </c>
      <c r="J94" s="6">
        <v>4</v>
      </c>
      <c r="K94" s="6">
        <v>4.5</v>
      </c>
      <c r="L94" s="6">
        <v>0</v>
      </c>
      <c r="M94" s="6">
        <v>0</v>
      </c>
      <c r="N94" s="6">
        <v>0</v>
      </c>
      <c r="O94" s="6">
        <v>0</v>
      </c>
      <c r="P94" s="6">
        <v>0</v>
      </c>
      <c r="Q94" s="6">
        <v>0</v>
      </c>
      <c r="R94" s="6">
        <v>0</v>
      </c>
      <c r="S94" s="6">
        <v>0</v>
      </c>
      <c r="T94" s="6">
        <v>0</v>
      </c>
      <c r="U94" s="6">
        <v>0</v>
      </c>
      <c r="V94" s="6">
        <v>0</v>
      </c>
      <c r="W94" s="6">
        <f>69.47+18+8.5</f>
        <v>95.97</v>
      </c>
      <c r="X94" s="6">
        <v>0</v>
      </c>
      <c r="Y94" s="6">
        <f>68+4.5</f>
        <v>72.5</v>
      </c>
      <c r="Z94" s="6">
        <v>0</v>
      </c>
      <c r="AA94" s="6">
        <v>0</v>
      </c>
      <c r="AB94" s="6">
        <v>0</v>
      </c>
      <c r="AC94" s="6">
        <v>0</v>
      </c>
      <c r="AD94" s="6">
        <v>0</v>
      </c>
      <c r="AE94" s="6">
        <v>0</v>
      </c>
      <c r="AF94" s="6">
        <v>0</v>
      </c>
      <c r="AG94" s="54">
        <f t="shared" si="6"/>
        <v>352.89</v>
      </c>
    </row>
    <row r="95" spans="1:36" x14ac:dyDescent="0.2">
      <c r="A95" s="16" t="str">
        <f>BUDGET!A21</f>
        <v xml:space="preserve">Transportation </v>
      </c>
      <c r="B95" s="6"/>
      <c r="C95" s="6">
        <v>62</v>
      </c>
      <c r="D95" s="6">
        <v>0</v>
      </c>
      <c r="E95" s="6">
        <f>5+12</f>
        <v>17</v>
      </c>
      <c r="F95" s="6">
        <v>20</v>
      </c>
      <c r="G95" s="6">
        <v>13</v>
      </c>
      <c r="H95" s="6">
        <f>3+10</f>
        <v>13</v>
      </c>
      <c r="I95" s="6">
        <v>0</v>
      </c>
      <c r="J95" s="6">
        <v>45</v>
      </c>
      <c r="K95" s="104">
        <v>32</v>
      </c>
      <c r="L95" s="6">
        <v>0</v>
      </c>
      <c r="M95" s="6">
        <v>0</v>
      </c>
      <c r="N95" s="6">
        <v>0</v>
      </c>
      <c r="O95" s="6">
        <f>4.5+5+4.5</f>
        <v>14</v>
      </c>
      <c r="P95" s="6">
        <v>50</v>
      </c>
      <c r="Q95" s="6">
        <v>49</v>
      </c>
      <c r="R95" s="6">
        <v>0</v>
      </c>
      <c r="S95" s="6">
        <v>0</v>
      </c>
      <c r="T95" s="6">
        <v>30</v>
      </c>
      <c r="U95" s="6">
        <v>0</v>
      </c>
      <c r="V95" s="6">
        <v>53</v>
      </c>
      <c r="W95" s="6">
        <f>3+3+10</f>
        <v>16</v>
      </c>
      <c r="X95" s="6">
        <v>40</v>
      </c>
      <c r="Y95" s="6">
        <v>0</v>
      </c>
      <c r="Z95" s="6">
        <v>0</v>
      </c>
      <c r="AA95" s="6">
        <v>0</v>
      </c>
      <c r="AB95" s="6">
        <v>0</v>
      </c>
      <c r="AC95" s="6">
        <f>4+2</f>
        <v>6</v>
      </c>
      <c r="AD95" s="6">
        <v>0</v>
      </c>
      <c r="AE95" s="6">
        <v>0</v>
      </c>
      <c r="AF95" s="6">
        <v>0</v>
      </c>
      <c r="AG95" s="54">
        <f t="shared" si="6"/>
        <v>460</v>
      </c>
    </row>
    <row r="96" spans="1:36" x14ac:dyDescent="0.2">
      <c r="A96" s="16" t="str">
        <f>BUDGET!A22</f>
        <v>Miscellaneous</v>
      </c>
      <c r="B96" s="6"/>
      <c r="C96" s="6">
        <v>0</v>
      </c>
      <c r="D96" s="6">
        <v>0</v>
      </c>
      <c r="E96" s="6">
        <v>0</v>
      </c>
      <c r="F96" s="6">
        <v>5</v>
      </c>
      <c r="G96" s="6">
        <v>0</v>
      </c>
      <c r="H96" s="6">
        <v>208</v>
      </c>
      <c r="I96" s="6">
        <v>0</v>
      </c>
      <c r="J96" s="6">
        <v>100</v>
      </c>
      <c r="K96" s="104">
        <v>35</v>
      </c>
      <c r="L96" s="6">
        <v>0</v>
      </c>
      <c r="M96" s="6">
        <v>0</v>
      </c>
      <c r="N96" s="6">
        <v>0</v>
      </c>
      <c r="O96" s="6">
        <v>0</v>
      </c>
      <c r="P96" s="6">
        <v>0</v>
      </c>
      <c r="Q96" s="6">
        <v>0</v>
      </c>
      <c r="R96" s="6">
        <v>50</v>
      </c>
      <c r="S96" s="6">
        <v>0</v>
      </c>
      <c r="T96" s="6">
        <v>0</v>
      </c>
      <c r="U96" s="6">
        <v>15</v>
      </c>
      <c r="V96" s="6">
        <v>0</v>
      </c>
      <c r="W96" s="6">
        <v>0</v>
      </c>
      <c r="X96" s="6">
        <v>0</v>
      </c>
      <c r="Y96" s="6">
        <v>0</v>
      </c>
      <c r="Z96" s="6">
        <v>0</v>
      </c>
      <c r="AA96" s="6">
        <v>0</v>
      </c>
      <c r="AB96" s="6">
        <v>0</v>
      </c>
      <c r="AC96" s="6">
        <v>150</v>
      </c>
      <c r="AD96" s="6">
        <v>0</v>
      </c>
      <c r="AE96" s="6">
        <v>0</v>
      </c>
      <c r="AF96" s="6">
        <v>0</v>
      </c>
      <c r="AG96" s="54">
        <f t="shared" si="6"/>
        <v>563</v>
      </c>
    </row>
    <row r="97" spans="1:33" x14ac:dyDescent="0.2">
      <c r="A97" s="16" t="str">
        <f>BUDGET!A23</f>
        <v>Apple Subscriptions</v>
      </c>
      <c r="B97" s="6"/>
      <c r="C97" s="6">
        <v>0</v>
      </c>
      <c r="D97" s="6">
        <v>0</v>
      </c>
      <c r="E97" s="6">
        <v>0</v>
      </c>
      <c r="F97" s="6">
        <v>0</v>
      </c>
      <c r="G97" s="6">
        <v>0</v>
      </c>
      <c r="H97" s="6">
        <v>0</v>
      </c>
      <c r="I97" s="6">
        <v>0</v>
      </c>
      <c r="J97" s="6">
        <v>0</v>
      </c>
      <c r="K97" s="6">
        <v>0</v>
      </c>
      <c r="L97" s="6">
        <v>0</v>
      </c>
      <c r="M97" s="6">
        <v>0</v>
      </c>
      <c r="N97" s="6">
        <v>0</v>
      </c>
      <c r="O97" s="6">
        <v>0</v>
      </c>
      <c r="P97" s="6">
        <v>0</v>
      </c>
      <c r="Q97" s="6">
        <v>0</v>
      </c>
      <c r="R97" s="6">
        <v>0</v>
      </c>
      <c r="S97" s="6">
        <v>0</v>
      </c>
      <c r="T97" s="6">
        <v>0</v>
      </c>
      <c r="U97" s="6">
        <v>0</v>
      </c>
      <c r="V97" s="6">
        <v>0</v>
      </c>
      <c r="W97" s="6">
        <v>0</v>
      </c>
      <c r="X97" s="6">
        <v>0</v>
      </c>
      <c r="Y97" s="6">
        <v>0</v>
      </c>
      <c r="Z97" s="6">
        <v>0</v>
      </c>
      <c r="AA97" s="6">
        <v>12.82</v>
      </c>
      <c r="AB97" s="6">
        <v>0</v>
      </c>
      <c r="AC97" s="6">
        <v>0</v>
      </c>
      <c r="AD97" s="6">
        <v>0</v>
      </c>
      <c r="AE97" s="6">
        <v>0</v>
      </c>
      <c r="AF97" s="6">
        <v>0</v>
      </c>
      <c r="AG97" s="54">
        <f t="shared" si="6"/>
        <v>12.82</v>
      </c>
    </row>
    <row r="98" spans="1:33" x14ac:dyDescent="0.2">
      <c r="A98" s="16" t="str">
        <f>BUDGET!A24</f>
        <v>Google 1</v>
      </c>
      <c r="B98" s="6"/>
      <c r="C98" s="6">
        <v>0</v>
      </c>
      <c r="D98" s="6">
        <v>0</v>
      </c>
      <c r="E98" s="6">
        <v>0</v>
      </c>
      <c r="F98" s="6">
        <v>0</v>
      </c>
      <c r="G98" s="6">
        <v>0</v>
      </c>
      <c r="H98" s="6">
        <v>0</v>
      </c>
      <c r="I98" s="6">
        <v>0</v>
      </c>
      <c r="J98" s="6">
        <v>0</v>
      </c>
      <c r="K98" s="6">
        <v>9</v>
      </c>
      <c r="L98" s="6">
        <v>0</v>
      </c>
      <c r="M98" s="6">
        <v>0</v>
      </c>
      <c r="N98" s="6">
        <v>0</v>
      </c>
      <c r="O98" s="6">
        <v>0</v>
      </c>
      <c r="P98" s="6">
        <v>0</v>
      </c>
      <c r="Q98" s="6">
        <v>0</v>
      </c>
      <c r="R98" s="6">
        <v>0</v>
      </c>
      <c r="S98" s="6">
        <v>0</v>
      </c>
      <c r="T98" s="6">
        <v>0</v>
      </c>
      <c r="U98" s="6">
        <v>0</v>
      </c>
      <c r="V98" s="6">
        <v>0</v>
      </c>
      <c r="W98" s="6">
        <v>0</v>
      </c>
      <c r="X98" s="6">
        <v>0</v>
      </c>
      <c r="Y98" s="6">
        <v>0</v>
      </c>
      <c r="Z98" s="6">
        <v>0</v>
      </c>
      <c r="AA98" s="6">
        <v>0</v>
      </c>
      <c r="AB98" s="6">
        <v>0</v>
      </c>
      <c r="AC98" s="6">
        <v>0</v>
      </c>
      <c r="AD98" s="6">
        <v>0</v>
      </c>
      <c r="AE98" s="6">
        <v>0</v>
      </c>
      <c r="AF98" s="6">
        <v>0</v>
      </c>
      <c r="AG98" s="54">
        <f t="shared" si="6"/>
        <v>9</v>
      </c>
    </row>
    <row r="99" spans="1:33" x14ac:dyDescent="0.2">
      <c r="A99" s="16" t="str">
        <f>BUDGET!A25</f>
        <v>Netflix</v>
      </c>
      <c r="B99" s="6"/>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101.74</v>
      </c>
      <c r="X99" s="6">
        <v>0</v>
      </c>
      <c r="Y99" s="6">
        <v>0</v>
      </c>
      <c r="Z99" s="6">
        <v>0</v>
      </c>
      <c r="AA99" s="6">
        <v>0</v>
      </c>
      <c r="AB99" s="6">
        <v>0</v>
      </c>
      <c r="AC99" s="6">
        <v>0</v>
      </c>
      <c r="AD99" s="6">
        <v>0</v>
      </c>
      <c r="AE99" s="6">
        <v>0</v>
      </c>
      <c r="AF99" s="6">
        <v>0</v>
      </c>
      <c r="AG99" s="54">
        <f t="shared" si="6"/>
        <v>101.74</v>
      </c>
    </row>
    <row r="100" spans="1:33" x14ac:dyDescent="0.2">
      <c r="A100" s="16" t="str">
        <f>BUDGET!A26</f>
        <v>Amuse</v>
      </c>
      <c r="B100" s="6"/>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54">
        <f t="shared" si="6"/>
        <v>0</v>
      </c>
    </row>
    <row r="101" spans="1:33" x14ac:dyDescent="0.2">
      <c r="A101" s="16" t="str">
        <f>BUDGET!A27</f>
        <v>electricity</v>
      </c>
      <c r="B101" s="6"/>
      <c r="C101" s="6">
        <v>0</v>
      </c>
      <c r="D101" s="6">
        <v>0</v>
      </c>
      <c r="E101" s="6">
        <v>0</v>
      </c>
      <c r="F101" s="6">
        <v>0</v>
      </c>
      <c r="G101" s="6">
        <v>0</v>
      </c>
      <c r="H101" s="6">
        <v>0</v>
      </c>
      <c r="I101" s="6">
        <v>0</v>
      </c>
      <c r="J101" s="6">
        <v>0</v>
      </c>
      <c r="K101" s="6">
        <v>0</v>
      </c>
      <c r="L101" s="6">
        <v>0</v>
      </c>
      <c r="M101" s="6">
        <v>0</v>
      </c>
      <c r="N101" s="6">
        <v>0</v>
      </c>
      <c r="O101" s="6">
        <v>0</v>
      </c>
      <c r="P101" s="6">
        <v>0</v>
      </c>
      <c r="Q101" s="6">
        <v>0</v>
      </c>
      <c r="R101" s="6">
        <v>0</v>
      </c>
      <c r="S101" s="6">
        <v>0</v>
      </c>
      <c r="T101" s="6">
        <v>0</v>
      </c>
      <c r="U101" s="6">
        <v>0</v>
      </c>
      <c r="V101" s="6">
        <v>0</v>
      </c>
      <c r="W101" s="6">
        <v>0</v>
      </c>
      <c r="X101" s="6">
        <v>0</v>
      </c>
      <c r="Y101" s="6">
        <v>0</v>
      </c>
      <c r="Z101" s="6">
        <v>0</v>
      </c>
      <c r="AA101" s="6">
        <v>0</v>
      </c>
      <c r="AB101" s="6">
        <v>0</v>
      </c>
      <c r="AC101" s="6">
        <v>0</v>
      </c>
      <c r="AD101" s="6">
        <v>0</v>
      </c>
      <c r="AE101" s="6">
        <v>0</v>
      </c>
      <c r="AF101" s="6">
        <v>0</v>
      </c>
      <c r="AG101" s="54">
        <f t="shared" si="6"/>
        <v>0</v>
      </c>
    </row>
    <row r="102" spans="1:33" ht="16" thickBot="1" x14ac:dyDescent="0.25">
      <c r="A102" s="16" t="str">
        <f>BUDGET!A28</f>
        <v>Account Charges</v>
      </c>
      <c r="B102" s="6"/>
      <c r="C102" s="6">
        <v>0</v>
      </c>
      <c r="D102" s="6">
        <v>0</v>
      </c>
      <c r="E102" s="6">
        <v>0</v>
      </c>
      <c r="F102" s="6">
        <v>0</v>
      </c>
      <c r="G102" s="6">
        <v>0</v>
      </c>
      <c r="H102" s="6">
        <v>0</v>
      </c>
      <c r="I102" s="6">
        <v>0</v>
      </c>
      <c r="J102" s="6">
        <v>0</v>
      </c>
      <c r="K102" s="6">
        <v>0</v>
      </c>
      <c r="L102" s="6">
        <v>0</v>
      </c>
      <c r="M102" s="6">
        <v>0</v>
      </c>
      <c r="N102" s="6">
        <v>0</v>
      </c>
      <c r="O102" s="6">
        <v>0</v>
      </c>
      <c r="P102" s="6">
        <v>0</v>
      </c>
      <c r="Q102" s="6">
        <v>0</v>
      </c>
      <c r="R102" s="6">
        <v>0</v>
      </c>
      <c r="S102" s="6">
        <v>0</v>
      </c>
      <c r="T102" s="6">
        <v>0</v>
      </c>
      <c r="U102" s="6">
        <v>5</v>
      </c>
      <c r="V102" s="6">
        <v>0</v>
      </c>
      <c r="W102" s="6">
        <v>0</v>
      </c>
      <c r="X102" s="6">
        <v>3</v>
      </c>
      <c r="Y102" s="6">
        <v>0</v>
      </c>
      <c r="Z102" s="6">
        <v>0</v>
      </c>
      <c r="AA102" s="6">
        <v>0</v>
      </c>
      <c r="AB102" s="6">
        <v>0</v>
      </c>
      <c r="AC102" s="6">
        <f>1+5</f>
        <v>6</v>
      </c>
      <c r="AD102" s="6">
        <v>0</v>
      </c>
      <c r="AE102" s="6">
        <v>0</v>
      </c>
      <c r="AF102" s="6">
        <v>0</v>
      </c>
      <c r="AG102" s="54">
        <f t="shared" si="6"/>
        <v>14</v>
      </c>
    </row>
    <row r="103" spans="1:33" ht="17" thickBot="1" x14ac:dyDescent="0.25">
      <c r="A103" s="20" t="s">
        <v>11</v>
      </c>
      <c r="B103" s="21">
        <f>SUM(B83:B102)</f>
        <v>108.35</v>
      </c>
      <c r="C103" s="21">
        <f t="shared" ref="C103:AF103" si="7">SUM(C83:C102)</f>
        <v>198.92</v>
      </c>
      <c r="D103" s="21">
        <f t="shared" si="7"/>
        <v>60</v>
      </c>
      <c r="E103" s="21">
        <f t="shared" si="7"/>
        <v>124.5</v>
      </c>
      <c r="F103" s="21">
        <f t="shared" si="7"/>
        <v>45</v>
      </c>
      <c r="G103" s="21">
        <f t="shared" si="7"/>
        <v>313</v>
      </c>
      <c r="H103" s="21">
        <f t="shared" si="7"/>
        <v>238</v>
      </c>
      <c r="I103" s="21">
        <f t="shared" si="7"/>
        <v>0</v>
      </c>
      <c r="J103" s="21">
        <f t="shared" si="7"/>
        <v>149</v>
      </c>
      <c r="K103" s="21">
        <f t="shared" si="7"/>
        <v>100.5</v>
      </c>
      <c r="L103" s="21">
        <f t="shared" si="7"/>
        <v>0</v>
      </c>
      <c r="M103" s="21">
        <f t="shared" si="7"/>
        <v>20</v>
      </c>
      <c r="N103" s="21">
        <f t="shared" si="7"/>
        <v>8</v>
      </c>
      <c r="O103" s="21">
        <f t="shared" si="7"/>
        <v>29</v>
      </c>
      <c r="P103" s="21">
        <f t="shared" si="7"/>
        <v>50</v>
      </c>
      <c r="Q103" s="21">
        <f t="shared" si="7"/>
        <v>81.5</v>
      </c>
      <c r="R103" s="21">
        <f t="shared" si="7"/>
        <v>50</v>
      </c>
      <c r="S103" s="21">
        <f t="shared" si="7"/>
        <v>17</v>
      </c>
      <c r="T103" s="21">
        <f t="shared" si="7"/>
        <v>70</v>
      </c>
      <c r="U103" s="21">
        <f>SUM(U83:U102)</f>
        <v>1023</v>
      </c>
      <c r="V103" s="21">
        <f t="shared" si="7"/>
        <v>154</v>
      </c>
      <c r="W103" s="21">
        <f t="shared" si="7"/>
        <v>444.71000000000004</v>
      </c>
      <c r="X103" s="21">
        <f t="shared" si="7"/>
        <v>440</v>
      </c>
      <c r="Y103" s="21">
        <f>SUM(Y83:Y102)</f>
        <v>120.5</v>
      </c>
      <c r="Z103" s="21">
        <f t="shared" si="7"/>
        <v>14</v>
      </c>
      <c r="AA103" s="21">
        <f t="shared" si="7"/>
        <v>17.82</v>
      </c>
      <c r="AB103" s="21">
        <f t="shared" si="7"/>
        <v>20</v>
      </c>
      <c r="AC103" s="21">
        <f>SUM(AC83:AC102)</f>
        <v>259</v>
      </c>
      <c r="AD103" s="21">
        <f t="shared" si="7"/>
        <v>0</v>
      </c>
      <c r="AE103" s="21">
        <f>SUM(AE83:AE102)</f>
        <v>0</v>
      </c>
      <c r="AF103" s="21">
        <f t="shared" si="7"/>
        <v>0</v>
      </c>
      <c r="AG103" s="21">
        <f>SUM(AG83:AG102)</f>
        <v>4155.8</v>
      </c>
    </row>
    <row r="104" spans="1:33" ht="17" thickTop="1" x14ac:dyDescent="0.2">
      <c r="A104" s="5"/>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57"/>
    </row>
    <row r="105" spans="1:33" ht="16" x14ac:dyDescent="0.2">
      <c r="A105" s="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57"/>
    </row>
    <row r="106" spans="1:33" ht="16" x14ac:dyDescent="0.2">
      <c r="A106" s="5"/>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57"/>
    </row>
    <row r="107" spans="1:33" x14ac:dyDescent="0.2">
      <c r="A107" s="14" t="s">
        <v>191</v>
      </c>
      <c r="B107" s="7">
        <v>1</v>
      </c>
      <c r="C107" s="7">
        <v>2</v>
      </c>
      <c r="D107" s="7">
        <v>3</v>
      </c>
      <c r="E107" s="2">
        <v>4</v>
      </c>
      <c r="F107" s="2">
        <v>5</v>
      </c>
      <c r="G107" s="2">
        <v>6</v>
      </c>
      <c r="H107" s="2">
        <v>7</v>
      </c>
      <c r="I107" s="2">
        <v>8</v>
      </c>
      <c r="J107" s="2">
        <v>9</v>
      </c>
      <c r="K107" s="2">
        <v>10</v>
      </c>
      <c r="L107" s="2">
        <v>11</v>
      </c>
      <c r="M107" s="2">
        <v>12</v>
      </c>
      <c r="N107" s="2">
        <v>13</v>
      </c>
      <c r="O107" s="2">
        <v>14</v>
      </c>
      <c r="P107" s="2">
        <v>15</v>
      </c>
      <c r="Q107" s="2">
        <v>16</v>
      </c>
      <c r="R107" s="2">
        <v>17</v>
      </c>
      <c r="S107" s="2">
        <v>18</v>
      </c>
      <c r="T107" s="2">
        <v>19</v>
      </c>
      <c r="U107" s="2">
        <v>20</v>
      </c>
      <c r="V107" s="2">
        <v>21</v>
      </c>
      <c r="W107" s="2">
        <v>22</v>
      </c>
      <c r="X107" s="2">
        <v>23</v>
      </c>
      <c r="Y107" s="2">
        <v>24</v>
      </c>
      <c r="Z107" s="2">
        <v>25</v>
      </c>
      <c r="AA107" s="2">
        <v>26</v>
      </c>
      <c r="AB107" s="2">
        <v>27</v>
      </c>
      <c r="AC107" s="2">
        <v>28</v>
      </c>
      <c r="AD107" s="2">
        <v>29</v>
      </c>
      <c r="AE107" s="2">
        <v>30</v>
      </c>
      <c r="AF107" s="2">
        <v>31</v>
      </c>
      <c r="AG107" s="52" t="s">
        <v>0</v>
      </c>
    </row>
    <row r="108" spans="1:33" x14ac:dyDescent="0.2">
      <c r="A108" s="3"/>
      <c r="B108" s="3" t="s">
        <v>1</v>
      </c>
      <c r="C108" s="3" t="s">
        <v>1</v>
      </c>
      <c r="D108" s="3" t="s">
        <v>1</v>
      </c>
      <c r="E108" s="3" t="s">
        <v>1</v>
      </c>
      <c r="F108" s="3" t="s">
        <v>1</v>
      </c>
      <c r="G108" s="3" t="s">
        <v>1</v>
      </c>
      <c r="H108" s="3" t="s">
        <v>1</v>
      </c>
      <c r="I108" s="3" t="s">
        <v>1</v>
      </c>
      <c r="J108" s="3" t="s">
        <v>1</v>
      </c>
      <c r="K108" s="3" t="s">
        <v>1</v>
      </c>
      <c r="L108" s="3" t="s">
        <v>1</v>
      </c>
      <c r="M108" s="3" t="s">
        <v>1</v>
      </c>
      <c r="N108" s="3" t="s">
        <v>1</v>
      </c>
      <c r="O108" s="3" t="s">
        <v>1</v>
      </c>
      <c r="P108" s="3" t="s">
        <v>1</v>
      </c>
      <c r="Q108" s="3" t="s">
        <v>1</v>
      </c>
      <c r="R108" s="3" t="s">
        <v>1</v>
      </c>
      <c r="S108" s="3" t="s">
        <v>1</v>
      </c>
      <c r="T108" s="3" t="s">
        <v>1</v>
      </c>
      <c r="U108" s="3" t="s">
        <v>1</v>
      </c>
      <c r="V108" s="3" t="s">
        <v>1</v>
      </c>
      <c r="W108" s="3" t="s">
        <v>1</v>
      </c>
      <c r="X108" s="3" t="s">
        <v>1</v>
      </c>
      <c r="Y108" s="3" t="s">
        <v>1</v>
      </c>
      <c r="Z108" s="3" t="s">
        <v>1</v>
      </c>
      <c r="AA108" s="3" t="s">
        <v>1</v>
      </c>
      <c r="AB108" s="3" t="s">
        <v>1</v>
      </c>
      <c r="AC108" s="3" t="s">
        <v>1</v>
      </c>
      <c r="AD108" s="3" t="s">
        <v>1</v>
      </c>
      <c r="AE108" s="3" t="s">
        <v>1</v>
      </c>
      <c r="AF108" s="3" t="s">
        <v>1</v>
      </c>
      <c r="AG108" s="53" t="s">
        <v>1</v>
      </c>
    </row>
    <row r="109" spans="1:33" x14ac:dyDescent="0.2">
      <c r="A109" s="16" t="str">
        <f>BUDGET!A9</f>
        <v>Rent</v>
      </c>
      <c r="B109" s="6">
        <v>0</v>
      </c>
      <c r="C109" s="6">
        <v>0</v>
      </c>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54">
        <f t="shared" ref="AG109:AG128" si="8">SUM(B109:AF109)</f>
        <v>0</v>
      </c>
    </row>
    <row r="110" spans="1:33" x14ac:dyDescent="0.2">
      <c r="A110" s="16" t="str">
        <f>BUDGET!A10</f>
        <v>Tithe</v>
      </c>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54">
        <f t="shared" si="8"/>
        <v>0</v>
      </c>
    </row>
    <row r="111" spans="1:33" x14ac:dyDescent="0.2">
      <c r="A111" s="16" t="str">
        <f>BUDGET!A11</f>
        <v>Data</v>
      </c>
      <c r="B111" s="6">
        <v>0</v>
      </c>
      <c r="C111" s="6">
        <v>0</v>
      </c>
      <c r="D111" s="6"/>
      <c r="E111" s="6"/>
      <c r="F111" s="6"/>
      <c r="G111" s="6">
        <v>300</v>
      </c>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54">
        <f t="shared" si="8"/>
        <v>300</v>
      </c>
    </row>
    <row r="112" spans="1:33" x14ac:dyDescent="0.2">
      <c r="A112" s="16" t="str">
        <f>BUDGET!A12</f>
        <v xml:space="preserve">Savings/ Investment </v>
      </c>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54">
        <f t="shared" si="8"/>
        <v>0</v>
      </c>
    </row>
    <row r="113" spans="1:33" x14ac:dyDescent="0.2">
      <c r="A113" s="16" t="str">
        <f>BUDGET!A13</f>
        <v>Hair / Gym</v>
      </c>
      <c r="B113" s="6">
        <v>0</v>
      </c>
      <c r="C113" s="6">
        <v>0</v>
      </c>
      <c r="D113" s="6"/>
      <c r="E113" s="6"/>
      <c r="F113" s="6"/>
      <c r="G113" s="6"/>
      <c r="H113" s="6"/>
      <c r="I113" s="6"/>
      <c r="J113" s="6"/>
      <c r="K113" s="6"/>
      <c r="L113" s="6"/>
      <c r="M113" s="6"/>
      <c r="N113" s="6"/>
      <c r="O113" s="6"/>
      <c r="P113" s="6"/>
      <c r="Q113" s="6"/>
      <c r="R113" s="6"/>
      <c r="S113" s="6"/>
      <c r="T113" s="6"/>
      <c r="U113" s="6"/>
      <c r="W113" s="6"/>
      <c r="X113" s="6"/>
      <c r="Y113" s="6"/>
      <c r="Z113" s="6"/>
      <c r="AA113" s="6"/>
      <c r="AB113" s="6"/>
      <c r="AC113" s="6"/>
      <c r="AD113" s="6"/>
      <c r="AE113" s="6"/>
      <c r="AF113" s="6"/>
      <c r="AG113" s="54">
        <f t="shared" si="8"/>
        <v>0</v>
      </c>
    </row>
    <row r="114" spans="1:33" x14ac:dyDescent="0.2">
      <c r="A114" s="16" t="str">
        <f>BUDGET!A14</f>
        <v>Food</v>
      </c>
      <c r="B114" s="6">
        <v>40</v>
      </c>
      <c r="C114" s="6">
        <v>8</v>
      </c>
      <c r="D114" s="6">
        <f>10+90</f>
        <v>100</v>
      </c>
      <c r="E114" s="6">
        <v>5</v>
      </c>
      <c r="F114" s="6">
        <f>5</f>
        <v>5</v>
      </c>
      <c r="G114" s="6">
        <f>36+80+25</f>
        <v>141</v>
      </c>
      <c r="H114" s="6">
        <v>10</v>
      </c>
      <c r="I114" s="6">
        <v>5</v>
      </c>
      <c r="J114" s="6">
        <f>7+15</f>
        <v>22</v>
      </c>
      <c r="K114" s="6">
        <v>7</v>
      </c>
      <c r="L114" s="6">
        <v>7</v>
      </c>
      <c r="M114" s="6">
        <v>8.5</v>
      </c>
      <c r="N114" s="6">
        <v>34</v>
      </c>
      <c r="O114" s="6">
        <f>10+6</f>
        <v>16</v>
      </c>
      <c r="P114" s="6">
        <v>7</v>
      </c>
      <c r="Q114" s="6">
        <v>8</v>
      </c>
      <c r="R114" s="6">
        <f>8+10</f>
        <v>18</v>
      </c>
      <c r="S114" s="6">
        <v>7</v>
      </c>
      <c r="T114" s="6">
        <v>140</v>
      </c>
      <c r="U114" s="6">
        <f>10+40</f>
        <v>50</v>
      </c>
      <c r="V114" s="6">
        <v>125</v>
      </c>
      <c r="W114" s="6">
        <v>165</v>
      </c>
      <c r="X114" s="6">
        <f>4+5</f>
        <v>9</v>
      </c>
      <c r="Y114" s="6">
        <f>6+4+6</f>
        <v>16</v>
      </c>
      <c r="Z114" s="6">
        <v>17</v>
      </c>
      <c r="AA114" s="6">
        <v>20</v>
      </c>
      <c r="AB114" s="6">
        <f>65+24</f>
        <v>89</v>
      </c>
      <c r="AC114" s="6">
        <v>10</v>
      </c>
      <c r="AD114" s="6">
        <v>5</v>
      </c>
      <c r="AE114" s="6">
        <v>10</v>
      </c>
      <c r="AF114" s="6">
        <v>8</v>
      </c>
      <c r="AG114" s="54">
        <f>SUM(B114:AF114)</f>
        <v>1112.5</v>
      </c>
    </row>
    <row r="115" spans="1:33" x14ac:dyDescent="0.2">
      <c r="A115" s="16" t="str">
        <f>BUDGET!A15</f>
        <v>Healthcare</v>
      </c>
      <c r="B115" s="6">
        <v>0</v>
      </c>
      <c r="C115" s="6">
        <v>0</v>
      </c>
      <c r="D115" s="6"/>
      <c r="E115" s="6"/>
      <c r="F115" s="6"/>
      <c r="G115" s="6">
        <v>52</v>
      </c>
      <c r="H115" s="6"/>
      <c r="I115" s="6"/>
      <c r="J115" s="6"/>
      <c r="K115" s="6"/>
      <c r="L115" s="6"/>
      <c r="M115" s="6"/>
      <c r="N115" s="6"/>
      <c r="O115" s="6"/>
      <c r="P115" s="6"/>
      <c r="Q115" s="6"/>
      <c r="R115" s="6"/>
      <c r="S115" s="104" t="s">
        <v>75</v>
      </c>
      <c r="T115" s="6"/>
      <c r="U115" s="6"/>
      <c r="V115" s="6"/>
      <c r="W115" s="6"/>
      <c r="X115" s="6"/>
      <c r="Y115" s="6"/>
      <c r="Z115" s="6"/>
      <c r="AA115" s="6"/>
      <c r="AB115" s="6"/>
      <c r="AC115" s="6"/>
      <c r="AD115" s="6"/>
      <c r="AE115" s="6"/>
      <c r="AF115" s="6"/>
      <c r="AG115" s="54">
        <f t="shared" si="8"/>
        <v>52</v>
      </c>
    </row>
    <row r="116" spans="1:33" x14ac:dyDescent="0.2">
      <c r="A116" s="16" t="str">
        <f>BUDGET!A16</f>
        <v xml:space="preserve">Clothes/ Shoes/ Jewelry </v>
      </c>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f>225+65</f>
        <v>290</v>
      </c>
      <c r="AE116" s="6"/>
      <c r="AF116" s="6"/>
      <c r="AG116" s="54">
        <f t="shared" si="8"/>
        <v>290</v>
      </c>
    </row>
    <row r="117" spans="1:33" x14ac:dyDescent="0.2">
      <c r="A117" s="16" t="str">
        <f>BUDGET!A17</f>
        <v>shoes</v>
      </c>
      <c r="B117" s="6">
        <v>0</v>
      </c>
      <c r="C117" s="6">
        <v>0</v>
      </c>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54">
        <f t="shared" si="8"/>
        <v>0</v>
      </c>
    </row>
    <row r="118" spans="1:33" x14ac:dyDescent="0.2">
      <c r="A118" s="16" t="str">
        <f>BUDGET!A18</f>
        <v xml:space="preserve">Travel/ Vacations </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54">
        <f t="shared" si="8"/>
        <v>0</v>
      </c>
    </row>
    <row r="119" spans="1:33" x14ac:dyDescent="0.2">
      <c r="A119" s="16" t="str">
        <f>BUDGET!A19</f>
        <v>Outings</v>
      </c>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v>100</v>
      </c>
      <c r="AC119" s="6"/>
      <c r="AD119" s="6"/>
      <c r="AE119" s="6"/>
      <c r="AF119" s="6"/>
      <c r="AG119" s="54">
        <f t="shared" si="8"/>
        <v>100</v>
      </c>
    </row>
    <row r="120" spans="1:33" x14ac:dyDescent="0.2">
      <c r="A120" s="16" t="str">
        <f>BUDGET!A20</f>
        <v>Toiletries/Groceries</v>
      </c>
      <c r="B120" s="6"/>
      <c r="C120" s="6">
        <v>39</v>
      </c>
      <c r="D120" s="6"/>
      <c r="E120" s="6">
        <v>137.94999999999999</v>
      </c>
      <c r="F120" s="6"/>
      <c r="G120" s="6">
        <f>20+10+20.49</f>
        <v>50.489999999999995</v>
      </c>
      <c r="H120" s="6">
        <v>23</v>
      </c>
      <c r="I120" s="6"/>
      <c r="J120" s="6"/>
      <c r="K120" s="6"/>
      <c r="L120" s="6"/>
      <c r="M120" s="6"/>
      <c r="N120" s="6"/>
      <c r="O120" s="6"/>
      <c r="P120" s="6">
        <v>16</v>
      </c>
      <c r="Q120" s="6">
        <v>91</v>
      </c>
      <c r="R120" s="6">
        <f>4+5+4</f>
        <v>13</v>
      </c>
      <c r="S120" s="6">
        <f>36</f>
        <v>36</v>
      </c>
      <c r="T120" s="6">
        <v>57</v>
      </c>
      <c r="U120" s="6"/>
      <c r="V120" s="6"/>
      <c r="W120" s="6">
        <f>45+205</f>
        <v>250</v>
      </c>
      <c r="X120" s="6"/>
      <c r="Y120" s="6"/>
      <c r="Z120" s="6"/>
      <c r="AA120" s="6"/>
      <c r="AB120" s="6"/>
      <c r="AC120" s="6"/>
      <c r="AD120" s="6"/>
      <c r="AE120" s="6"/>
      <c r="AF120" s="6"/>
      <c r="AG120" s="54">
        <f t="shared" si="8"/>
        <v>713.44</v>
      </c>
    </row>
    <row r="121" spans="1:33" x14ac:dyDescent="0.2">
      <c r="A121" s="16" t="str">
        <f>BUDGET!A21</f>
        <v xml:space="preserve">Transportation </v>
      </c>
      <c r="B121" s="6"/>
      <c r="C121" s="6">
        <v>70</v>
      </c>
      <c r="D121" s="6"/>
      <c r="E121" s="6">
        <v>63</v>
      </c>
      <c r="F121" s="6">
        <f>79+43+42+45</f>
        <v>209</v>
      </c>
      <c r="G121" s="6">
        <f>2.5+2</f>
        <v>4.5</v>
      </c>
      <c r="H121" s="6">
        <v>34</v>
      </c>
      <c r="J121" s="6">
        <v>52</v>
      </c>
      <c r="K121" s="6"/>
      <c r="L121" s="6"/>
      <c r="M121" s="6">
        <v>44</v>
      </c>
      <c r="N121" s="6">
        <f>5+4.5+15</f>
        <v>24.5</v>
      </c>
      <c r="O121" s="6"/>
      <c r="P121" s="6">
        <v>56</v>
      </c>
      <c r="Q121" s="6">
        <f>7+5.5</f>
        <v>12.5</v>
      </c>
      <c r="R121" s="6">
        <v>3</v>
      </c>
      <c r="S121" s="6">
        <v>55</v>
      </c>
      <c r="T121" s="6">
        <f>11+16</f>
        <v>27</v>
      </c>
      <c r="U121" s="6"/>
      <c r="V121" s="6">
        <v>47</v>
      </c>
      <c r="W121" s="6">
        <f>22+32</f>
        <v>54</v>
      </c>
      <c r="X121" s="6">
        <f>47+60</f>
        <v>107</v>
      </c>
      <c r="Y121" s="6"/>
      <c r="Z121" s="6">
        <v>5</v>
      </c>
      <c r="AA121" s="6">
        <v>40</v>
      </c>
      <c r="AB121" s="6">
        <v>22</v>
      </c>
      <c r="AC121" s="6"/>
      <c r="AD121" s="6">
        <f>77+26+20</f>
        <v>123</v>
      </c>
      <c r="AE121" s="6"/>
      <c r="AF121" s="6">
        <v>54</v>
      </c>
      <c r="AG121" s="54">
        <f t="shared" si="8"/>
        <v>1106.5</v>
      </c>
    </row>
    <row r="122" spans="1:33" x14ac:dyDescent="0.2">
      <c r="A122" s="16" t="str">
        <f>BUDGET!A22</f>
        <v>Miscellaneous</v>
      </c>
      <c r="B122" s="6"/>
      <c r="C122" s="6">
        <v>260</v>
      </c>
      <c r="D122" s="6"/>
      <c r="E122" s="6"/>
      <c r="F122" s="6"/>
      <c r="G122" s="6">
        <v>20</v>
      </c>
      <c r="H122" s="6"/>
      <c r="I122" s="6"/>
      <c r="J122" s="6"/>
      <c r="K122" s="6"/>
      <c r="L122" s="6"/>
      <c r="M122" s="6"/>
      <c r="N122" s="6"/>
      <c r="O122" s="6"/>
      <c r="P122" s="6"/>
      <c r="Q122" s="6"/>
      <c r="R122" s="6"/>
      <c r="S122" s="6"/>
      <c r="T122" s="6"/>
      <c r="U122" s="6"/>
      <c r="V122" s="6"/>
      <c r="W122" s="6"/>
      <c r="X122" s="6"/>
      <c r="Y122" s="6">
        <v>20</v>
      </c>
      <c r="Z122" s="6"/>
      <c r="AA122" s="6"/>
      <c r="AB122" s="6">
        <v>20</v>
      </c>
      <c r="AC122" s="6"/>
      <c r="AD122" s="6"/>
      <c r="AE122" s="6"/>
      <c r="AF122" s="6">
        <v>750</v>
      </c>
      <c r="AG122" s="54">
        <f t="shared" si="8"/>
        <v>1070</v>
      </c>
    </row>
    <row r="123" spans="1:33" x14ac:dyDescent="0.2">
      <c r="A123" s="16" t="str">
        <f>BUDGET!A23</f>
        <v>Apple Subscriptions</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v>12.19</v>
      </c>
      <c r="AB123" s="6"/>
      <c r="AC123" s="6"/>
      <c r="AD123" s="6"/>
      <c r="AE123" s="6"/>
      <c r="AF123" s="6"/>
      <c r="AG123" s="54">
        <f t="shared" si="8"/>
        <v>12.19</v>
      </c>
    </row>
    <row r="124" spans="1:33" x14ac:dyDescent="0.2">
      <c r="A124" s="16" t="str">
        <f>BUDGET!A24</f>
        <v>Google 1</v>
      </c>
      <c r="B124" s="6"/>
      <c r="C124" s="6"/>
      <c r="D124" s="6"/>
      <c r="E124" s="6"/>
      <c r="F124" s="6"/>
      <c r="G124" s="6"/>
      <c r="H124" s="6"/>
      <c r="I124" s="6"/>
      <c r="J124" s="6"/>
      <c r="K124" s="6">
        <v>9</v>
      </c>
      <c r="L124" s="6"/>
      <c r="M124" s="6"/>
      <c r="N124" s="6"/>
      <c r="O124" s="6"/>
      <c r="P124" s="6"/>
      <c r="Q124" s="6"/>
      <c r="R124" s="6"/>
      <c r="S124" s="6"/>
      <c r="T124" s="6"/>
      <c r="U124" s="6"/>
      <c r="V124" s="6"/>
      <c r="W124" s="6"/>
      <c r="X124" s="6"/>
      <c r="Y124" s="6"/>
      <c r="Z124" s="6"/>
      <c r="AA124" s="6"/>
      <c r="AB124" s="6"/>
      <c r="AC124" s="6"/>
      <c r="AD124" s="6"/>
      <c r="AE124" s="6"/>
      <c r="AF124" s="6"/>
      <c r="AG124" s="54">
        <f t="shared" si="8"/>
        <v>9</v>
      </c>
    </row>
    <row r="125" spans="1:33" x14ac:dyDescent="0.2">
      <c r="A125" s="16" t="str">
        <f>BUDGET!A25</f>
        <v>Netflix</v>
      </c>
      <c r="B125" s="6"/>
      <c r="C125" s="6"/>
      <c r="D125" s="6"/>
      <c r="E125" s="6"/>
      <c r="F125" s="6"/>
      <c r="G125" s="6"/>
      <c r="H125" s="6"/>
      <c r="I125" s="6"/>
      <c r="J125" s="6"/>
      <c r="K125" s="6"/>
      <c r="L125" s="6"/>
      <c r="M125" s="6"/>
      <c r="N125" s="6"/>
      <c r="O125" s="6"/>
      <c r="P125" s="6"/>
      <c r="Q125" s="6"/>
      <c r="R125" s="6"/>
      <c r="S125" s="6"/>
      <c r="T125" s="6"/>
      <c r="U125" s="6"/>
      <c r="V125" s="6"/>
      <c r="W125" s="6"/>
      <c r="X125" s="6">
        <v>93.61</v>
      </c>
      <c r="Y125" s="6"/>
      <c r="Z125" s="6"/>
      <c r="AA125" s="6"/>
      <c r="AB125" s="6"/>
      <c r="AC125" s="6"/>
      <c r="AD125" s="6"/>
      <c r="AE125" s="6"/>
      <c r="AF125" s="6"/>
      <c r="AG125" s="54">
        <f t="shared" si="8"/>
        <v>93.61</v>
      </c>
    </row>
    <row r="126" spans="1:33" x14ac:dyDescent="0.2">
      <c r="A126" s="16" t="str">
        <f>BUDGET!A26</f>
        <v>Amuse</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54">
        <f t="shared" si="8"/>
        <v>0</v>
      </c>
    </row>
    <row r="127" spans="1:33" x14ac:dyDescent="0.2">
      <c r="A127" s="16" t="str">
        <f>BUDGET!A27</f>
        <v>electricity</v>
      </c>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54">
        <f t="shared" si="8"/>
        <v>0</v>
      </c>
    </row>
    <row r="128" spans="1:33" ht="16" thickBot="1" x14ac:dyDescent="0.25">
      <c r="A128" s="16" t="str">
        <f>BUDGET!A28</f>
        <v>Account Charges</v>
      </c>
      <c r="B128" s="6"/>
      <c r="C128" s="6">
        <v>3.55</v>
      </c>
      <c r="D128" s="6">
        <v>1</v>
      </c>
      <c r="E128" s="6"/>
      <c r="F128" s="6"/>
      <c r="G128" s="6">
        <f>3+2</f>
        <v>5</v>
      </c>
      <c r="H128" s="6"/>
      <c r="I128" s="6"/>
      <c r="J128" s="6">
        <v>1</v>
      </c>
      <c r="K128" s="6"/>
      <c r="L128" s="6"/>
      <c r="M128" s="6"/>
      <c r="N128" s="6"/>
      <c r="O128" s="6"/>
      <c r="P128" s="6"/>
      <c r="Q128" s="6"/>
      <c r="R128" s="6"/>
      <c r="S128" s="6"/>
      <c r="T128" s="6"/>
      <c r="U128" s="6"/>
      <c r="V128" s="6"/>
      <c r="W128" s="6"/>
      <c r="X128" s="6"/>
      <c r="Y128" s="6"/>
      <c r="Z128" s="6"/>
      <c r="AA128" s="6"/>
      <c r="AB128" s="6"/>
      <c r="AC128" s="6"/>
      <c r="AD128" s="6">
        <v>1</v>
      </c>
      <c r="AE128" s="6"/>
      <c r="AF128" s="6">
        <v>5</v>
      </c>
      <c r="AG128" s="54">
        <f t="shared" si="8"/>
        <v>16.55</v>
      </c>
    </row>
    <row r="129" spans="1:33" ht="17" thickBot="1" x14ac:dyDescent="0.25">
      <c r="A129" s="20" t="s">
        <v>11</v>
      </c>
      <c r="B129" s="21">
        <f t="shared" ref="B129:AG129" si="9">SUM(B109:B128)</f>
        <v>40</v>
      </c>
      <c r="C129" s="21">
        <f t="shared" si="9"/>
        <v>380.55</v>
      </c>
      <c r="D129" s="21">
        <f t="shared" si="9"/>
        <v>101</v>
      </c>
      <c r="E129" s="21">
        <f t="shared" si="9"/>
        <v>205.95</v>
      </c>
      <c r="F129" s="21">
        <f t="shared" si="9"/>
        <v>214</v>
      </c>
      <c r="G129" s="21">
        <f t="shared" si="9"/>
        <v>572.99</v>
      </c>
      <c r="H129" s="21">
        <f t="shared" si="9"/>
        <v>67</v>
      </c>
      <c r="I129" s="21">
        <f t="shared" si="9"/>
        <v>5</v>
      </c>
      <c r="J129" s="21">
        <f t="shared" si="9"/>
        <v>75</v>
      </c>
      <c r="K129" s="21">
        <f t="shared" si="9"/>
        <v>16</v>
      </c>
      <c r="L129" s="21">
        <f t="shared" si="9"/>
        <v>7</v>
      </c>
      <c r="M129" s="21">
        <f t="shared" si="9"/>
        <v>52.5</v>
      </c>
      <c r="N129" s="21">
        <f t="shared" si="9"/>
        <v>58.5</v>
      </c>
      <c r="O129" s="21">
        <f t="shared" si="9"/>
        <v>16</v>
      </c>
      <c r="P129" s="21">
        <f t="shared" si="9"/>
        <v>79</v>
      </c>
      <c r="Q129" s="21">
        <f t="shared" si="9"/>
        <v>111.5</v>
      </c>
      <c r="R129" s="21">
        <f t="shared" si="9"/>
        <v>34</v>
      </c>
      <c r="S129" s="21">
        <f t="shared" si="9"/>
        <v>98</v>
      </c>
      <c r="T129" s="21">
        <f t="shared" si="9"/>
        <v>224</v>
      </c>
      <c r="U129" s="21">
        <f t="shared" si="9"/>
        <v>50</v>
      </c>
      <c r="V129" s="21">
        <f t="shared" si="9"/>
        <v>172</v>
      </c>
      <c r="W129" s="21">
        <f t="shared" si="9"/>
        <v>469</v>
      </c>
      <c r="X129" s="21">
        <f t="shared" si="9"/>
        <v>209.61</v>
      </c>
      <c r="Y129" s="21">
        <f t="shared" si="9"/>
        <v>36</v>
      </c>
      <c r="Z129" s="21">
        <f t="shared" si="9"/>
        <v>22</v>
      </c>
      <c r="AA129" s="21">
        <f t="shared" si="9"/>
        <v>72.19</v>
      </c>
      <c r="AB129" s="21">
        <f t="shared" si="9"/>
        <v>231</v>
      </c>
      <c r="AC129" s="21">
        <f t="shared" si="9"/>
        <v>10</v>
      </c>
      <c r="AD129" s="21">
        <f t="shared" si="9"/>
        <v>419</v>
      </c>
      <c r="AE129" s="21">
        <f t="shared" si="9"/>
        <v>10</v>
      </c>
      <c r="AF129" s="21">
        <f t="shared" si="9"/>
        <v>817</v>
      </c>
      <c r="AG129" s="56">
        <f t="shared" si="9"/>
        <v>4875.79</v>
      </c>
    </row>
    <row r="130" spans="1:33" ht="17" thickTop="1" x14ac:dyDescent="0.2">
      <c r="A130" s="5"/>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57"/>
    </row>
    <row r="131" spans="1:33" ht="16" x14ac:dyDescent="0.2">
      <c r="A131" s="5"/>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57"/>
    </row>
    <row r="132" spans="1:33" ht="16" x14ac:dyDescent="0.2">
      <c r="A132" s="5"/>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57"/>
    </row>
    <row r="133" spans="1:33" x14ac:dyDescent="0.2">
      <c r="A133" s="14" t="s">
        <v>192</v>
      </c>
      <c r="B133" s="7">
        <v>1</v>
      </c>
      <c r="C133" s="7">
        <v>2</v>
      </c>
      <c r="D133" s="7">
        <v>3</v>
      </c>
      <c r="E133" s="2">
        <v>4</v>
      </c>
      <c r="F133" s="2">
        <v>5</v>
      </c>
      <c r="G133" s="2">
        <v>6</v>
      </c>
      <c r="H133" s="2">
        <v>7</v>
      </c>
      <c r="I133" s="2">
        <v>8</v>
      </c>
      <c r="J133" s="2">
        <v>9</v>
      </c>
      <c r="K133" s="2">
        <v>10</v>
      </c>
      <c r="L133" s="2">
        <v>11</v>
      </c>
      <c r="M133" s="2">
        <v>12</v>
      </c>
      <c r="N133" s="2">
        <v>13</v>
      </c>
      <c r="O133" s="2">
        <v>14</v>
      </c>
      <c r="P133" s="2">
        <v>15</v>
      </c>
      <c r="Q133" s="2">
        <v>16</v>
      </c>
      <c r="R133" s="2">
        <v>17</v>
      </c>
      <c r="S133" s="2">
        <v>18</v>
      </c>
      <c r="T133" s="2">
        <v>19</v>
      </c>
      <c r="U133" s="2">
        <v>20</v>
      </c>
      <c r="V133" s="2">
        <v>21</v>
      </c>
      <c r="W133" s="2">
        <v>22</v>
      </c>
      <c r="X133" s="2">
        <v>23</v>
      </c>
      <c r="Y133" s="2">
        <v>24</v>
      </c>
      <c r="Z133" s="2">
        <v>25</v>
      </c>
      <c r="AA133" s="2">
        <v>26</v>
      </c>
      <c r="AB133" s="2">
        <v>27</v>
      </c>
      <c r="AC133" s="2">
        <v>28</v>
      </c>
      <c r="AD133" s="2">
        <v>29</v>
      </c>
      <c r="AE133" s="2">
        <v>30</v>
      </c>
      <c r="AF133" s="2">
        <v>31</v>
      </c>
      <c r="AG133" s="52" t="s">
        <v>0</v>
      </c>
    </row>
    <row r="134" spans="1:33" x14ac:dyDescent="0.2">
      <c r="A134" s="3"/>
      <c r="B134" s="3" t="s">
        <v>1</v>
      </c>
      <c r="C134" s="3" t="s">
        <v>1</v>
      </c>
      <c r="D134" s="3" t="s">
        <v>1</v>
      </c>
      <c r="E134" s="3" t="s">
        <v>1</v>
      </c>
      <c r="F134" s="3" t="s">
        <v>1</v>
      </c>
      <c r="G134" s="3" t="s">
        <v>1</v>
      </c>
      <c r="H134" s="3" t="s">
        <v>1</v>
      </c>
      <c r="I134" s="3" t="s">
        <v>1</v>
      </c>
      <c r="J134" s="3" t="s">
        <v>1</v>
      </c>
      <c r="K134" s="3" t="s">
        <v>1</v>
      </c>
      <c r="L134" s="3" t="s">
        <v>1</v>
      </c>
      <c r="M134" s="3" t="s">
        <v>1</v>
      </c>
      <c r="N134" s="3" t="s">
        <v>1</v>
      </c>
      <c r="O134" s="3" t="s">
        <v>1</v>
      </c>
      <c r="P134" s="3" t="s">
        <v>1</v>
      </c>
      <c r="Q134" s="3" t="s">
        <v>1</v>
      </c>
      <c r="R134" s="3" t="s">
        <v>1</v>
      </c>
      <c r="S134" s="3" t="s">
        <v>1</v>
      </c>
      <c r="T134" s="3" t="s">
        <v>1</v>
      </c>
      <c r="U134" s="3" t="s">
        <v>1</v>
      </c>
      <c r="V134" s="3" t="s">
        <v>1</v>
      </c>
      <c r="W134" s="3" t="s">
        <v>1</v>
      </c>
      <c r="X134" s="3" t="s">
        <v>1</v>
      </c>
      <c r="Y134" s="3" t="s">
        <v>1</v>
      </c>
      <c r="Z134" s="3" t="s">
        <v>1</v>
      </c>
      <c r="AA134" s="3" t="s">
        <v>1</v>
      </c>
      <c r="AB134" s="3" t="s">
        <v>1</v>
      </c>
      <c r="AC134" s="3" t="s">
        <v>1</v>
      </c>
      <c r="AD134" s="3" t="s">
        <v>1</v>
      </c>
      <c r="AE134" s="3" t="s">
        <v>1</v>
      </c>
      <c r="AF134" s="3" t="s">
        <v>1</v>
      </c>
      <c r="AG134" s="53" t="s">
        <v>1</v>
      </c>
    </row>
    <row r="135" spans="1:33" x14ac:dyDescent="0.2">
      <c r="A135" s="16" t="str">
        <f>BUDGET!A9</f>
        <v>Rent</v>
      </c>
      <c r="B135" s="6">
        <v>0</v>
      </c>
      <c r="C135" s="6">
        <v>0</v>
      </c>
      <c r="D135" s="6"/>
      <c r="E135" s="6"/>
      <c r="F135" s="6"/>
      <c r="G135" s="6"/>
      <c r="H135" s="6"/>
      <c r="I135" s="6"/>
      <c r="J135" s="6"/>
      <c r="K135" s="6"/>
      <c r="L135" s="6"/>
      <c r="M135" s="6"/>
      <c r="N135" s="6"/>
      <c r="O135" s="6"/>
      <c r="P135" s="6"/>
      <c r="Q135" s="6"/>
      <c r="R135" s="6"/>
      <c r="S135" s="6"/>
      <c r="T135" s="6"/>
      <c r="U135" s="6"/>
      <c r="V135" s="6"/>
      <c r="W135" s="6"/>
      <c r="X135" s="6"/>
      <c r="Y135" s="6"/>
      <c r="Z135" s="6"/>
      <c r="AA135" s="6"/>
      <c r="AB135" s="6">
        <v>500</v>
      </c>
      <c r="AC135" s="6"/>
      <c r="AD135" s="6"/>
      <c r="AE135" s="6"/>
      <c r="AF135" s="6"/>
      <c r="AG135" s="54">
        <f t="shared" ref="AG135:AG154" si="10">SUM(B135:AF135)</f>
        <v>500</v>
      </c>
    </row>
    <row r="136" spans="1:33" x14ac:dyDescent="0.2">
      <c r="A136" s="16" t="str">
        <f>BUDGET!A10</f>
        <v>Tithe</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54">
        <f t="shared" si="10"/>
        <v>0</v>
      </c>
    </row>
    <row r="137" spans="1:33" x14ac:dyDescent="0.2">
      <c r="A137" s="16" t="str">
        <f>BUDGET!A11</f>
        <v>Data</v>
      </c>
      <c r="B137" s="6">
        <v>0</v>
      </c>
      <c r="C137" s="6">
        <v>0</v>
      </c>
      <c r="D137" s="6"/>
      <c r="E137" s="6"/>
      <c r="F137" s="6">
        <v>300</v>
      </c>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54">
        <f t="shared" si="10"/>
        <v>300</v>
      </c>
    </row>
    <row r="138" spans="1:33" x14ac:dyDescent="0.2">
      <c r="A138" s="16" t="str">
        <f>BUDGET!A12</f>
        <v xml:space="preserve">Savings/ Investment </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v>350</v>
      </c>
      <c r="AC138" s="6"/>
      <c r="AD138" s="6"/>
      <c r="AE138" s="6"/>
      <c r="AF138" s="6"/>
      <c r="AG138" s="54">
        <f t="shared" si="10"/>
        <v>350</v>
      </c>
    </row>
    <row r="139" spans="1:33" x14ac:dyDescent="0.2">
      <c r="A139" s="16" t="str">
        <f>BUDGET!A13</f>
        <v>Hair / Gym</v>
      </c>
      <c r="B139" s="6">
        <v>0</v>
      </c>
      <c r="C139" s="6">
        <v>0</v>
      </c>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54">
        <f t="shared" si="10"/>
        <v>0</v>
      </c>
    </row>
    <row r="140" spans="1:33" x14ac:dyDescent="0.2">
      <c r="A140" s="16" t="str">
        <f>BUDGET!A14</f>
        <v>Food</v>
      </c>
      <c r="B140" s="6">
        <f>12+1</f>
        <v>13</v>
      </c>
      <c r="C140" s="6">
        <f>10+40+99+23</f>
        <v>172</v>
      </c>
      <c r="D140" s="6">
        <f>10+13</f>
        <v>23</v>
      </c>
      <c r="E140" s="6">
        <v>11.5</v>
      </c>
      <c r="F140" s="6">
        <f>5+3</f>
        <v>8</v>
      </c>
      <c r="G140" s="6">
        <f>6+8+10</f>
        <v>24</v>
      </c>
      <c r="H140" s="6">
        <v>7</v>
      </c>
      <c r="I140" s="6">
        <f>7+5</f>
        <v>12</v>
      </c>
      <c r="J140" s="6">
        <f>6+11</f>
        <v>17</v>
      </c>
      <c r="K140" s="6">
        <v>37</v>
      </c>
      <c r="L140" s="6"/>
      <c r="M140" s="6">
        <v>7</v>
      </c>
      <c r="N140" s="6">
        <f>7+50</f>
        <v>57</v>
      </c>
      <c r="O140" s="6">
        <v>7</v>
      </c>
      <c r="P140" s="6">
        <v>8</v>
      </c>
      <c r="Q140" s="6">
        <f>9</f>
        <v>9</v>
      </c>
      <c r="R140" s="6">
        <f>50+20+10</f>
        <v>80</v>
      </c>
      <c r="S140" s="6"/>
      <c r="T140" s="6"/>
      <c r="U140" s="6">
        <f>7+10</f>
        <v>17</v>
      </c>
      <c r="V140" s="6">
        <f>20+4</f>
        <v>24</v>
      </c>
      <c r="W140" s="6">
        <f>5+4+2+2+11</f>
        <v>24</v>
      </c>
      <c r="X140" s="6"/>
      <c r="Y140" s="6"/>
      <c r="Z140" s="6">
        <v>10</v>
      </c>
      <c r="AA140" s="6"/>
      <c r="AB140" s="6">
        <f>5+4+2+2</f>
        <v>13</v>
      </c>
      <c r="AC140" s="6">
        <f>17+5</f>
        <v>22</v>
      </c>
      <c r="AD140" s="6">
        <v>7</v>
      </c>
      <c r="AE140" s="6">
        <f>34</f>
        <v>34</v>
      </c>
      <c r="AF140" s="6"/>
      <c r="AG140" s="54">
        <f t="shared" si="10"/>
        <v>643.5</v>
      </c>
    </row>
    <row r="141" spans="1:33" x14ac:dyDescent="0.2">
      <c r="A141" s="16" t="str">
        <f>BUDGET!A15</f>
        <v>Healthcare</v>
      </c>
      <c r="B141" s="6">
        <v>0</v>
      </c>
      <c r="C141" s="6">
        <v>0</v>
      </c>
      <c r="D141" s="6"/>
      <c r="E141" s="6"/>
      <c r="F141" s="6">
        <v>20</v>
      </c>
      <c r="G141" s="6"/>
      <c r="H141" s="6"/>
      <c r="I141" s="6"/>
      <c r="J141" s="6"/>
      <c r="K141" s="6"/>
      <c r="L141" s="6"/>
      <c r="M141" s="6"/>
      <c r="N141" s="6"/>
      <c r="O141" s="6"/>
      <c r="P141" s="6"/>
      <c r="Q141" s="6"/>
      <c r="R141" s="6"/>
      <c r="S141" s="6"/>
      <c r="T141" s="6"/>
      <c r="U141" s="6"/>
      <c r="V141" s="6"/>
      <c r="W141" s="6">
        <v>15.5</v>
      </c>
      <c r="X141" s="6"/>
      <c r="Y141" s="6">
        <v>40</v>
      </c>
      <c r="Z141" s="6"/>
      <c r="AA141" s="6"/>
      <c r="AB141" s="6"/>
      <c r="AC141" s="6"/>
      <c r="AD141" s="6"/>
      <c r="AE141" s="6"/>
      <c r="AF141" s="6"/>
      <c r="AG141" s="54">
        <f t="shared" si="10"/>
        <v>75.5</v>
      </c>
    </row>
    <row r="142" spans="1:33" x14ac:dyDescent="0.2">
      <c r="A142" s="16" t="str">
        <f>BUDGET!A16</f>
        <v xml:space="preserve">Clothes/ Shoes/ Jewelry </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54">
        <f t="shared" si="10"/>
        <v>0</v>
      </c>
    </row>
    <row r="143" spans="1:33" x14ac:dyDescent="0.2">
      <c r="A143" s="16" t="str">
        <f>BUDGET!A17</f>
        <v>shoes</v>
      </c>
      <c r="B143" s="6">
        <v>0</v>
      </c>
      <c r="C143" s="6">
        <v>0</v>
      </c>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54">
        <f t="shared" si="10"/>
        <v>0</v>
      </c>
    </row>
    <row r="144" spans="1:33" x14ac:dyDescent="0.2">
      <c r="A144" s="16" t="str">
        <f>BUDGET!A18</f>
        <v xml:space="preserve">Travel/ Vacations </v>
      </c>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54">
        <f t="shared" si="10"/>
        <v>0</v>
      </c>
    </row>
    <row r="145" spans="1:33" x14ac:dyDescent="0.2">
      <c r="A145" s="16" t="str">
        <f>BUDGET!A19</f>
        <v>Outings</v>
      </c>
      <c r="B145" s="6"/>
      <c r="C145" s="6"/>
      <c r="D145" s="6"/>
      <c r="E145" s="6"/>
      <c r="F145" s="6"/>
      <c r="G145" s="6"/>
      <c r="H145" s="6"/>
      <c r="I145" s="6"/>
      <c r="J145" s="6"/>
      <c r="K145" s="6"/>
      <c r="L145" s="6"/>
      <c r="M145" s="6"/>
      <c r="N145" s="6"/>
      <c r="O145" s="6"/>
      <c r="P145" s="6"/>
      <c r="Q145" s="6"/>
      <c r="R145" s="6"/>
      <c r="S145" s="6"/>
      <c r="T145" s="6"/>
      <c r="U145" s="6"/>
      <c r="V145" s="6"/>
      <c r="W145" s="6"/>
      <c r="X145" s="6">
        <v>100</v>
      </c>
      <c r="Y145" s="6"/>
      <c r="Z145" s="6"/>
      <c r="AA145" s="6"/>
      <c r="AB145" s="6"/>
      <c r="AC145" s="6"/>
      <c r="AD145" s="6"/>
      <c r="AE145" s="6"/>
      <c r="AF145" s="6"/>
      <c r="AG145" s="54">
        <f t="shared" si="10"/>
        <v>100</v>
      </c>
    </row>
    <row r="146" spans="1:33" x14ac:dyDescent="0.2">
      <c r="A146" s="16" t="str">
        <f>BUDGET!A20</f>
        <v>Toiletries/Groceries</v>
      </c>
      <c r="B146" s="6">
        <f>20+87.96</f>
        <v>107.96</v>
      </c>
      <c r="C146" s="6"/>
      <c r="D146" s="6"/>
      <c r="E146" s="6"/>
      <c r="F146" s="6"/>
      <c r="G146" s="6"/>
      <c r="H146" s="6"/>
      <c r="I146" s="6"/>
      <c r="J146" s="6"/>
      <c r="K146" s="6"/>
      <c r="L146" s="6"/>
      <c r="M146" s="6"/>
      <c r="N146" s="6"/>
      <c r="O146" s="6"/>
      <c r="P146" s="6">
        <v>23</v>
      </c>
      <c r="Q146" s="6"/>
      <c r="R146" s="6"/>
      <c r="S146" s="6"/>
      <c r="T146" s="6"/>
      <c r="U146" s="6"/>
      <c r="V146" s="6"/>
      <c r="W146" s="6">
        <v>40</v>
      </c>
      <c r="X146" s="6"/>
      <c r="Y146" s="6">
        <v>575.45000000000005</v>
      </c>
      <c r="Z146" s="6"/>
      <c r="AA146" s="6"/>
      <c r="AB146" s="6"/>
      <c r="AC146" s="6"/>
      <c r="AD146" s="6"/>
      <c r="AE146" s="6"/>
      <c r="AF146" s="6"/>
      <c r="AG146" s="54">
        <f t="shared" si="10"/>
        <v>746.41000000000008</v>
      </c>
    </row>
    <row r="147" spans="1:33" x14ac:dyDescent="0.2">
      <c r="A147" s="16" t="str">
        <f>BUDGET!A21</f>
        <v xml:space="preserve">Transportation </v>
      </c>
      <c r="B147" s="6">
        <v>3</v>
      </c>
      <c r="C147" s="6">
        <f>64+46</f>
        <v>110</v>
      </c>
      <c r="D147" s="6"/>
      <c r="E147" s="6"/>
      <c r="F147" s="6"/>
      <c r="G147" s="6"/>
      <c r="H147" s="6"/>
      <c r="I147" s="6"/>
      <c r="J147" s="6">
        <f>10+68</f>
        <v>78</v>
      </c>
      <c r="K147" s="6"/>
      <c r="L147" s="6"/>
      <c r="M147" s="6"/>
      <c r="N147" s="6"/>
      <c r="O147" s="6">
        <f>7+5.5</f>
        <v>12.5</v>
      </c>
      <c r="P147" s="6"/>
      <c r="Q147" s="6">
        <v>55</v>
      </c>
      <c r="R147" s="6">
        <f>35</f>
        <v>35</v>
      </c>
      <c r="S147" s="6">
        <v>20</v>
      </c>
      <c r="T147" s="6">
        <v>97</v>
      </c>
      <c r="U147" s="6">
        <f>5+7.5</f>
        <v>12.5</v>
      </c>
      <c r="V147" s="6">
        <v>90</v>
      </c>
      <c r="W147" s="6">
        <f>6+5.5</f>
        <v>11.5</v>
      </c>
      <c r="X147" s="6">
        <f>32+47</f>
        <v>79</v>
      </c>
      <c r="Y147" s="6">
        <v>16</v>
      </c>
      <c r="Z147" s="6"/>
      <c r="AA147" s="6">
        <f>50+2.5+7</f>
        <v>59.5</v>
      </c>
      <c r="AB147" s="6">
        <f>7+5.5+5+7.5</f>
        <v>25</v>
      </c>
      <c r="AC147" s="6">
        <f>7+4.5</f>
        <v>11.5</v>
      </c>
      <c r="AD147" s="6">
        <f>47+7.5</f>
        <v>54.5</v>
      </c>
      <c r="AE147" s="6">
        <f>14+11+48</f>
        <v>73</v>
      </c>
      <c r="AF147" s="6"/>
      <c r="AG147" s="54">
        <f t="shared" si="10"/>
        <v>843</v>
      </c>
    </row>
    <row r="148" spans="1:33" x14ac:dyDescent="0.2">
      <c r="A148" s="16" t="str">
        <f>BUDGET!A22</f>
        <v>Miscellaneous</v>
      </c>
      <c r="B148" s="6"/>
      <c r="C148" s="6"/>
      <c r="D148" s="6"/>
      <c r="E148" s="6"/>
      <c r="F148" s="6">
        <v>30</v>
      </c>
      <c r="G148" s="6"/>
      <c r="H148" s="6"/>
      <c r="I148" s="6"/>
      <c r="J148" s="6"/>
      <c r="K148" s="6"/>
      <c r="L148" s="6"/>
      <c r="M148" s="6"/>
      <c r="N148" s="6"/>
      <c r="O148" s="6">
        <v>20</v>
      </c>
      <c r="P148" s="6"/>
      <c r="Q148" s="6">
        <v>14</v>
      </c>
      <c r="R148" s="6">
        <f>35+4</f>
        <v>39</v>
      </c>
      <c r="S148" s="6"/>
      <c r="T148" s="6"/>
      <c r="U148" s="6"/>
      <c r="V148" s="6"/>
      <c r="W148" s="6">
        <v>5</v>
      </c>
      <c r="X148" s="6"/>
      <c r="Y148" s="6"/>
      <c r="Z148" s="6">
        <v>31</v>
      </c>
      <c r="AA148" s="6"/>
      <c r="AB148" s="6"/>
      <c r="AC148" s="6"/>
      <c r="AD148" s="6">
        <v>600</v>
      </c>
      <c r="AE148" s="6"/>
      <c r="AF148" s="6"/>
      <c r="AG148" s="54">
        <f t="shared" si="10"/>
        <v>739</v>
      </c>
    </row>
    <row r="149" spans="1:33" x14ac:dyDescent="0.2">
      <c r="A149" s="16" t="str">
        <f>BUDGET!A23</f>
        <v>Apple Subscriptions</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v>12.55</v>
      </c>
      <c r="AC149" s="6"/>
      <c r="AD149" s="6"/>
      <c r="AE149" s="6"/>
      <c r="AF149" s="6"/>
      <c r="AG149" s="54">
        <f t="shared" si="10"/>
        <v>12.55</v>
      </c>
    </row>
    <row r="150" spans="1:33" x14ac:dyDescent="0.2">
      <c r="A150" s="16" t="str">
        <f>BUDGET!A24</f>
        <v>Google 1</v>
      </c>
      <c r="B150" s="6"/>
      <c r="C150" s="6"/>
      <c r="D150" s="6"/>
      <c r="E150" s="6"/>
      <c r="F150" s="6"/>
      <c r="G150" s="6"/>
      <c r="H150" s="6"/>
      <c r="I150" s="6"/>
      <c r="J150" s="6"/>
      <c r="K150" s="6">
        <v>9</v>
      </c>
      <c r="L150" s="6"/>
      <c r="M150" s="6"/>
      <c r="N150" s="6"/>
      <c r="O150" s="6"/>
      <c r="P150" s="6"/>
      <c r="Q150" s="6"/>
      <c r="R150" s="6"/>
      <c r="S150" s="6"/>
      <c r="T150" s="6"/>
      <c r="U150" s="6"/>
      <c r="V150" s="6"/>
      <c r="W150" s="6"/>
      <c r="X150" s="6"/>
      <c r="Y150" s="6"/>
      <c r="Z150" s="6"/>
      <c r="AA150" s="6"/>
      <c r="AB150" s="6"/>
      <c r="AC150" s="6"/>
      <c r="AD150" s="6"/>
      <c r="AE150" s="6"/>
      <c r="AF150" s="6"/>
      <c r="AG150" s="54">
        <f t="shared" si="10"/>
        <v>9</v>
      </c>
    </row>
    <row r="151" spans="1:33" x14ac:dyDescent="0.2">
      <c r="A151" s="16" t="str">
        <f>BUDGET!A25</f>
        <v>Netflix</v>
      </c>
      <c r="B151" s="6"/>
      <c r="C151" s="6"/>
      <c r="D151" s="6"/>
      <c r="E151" s="6"/>
      <c r="F151" s="6"/>
      <c r="G151" s="6"/>
      <c r="H151" s="6"/>
      <c r="I151" s="6"/>
      <c r="J151" s="6"/>
      <c r="K151" s="6"/>
      <c r="L151" s="6"/>
      <c r="M151" s="6"/>
      <c r="N151" s="6"/>
      <c r="O151" s="6"/>
      <c r="P151" s="6"/>
      <c r="Q151" s="6"/>
      <c r="R151" s="6"/>
      <c r="S151" s="6"/>
      <c r="T151" s="6">
        <v>100.02</v>
      </c>
      <c r="U151" s="6"/>
      <c r="V151" s="6"/>
      <c r="W151" s="6"/>
      <c r="X151" s="6"/>
      <c r="Y151" s="6"/>
      <c r="Z151" s="6"/>
      <c r="AA151" s="6"/>
      <c r="AB151" s="6"/>
      <c r="AC151" s="6"/>
      <c r="AD151" s="6"/>
      <c r="AE151" s="6"/>
      <c r="AF151" s="6"/>
      <c r="AG151" s="54">
        <f t="shared" si="10"/>
        <v>100.02</v>
      </c>
    </row>
    <row r="152" spans="1:33" x14ac:dyDescent="0.2">
      <c r="A152" s="16" t="str">
        <f>BUDGET!A26</f>
        <v>Amuse</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54">
        <f t="shared" si="10"/>
        <v>0</v>
      </c>
    </row>
    <row r="153" spans="1:33" x14ac:dyDescent="0.2">
      <c r="A153" s="16" t="str">
        <f>BUDGET!A27</f>
        <v>electricity</v>
      </c>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54">
        <f t="shared" si="10"/>
        <v>0</v>
      </c>
    </row>
    <row r="154" spans="1:33" ht="16" thickBot="1" x14ac:dyDescent="0.25">
      <c r="A154" s="16" t="str">
        <f>BUDGET!A28</f>
        <v>Account Charges</v>
      </c>
      <c r="B154" s="6"/>
      <c r="C154" s="6"/>
      <c r="D154" s="6"/>
      <c r="E154" s="6"/>
      <c r="F154" s="6"/>
      <c r="G154" s="6"/>
      <c r="H154" s="6"/>
      <c r="I154" s="6"/>
      <c r="J154" s="6"/>
      <c r="K154" s="6"/>
      <c r="L154" s="6"/>
      <c r="M154" s="6"/>
      <c r="N154" s="6"/>
      <c r="O154" s="6"/>
      <c r="P154" s="6"/>
      <c r="Q154" s="6"/>
      <c r="R154" s="6"/>
      <c r="S154" s="6"/>
      <c r="T154" s="6"/>
      <c r="U154" s="6"/>
      <c r="V154" s="6"/>
      <c r="W154" s="6"/>
      <c r="X154" s="6"/>
      <c r="Y154" s="6"/>
      <c r="Z154" s="6">
        <v>3</v>
      </c>
      <c r="AA154" s="6"/>
      <c r="AB154" s="6">
        <v>8.5</v>
      </c>
      <c r="AC154" s="6"/>
      <c r="AD154" s="6"/>
      <c r="AE154" s="6">
        <v>5</v>
      </c>
      <c r="AF154" s="6"/>
      <c r="AG154" s="54">
        <f t="shared" si="10"/>
        <v>16.5</v>
      </c>
    </row>
    <row r="155" spans="1:33" ht="17" thickBot="1" x14ac:dyDescent="0.25">
      <c r="A155" s="20" t="s">
        <v>11</v>
      </c>
      <c r="B155" s="21">
        <f t="shared" ref="B155:AG155" si="11">SUM(B135:B154)</f>
        <v>123.96</v>
      </c>
      <c r="C155" s="21">
        <f t="shared" si="11"/>
        <v>282</v>
      </c>
      <c r="D155" s="21">
        <f t="shared" si="11"/>
        <v>23</v>
      </c>
      <c r="E155" s="21">
        <f t="shared" si="11"/>
        <v>11.5</v>
      </c>
      <c r="F155" s="21">
        <f t="shared" si="11"/>
        <v>358</v>
      </c>
      <c r="G155" s="21">
        <f t="shared" si="11"/>
        <v>24</v>
      </c>
      <c r="H155" s="21">
        <f t="shared" si="11"/>
        <v>7</v>
      </c>
      <c r="I155" s="21">
        <f t="shared" si="11"/>
        <v>12</v>
      </c>
      <c r="J155" s="21">
        <f t="shared" si="11"/>
        <v>95</v>
      </c>
      <c r="K155" s="21">
        <f t="shared" si="11"/>
        <v>46</v>
      </c>
      <c r="L155" s="21">
        <f t="shared" si="11"/>
        <v>0</v>
      </c>
      <c r="M155" s="21">
        <f t="shared" si="11"/>
        <v>7</v>
      </c>
      <c r="N155" s="21">
        <f t="shared" si="11"/>
        <v>57</v>
      </c>
      <c r="O155" s="21">
        <f t="shared" si="11"/>
        <v>39.5</v>
      </c>
      <c r="P155" s="21">
        <f>SUM(P135:P154)</f>
        <v>31</v>
      </c>
      <c r="Q155" s="21">
        <f t="shared" si="11"/>
        <v>78</v>
      </c>
      <c r="R155" s="21">
        <f t="shared" si="11"/>
        <v>154</v>
      </c>
      <c r="S155" s="21">
        <f t="shared" si="11"/>
        <v>20</v>
      </c>
      <c r="T155" s="21">
        <f t="shared" si="11"/>
        <v>197.01999999999998</v>
      </c>
      <c r="U155" s="21">
        <f t="shared" si="11"/>
        <v>29.5</v>
      </c>
      <c r="V155" s="21">
        <f t="shared" si="11"/>
        <v>114</v>
      </c>
      <c r="W155" s="21">
        <f t="shared" si="11"/>
        <v>96</v>
      </c>
      <c r="X155" s="21">
        <f t="shared" si="11"/>
        <v>179</v>
      </c>
      <c r="Y155" s="21">
        <f t="shared" si="11"/>
        <v>631.45000000000005</v>
      </c>
      <c r="Z155" s="21">
        <f t="shared" si="11"/>
        <v>44</v>
      </c>
      <c r="AA155" s="21">
        <f t="shared" si="11"/>
        <v>59.5</v>
      </c>
      <c r="AB155" s="21">
        <f t="shared" si="11"/>
        <v>909.05</v>
      </c>
      <c r="AC155" s="21">
        <f t="shared" si="11"/>
        <v>33.5</v>
      </c>
      <c r="AD155" s="21">
        <f t="shared" si="11"/>
        <v>661.5</v>
      </c>
      <c r="AE155" s="21">
        <f t="shared" si="11"/>
        <v>112</v>
      </c>
      <c r="AF155" s="21">
        <f t="shared" si="11"/>
        <v>0</v>
      </c>
      <c r="AG155" s="56">
        <f t="shared" si="11"/>
        <v>4435.4800000000005</v>
      </c>
    </row>
    <row r="156" spans="1:33" ht="17" thickTop="1" x14ac:dyDescent="0.2">
      <c r="A156" s="5"/>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57"/>
    </row>
    <row r="157" spans="1:33" ht="16" x14ac:dyDescent="0.2">
      <c r="A157" s="5"/>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57"/>
    </row>
    <row r="158" spans="1:33" ht="16" x14ac:dyDescent="0.2">
      <c r="A158" s="5"/>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57"/>
    </row>
    <row r="159" spans="1:33" x14ac:dyDescent="0.2">
      <c r="A159" s="14" t="s">
        <v>193</v>
      </c>
      <c r="B159" s="7">
        <v>1</v>
      </c>
      <c r="C159" s="7">
        <v>2</v>
      </c>
      <c r="D159" s="7">
        <v>3</v>
      </c>
      <c r="E159" s="2">
        <v>4</v>
      </c>
      <c r="F159" s="2">
        <v>5</v>
      </c>
      <c r="G159" s="2">
        <v>6</v>
      </c>
      <c r="H159" s="2">
        <v>7</v>
      </c>
      <c r="I159" s="2">
        <v>8</v>
      </c>
      <c r="J159" s="2">
        <v>9</v>
      </c>
      <c r="K159" s="2">
        <v>10</v>
      </c>
      <c r="L159" s="2">
        <v>11</v>
      </c>
      <c r="M159" s="2">
        <v>12</v>
      </c>
      <c r="N159" s="2">
        <v>13</v>
      </c>
      <c r="O159" s="2">
        <v>14</v>
      </c>
      <c r="P159" s="2">
        <v>15</v>
      </c>
      <c r="Q159" s="2">
        <v>16</v>
      </c>
      <c r="R159" s="2">
        <v>17</v>
      </c>
      <c r="S159" s="2">
        <v>18</v>
      </c>
      <c r="T159" s="2">
        <v>19</v>
      </c>
      <c r="U159" s="2">
        <v>20</v>
      </c>
      <c r="V159" s="2">
        <v>21</v>
      </c>
      <c r="W159" s="2">
        <v>22</v>
      </c>
      <c r="X159" s="2">
        <v>23</v>
      </c>
      <c r="Y159" s="2">
        <v>24</v>
      </c>
      <c r="Z159" s="2">
        <v>25</v>
      </c>
      <c r="AA159" s="2">
        <v>26</v>
      </c>
      <c r="AB159" s="2">
        <v>27</v>
      </c>
      <c r="AC159" s="2">
        <v>28</v>
      </c>
      <c r="AD159" s="2">
        <v>29</v>
      </c>
      <c r="AE159" s="2">
        <v>30</v>
      </c>
      <c r="AF159" s="2">
        <v>31</v>
      </c>
      <c r="AG159" s="52" t="s">
        <v>0</v>
      </c>
    </row>
    <row r="160" spans="1:33" x14ac:dyDescent="0.2">
      <c r="A160" s="3"/>
      <c r="B160" s="3" t="s">
        <v>1</v>
      </c>
      <c r="C160" s="3" t="s">
        <v>1</v>
      </c>
      <c r="D160" s="3" t="s">
        <v>1</v>
      </c>
      <c r="E160" s="3" t="s">
        <v>1</v>
      </c>
      <c r="F160" s="3" t="s">
        <v>1</v>
      </c>
      <c r="G160" s="3" t="s">
        <v>1</v>
      </c>
      <c r="H160" s="3" t="s">
        <v>1</v>
      </c>
      <c r="I160" s="3" t="s">
        <v>1</v>
      </c>
      <c r="J160" s="3" t="s">
        <v>1</v>
      </c>
      <c r="K160" s="3" t="s">
        <v>1</v>
      </c>
      <c r="L160" s="3" t="s">
        <v>1</v>
      </c>
      <c r="M160" s="3" t="s">
        <v>1</v>
      </c>
      <c r="N160" s="3" t="s">
        <v>1</v>
      </c>
      <c r="O160" s="3" t="s">
        <v>1</v>
      </c>
      <c r="P160" s="3" t="s">
        <v>1</v>
      </c>
      <c r="Q160" s="3" t="s">
        <v>1</v>
      </c>
      <c r="R160" s="3" t="s">
        <v>1</v>
      </c>
      <c r="S160" s="3" t="s">
        <v>1</v>
      </c>
      <c r="T160" s="3" t="s">
        <v>1</v>
      </c>
      <c r="U160" s="3" t="s">
        <v>1</v>
      </c>
      <c r="V160" s="3" t="s">
        <v>1</v>
      </c>
      <c r="W160" s="3" t="s">
        <v>1</v>
      </c>
      <c r="X160" s="3" t="s">
        <v>1</v>
      </c>
      <c r="Y160" s="3" t="s">
        <v>1</v>
      </c>
      <c r="Z160" s="3" t="s">
        <v>1</v>
      </c>
      <c r="AA160" s="3" t="s">
        <v>1</v>
      </c>
      <c r="AB160" s="3" t="s">
        <v>1</v>
      </c>
      <c r="AC160" s="3" t="s">
        <v>1</v>
      </c>
      <c r="AD160" s="3" t="s">
        <v>1</v>
      </c>
      <c r="AE160" s="3" t="s">
        <v>1</v>
      </c>
      <c r="AF160" s="3" t="s">
        <v>1</v>
      </c>
      <c r="AG160" s="53" t="s">
        <v>1</v>
      </c>
    </row>
    <row r="161" spans="1:33" x14ac:dyDescent="0.2">
      <c r="A161" s="16" t="str">
        <f>BUDGET!A9</f>
        <v>Rent</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54">
        <f>SUM(B161:AF161)</f>
        <v>0</v>
      </c>
    </row>
    <row r="162" spans="1:33" x14ac:dyDescent="0.2">
      <c r="A162" s="16" t="str">
        <f>BUDGET!A10</f>
        <v>Tithe</v>
      </c>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54">
        <f t="shared" ref="AG162:AG180" si="12">SUM(B162:AF162)</f>
        <v>0</v>
      </c>
    </row>
    <row r="163" spans="1:33" x14ac:dyDescent="0.2">
      <c r="A163" s="16" t="str">
        <f>BUDGET!A11</f>
        <v>Data</v>
      </c>
      <c r="B163" s="6"/>
      <c r="C163" s="6"/>
      <c r="D163" s="6"/>
      <c r="E163" s="6">
        <v>300</v>
      </c>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54">
        <f t="shared" si="12"/>
        <v>300</v>
      </c>
    </row>
    <row r="164" spans="1:33" x14ac:dyDescent="0.2">
      <c r="A164" s="16" t="str">
        <f>BUDGET!A12</f>
        <v xml:space="preserve">Savings/ Investment </v>
      </c>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v>750</v>
      </c>
      <c r="AE164" s="6"/>
      <c r="AF164" s="6"/>
      <c r="AG164" s="54">
        <f t="shared" si="12"/>
        <v>750</v>
      </c>
    </row>
    <row r="165" spans="1:33" x14ac:dyDescent="0.2">
      <c r="A165" s="16" t="str">
        <f>BUDGET!A13</f>
        <v>Hair / Gym</v>
      </c>
      <c r="B165" s="6"/>
      <c r="C165" s="6"/>
      <c r="D165" s="6"/>
      <c r="E165" s="6"/>
      <c r="F165" s="6"/>
      <c r="G165" s="6"/>
      <c r="H165" s="6"/>
      <c r="I165" s="6"/>
      <c r="J165" s="6"/>
      <c r="K165" s="6"/>
      <c r="L165" s="6"/>
      <c r="M165" s="6"/>
      <c r="N165" s="6"/>
      <c r="O165" s="6"/>
      <c r="P165" s="6"/>
      <c r="Q165" s="6"/>
      <c r="R165" s="6"/>
      <c r="S165" s="6"/>
      <c r="T165" s="6"/>
      <c r="U165" s="6">
        <v>20</v>
      </c>
      <c r="V165" s="6"/>
      <c r="W165" s="6"/>
      <c r="X165" s="6"/>
      <c r="Y165" s="6"/>
      <c r="Z165" s="6"/>
      <c r="AA165" s="6"/>
      <c r="AB165" s="6"/>
      <c r="AC165" s="6"/>
      <c r="AD165" s="6"/>
      <c r="AE165" s="6"/>
      <c r="AF165" s="6"/>
      <c r="AG165" s="54">
        <f t="shared" si="12"/>
        <v>20</v>
      </c>
    </row>
    <row r="166" spans="1:33" x14ac:dyDescent="0.2">
      <c r="A166" s="16" t="str">
        <f>BUDGET!A14</f>
        <v>Food</v>
      </c>
      <c r="B166" s="6">
        <v>39</v>
      </c>
      <c r="C166" s="6">
        <v>70</v>
      </c>
      <c r="D166" s="6">
        <f>39</f>
        <v>39</v>
      </c>
      <c r="E166" s="6">
        <f>9</f>
        <v>9</v>
      </c>
      <c r="F166" s="6">
        <f>5</f>
        <v>5</v>
      </c>
      <c r="G166" s="6">
        <f>8</f>
        <v>8</v>
      </c>
      <c r="H166" s="6">
        <f>4+35.5</f>
        <v>39.5</v>
      </c>
      <c r="I166" s="6">
        <v>150</v>
      </c>
      <c r="J166" s="6"/>
      <c r="K166" s="6">
        <f>7</f>
        <v>7</v>
      </c>
      <c r="L166" s="6">
        <v>8.5</v>
      </c>
      <c r="M166" s="6">
        <v>8</v>
      </c>
      <c r="N166" s="6">
        <v>8</v>
      </c>
      <c r="O166" s="6">
        <f>42.7+20+25</f>
        <v>87.7</v>
      </c>
      <c r="P166" s="6"/>
      <c r="Q166" s="6"/>
      <c r="R166" s="6">
        <v>7</v>
      </c>
      <c r="S166" s="6">
        <f>6+10.5</f>
        <v>16.5</v>
      </c>
      <c r="T166" s="6">
        <v>14</v>
      </c>
      <c r="U166" s="6">
        <f>8+10</f>
        <v>18</v>
      </c>
      <c r="V166" s="6"/>
      <c r="W166" s="6">
        <v>11</v>
      </c>
      <c r="X166" s="6"/>
      <c r="Y166" s="6"/>
      <c r="Z166" s="6">
        <f>8+6</f>
        <v>14</v>
      </c>
      <c r="AA166" s="6">
        <v>116.47</v>
      </c>
      <c r="AB166" s="6">
        <v>10</v>
      </c>
      <c r="AC166" s="6">
        <f>71+10</f>
        <v>81</v>
      </c>
      <c r="AD166" s="6">
        <f>5+80</f>
        <v>85</v>
      </c>
      <c r="AE166" s="6"/>
      <c r="AF166" s="6">
        <f>7+20</f>
        <v>27</v>
      </c>
      <c r="AG166" s="54">
        <f>SUM(B166:AF166)</f>
        <v>878.67000000000007</v>
      </c>
    </row>
    <row r="167" spans="1:33" x14ac:dyDescent="0.2">
      <c r="A167" s="16" t="str">
        <f>BUDGET!A15</f>
        <v>Healthcare</v>
      </c>
      <c r="B167" s="6"/>
      <c r="C167" s="6"/>
      <c r="D167" s="6"/>
      <c r="E167" s="6"/>
      <c r="F167" s="6"/>
      <c r="G167" s="6"/>
      <c r="H167" s="6"/>
      <c r="I167" s="6">
        <v>31</v>
      </c>
      <c r="J167" s="6"/>
      <c r="K167" s="6">
        <v>22</v>
      </c>
      <c r="L167" s="6"/>
      <c r="M167" s="6"/>
      <c r="N167" s="6"/>
      <c r="O167" s="6"/>
      <c r="P167" s="6"/>
      <c r="Q167" s="6"/>
      <c r="R167" s="6"/>
      <c r="S167" s="6"/>
      <c r="T167" s="6"/>
      <c r="U167" s="6"/>
      <c r="V167" s="6"/>
      <c r="W167" s="6"/>
      <c r="X167" s="6"/>
      <c r="Y167" s="6"/>
      <c r="Z167" s="6"/>
      <c r="AA167" s="6"/>
      <c r="AB167" s="6"/>
      <c r="AC167" s="6"/>
      <c r="AD167" s="6"/>
      <c r="AE167" s="6"/>
      <c r="AF167" s="6"/>
      <c r="AG167" s="54">
        <f t="shared" si="12"/>
        <v>53</v>
      </c>
    </row>
    <row r="168" spans="1:33" x14ac:dyDescent="0.2">
      <c r="A168" s="16" t="str">
        <f>BUDGET!A16</f>
        <v xml:space="preserve">Clothes/ Shoes/ Jewelry </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54">
        <f t="shared" si="12"/>
        <v>0</v>
      </c>
    </row>
    <row r="169" spans="1:33" x14ac:dyDescent="0.2">
      <c r="A169" s="16" t="str">
        <f>BUDGET!A17</f>
        <v>shoes</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54">
        <f t="shared" si="12"/>
        <v>0</v>
      </c>
    </row>
    <row r="170" spans="1:33" x14ac:dyDescent="0.2">
      <c r="A170" s="16" t="str">
        <f>BUDGET!A18</f>
        <v xml:space="preserve">Travel/ Vacations </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54">
        <f>SUM(B170:AF170)</f>
        <v>0</v>
      </c>
    </row>
    <row r="171" spans="1:33" x14ac:dyDescent="0.2">
      <c r="A171" s="16" t="str">
        <f>BUDGET!A19</f>
        <v>Outings</v>
      </c>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54">
        <f t="shared" si="12"/>
        <v>0</v>
      </c>
    </row>
    <row r="172" spans="1:33" x14ac:dyDescent="0.2">
      <c r="A172" s="16" t="str">
        <f>BUDGET!A20</f>
        <v>Toiletries/Groceries</v>
      </c>
      <c r="B172" s="6"/>
      <c r="C172" s="6"/>
      <c r="D172" s="6"/>
      <c r="E172" s="6"/>
      <c r="F172" s="6"/>
      <c r="G172" s="6"/>
      <c r="H172" s="6"/>
      <c r="I172" s="6"/>
      <c r="J172" s="6"/>
      <c r="K172" s="6"/>
      <c r="L172" s="6"/>
      <c r="M172" s="6"/>
      <c r="N172" s="6"/>
      <c r="O172" s="6"/>
      <c r="P172" s="6"/>
      <c r="Q172" s="6"/>
      <c r="R172" s="6"/>
      <c r="S172" s="6"/>
      <c r="T172" s="6"/>
      <c r="U172" s="6">
        <v>28</v>
      </c>
      <c r="V172" s="6"/>
      <c r="W172" s="6">
        <v>597.91</v>
      </c>
      <c r="X172" s="6">
        <v>120</v>
      </c>
      <c r="Y172" s="6"/>
      <c r="Z172" s="6"/>
      <c r="AA172" s="6"/>
      <c r="AB172" s="6"/>
      <c r="AC172" s="6">
        <v>38</v>
      </c>
      <c r="AD172" s="6">
        <v>90</v>
      </c>
      <c r="AE172" s="6"/>
      <c r="AF172" s="6"/>
      <c r="AG172" s="54">
        <f t="shared" si="12"/>
        <v>873.91</v>
      </c>
    </row>
    <row r="173" spans="1:33" x14ac:dyDescent="0.2">
      <c r="A173" s="16" t="str">
        <f>BUDGET!A21</f>
        <v xml:space="preserve">Transportation </v>
      </c>
      <c r="B173" s="6"/>
      <c r="C173" s="6">
        <f>14+21</f>
        <v>35</v>
      </c>
      <c r="D173" s="6">
        <f>66+4.5</f>
        <v>70.5</v>
      </c>
      <c r="E173" s="6">
        <f>7+5.5+5+7.5</f>
        <v>25</v>
      </c>
      <c r="F173" s="6">
        <f>7+5.5+15</f>
        <v>27.5</v>
      </c>
      <c r="G173" s="6">
        <f>25+5+15</f>
        <v>45</v>
      </c>
      <c r="H173" s="6">
        <f>35.25+50</f>
        <v>85.25</v>
      </c>
      <c r="I173" s="6">
        <f>20+19</f>
        <v>39</v>
      </c>
      <c r="J173" s="6"/>
      <c r="K173" s="6">
        <f>82</f>
        <v>82</v>
      </c>
      <c r="L173" s="6"/>
      <c r="M173" s="6"/>
      <c r="N173" s="6"/>
      <c r="O173" s="6">
        <v>47</v>
      </c>
      <c r="P173" s="6"/>
      <c r="Q173" s="6"/>
      <c r="R173" s="6">
        <v>56</v>
      </c>
      <c r="S173" s="6"/>
      <c r="T173" s="6"/>
      <c r="U173" s="6"/>
      <c r="V173" s="6">
        <f>51+31</f>
        <v>82</v>
      </c>
      <c r="W173" s="6">
        <f>9+10+13+13+11+13</f>
        <v>69</v>
      </c>
      <c r="X173" s="6">
        <f>13+42</f>
        <v>55</v>
      </c>
      <c r="Y173" s="6">
        <v>51</v>
      </c>
      <c r="Z173" s="6">
        <f>3+2+7+5.5+43</f>
        <v>60.5</v>
      </c>
      <c r="AA173" s="6">
        <f>4+7+5</f>
        <v>16</v>
      </c>
      <c r="AB173" s="6"/>
      <c r="AC173" s="6">
        <f>14+11+73</f>
        <v>98</v>
      </c>
      <c r="AD173" s="6">
        <f>30+20</f>
        <v>50</v>
      </c>
      <c r="AE173" s="6">
        <v>18</v>
      </c>
      <c r="AF173" s="6"/>
      <c r="AG173" s="54">
        <f t="shared" si="12"/>
        <v>1011.75</v>
      </c>
    </row>
    <row r="174" spans="1:33" x14ac:dyDescent="0.2">
      <c r="A174" s="16" t="str">
        <f>BUDGET!A22</f>
        <v>Miscellaneous</v>
      </c>
      <c r="B174" s="6"/>
      <c r="C174" s="6"/>
      <c r="D174" s="6"/>
      <c r="E174" s="6"/>
      <c r="F174" s="6"/>
      <c r="G174" s="6"/>
      <c r="H174" s="6">
        <v>364.6</v>
      </c>
      <c r="I174" s="6"/>
      <c r="J174" s="6"/>
      <c r="K174" s="6"/>
      <c r="L174" s="6"/>
      <c r="M174" s="6">
        <v>28</v>
      </c>
      <c r="N174" s="6">
        <v>36</v>
      </c>
      <c r="O174" s="6"/>
      <c r="P174" s="6"/>
      <c r="Q174" s="6"/>
      <c r="R174" s="6"/>
      <c r="S174" s="6"/>
      <c r="T174" s="6"/>
      <c r="U174" s="6"/>
      <c r="V174" s="6"/>
      <c r="W174" s="6">
        <v>24</v>
      </c>
      <c r="X174" s="6">
        <v>205</v>
      </c>
      <c r="Y174" s="6"/>
      <c r="Z174" s="6"/>
      <c r="AA174" s="6"/>
      <c r="AB174" s="6"/>
      <c r="AC174" s="6"/>
      <c r="AD174" s="6">
        <v>50</v>
      </c>
      <c r="AE174" s="6"/>
      <c r="AF174" s="6"/>
      <c r="AG174" s="54">
        <f t="shared" si="12"/>
        <v>707.6</v>
      </c>
    </row>
    <row r="175" spans="1:33" x14ac:dyDescent="0.2">
      <c r="A175" s="16" t="str">
        <f>BUDGET!A23</f>
        <v>Apple Subscriptions</v>
      </c>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v>12.31</v>
      </c>
      <c r="AB175" s="6"/>
      <c r="AC175" s="6"/>
      <c r="AD175" s="6"/>
      <c r="AE175" s="6"/>
      <c r="AF175" s="6"/>
      <c r="AG175" s="54">
        <f t="shared" si="12"/>
        <v>12.31</v>
      </c>
    </row>
    <row r="176" spans="1:33" x14ac:dyDescent="0.2">
      <c r="A176" s="16" t="str">
        <f>BUDGET!A24</f>
        <v>Google 1</v>
      </c>
      <c r="B176" s="6"/>
      <c r="C176" s="6"/>
      <c r="D176" s="6"/>
      <c r="E176" s="6"/>
      <c r="F176" s="6"/>
      <c r="G176" s="6"/>
      <c r="H176" s="6"/>
      <c r="I176" s="6"/>
      <c r="J176" s="6"/>
      <c r="K176" s="6">
        <v>9</v>
      </c>
      <c r="L176" s="6"/>
      <c r="M176" s="6"/>
      <c r="N176" s="6"/>
      <c r="O176" s="6"/>
      <c r="P176" s="6"/>
      <c r="Q176" s="6"/>
      <c r="R176" s="6"/>
      <c r="S176" s="6"/>
      <c r="T176" s="6"/>
      <c r="U176" s="6"/>
      <c r="V176" s="6"/>
      <c r="W176" s="6"/>
      <c r="X176" s="6"/>
      <c r="Y176" s="6"/>
      <c r="Z176" s="6"/>
      <c r="AA176" s="6"/>
      <c r="AB176" s="6"/>
      <c r="AC176" s="6"/>
      <c r="AD176" s="6"/>
      <c r="AE176" s="6"/>
      <c r="AF176" s="6"/>
      <c r="AG176" s="54">
        <f>SUM(B176:AF176)</f>
        <v>9</v>
      </c>
    </row>
    <row r="177" spans="1:33" x14ac:dyDescent="0.2">
      <c r="A177" s="16" t="str">
        <f>BUDGET!A25</f>
        <v>Netflix</v>
      </c>
      <c r="B177" s="6"/>
      <c r="C177" s="6"/>
      <c r="D177" s="6"/>
      <c r="E177" s="6"/>
      <c r="F177" s="6"/>
      <c r="G177" s="6"/>
      <c r="H177" s="6"/>
      <c r="I177" s="6"/>
      <c r="J177" s="6"/>
      <c r="K177" s="6"/>
      <c r="L177" s="6"/>
      <c r="M177" s="6"/>
      <c r="N177" s="6"/>
      <c r="O177" s="6"/>
      <c r="P177" s="6"/>
      <c r="Q177" s="6"/>
      <c r="R177" s="6"/>
      <c r="S177" s="6"/>
      <c r="T177" s="6"/>
      <c r="U177" s="6"/>
      <c r="V177" s="6">
        <v>99.6</v>
      </c>
      <c r="W177" s="6"/>
      <c r="X177" s="6"/>
      <c r="Y177" s="6"/>
      <c r="Z177" s="6"/>
      <c r="AA177" s="6"/>
      <c r="AB177" s="6"/>
      <c r="AC177" s="6"/>
      <c r="AD177" s="6"/>
      <c r="AE177" s="6"/>
      <c r="AF177" s="6"/>
      <c r="AG177" s="54">
        <f t="shared" si="12"/>
        <v>99.6</v>
      </c>
    </row>
    <row r="178" spans="1:33" x14ac:dyDescent="0.2">
      <c r="A178" s="16" t="str">
        <f>BUDGET!A26</f>
        <v>Amuse</v>
      </c>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54">
        <f t="shared" si="12"/>
        <v>0</v>
      </c>
    </row>
    <row r="179" spans="1:33" x14ac:dyDescent="0.2">
      <c r="A179" s="16" t="str">
        <f>BUDGET!A27</f>
        <v>electricity</v>
      </c>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54">
        <f t="shared" si="12"/>
        <v>0</v>
      </c>
    </row>
    <row r="180" spans="1:33" ht="16" thickBot="1" x14ac:dyDescent="0.25">
      <c r="A180" s="16" t="str">
        <f>BUDGET!A28</f>
        <v>Account Charges</v>
      </c>
      <c r="B180" s="6"/>
      <c r="C180" s="6">
        <v>1</v>
      </c>
      <c r="D180" s="6"/>
      <c r="E180" s="6"/>
      <c r="F180" s="6"/>
      <c r="G180" s="6"/>
      <c r="H180" s="6"/>
      <c r="I180" s="6"/>
      <c r="J180" s="6"/>
      <c r="K180" s="6"/>
      <c r="L180" s="6"/>
      <c r="M180" s="6"/>
      <c r="N180" s="6"/>
      <c r="O180" s="6"/>
      <c r="P180" s="6"/>
      <c r="Q180" s="6"/>
      <c r="R180" s="6"/>
      <c r="S180" s="6"/>
      <c r="T180" s="6"/>
      <c r="U180" s="6"/>
      <c r="V180" s="6">
        <v>7</v>
      </c>
      <c r="W180" s="6"/>
      <c r="X180" s="6">
        <f>1.5+2.05</f>
        <v>3.55</v>
      </c>
      <c r="Y180" s="6"/>
      <c r="Z180" s="6"/>
      <c r="AA180" s="6"/>
      <c r="AB180" s="6"/>
      <c r="AC180" s="6"/>
      <c r="AD180" s="6">
        <f>1+7.5</f>
        <v>8.5</v>
      </c>
      <c r="AE180" s="6"/>
      <c r="AF180" s="6"/>
      <c r="AG180" s="54">
        <f t="shared" si="12"/>
        <v>20.05</v>
      </c>
    </row>
    <row r="181" spans="1:33" ht="17" thickBot="1" x14ac:dyDescent="0.25">
      <c r="A181" s="20" t="s">
        <v>11</v>
      </c>
      <c r="B181" s="21">
        <f>SUM(B161:B180)</f>
        <v>39</v>
      </c>
      <c r="C181" s="21">
        <f t="shared" ref="C181:AF181" si="13">SUM(C161:C180)</f>
        <v>106</v>
      </c>
      <c r="D181" s="21">
        <f>SUM(D161:D180)</f>
        <v>109.5</v>
      </c>
      <c r="E181" s="21">
        <f>SUM(E161:E180)</f>
        <v>334</v>
      </c>
      <c r="F181" s="21">
        <f t="shared" si="13"/>
        <v>32.5</v>
      </c>
      <c r="G181" s="21">
        <f t="shared" si="13"/>
        <v>53</v>
      </c>
      <c r="H181" s="21">
        <f t="shared" si="13"/>
        <v>489.35</v>
      </c>
      <c r="I181" s="21">
        <f t="shared" si="13"/>
        <v>220</v>
      </c>
      <c r="J181" s="21">
        <f t="shared" si="13"/>
        <v>0</v>
      </c>
      <c r="K181" s="21">
        <f t="shared" si="13"/>
        <v>120</v>
      </c>
      <c r="L181" s="21">
        <f t="shared" si="13"/>
        <v>8.5</v>
      </c>
      <c r="M181" s="21">
        <f t="shared" si="13"/>
        <v>36</v>
      </c>
      <c r="N181" s="21">
        <f t="shared" si="13"/>
        <v>44</v>
      </c>
      <c r="O181" s="21">
        <f t="shared" si="13"/>
        <v>134.69999999999999</v>
      </c>
      <c r="P181" s="21">
        <f t="shared" si="13"/>
        <v>0</v>
      </c>
      <c r="Q181" s="21">
        <f t="shared" si="13"/>
        <v>0</v>
      </c>
      <c r="R181" s="21">
        <f t="shared" si="13"/>
        <v>63</v>
      </c>
      <c r="S181" s="21">
        <f t="shared" si="13"/>
        <v>16.5</v>
      </c>
      <c r="T181" s="21">
        <f t="shared" si="13"/>
        <v>14</v>
      </c>
      <c r="U181" s="21">
        <f t="shared" si="13"/>
        <v>66</v>
      </c>
      <c r="V181" s="21">
        <f t="shared" si="13"/>
        <v>188.6</v>
      </c>
      <c r="W181" s="21">
        <f t="shared" si="13"/>
        <v>701.91</v>
      </c>
      <c r="X181" s="21">
        <f t="shared" si="13"/>
        <v>383.55</v>
      </c>
      <c r="Y181" s="21">
        <f t="shared" si="13"/>
        <v>51</v>
      </c>
      <c r="Z181" s="21">
        <f t="shared" si="13"/>
        <v>74.5</v>
      </c>
      <c r="AA181" s="21">
        <f t="shared" si="13"/>
        <v>144.78</v>
      </c>
      <c r="AB181" s="21">
        <f t="shared" si="13"/>
        <v>10</v>
      </c>
      <c r="AC181" s="21">
        <f t="shared" si="13"/>
        <v>217</v>
      </c>
      <c r="AD181" s="21">
        <f t="shared" si="13"/>
        <v>1033.5</v>
      </c>
      <c r="AE181" s="21">
        <f t="shared" si="13"/>
        <v>18</v>
      </c>
      <c r="AF181" s="21">
        <f t="shared" si="13"/>
        <v>27</v>
      </c>
      <c r="AG181" s="56">
        <f>SUM(AG161:AG180)</f>
        <v>4735.8900000000012</v>
      </c>
    </row>
    <row r="182" spans="1:33" ht="17" thickTop="1" x14ac:dyDescent="0.2">
      <c r="A182" s="5"/>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57"/>
    </row>
    <row r="183" spans="1:33" ht="16" x14ac:dyDescent="0.2">
      <c r="A183" s="5"/>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57"/>
    </row>
    <row r="184" spans="1:33" ht="16" x14ac:dyDescent="0.2">
      <c r="A184" s="5"/>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57"/>
    </row>
    <row r="185" spans="1:33" x14ac:dyDescent="0.2">
      <c r="A185" s="14" t="s">
        <v>194</v>
      </c>
      <c r="B185" s="7">
        <v>1</v>
      </c>
      <c r="C185" s="7">
        <v>2</v>
      </c>
      <c r="D185" s="7">
        <v>3</v>
      </c>
      <c r="E185" s="2">
        <v>4</v>
      </c>
      <c r="F185" s="2">
        <v>5</v>
      </c>
      <c r="G185" s="2">
        <v>6</v>
      </c>
      <c r="H185" s="2">
        <v>7</v>
      </c>
      <c r="I185" s="2">
        <v>8</v>
      </c>
      <c r="J185" s="2">
        <v>9</v>
      </c>
      <c r="K185" s="2">
        <v>10</v>
      </c>
      <c r="L185" s="2">
        <v>11</v>
      </c>
      <c r="M185" s="2">
        <v>12</v>
      </c>
      <c r="N185" s="2">
        <v>13</v>
      </c>
      <c r="O185" s="2">
        <v>14</v>
      </c>
      <c r="P185" s="2">
        <v>15</v>
      </c>
      <c r="Q185" s="2">
        <v>16</v>
      </c>
      <c r="R185" s="2">
        <v>17</v>
      </c>
      <c r="S185" s="2">
        <v>18</v>
      </c>
      <c r="T185" s="2">
        <v>19</v>
      </c>
      <c r="U185" s="2">
        <v>20</v>
      </c>
      <c r="V185" s="2">
        <v>21</v>
      </c>
      <c r="W185" s="2">
        <v>22</v>
      </c>
      <c r="X185" s="2">
        <v>23</v>
      </c>
      <c r="Y185" s="2">
        <v>24</v>
      </c>
      <c r="Z185" s="2">
        <v>25</v>
      </c>
      <c r="AA185" s="2">
        <v>26</v>
      </c>
      <c r="AB185" s="2">
        <v>27</v>
      </c>
      <c r="AC185" s="2">
        <v>28</v>
      </c>
      <c r="AD185" s="2">
        <v>29</v>
      </c>
      <c r="AE185" s="2">
        <v>30</v>
      </c>
      <c r="AF185" s="2">
        <v>31</v>
      </c>
      <c r="AG185" s="52" t="s">
        <v>0</v>
      </c>
    </row>
    <row r="186" spans="1:33" x14ac:dyDescent="0.2">
      <c r="A186" s="3"/>
      <c r="B186" s="3" t="s">
        <v>1</v>
      </c>
      <c r="C186" s="3" t="s">
        <v>1</v>
      </c>
      <c r="D186" s="3" t="s">
        <v>1</v>
      </c>
      <c r="E186" s="3" t="s">
        <v>1</v>
      </c>
      <c r="F186" s="3" t="s">
        <v>1</v>
      </c>
      <c r="G186" s="3" t="s">
        <v>1</v>
      </c>
      <c r="H186" s="3" t="s">
        <v>1</v>
      </c>
      <c r="I186" s="3" t="s">
        <v>1</v>
      </c>
      <c r="J186" s="3" t="s">
        <v>1</v>
      </c>
      <c r="K186" s="3" t="s">
        <v>1</v>
      </c>
      <c r="L186" s="3" t="s">
        <v>1</v>
      </c>
      <c r="M186" s="3" t="s">
        <v>1</v>
      </c>
      <c r="N186" s="3" t="s">
        <v>1</v>
      </c>
      <c r="O186" s="3" t="s">
        <v>1</v>
      </c>
      <c r="P186" s="3" t="s">
        <v>1</v>
      </c>
      <c r="Q186" s="3" t="s">
        <v>1</v>
      </c>
      <c r="R186" s="3" t="s">
        <v>1</v>
      </c>
      <c r="S186" s="3" t="s">
        <v>1</v>
      </c>
      <c r="T186" s="3" t="s">
        <v>1</v>
      </c>
      <c r="U186" s="3" t="s">
        <v>1</v>
      </c>
      <c r="V186" s="3" t="s">
        <v>1</v>
      </c>
      <c r="W186" s="3" t="s">
        <v>1</v>
      </c>
      <c r="X186" s="3" t="s">
        <v>1</v>
      </c>
      <c r="Y186" s="3" t="s">
        <v>1</v>
      </c>
      <c r="Z186" s="3" t="s">
        <v>1</v>
      </c>
      <c r="AA186" s="3" t="s">
        <v>1</v>
      </c>
      <c r="AB186" s="3" t="s">
        <v>1</v>
      </c>
      <c r="AC186" s="3" t="s">
        <v>1</v>
      </c>
      <c r="AD186" s="3" t="s">
        <v>1</v>
      </c>
      <c r="AE186" s="3" t="s">
        <v>1</v>
      </c>
      <c r="AF186" s="3" t="s">
        <v>1</v>
      </c>
      <c r="AG186" s="53" t="s">
        <v>1</v>
      </c>
    </row>
    <row r="187" spans="1:33" x14ac:dyDescent="0.2">
      <c r="A187" s="16" t="str">
        <f>BUDGET!A9</f>
        <v>Rent</v>
      </c>
      <c r="B187" s="6">
        <v>0</v>
      </c>
      <c r="C187" s="6">
        <v>0</v>
      </c>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54">
        <f>SUM(B187:AF187)</f>
        <v>0</v>
      </c>
    </row>
    <row r="188" spans="1:33" x14ac:dyDescent="0.2">
      <c r="A188" s="16" t="str">
        <f>BUDGET!A10</f>
        <v>Tithe</v>
      </c>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54">
        <f t="shared" ref="AG188:AG206" si="14">SUM(B188:AF188)</f>
        <v>0</v>
      </c>
    </row>
    <row r="189" spans="1:33" x14ac:dyDescent="0.2">
      <c r="A189" s="16" t="str">
        <f>BUDGET!A11</f>
        <v>Data</v>
      </c>
      <c r="B189" s="6">
        <v>0</v>
      </c>
      <c r="C189" s="6">
        <v>0</v>
      </c>
      <c r="D189" s="6"/>
      <c r="E189" s="6"/>
      <c r="F189" s="6">
        <v>300</v>
      </c>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54">
        <f t="shared" si="14"/>
        <v>300</v>
      </c>
    </row>
    <row r="190" spans="1:33" x14ac:dyDescent="0.2">
      <c r="A190" s="16" t="str">
        <f>BUDGET!A12</f>
        <v xml:space="preserve">Savings/ Investment </v>
      </c>
      <c r="B190" s="6"/>
      <c r="C190" s="6"/>
      <c r="D190" s="6"/>
      <c r="E190" s="6"/>
      <c r="F190" s="6"/>
      <c r="G190" s="6"/>
      <c r="H190" s="6"/>
      <c r="I190" s="6"/>
      <c r="J190" s="6"/>
      <c r="K190" s="6"/>
      <c r="L190" s="6"/>
      <c r="M190" s="6"/>
      <c r="N190" s="6"/>
      <c r="O190" s="6"/>
      <c r="P190" s="6"/>
      <c r="Q190" s="6"/>
      <c r="R190" s="6"/>
      <c r="S190" s="6"/>
      <c r="T190" s="6"/>
      <c r="U190" s="6"/>
      <c r="V190" s="6"/>
      <c r="W190" s="6"/>
      <c r="X190" s="6">
        <v>1000</v>
      </c>
      <c r="Y190" s="6"/>
      <c r="Z190" s="6"/>
      <c r="AA190" s="6"/>
      <c r="AB190" s="6"/>
      <c r="AC190" s="6"/>
      <c r="AD190" s="6"/>
      <c r="AE190" s="6"/>
      <c r="AF190" s="6"/>
      <c r="AG190" s="54">
        <f t="shared" si="14"/>
        <v>1000</v>
      </c>
    </row>
    <row r="191" spans="1:33" x14ac:dyDescent="0.2">
      <c r="A191" s="16" t="str">
        <f>BUDGET!A13</f>
        <v>Hair / Gym</v>
      </c>
      <c r="B191" s="6">
        <v>0</v>
      </c>
      <c r="C191" s="6">
        <v>0</v>
      </c>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54">
        <f t="shared" si="14"/>
        <v>0</v>
      </c>
    </row>
    <row r="192" spans="1:33" x14ac:dyDescent="0.2">
      <c r="A192" s="16" t="str">
        <f>BUDGET!A14</f>
        <v>Food</v>
      </c>
      <c r="B192" s="6">
        <f>7+106.99</f>
        <v>113.99</v>
      </c>
      <c r="C192" s="6">
        <f>5+30+12</f>
        <v>47</v>
      </c>
      <c r="D192" s="6">
        <v>10</v>
      </c>
      <c r="E192" s="6">
        <v>111</v>
      </c>
      <c r="F192" s="6">
        <v>18.5</v>
      </c>
      <c r="G192" s="6"/>
      <c r="H192" s="6">
        <v>5</v>
      </c>
      <c r="I192" s="6">
        <v>6</v>
      </c>
      <c r="J192" s="6">
        <f>3+4.5</f>
        <v>7.5</v>
      </c>
      <c r="K192" s="6">
        <v>4</v>
      </c>
      <c r="L192" s="6">
        <v>4</v>
      </c>
      <c r="M192" s="6"/>
      <c r="N192" s="6"/>
      <c r="O192" s="6">
        <v>11</v>
      </c>
      <c r="P192" s="6"/>
      <c r="Q192" s="6">
        <v>2</v>
      </c>
      <c r="R192" s="6">
        <v>2</v>
      </c>
      <c r="S192" s="6">
        <v>4</v>
      </c>
      <c r="T192" s="6">
        <v>32</v>
      </c>
      <c r="U192" s="6"/>
      <c r="V192" s="6"/>
      <c r="W192" s="6"/>
      <c r="X192" s="6">
        <v>4</v>
      </c>
      <c r="Y192" s="6">
        <v>5</v>
      </c>
      <c r="Z192" s="6">
        <f>5+32+10</f>
        <v>47</v>
      </c>
      <c r="AA192" s="6">
        <v>100</v>
      </c>
      <c r="AB192" s="6"/>
      <c r="AC192" s="6">
        <f>3+5</f>
        <v>8</v>
      </c>
      <c r="AD192" s="6">
        <v>22</v>
      </c>
      <c r="AE192" s="6">
        <v>18</v>
      </c>
      <c r="AF192" s="6">
        <f>5+9</f>
        <v>14</v>
      </c>
      <c r="AG192" s="54">
        <f t="shared" si="14"/>
        <v>595.99</v>
      </c>
    </row>
    <row r="193" spans="1:33" x14ac:dyDescent="0.2">
      <c r="A193" s="16" t="str">
        <f>BUDGET!A15</f>
        <v>Healthcare</v>
      </c>
      <c r="B193" s="6">
        <v>0</v>
      </c>
      <c r="C193" s="6">
        <v>0</v>
      </c>
      <c r="D193" s="6"/>
      <c r="E193" s="6"/>
      <c r="F193" s="6">
        <v>12</v>
      </c>
      <c r="G193" s="6"/>
      <c r="H193" s="6"/>
      <c r="I193" s="6"/>
      <c r="J193" s="6"/>
      <c r="K193" s="6"/>
      <c r="L193" s="6"/>
      <c r="M193" s="6"/>
      <c r="N193" s="6"/>
      <c r="O193" s="6"/>
      <c r="P193" s="6"/>
      <c r="Q193" s="6"/>
      <c r="R193" s="6"/>
      <c r="S193" s="6"/>
      <c r="T193" s="6"/>
      <c r="U193" s="6"/>
      <c r="V193" s="6"/>
      <c r="W193" s="6"/>
      <c r="X193" s="6"/>
      <c r="Y193" s="6"/>
      <c r="Z193" s="6"/>
      <c r="AA193" s="6"/>
      <c r="AB193" s="6"/>
      <c r="AC193" s="6"/>
      <c r="AD193" s="6">
        <v>40</v>
      </c>
      <c r="AE193" s="6"/>
      <c r="AF193" s="6"/>
      <c r="AG193" s="54">
        <f t="shared" si="14"/>
        <v>52</v>
      </c>
    </row>
    <row r="194" spans="1:33" x14ac:dyDescent="0.2">
      <c r="A194" s="16" t="str">
        <f>BUDGET!A16</f>
        <v xml:space="preserve">Clothes/ Shoes/ Jewelry </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54">
        <f t="shared" si="14"/>
        <v>0</v>
      </c>
    </row>
    <row r="195" spans="1:33" x14ac:dyDescent="0.2">
      <c r="A195" s="16" t="str">
        <f>BUDGET!A17</f>
        <v>shoes</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54">
        <f t="shared" si="14"/>
        <v>0</v>
      </c>
    </row>
    <row r="196" spans="1:33" x14ac:dyDescent="0.2">
      <c r="A196" s="16" t="str">
        <f>BUDGET!A18</f>
        <v xml:space="preserve">Travel/ Vacations </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54">
        <f t="shared" si="14"/>
        <v>0</v>
      </c>
    </row>
    <row r="197" spans="1:33" x14ac:dyDescent="0.2">
      <c r="A197" s="16" t="str">
        <f>BUDGET!A19</f>
        <v>Outings</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54">
        <f t="shared" si="14"/>
        <v>0</v>
      </c>
    </row>
    <row r="198" spans="1:33" x14ac:dyDescent="0.2">
      <c r="A198" s="16" t="str">
        <f>BUDGET!A20</f>
        <v>Toiletries/Groceries</v>
      </c>
      <c r="B198" s="6"/>
      <c r="C198" s="6"/>
      <c r="D198" s="6"/>
      <c r="E198" s="6"/>
      <c r="F198" s="6"/>
      <c r="G198" s="6"/>
      <c r="H198" s="6"/>
      <c r="I198" s="6"/>
      <c r="J198" s="6"/>
      <c r="K198" s="6"/>
      <c r="L198" s="6"/>
      <c r="M198" s="6"/>
      <c r="N198" s="6"/>
      <c r="O198" s="6"/>
      <c r="P198" s="6"/>
      <c r="Q198" s="6"/>
      <c r="R198" s="6"/>
      <c r="S198" s="6"/>
      <c r="T198" s="6">
        <v>544.20000000000005</v>
      </c>
      <c r="U198" s="6"/>
      <c r="V198" s="6"/>
      <c r="W198" s="6"/>
      <c r="X198" s="6"/>
      <c r="Y198" s="6"/>
      <c r="Z198" s="6">
        <f>120+38</f>
        <v>158</v>
      </c>
      <c r="AA198" s="6"/>
      <c r="AB198" s="6"/>
      <c r="AC198" s="6"/>
      <c r="AD198" s="6"/>
      <c r="AE198" s="6"/>
      <c r="AF198" s="6"/>
      <c r="AG198" s="54">
        <f t="shared" si="14"/>
        <v>702.2</v>
      </c>
    </row>
    <row r="199" spans="1:33" x14ac:dyDescent="0.2">
      <c r="A199" s="16" t="str">
        <f>BUDGET!A21</f>
        <v xml:space="preserve">Transportation </v>
      </c>
      <c r="B199" s="6"/>
      <c r="C199" s="6"/>
      <c r="D199" s="6"/>
      <c r="E199" s="6">
        <f>12+54</f>
        <v>66</v>
      </c>
      <c r="F199" s="6">
        <f>17+20</f>
        <v>37</v>
      </c>
      <c r="G199" s="6">
        <f>28+32</f>
        <v>60</v>
      </c>
      <c r="H199" s="6">
        <f>101+8</f>
        <v>109</v>
      </c>
      <c r="I199" s="6"/>
      <c r="J199" s="6"/>
      <c r="K199" s="6">
        <v>10</v>
      </c>
      <c r="L199" s="6">
        <f>5+15</f>
        <v>20</v>
      </c>
      <c r="M199" s="6"/>
      <c r="N199" s="6"/>
      <c r="O199" s="104">
        <f>100+72</f>
        <v>172</v>
      </c>
      <c r="P199" s="6">
        <f>43+5</f>
        <v>48</v>
      </c>
      <c r="Q199" s="6">
        <v>12</v>
      </c>
      <c r="R199" s="6"/>
      <c r="S199" s="6">
        <v>61</v>
      </c>
      <c r="T199" s="6">
        <v>22</v>
      </c>
      <c r="U199" s="6"/>
      <c r="V199" s="6">
        <v>50</v>
      </c>
      <c r="W199" s="6"/>
      <c r="X199" s="6"/>
      <c r="Y199" s="6">
        <v>4.5</v>
      </c>
      <c r="Z199" s="6">
        <f>38+48</f>
        <v>86</v>
      </c>
      <c r="AA199" s="6"/>
      <c r="AB199" s="6">
        <v>13</v>
      </c>
      <c r="AC199" s="6">
        <f>72+20</f>
        <v>92</v>
      </c>
      <c r="AD199" s="6"/>
      <c r="AE199" s="6"/>
      <c r="AF199" s="6"/>
      <c r="AG199" s="54">
        <f t="shared" si="14"/>
        <v>862.5</v>
      </c>
    </row>
    <row r="200" spans="1:33" x14ac:dyDescent="0.2">
      <c r="A200" s="16" t="str">
        <f>BUDGET!A22</f>
        <v>Miscellaneous</v>
      </c>
      <c r="B200" s="6">
        <v>0</v>
      </c>
      <c r="C200" s="6">
        <v>0</v>
      </c>
      <c r="D200" s="6">
        <v>10.5</v>
      </c>
      <c r="E200" s="6"/>
      <c r="F200" s="6">
        <v>25</v>
      </c>
      <c r="G200" s="6"/>
      <c r="H200" s="6"/>
      <c r="I200" s="6"/>
      <c r="J200" s="6">
        <v>31</v>
      </c>
      <c r="K200" s="6">
        <v>50</v>
      </c>
      <c r="L200" s="6"/>
      <c r="M200" s="6"/>
      <c r="N200" s="6"/>
      <c r="O200" s="6">
        <v>50</v>
      </c>
      <c r="P200" s="6"/>
      <c r="Q200" s="6"/>
      <c r="R200" s="6"/>
      <c r="S200" s="6"/>
      <c r="T200" s="6"/>
      <c r="U200" s="6"/>
      <c r="V200" s="6"/>
      <c r="W200" s="6"/>
      <c r="X200" s="6"/>
      <c r="Y200" s="6">
        <v>15</v>
      </c>
      <c r="Z200" s="6"/>
      <c r="AA200" s="6"/>
      <c r="AB200" s="6"/>
      <c r="AC200" s="6">
        <v>0</v>
      </c>
      <c r="AD200" s="6"/>
      <c r="AE200" s="6"/>
      <c r="AF200" s="6"/>
      <c r="AG200" s="54">
        <f t="shared" si="14"/>
        <v>181.5</v>
      </c>
    </row>
    <row r="201" spans="1:33" x14ac:dyDescent="0.2">
      <c r="A201" s="16" t="str">
        <f>BUDGET!A23</f>
        <v>Apple Subscriptions</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v>12.13</v>
      </c>
      <c r="AB201" s="6"/>
      <c r="AC201" s="6"/>
      <c r="AD201" s="6"/>
      <c r="AE201" s="6"/>
      <c r="AF201" s="6"/>
      <c r="AG201" s="54">
        <f t="shared" si="14"/>
        <v>12.13</v>
      </c>
    </row>
    <row r="202" spans="1:33" x14ac:dyDescent="0.2">
      <c r="A202" s="16" t="str">
        <f>BUDGET!A24</f>
        <v>Google 1</v>
      </c>
      <c r="B202" s="6"/>
      <c r="C202" s="6"/>
      <c r="D202" s="6"/>
      <c r="E202" s="6"/>
      <c r="F202" s="6"/>
      <c r="G202" s="6"/>
      <c r="H202" s="6"/>
      <c r="I202" s="6"/>
      <c r="J202" s="6"/>
      <c r="K202" s="6">
        <v>9</v>
      </c>
      <c r="L202" s="6"/>
      <c r="M202" s="6"/>
      <c r="N202" s="6"/>
      <c r="O202" s="6"/>
      <c r="P202" s="6"/>
      <c r="Q202" s="6"/>
      <c r="R202" s="6"/>
      <c r="S202" s="6"/>
      <c r="T202" s="6"/>
      <c r="U202" s="6"/>
      <c r="V202" s="6"/>
      <c r="W202" s="6"/>
      <c r="X202" s="6"/>
      <c r="Y202" s="6"/>
      <c r="Z202" s="6"/>
      <c r="AA202" s="6"/>
      <c r="AB202" s="6"/>
      <c r="AC202" s="6"/>
      <c r="AD202" s="6"/>
      <c r="AE202" s="6"/>
      <c r="AF202" s="6"/>
      <c r="AG202" s="54">
        <f t="shared" si="14"/>
        <v>9</v>
      </c>
    </row>
    <row r="203" spans="1:33" x14ac:dyDescent="0.2">
      <c r="A203" s="16" t="str">
        <f>BUDGET!A25</f>
        <v>Netflix</v>
      </c>
      <c r="B203" s="6"/>
      <c r="C203" s="6"/>
      <c r="D203" s="6"/>
      <c r="E203" s="6"/>
      <c r="F203" s="6"/>
      <c r="G203" s="6"/>
      <c r="H203" s="6"/>
      <c r="I203" s="6"/>
      <c r="J203" s="6"/>
      <c r="K203" s="6"/>
      <c r="L203" s="6"/>
      <c r="M203" s="6"/>
      <c r="N203" s="6"/>
      <c r="O203" s="6"/>
      <c r="P203" s="6"/>
      <c r="Q203" s="6"/>
      <c r="R203" s="6"/>
      <c r="S203" s="6"/>
      <c r="T203" s="6"/>
      <c r="U203" s="6"/>
      <c r="V203" s="6"/>
      <c r="W203" s="6"/>
      <c r="X203" s="6">
        <v>97.44</v>
      </c>
      <c r="Y203" s="6"/>
      <c r="Z203" s="6"/>
      <c r="AA203" s="6"/>
      <c r="AB203" s="6"/>
      <c r="AC203" s="6"/>
      <c r="AD203" s="6"/>
      <c r="AE203" s="6"/>
      <c r="AF203" s="6"/>
      <c r="AG203" s="54">
        <f t="shared" si="14"/>
        <v>97.44</v>
      </c>
    </row>
    <row r="204" spans="1:33" x14ac:dyDescent="0.2">
      <c r="A204" s="16" t="str">
        <f>BUDGET!A26</f>
        <v>Amuse</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54">
        <f t="shared" si="14"/>
        <v>0</v>
      </c>
    </row>
    <row r="205" spans="1:33" x14ac:dyDescent="0.2">
      <c r="A205" s="16" t="str">
        <f>BUDGET!A27</f>
        <v>electricity</v>
      </c>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54">
        <f t="shared" si="14"/>
        <v>0</v>
      </c>
    </row>
    <row r="206" spans="1:33" ht="16" thickBot="1" x14ac:dyDescent="0.25">
      <c r="A206" s="16" t="str">
        <f>BUDGET!A28</f>
        <v>Account Charges</v>
      </c>
      <c r="B206" s="6"/>
      <c r="C206" s="6"/>
      <c r="D206" s="6"/>
      <c r="E206" s="6"/>
      <c r="F206" s="6"/>
      <c r="G206" s="6"/>
      <c r="H206" s="6"/>
      <c r="I206" s="6"/>
      <c r="J206" s="6"/>
      <c r="K206" s="6"/>
      <c r="L206" s="6"/>
      <c r="M206" s="6"/>
      <c r="N206" s="6"/>
      <c r="O206" s="6"/>
      <c r="P206" s="6"/>
      <c r="Q206" s="6"/>
      <c r="R206" s="6"/>
      <c r="S206" s="6"/>
      <c r="T206" s="6"/>
      <c r="U206" s="6"/>
      <c r="V206" s="6"/>
      <c r="W206" s="6"/>
      <c r="X206" s="6">
        <v>5</v>
      </c>
      <c r="Y206" s="6">
        <v>1</v>
      </c>
      <c r="Z206" s="6">
        <v>1.72</v>
      </c>
      <c r="AA206" s="6"/>
      <c r="AB206" s="6"/>
      <c r="AC206" s="6"/>
      <c r="AD206" s="6">
        <v>3</v>
      </c>
      <c r="AE206" s="6"/>
      <c r="AF206" s="6"/>
      <c r="AG206" s="54">
        <f t="shared" si="14"/>
        <v>10.719999999999999</v>
      </c>
    </row>
    <row r="207" spans="1:33" ht="17" thickBot="1" x14ac:dyDescent="0.25">
      <c r="A207" s="20" t="s">
        <v>11</v>
      </c>
      <c r="B207" s="21">
        <f>SUM(B187:B206)</f>
        <v>113.99</v>
      </c>
      <c r="C207" s="21">
        <f t="shared" ref="C207:AG207" si="15">SUM(C187:C206)</f>
        <v>47</v>
      </c>
      <c r="D207" s="21">
        <f t="shared" si="15"/>
        <v>20.5</v>
      </c>
      <c r="E207" s="21">
        <f t="shared" si="15"/>
        <v>177</v>
      </c>
      <c r="F207" s="21">
        <f t="shared" si="15"/>
        <v>392.5</v>
      </c>
      <c r="G207" s="21">
        <f t="shared" si="15"/>
        <v>60</v>
      </c>
      <c r="H207" s="21">
        <f t="shared" si="15"/>
        <v>114</v>
      </c>
      <c r="I207" s="21">
        <f t="shared" si="15"/>
        <v>6</v>
      </c>
      <c r="J207" s="21">
        <f t="shared" si="15"/>
        <v>38.5</v>
      </c>
      <c r="K207" s="21">
        <f t="shared" si="15"/>
        <v>73</v>
      </c>
      <c r="L207" s="21">
        <f t="shared" si="15"/>
        <v>24</v>
      </c>
      <c r="M207" s="21">
        <f t="shared" si="15"/>
        <v>0</v>
      </c>
      <c r="N207" s="21">
        <f t="shared" si="15"/>
        <v>0</v>
      </c>
      <c r="O207" s="21">
        <f t="shared" si="15"/>
        <v>233</v>
      </c>
      <c r="P207" s="21">
        <f t="shared" si="15"/>
        <v>48</v>
      </c>
      <c r="Q207" s="21">
        <f t="shared" si="15"/>
        <v>14</v>
      </c>
      <c r="R207" s="21">
        <f t="shared" si="15"/>
        <v>2</v>
      </c>
      <c r="S207" s="21">
        <f t="shared" si="15"/>
        <v>65</v>
      </c>
      <c r="T207" s="21">
        <f t="shared" si="15"/>
        <v>598.20000000000005</v>
      </c>
      <c r="U207" s="21">
        <f t="shared" si="15"/>
        <v>0</v>
      </c>
      <c r="V207" s="21">
        <f t="shared" si="15"/>
        <v>50</v>
      </c>
      <c r="W207" s="21">
        <f t="shared" si="15"/>
        <v>0</v>
      </c>
      <c r="X207" s="21">
        <f t="shared" si="15"/>
        <v>1106.44</v>
      </c>
      <c r="Y207" s="21">
        <f t="shared" si="15"/>
        <v>25.5</v>
      </c>
      <c r="Z207" s="21">
        <f t="shared" si="15"/>
        <v>292.72000000000003</v>
      </c>
      <c r="AA207" s="21">
        <f t="shared" si="15"/>
        <v>112.13</v>
      </c>
      <c r="AB207" s="21">
        <f t="shared" si="15"/>
        <v>13</v>
      </c>
      <c r="AC207" s="21">
        <f t="shared" si="15"/>
        <v>100</v>
      </c>
      <c r="AD207" s="21">
        <f t="shared" si="15"/>
        <v>65</v>
      </c>
      <c r="AE207" s="21">
        <f t="shared" si="15"/>
        <v>18</v>
      </c>
      <c r="AF207" s="21">
        <f t="shared" si="15"/>
        <v>14</v>
      </c>
      <c r="AG207" s="56">
        <f t="shared" si="15"/>
        <v>3823.48</v>
      </c>
    </row>
    <row r="208" spans="1:33" ht="17" thickTop="1" x14ac:dyDescent="0.2">
      <c r="A208" s="5"/>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57"/>
    </row>
    <row r="209" spans="1:33" ht="16" x14ac:dyDescent="0.2">
      <c r="A209" s="5"/>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57"/>
    </row>
    <row r="210" spans="1:33" x14ac:dyDescent="0.2">
      <c r="AG210" s="49"/>
    </row>
    <row r="211" spans="1:33" x14ac:dyDescent="0.2">
      <c r="AG211" s="49"/>
    </row>
    <row r="212" spans="1:33" x14ac:dyDescent="0.2">
      <c r="A212" s="14" t="s">
        <v>195</v>
      </c>
      <c r="B212" s="7">
        <v>1</v>
      </c>
      <c r="C212" s="7">
        <v>2</v>
      </c>
      <c r="D212" s="7">
        <v>3</v>
      </c>
      <c r="E212" s="2">
        <v>4</v>
      </c>
      <c r="F212" s="2">
        <v>5</v>
      </c>
      <c r="G212" s="2">
        <v>6</v>
      </c>
      <c r="H212" s="2">
        <v>7</v>
      </c>
      <c r="I212" s="2">
        <v>8</v>
      </c>
      <c r="J212" s="2">
        <v>9</v>
      </c>
      <c r="K212" s="2">
        <v>10</v>
      </c>
      <c r="L212" s="2">
        <v>11</v>
      </c>
      <c r="M212" s="2">
        <v>12</v>
      </c>
      <c r="N212" s="2">
        <v>13</v>
      </c>
      <c r="O212" s="2">
        <v>14</v>
      </c>
      <c r="P212" s="2">
        <v>15</v>
      </c>
      <c r="Q212" s="2">
        <v>16</v>
      </c>
      <c r="R212" s="2">
        <v>17</v>
      </c>
      <c r="S212" s="2">
        <v>18</v>
      </c>
      <c r="T212" s="2">
        <v>19</v>
      </c>
      <c r="U212" s="2">
        <v>20</v>
      </c>
      <c r="V212" s="2">
        <v>21</v>
      </c>
      <c r="W212" s="2">
        <v>22</v>
      </c>
      <c r="X212" s="2">
        <v>23</v>
      </c>
      <c r="Y212" s="2">
        <v>24</v>
      </c>
      <c r="Z212" s="2">
        <v>25</v>
      </c>
      <c r="AA212" s="2">
        <v>26</v>
      </c>
      <c r="AB212" s="2">
        <v>27</v>
      </c>
      <c r="AC212" s="2">
        <v>28</v>
      </c>
      <c r="AD212" s="2">
        <v>29</v>
      </c>
      <c r="AE212" s="2">
        <v>30</v>
      </c>
      <c r="AG212" s="52" t="s">
        <v>0</v>
      </c>
    </row>
    <row r="213" spans="1:33" x14ac:dyDescent="0.2">
      <c r="A213" s="3"/>
      <c r="B213" s="3" t="s">
        <v>1</v>
      </c>
      <c r="C213" s="3" t="s">
        <v>1</v>
      </c>
      <c r="D213" s="3" t="s">
        <v>1</v>
      </c>
      <c r="E213" s="3" t="s">
        <v>1</v>
      </c>
      <c r="F213" s="3" t="s">
        <v>1</v>
      </c>
      <c r="G213" s="3" t="s">
        <v>1</v>
      </c>
      <c r="H213" s="3" t="s">
        <v>1</v>
      </c>
      <c r="I213" s="3" t="s">
        <v>1</v>
      </c>
      <c r="J213" s="3" t="s">
        <v>1</v>
      </c>
      <c r="K213" s="3" t="s">
        <v>1</v>
      </c>
      <c r="L213" s="3" t="s">
        <v>1</v>
      </c>
      <c r="M213" s="3" t="s">
        <v>1</v>
      </c>
      <c r="N213" s="3" t="s">
        <v>1</v>
      </c>
      <c r="O213" s="3" t="s">
        <v>1</v>
      </c>
      <c r="P213" s="3" t="s">
        <v>1</v>
      </c>
      <c r="Q213" s="3" t="s">
        <v>1</v>
      </c>
      <c r="R213" s="3" t="s">
        <v>1</v>
      </c>
      <c r="S213" s="3" t="s">
        <v>1</v>
      </c>
      <c r="T213" s="3" t="s">
        <v>1</v>
      </c>
      <c r="U213" s="3" t="s">
        <v>1</v>
      </c>
      <c r="V213" s="3" t="s">
        <v>1</v>
      </c>
      <c r="W213" s="3" t="s">
        <v>1</v>
      </c>
      <c r="X213" s="3" t="s">
        <v>1</v>
      </c>
      <c r="Y213" s="3" t="s">
        <v>1</v>
      </c>
      <c r="Z213" s="3" t="s">
        <v>1</v>
      </c>
      <c r="AA213" s="3" t="s">
        <v>1</v>
      </c>
      <c r="AB213" s="3" t="s">
        <v>1</v>
      </c>
      <c r="AC213" s="3" t="s">
        <v>1</v>
      </c>
      <c r="AD213" s="3" t="s">
        <v>1</v>
      </c>
      <c r="AE213" s="3" t="s">
        <v>1</v>
      </c>
      <c r="AF213" s="3"/>
      <c r="AG213" s="53" t="s">
        <v>1</v>
      </c>
    </row>
    <row r="214" spans="1:33" x14ac:dyDescent="0.2">
      <c r="A214" s="16" t="str">
        <f>BUDGET!A9</f>
        <v>Rent</v>
      </c>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G214" s="54">
        <f t="shared" ref="AG214:AG233" si="16">SUM(B214:AE214)</f>
        <v>0</v>
      </c>
    </row>
    <row r="215" spans="1:33" ht="17" customHeight="1" x14ac:dyDescent="0.2">
      <c r="A215" s="16" t="str">
        <f>BUDGET!A10</f>
        <v>Tithe</v>
      </c>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G215" s="54">
        <f t="shared" si="16"/>
        <v>0</v>
      </c>
    </row>
    <row r="216" spans="1:33" x14ac:dyDescent="0.2">
      <c r="A216" s="16" t="str">
        <f>BUDGET!A11</f>
        <v>Data</v>
      </c>
      <c r="B216" s="6"/>
      <c r="C216" s="6"/>
      <c r="D216" s="6"/>
      <c r="E216" s="6"/>
      <c r="F216" s="6"/>
      <c r="G216" s="6"/>
      <c r="H216" s="6"/>
      <c r="I216" s="6"/>
      <c r="J216" s="6"/>
      <c r="K216" s="6"/>
      <c r="L216" s="6"/>
      <c r="M216" s="6"/>
      <c r="N216" s="6"/>
      <c r="O216" s="6"/>
      <c r="P216" s="6"/>
      <c r="Q216" s="6"/>
      <c r="R216" s="6"/>
      <c r="S216" s="6"/>
      <c r="T216" s="6"/>
      <c r="U216" s="6"/>
      <c r="V216" s="6"/>
      <c r="W216" s="6">
        <v>300</v>
      </c>
      <c r="X216" s="6"/>
      <c r="Y216" s="6"/>
      <c r="Z216" s="6"/>
      <c r="AA216" s="6"/>
      <c r="AB216" s="6"/>
      <c r="AC216" s="6"/>
      <c r="AD216" s="6"/>
      <c r="AE216" s="6"/>
      <c r="AG216" s="54">
        <f t="shared" si="16"/>
        <v>300</v>
      </c>
    </row>
    <row r="217" spans="1:33" s="6" customFormat="1" x14ac:dyDescent="0.2">
      <c r="A217" s="16" t="str">
        <f>BUDGET!A12</f>
        <v xml:space="preserve">Savings/ Investment </v>
      </c>
      <c r="H217" s="1"/>
      <c r="W217" s="6">
        <v>250</v>
      </c>
      <c r="AG217" s="54">
        <f t="shared" si="16"/>
        <v>250</v>
      </c>
    </row>
    <row r="218" spans="1:33" s="6" customFormat="1" x14ac:dyDescent="0.2">
      <c r="A218" s="16" t="str">
        <f>BUDGET!A13</f>
        <v>Hair / Gym</v>
      </c>
      <c r="H218" s="1"/>
      <c r="AG218" s="54">
        <f t="shared" si="16"/>
        <v>0</v>
      </c>
    </row>
    <row r="219" spans="1:33" s="6" customFormat="1" x14ac:dyDescent="0.2">
      <c r="A219" s="16" t="str">
        <f>BUDGET!A14</f>
        <v>Food</v>
      </c>
      <c r="C219" s="6">
        <f>47.96+30+27</f>
        <v>104.96000000000001</v>
      </c>
      <c r="E219" s="6">
        <f>3</f>
        <v>3</v>
      </c>
      <c r="F219" s="6">
        <v>8</v>
      </c>
      <c r="H219" s="1">
        <v>6</v>
      </c>
      <c r="I219" s="6">
        <f>40+8</f>
        <v>48</v>
      </c>
      <c r="J219" s="6">
        <f>40+5+5+9</f>
        <v>59</v>
      </c>
      <c r="K219" s="6">
        <v>51</v>
      </c>
      <c r="L219" s="6">
        <v>9</v>
      </c>
      <c r="M219" s="6">
        <v>8</v>
      </c>
      <c r="N219" s="6">
        <f>8+5</f>
        <v>13</v>
      </c>
      <c r="O219" s="6">
        <f>18+18</f>
        <v>36</v>
      </c>
      <c r="P219" s="6">
        <f>18+8</f>
        <v>26</v>
      </c>
      <c r="Q219" s="6">
        <f>32</f>
        <v>32</v>
      </c>
      <c r="S219" s="6">
        <f>8</f>
        <v>8</v>
      </c>
      <c r="T219" s="6">
        <f>6</f>
        <v>6</v>
      </c>
      <c r="U219" s="6">
        <f>9+10</f>
        <v>19</v>
      </c>
      <c r="V219" s="6">
        <f>32</f>
        <v>32</v>
      </c>
      <c r="AA219" s="6">
        <v>8</v>
      </c>
      <c r="AB219" s="6">
        <f>6+6</f>
        <v>12</v>
      </c>
      <c r="AC219" s="6">
        <v>20</v>
      </c>
      <c r="AD219" s="6">
        <v>4</v>
      </c>
      <c r="AE219" s="6">
        <f>16+10</f>
        <v>26</v>
      </c>
      <c r="AG219" s="54">
        <f t="shared" si="16"/>
        <v>538.96</v>
      </c>
    </row>
    <row r="220" spans="1:33" s="6" customFormat="1" x14ac:dyDescent="0.2">
      <c r="A220" s="16" t="str">
        <f>BUDGET!A15</f>
        <v>Healthcare</v>
      </c>
      <c r="E220" s="6">
        <v>46.9</v>
      </c>
      <c r="H220" s="1"/>
      <c r="AG220" s="54">
        <f t="shared" si="16"/>
        <v>46.9</v>
      </c>
    </row>
    <row r="221" spans="1:33" s="6" customFormat="1" x14ac:dyDescent="0.2">
      <c r="A221" s="16" t="str">
        <f>BUDGET!A16</f>
        <v xml:space="preserve">Clothes/ Shoes/ Jewelry </v>
      </c>
      <c r="H221" s="1"/>
      <c r="AG221" s="54">
        <f t="shared" si="16"/>
        <v>0</v>
      </c>
    </row>
    <row r="222" spans="1:33" s="6" customFormat="1" x14ac:dyDescent="0.2">
      <c r="A222" s="16" t="str">
        <f>BUDGET!A17</f>
        <v>shoes</v>
      </c>
      <c r="H222" s="1"/>
      <c r="AG222" s="54">
        <f t="shared" si="16"/>
        <v>0</v>
      </c>
    </row>
    <row r="223" spans="1:33" x14ac:dyDescent="0.2">
      <c r="A223" s="16" t="str">
        <f>BUDGET!A18</f>
        <v xml:space="preserve">Travel/ Vacations </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G223" s="54">
        <f t="shared" si="16"/>
        <v>0</v>
      </c>
    </row>
    <row r="224" spans="1:33" x14ac:dyDescent="0.2">
      <c r="A224" s="16" t="str">
        <f>BUDGET!A19</f>
        <v>Outings</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G224" s="54">
        <f t="shared" si="16"/>
        <v>0</v>
      </c>
    </row>
    <row r="225" spans="1:33" x14ac:dyDescent="0.2">
      <c r="A225" s="16" t="str">
        <f>BUDGET!A20</f>
        <v>Toiletries/Groceries</v>
      </c>
      <c r="C225" s="6"/>
      <c r="D225" s="6"/>
      <c r="E225" s="6"/>
      <c r="F225" s="6"/>
      <c r="G225" s="6"/>
      <c r="H225" s="6"/>
      <c r="I225" s="6"/>
      <c r="J225" s="6">
        <f>80+30</f>
        <v>110</v>
      </c>
      <c r="K225" s="6"/>
      <c r="L225" s="6"/>
      <c r="M225" s="6"/>
      <c r="N225" s="6"/>
      <c r="O225" s="6"/>
      <c r="P225" s="6"/>
      <c r="Q225" s="6"/>
      <c r="R225" s="6"/>
      <c r="S225" s="6"/>
      <c r="T225" s="6"/>
      <c r="U225" s="6"/>
      <c r="V225" s="6"/>
      <c r="W225" s="6">
        <v>744.73</v>
      </c>
      <c r="X225" s="6">
        <f>11.49+126.5+82.81</f>
        <v>220.8</v>
      </c>
      <c r="Y225" s="6"/>
      <c r="Z225" s="6"/>
      <c r="AA225" s="6">
        <v>2</v>
      </c>
      <c r="AB225" s="6"/>
      <c r="AC225" s="6">
        <v>38</v>
      </c>
      <c r="AD225" s="6"/>
      <c r="AE225" s="6"/>
      <c r="AG225" s="54">
        <f t="shared" si="16"/>
        <v>1115.53</v>
      </c>
    </row>
    <row r="226" spans="1:33" x14ac:dyDescent="0.2">
      <c r="A226" s="16" t="str">
        <f>BUDGET!A21</f>
        <v xml:space="preserve">Transportation </v>
      </c>
      <c r="B226" s="6">
        <f>45+44</f>
        <v>89</v>
      </c>
      <c r="C226" s="6"/>
      <c r="D226" s="6"/>
      <c r="E226" s="6">
        <v>60</v>
      </c>
      <c r="F226" s="6">
        <v>14</v>
      </c>
      <c r="G226" s="6"/>
      <c r="H226" s="6">
        <v>44</v>
      </c>
      <c r="I226" s="6">
        <f>36+17+48+49</f>
        <v>150</v>
      </c>
      <c r="J226" s="6"/>
      <c r="K226" s="6"/>
      <c r="L226" s="6"/>
      <c r="M226" s="6">
        <v>40</v>
      </c>
      <c r="N226" s="6"/>
      <c r="O226" s="6"/>
      <c r="P226" s="6">
        <v>50</v>
      </c>
      <c r="Q226" s="6">
        <f>10+10</f>
        <v>20</v>
      </c>
      <c r="R226" s="6">
        <f>10+23</f>
        <v>33</v>
      </c>
      <c r="S226" s="6">
        <v>57</v>
      </c>
      <c r="T226" s="6"/>
      <c r="U226" s="6"/>
      <c r="V226" s="6">
        <f>10+10</f>
        <v>20</v>
      </c>
      <c r="W226" s="6">
        <f>21+22</f>
        <v>43</v>
      </c>
      <c r="X226" s="6">
        <v>10</v>
      </c>
      <c r="Y226" s="6"/>
      <c r="Z226" s="6">
        <v>71</v>
      </c>
      <c r="AA226" s="6"/>
      <c r="AB226" s="6"/>
      <c r="AC226" s="6">
        <f>51+41</f>
        <v>92</v>
      </c>
      <c r="AD226" s="6">
        <v>15</v>
      </c>
      <c r="AE226" s="6">
        <v>53</v>
      </c>
      <c r="AG226" s="54">
        <f>SUM(B226:AE226)</f>
        <v>861</v>
      </c>
    </row>
    <row r="227" spans="1:33" x14ac:dyDescent="0.2">
      <c r="A227" s="16" t="str">
        <f>BUDGET!A22</f>
        <v>Miscellaneous</v>
      </c>
      <c r="B227" s="6">
        <v>27</v>
      </c>
      <c r="C227" s="6"/>
      <c r="D227" s="6"/>
      <c r="E227" s="6">
        <v>28</v>
      </c>
      <c r="F227" s="6">
        <v>100</v>
      </c>
      <c r="G227" s="6"/>
      <c r="H227" s="6"/>
      <c r="I227" s="6"/>
      <c r="J227" s="6">
        <v>20</v>
      </c>
      <c r="K227" s="6"/>
      <c r="L227" s="6"/>
      <c r="M227" s="6"/>
      <c r="N227" s="6">
        <v>20</v>
      </c>
      <c r="O227" s="6"/>
      <c r="P227" s="6"/>
      <c r="Q227" s="6"/>
      <c r="R227" s="6">
        <v>19</v>
      </c>
      <c r="S227" s="6"/>
      <c r="T227" s="6">
        <f>90+19</f>
        <v>109</v>
      </c>
      <c r="U227" s="6"/>
      <c r="V227" s="6"/>
      <c r="W227" s="6">
        <v>400</v>
      </c>
      <c r="X227" s="6"/>
      <c r="Y227" s="6"/>
      <c r="Z227" s="6"/>
      <c r="AA227" s="6"/>
      <c r="AB227" s="6"/>
      <c r="AD227" s="6"/>
      <c r="AE227" s="6"/>
      <c r="AG227" s="54">
        <f t="shared" si="16"/>
        <v>723</v>
      </c>
    </row>
    <row r="228" spans="1:33" x14ac:dyDescent="0.2">
      <c r="A228" s="16" t="str">
        <f>BUDGET!A23</f>
        <v>Apple Subscriptions</v>
      </c>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v>12.28</v>
      </c>
      <c r="AB228" s="6"/>
      <c r="AC228" s="6"/>
      <c r="AD228" s="6"/>
      <c r="AE228" s="6"/>
      <c r="AG228" s="54">
        <f t="shared" si="16"/>
        <v>12.28</v>
      </c>
    </row>
    <row r="229" spans="1:33" x14ac:dyDescent="0.2">
      <c r="A229" s="16" t="str">
        <f>BUDGET!A24</f>
        <v>Google 1</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G229" s="54">
        <f t="shared" si="16"/>
        <v>0</v>
      </c>
    </row>
    <row r="230" spans="1:33" x14ac:dyDescent="0.2">
      <c r="A230" s="16" t="str">
        <f>BUDGET!A25</f>
        <v>Netflix</v>
      </c>
      <c r="B230" s="6"/>
      <c r="C230" s="6"/>
      <c r="D230" s="6"/>
      <c r="E230" s="6"/>
      <c r="F230" s="6"/>
      <c r="G230" s="6"/>
      <c r="H230" s="6"/>
      <c r="I230" s="6"/>
      <c r="J230" s="6"/>
      <c r="K230" s="6"/>
      <c r="L230" s="6"/>
      <c r="M230" s="6"/>
      <c r="N230" s="6"/>
      <c r="O230" s="6"/>
      <c r="P230" s="6"/>
      <c r="Q230" s="6"/>
      <c r="R230" s="6"/>
      <c r="S230" s="6"/>
      <c r="T230" s="6"/>
      <c r="U230" s="6"/>
      <c r="V230" s="6"/>
      <c r="W230" s="6"/>
      <c r="X230" s="6">
        <v>98.83</v>
      </c>
      <c r="Y230" s="6"/>
      <c r="Z230" s="6"/>
      <c r="AA230" s="6"/>
      <c r="AB230" s="6"/>
      <c r="AC230" s="6"/>
      <c r="AD230" s="6"/>
      <c r="AE230" s="6"/>
      <c r="AG230" s="54">
        <f t="shared" si="16"/>
        <v>98.83</v>
      </c>
    </row>
    <row r="231" spans="1:33" x14ac:dyDescent="0.2">
      <c r="A231" s="16" t="str">
        <f>BUDGET!A26</f>
        <v>Amuse</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G231" s="54">
        <f t="shared" si="16"/>
        <v>0</v>
      </c>
    </row>
    <row r="232" spans="1:33" x14ac:dyDescent="0.2">
      <c r="A232" s="16" t="str">
        <f>BUDGET!A27</f>
        <v>electricity</v>
      </c>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G232" s="54">
        <f t="shared" si="16"/>
        <v>0</v>
      </c>
    </row>
    <row r="233" spans="1:33" ht="16" thickBot="1" x14ac:dyDescent="0.25">
      <c r="A233" s="16" t="str">
        <f>BUDGET!A28</f>
        <v>Account Charges</v>
      </c>
      <c r="B233" s="6"/>
      <c r="C233" s="6"/>
      <c r="D233" s="6"/>
      <c r="E233" s="6"/>
      <c r="F233" s="6"/>
      <c r="G233" s="6"/>
      <c r="H233" s="6"/>
      <c r="I233" s="6"/>
      <c r="J233" s="6"/>
      <c r="K233" s="6"/>
      <c r="L233" s="6"/>
      <c r="M233" s="6"/>
      <c r="N233" s="6"/>
      <c r="O233" s="6"/>
      <c r="P233" s="6"/>
      <c r="Q233" s="6"/>
      <c r="R233" s="6"/>
      <c r="S233" s="6">
        <v>7</v>
      </c>
      <c r="T233" s="6">
        <v>3</v>
      </c>
      <c r="U233" s="6"/>
      <c r="V233" s="6"/>
      <c r="W233" s="6">
        <v>2.5</v>
      </c>
      <c r="X233" s="6"/>
      <c r="Y233" s="6"/>
      <c r="Z233" s="6"/>
      <c r="AA233" s="6"/>
      <c r="AB233" s="6"/>
      <c r="AC233" s="6"/>
      <c r="AD233" s="6">
        <v>5</v>
      </c>
      <c r="AE233" s="6"/>
      <c r="AG233" s="54">
        <f t="shared" si="16"/>
        <v>17.5</v>
      </c>
    </row>
    <row r="234" spans="1:33" ht="16.5" customHeight="1" thickBot="1" x14ac:dyDescent="0.25">
      <c r="A234" s="20" t="s">
        <v>11</v>
      </c>
      <c r="B234" s="21">
        <f t="shared" ref="B234:AE234" si="17">SUM(B214:B233)</f>
        <v>116</v>
      </c>
      <c r="C234" s="21">
        <f t="shared" si="17"/>
        <v>104.96000000000001</v>
      </c>
      <c r="D234" s="21">
        <f t="shared" si="17"/>
        <v>0</v>
      </c>
      <c r="E234" s="21">
        <f t="shared" si="17"/>
        <v>137.9</v>
      </c>
      <c r="F234" s="21">
        <f t="shared" si="17"/>
        <v>122</v>
      </c>
      <c r="G234" s="21">
        <f t="shared" si="17"/>
        <v>0</v>
      </c>
      <c r="H234" s="21">
        <f>SUM(H214:H233)</f>
        <v>50</v>
      </c>
      <c r="I234" s="21">
        <f t="shared" si="17"/>
        <v>198</v>
      </c>
      <c r="J234" s="21">
        <f t="shared" si="17"/>
        <v>189</v>
      </c>
      <c r="K234" s="21">
        <f t="shared" si="17"/>
        <v>51</v>
      </c>
      <c r="L234" s="21">
        <f t="shared" si="17"/>
        <v>9</v>
      </c>
      <c r="M234" s="21">
        <f t="shared" si="17"/>
        <v>48</v>
      </c>
      <c r="N234" s="21">
        <f t="shared" si="17"/>
        <v>33</v>
      </c>
      <c r="O234" s="21">
        <f t="shared" si="17"/>
        <v>36</v>
      </c>
      <c r="P234" s="21">
        <f t="shared" si="17"/>
        <v>76</v>
      </c>
      <c r="Q234" s="21">
        <f t="shared" si="17"/>
        <v>52</v>
      </c>
      <c r="R234" s="21">
        <f t="shared" si="17"/>
        <v>52</v>
      </c>
      <c r="S234" s="21">
        <f t="shared" si="17"/>
        <v>72</v>
      </c>
      <c r="T234" s="21">
        <f t="shared" si="17"/>
        <v>118</v>
      </c>
      <c r="U234" s="21">
        <f t="shared" si="17"/>
        <v>19</v>
      </c>
      <c r="V234" s="21">
        <f t="shared" si="17"/>
        <v>52</v>
      </c>
      <c r="W234" s="21">
        <f t="shared" si="17"/>
        <v>1740.23</v>
      </c>
      <c r="X234" s="21">
        <f t="shared" si="17"/>
        <v>329.63</v>
      </c>
      <c r="Y234" s="21">
        <f t="shared" si="17"/>
        <v>0</v>
      </c>
      <c r="Z234" s="21">
        <f t="shared" si="17"/>
        <v>71</v>
      </c>
      <c r="AA234" s="21">
        <f t="shared" si="17"/>
        <v>22.28</v>
      </c>
      <c r="AB234" s="21">
        <f t="shared" si="17"/>
        <v>12</v>
      </c>
      <c r="AC234" s="21">
        <f t="shared" si="17"/>
        <v>150</v>
      </c>
      <c r="AD234" s="21">
        <f t="shared" si="17"/>
        <v>24</v>
      </c>
      <c r="AE234" s="21">
        <f t="shared" si="17"/>
        <v>79</v>
      </c>
      <c r="AF234" s="22"/>
      <c r="AG234" s="56">
        <f>SUM(AG214:AG233)</f>
        <v>3964.0000000000005</v>
      </c>
    </row>
    <row r="235" spans="1:33" ht="16" thickTop="1" x14ac:dyDescent="0.2">
      <c r="AG235" s="49"/>
    </row>
    <row r="236" spans="1:33" x14ac:dyDescent="0.2">
      <c r="AG236" s="49"/>
    </row>
    <row r="237" spans="1:33" x14ac:dyDescent="0.2">
      <c r="AG237" s="49"/>
    </row>
    <row r="238" spans="1:33" x14ac:dyDescent="0.2">
      <c r="A238" s="14" t="s">
        <v>196</v>
      </c>
      <c r="B238" s="7">
        <v>1</v>
      </c>
      <c r="C238" s="7">
        <v>2</v>
      </c>
      <c r="D238" s="7">
        <v>3</v>
      </c>
      <c r="E238" s="2">
        <v>4</v>
      </c>
      <c r="F238" s="2">
        <v>5</v>
      </c>
      <c r="G238" s="2">
        <v>6</v>
      </c>
      <c r="H238" s="2">
        <v>7</v>
      </c>
      <c r="I238" s="2">
        <v>8</v>
      </c>
      <c r="J238" s="2">
        <v>9</v>
      </c>
      <c r="K238" s="2">
        <v>10</v>
      </c>
      <c r="L238" s="2">
        <v>11</v>
      </c>
      <c r="M238" s="2">
        <v>12</v>
      </c>
      <c r="N238" s="2">
        <v>13</v>
      </c>
      <c r="O238" s="2">
        <v>14</v>
      </c>
      <c r="P238" s="2">
        <v>15</v>
      </c>
      <c r="Q238" s="2">
        <v>16</v>
      </c>
      <c r="R238" s="2">
        <v>17</v>
      </c>
      <c r="S238" s="2">
        <v>18</v>
      </c>
      <c r="T238" s="2">
        <v>19</v>
      </c>
      <c r="U238" s="2">
        <v>20</v>
      </c>
      <c r="V238" s="2">
        <v>21</v>
      </c>
      <c r="W238" s="2">
        <v>22</v>
      </c>
      <c r="X238" s="2">
        <v>23</v>
      </c>
      <c r="Y238" s="2">
        <v>24</v>
      </c>
      <c r="Z238" s="2">
        <v>25</v>
      </c>
      <c r="AA238" s="2">
        <v>26</v>
      </c>
      <c r="AB238" s="2">
        <v>27</v>
      </c>
      <c r="AC238" s="2">
        <v>28</v>
      </c>
      <c r="AD238" s="2">
        <v>29</v>
      </c>
      <c r="AE238" s="2">
        <v>30</v>
      </c>
      <c r="AF238" s="2">
        <v>31</v>
      </c>
      <c r="AG238" s="52" t="s">
        <v>0</v>
      </c>
    </row>
    <row r="239" spans="1:33" x14ac:dyDescent="0.2">
      <c r="A239" s="3"/>
      <c r="B239" s="3" t="s">
        <v>1</v>
      </c>
      <c r="C239" s="3" t="s">
        <v>1</v>
      </c>
      <c r="D239" s="3" t="s">
        <v>1</v>
      </c>
      <c r="E239" s="3" t="s">
        <v>1</v>
      </c>
      <c r="F239" s="3" t="s">
        <v>1</v>
      </c>
      <c r="G239" s="3" t="s">
        <v>1</v>
      </c>
      <c r="H239" s="3" t="s">
        <v>1</v>
      </c>
      <c r="I239" s="3" t="s">
        <v>1</v>
      </c>
      <c r="J239" s="3" t="s">
        <v>1</v>
      </c>
      <c r="K239" s="3" t="s">
        <v>1</v>
      </c>
      <c r="L239" s="3" t="s">
        <v>1</v>
      </c>
      <c r="M239" s="3" t="s">
        <v>1</v>
      </c>
      <c r="N239" s="3" t="s">
        <v>1</v>
      </c>
      <c r="O239" s="3" t="s">
        <v>1</v>
      </c>
      <c r="P239" s="3" t="s">
        <v>1</v>
      </c>
      <c r="Q239" s="3" t="s">
        <v>1</v>
      </c>
      <c r="R239" s="3" t="s">
        <v>1</v>
      </c>
      <c r="S239" s="3" t="s">
        <v>1</v>
      </c>
      <c r="T239" s="3" t="s">
        <v>1</v>
      </c>
      <c r="U239" s="3" t="s">
        <v>1</v>
      </c>
      <c r="V239" s="3" t="s">
        <v>1</v>
      </c>
      <c r="W239" s="3" t="s">
        <v>1</v>
      </c>
      <c r="X239" s="3" t="s">
        <v>1</v>
      </c>
      <c r="Y239" s="3" t="s">
        <v>1</v>
      </c>
      <c r="Z239" s="3" t="s">
        <v>1</v>
      </c>
      <c r="AA239" s="3" t="s">
        <v>1</v>
      </c>
      <c r="AB239" s="3" t="s">
        <v>1</v>
      </c>
      <c r="AC239" s="3" t="s">
        <v>1</v>
      </c>
      <c r="AD239" s="3" t="s">
        <v>1</v>
      </c>
      <c r="AE239" s="3" t="s">
        <v>1</v>
      </c>
      <c r="AF239" s="3" t="s">
        <v>1</v>
      </c>
      <c r="AG239" s="53" t="s">
        <v>1</v>
      </c>
    </row>
    <row r="240" spans="1:33" x14ac:dyDescent="0.2">
      <c r="A240" s="16" t="str">
        <f>BUDGET!A9</f>
        <v>Rent</v>
      </c>
      <c r="B240" s="6"/>
      <c r="C240" s="6"/>
      <c r="D240" s="6"/>
      <c r="E240" s="6"/>
      <c r="F240" s="6">
        <v>6000</v>
      </c>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54">
        <f t="shared" ref="AG240:AG259" si="18">SUM(B240:AF240)</f>
        <v>6000</v>
      </c>
    </row>
    <row r="241" spans="1:33" x14ac:dyDescent="0.2">
      <c r="A241" s="16" t="str">
        <f>BUDGET!A10</f>
        <v>Tithe</v>
      </c>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54">
        <f t="shared" si="18"/>
        <v>0</v>
      </c>
    </row>
    <row r="242" spans="1:33" x14ac:dyDescent="0.2">
      <c r="A242" s="16" t="str">
        <f>BUDGET!A11</f>
        <v>Data</v>
      </c>
      <c r="B242" s="6"/>
      <c r="C242" s="6"/>
      <c r="D242" s="6"/>
      <c r="E242" s="6"/>
      <c r="F242" s="6"/>
      <c r="G242" s="6"/>
      <c r="H242" s="6"/>
      <c r="I242" s="6"/>
      <c r="J242" s="6"/>
      <c r="K242" s="6"/>
      <c r="L242" s="6"/>
      <c r="M242" s="6"/>
      <c r="N242" s="6"/>
      <c r="O242" s="6"/>
      <c r="P242" s="6">
        <v>330</v>
      </c>
      <c r="Q242" s="6"/>
      <c r="R242" s="6"/>
      <c r="S242" s="6"/>
      <c r="T242" s="6"/>
      <c r="U242" s="6"/>
      <c r="V242" s="6"/>
      <c r="W242" s="6"/>
      <c r="X242" s="6"/>
      <c r="Y242" s="6"/>
      <c r="Z242" s="6"/>
      <c r="AA242" s="6"/>
      <c r="AB242" s="6"/>
      <c r="AC242" s="6"/>
      <c r="AD242" s="6"/>
      <c r="AE242" s="6"/>
      <c r="AF242" s="6"/>
      <c r="AG242" s="54">
        <f t="shared" si="18"/>
        <v>330</v>
      </c>
    </row>
    <row r="243" spans="1:33" x14ac:dyDescent="0.2">
      <c r="A243" s="16" t="str">
        <f>BUDGET!A12</f>
        <v xml:space="preserve">Savings/ Investment </v>
      </c>
      <c r="B243" s="6"/>
      <c r="C243" s="6"/>
      <c r="D243" s="6"/>
      <c r="E243" s="6"/>
      <c r="F243" s="6"/>
      <c r="G243" s="6"/>
      <c r="H243" s="6"/>
      <c r="I243" s="6"/>
      <c r="J243" s="6"/>
      <c r="K243" s="6"/>
      <c r="L243" s="6"/>
      <c r="M243" s="6"/>
      <c r="N243" s="6"/>
      <c r="O243" s="6"/>
      <c r="P243" s="6"/>
      <c r="Q243" s="6"/>
      <c r="R243" s="6"/>
      <c r="S243" s="6"/>
      <c r="T243" s="6"/>
      <c r="U243" s="6"/>
      <c r="V243" s="6"/>
      <c r="W243" s="6"/>
      <c r="X243" s="6"/>
      <c r="Y243" s="6"/>
      <c r="Z243" s="6">
        <v>250</v>
      </c>
      <c r="AA243" s="6"/>
      <c r="AB243" s="6"/>
      <c r="AC243" s="6"/>
      <c r="AD243" s="6"/>
      <c r="AE243" s="6"/>
      <c r="AF243" s="6"/>
      <c r="AG243" s="54">
        <f t="shared" si="18"/>
        <v>250</v>
      </c>
    </row>
    <row r="244" spans="1:33" x14ac:dyDescent="0.2">
      <c r="A244" s="16" t="str">
        <f>BUDGET!A13</f>
        <v>Hair / Gym</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54">
        <f t="shared" si="18"/>
        <v>0</v>
      </c>
    </row>
    <row r="245" spans="1:33" x14ac:dyDescent="0.2">
      <c r="A245" s="16" t="str">
        <f>BUDGET!A14</f>
        <v>Food</v>
      </c>
      <c r="B245" s="6"/>
      <c r="C245" s="6">
        <v>8</v>
      </c>
      <c r="D245" s="6">
        <f>3+4</f>
        <v>7</v>
      </c>
      <c r="E245" s="6">
        <f>18+12</f>
        <v>30</v>
      </c>
      <c r="F245" s="6">
        <v>8</v>
      </c>
      <c r="G245" s="6">
        <f>2+10+5</f>
        <v>17</v>
      </c>
      <c r="H245" s="6">
        <f>17+23+10</f>
        <v>50</v>
      </c>
      <c r="I245" s="6">
        <v>91</v>
      </c>
      <c r="J245" s="6"/>
      <c r="K245" s="6">
        <f>8</f>
        <v>8</v>
      </c>
      <c r="L245" s="6">
        <f>2+20</f>
        <v>22</v>
      </c>
      <c r="M245" s="6">
        <f>4+21</f>
        <v>25</v>
      </c>
      <c r="N245" s="6"/>
      <c r="O245" s="6">
        <v>23</v>
      </c>
      <c r="P245" s="6">
        <f>10+3</f>
        <v>13</v>
      </c>
      <c r="Q245" s="6"/>
      <c r="R245" s="6">
        <f>3+4+25</f>
        <v>32</v>
      </c>
      <c r="S245" s="6">
        <f>6+2</f>
        <v>8</v>
      </c>
      <c r="T245" s="6"/>
      <c r="U245" s="6"/>
      <c r="V245" s="6">
        <f>32</f>
        <v>32</v>
      </c>
      <c r="W245" s="6"/>
      <c r="X245" s="6">
        <f>10+13+30</f>
        <v>53</v>
      </c>
      <c r="Y245" s="6">
        <f>6+10+11.49</f>
        <v>27.490000000000002</v>
      </c>
      <c r="Z245" s="6">
        <f>11</f>
        <v>11</v>
      </c>
      <c r="AA245" s="6"/>
      <c r="AB245" s="6">
        <f>10+10+234+50</f>
        <v>304</v>
      </c>
      <c r="AC245" s="6">
        <f>73</f>
        <v>73</v>
      </c>
      <c r="AD245" s="6"/>
      <c r="AE245" s="6">
        <f>10+30</f>
        <v>40</v>
      </c>
      <c r="AF245" s="6">
        <v>10</v>
      </c>
      <c r="AG245" s="54">
        <f t="shared" si="18"/>
        <v>892.49</v>
      </c>
    </row>
    <row r="246" spans="1:33" x14ac:dyDescent="0.2">
      <c r="A246" s="16" t="str">
        <f>BUDGET!A15</f>
        <v>Healthcare</v>
      </c>
      <c r="B246" s="6"/>
      <c r="C246" s="6"/>
      <c r="D246" s="6"/>
      <c r="E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54">
        <f t="shared" si="18"/>
        <v>0</v>
      </c>
    </row>
    <row r="247" spans="1:33" x14ac:dyDescent="0.2">
      <c r="A247" s="16" t="str">
        <f>BUDGET!A16</f>
        <v xml:space="preserve">Clothes/ Shoes/ Jewelry </v>
      </c>
      <c r="B247" s="6"/>
      <c r="C247" s="6"/>
      <c r="D247" s="6"/>
      <c r="E247" s="6"/>
      <c r="F247" s="6"/>
      <c r="G247" s="6"/>
      <c r="H247" s="6"/>
      <c r="I247" s="6"/>
      <c r="J247" s="6"/>
      <c r="K247" s="6"/>
      <c r="L247" s="6"/>
      <c r="M247" s="6"/>
      <c r="N247" s="6"/>
      <c r="O247" s="6"/>
      <c r="P247" s="6"/>
      <c r="Q247" s="6"/>
      <c r="R247" s="6"/>
      <c r="S247" s="6"/>
      <c r="T247" s="6"/>
      <c r="U247" s="6"/>
      <c r="V247" s="6"/>
      <c r="W247" s="6"/>
      <c r="X247" s="6"/>
      <c r="Y247" s="6"/>
      <c r="Z247" s="6">
        <v>380</v>
      </c>
      <c r="AA247" s="6"/>
      <c r="AB247" s="6"/>
      <c r="AC247" s="6"/>
      <c r="AD247" s="6"/>
      <c r="AE247" s="6"/>
      <c r="AF247" s="6"/>
      <c r="AG247" s="54">
        <f t="shared" si="18"/>
        <v>380</v>
      </c>
    </row>
    <row r="248" spans="1:33" x14ac:dyDescent="0.2">
      <c r="A248" s="16" t="str">
        <f>BUDGET!A17</f>
        <v>shoes</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54">
        <f t="shared" si="18"/>
        <v>0</v>
      </c>
    </row>
    <row r="249" spans="1:33" x14ac:dyDescent="0.2">
      <c r="A249" s="16" t="str">
        <f>BUDGET!A18</f>
        <v xml:space="preserve">Travel/ Vacations </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54">
        <f t="shared" si="18"/>
        <v>0</v>
      </c>
    </row>
    <row r="250" spans="1:33" x14ac:dyDescent="0.2">
      <c r="A250" s="16" t="str">
        <f>BUDGET!A19</f>
        <v>Outings</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54">
        <f t="shared" si="18"/>
        <v>0</v>
      </c>
    </row>
    <row r="251" spans="1:33" x14ac:dyDescent="0.2">
      <c r="A251" s="16" t="str">
        <f>BUDGET!A20</f>
        <v>Toiletries/Groceries</v>
      </c>
      <c r="B251" s="6"/>
      <c r="C251" s="6"/>
      <c r="D251" s="6">
        <v>4</v>
      </c>
      <c r="E251" s="6"/>
      <c r="F251" s="6"/>
      <c r="G251" s="6"/>
      <c r="H251" s="6"/>
      <c r="I251" s="6"/>
      <c r="J251" s="6"/>
      <c r="K251" s="6"/>
      <c r="L251" s="6"/>
      <c r="M251" s="6"/>
      <c r="N251" s="6"/>
      <c r="O251" s="6">
        <v>30</v>
      </c>
      <c r="P251" s="6">
        <v>37.799999999999997</v>
      </c>
      <c r="Q251" s="6"/>
      <c r="R251" s="6">
        <v>10.8</v>
      </c>
      <c r="S251" s="6"/>
      <c r="T251" s="6"/>
      <c r="U251" s="6"/>
      <c r="V251" s="6"/>
      <c r="W251" s="6">
        <v>569.34</v>
      </c>
      <c r="X251" s="6"/>
      <c r="Y251" s="6"/>
      <c r="Z251" s="6"/>
      <c r="AA251" s="6"/>
      <c r="AB251" s="6"/>
      <c r="AC251" s="6"/>
      <c r="AD251" s="6"/>
      <c r="AE251" s="6"/>
      <c r="AF251" s="6"/>
      <c r="AG251" s="54">
        <f t="shared" si="18"/>
        <v>651.94000000000005</v>
      </c>
    </row>
    <row r="252" spans="1:33" x14ac:dyDescent="0.2">
      <c r="A252" s="16" t="str">
        <f>BUDGET!A21</f>
        <v xml:space="preserve">Transportation </v>
      </c>
      <c r="B252" s="6"/>
      <c r="C252" s="6">
        <v>37</v>
      </c>
      <c r="D252" s="6"/>
      <c r="E252" s="6">
        <v>51</v>
      </c>
      <c r="F252" s="6">
        <v>38</v>
      </c>
      <c r="G252" s="6">
        <v>86</v>
      </c>
      <c r="H252" s="6"/>
      <c r="I252" s="6">
        <v>14</v>
      </c>
      <c r="J252" s="6">
        <v>86</v>
      </c>
      <c r="K252" s="6">
        <v>18</v>
      </c>
      <c r="L252" s="6"/>
      <c r="M252" s="6">
        <v>14</v>
      </c>
      <c r="N252" s="6">
        <f>19+60</f>
        <v>79</v>
      </c>
      <c r="O252" s="6">
        <f>11+2+13</f>
        <v>26</v>
      </c>
      <c r="P252" s="6"/>
      <c r="Q252" s="6">
        <v>35</v>
      </c>
      <c r="R252" s="6"/>
      <c r="S252" s="6">
        <f>20+60</f>
        <v>80</v>
      </c>
      <c r="T252" s="6"/>
      <c r="U252" s="6">
        <v>59</v>
      </c>
      <c r="V252" s="6">
        <f>20+21</f>
        <v>41</v>
      </c>
      <c r="W252" s="6">
        <f>19+19+31+12+17</f>
        <v>98</v>
      </c>
      <c r="X252" s="6"/>
      <c r="Y252" s="6">
        <v>49</v>
      </c>
      <c r="Z252" s="6"/>
      <c r="AA252" s="6"/>
      <c r="AB252" s="6">
        <v>63</v>
      </c>
      <c r="AC252" s="6"/>
      <c r="AD252" s="6">
        <f>22+18</f>
        <v>40</v>
      </c>
      <c r="AE252" s="6">
        <v>94</v>
      </c>
      <c r="AF252" s="6"/>
      <c r="AG252" s="54">
        <f t="shared" si="18"/>
        <v>1008</v>
      </c>
    </row>
    <row r="253" spans="1:33" x14ac:dyDescent="0.2">
      <c r="A253" s="16" t="str">
        <f>BUDGET!A22</f>
        <v>Miscellaneous</v>
      </c>
      <c r="B253" s="6"/>
      <c r="C253" s="6"/>
      <c r="D253" s="6"/>
      <c r="E253" s="6"/>
      <c r="F253" s="6">
        <v>121</v>
      </c>
      <c r="G253" s="6"/>
      <c r="H253" s="6">
        <v>40</v>
      </c>
      <c r="I253" s="6"/>
      <c r="J253" s="6">
        <f>50+30</f>
        <v>80</v>
      </c>
      <c r="K253" s="6"/>
      <c r="L253" s="6"/>
      <c r="M253" s="6"/>
      <c r="N253" s="6"/>
      <c r="O253" s="6"/>
      <c r="P253" s="6">
        <v>101</v>
      </c>
      <c r="Q253" s="6">
        <v>51</v>
      </c>
      <c r="R253" s="6"/>
      <c r="S253" s="6">
        <v>100</v>
      </c>
      <c r="T253" s="6"/>
      <c r="U253" s="6">
        <v>100</v>
      </c>
      <c r="V253" s="6">
        <v>2.5</v>
      </c>
      <c r="W253" s="6"/>
      <c r="X253" s="6">
        <v>20</v>
      </c>
      <c r="Y253" s="6"/>
      <c r="Z253" s="6"/>
      <c r="AA253" s="6"/>
      <c r="AB253" s="6"/>
      <c r="AC253" s="6"/>
      <c r="AD253" s="6"/>
      <c r="AE253" s="6"/>
      <c r="AF253" s="6">
        <v>100</v>
      </c>
      <c r="AG253" s="54">
        <f t="shared" si="18"/>
        <v>715.5</v>
      </c>
    </row>
    <row r="254" spans="1:33" x14ac:dyDescent="0.2">
      <c r="A254" s="16" t="str">
        <f>BUDGET!A23</f>
        <v>Apple Subscriptions</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v>12.57</v>
      </c>
      <c r="AC254" s="6"/>
      <c r="AD254" s="6"/>
      <c r="AE254" s="6"/>
      <c r="AF254" s="6"/>
      <c r="AG254" s="54">
        <f t="shared" si="18"/>
        <v>12.57</v>
      </c>
    </row>
    <row r="255" spans="1:33" x14ac:dyDescent="0.2">
      <c r="A255" s="16" t="str">
        <f>BUDGET!A24</f>
        <v>Google 1</v>
      </c>
      <c r="B255" s="6"/>
      <c r="C255" s="6"/>
      <c r="D255" s="6"/>
      <c r="E255" s="6"/>
      <c r="F255" s="6"/>
      <c r="G255" s="6"/>
      <c r="H255" s="6"/>
      <c r="I255" s="6"/>
      <c r="J255" s="6"/>
      <c r="K255" s="6">
        <v>9</v>
      </c>
      <c r="L255" s="6"/>
      <c r="M255" s="6"/>
      <c r="N255" s="6"/>
      <c r="O255" s="6"/>
      <c r="P255" s="6"/>
      <c r="Q255" s="6"/>
      <c r="R255" s="6"/>
      <c r="S255" s="6"/>
      <c r="T255" s="6"/>
      <c r="U255" s="6"/>
      <c r="V255" s="6"/>
      <c r="W255" s="6"/>
      <c r="X255" s="6"/>
      <c r="Y255" s="6"/>
      <c r="Z255" s="6"/>
      <c r="AA255" s="6"/>
      <c r="AB255" s="6"/>
      <c r="AC255" s="6"/>
      <c r="AD255" s="6"/>
      <c r="AE255" s="6"/>
      <c r="AF255" s="6"/>
      <c r="AG255" s="54">
        <f t="shared" si="18"/>
        <v>9</v>
      </c>
    </row>
    <row r="256" spans="1:33" x14ac:dyDescent="0.2">
      <c r="A256" s="16" t="str">
        <f>BUDGET!A25</f>
        <v>Netflix</v>
      </c>
      <c r="B256" s="6"/>
      <c r="C256" s="6"/>
      <c r="D256" s="6"/>
      <c r="E256" s="6"/>
      <c r="F256" s="6"/>
      <c r="G256" s="6"/>
      <c r="H256" s="6"/>
      <c r="I256" s="6"/>
      <c r="J256" s="6"/>
      <c r="K256" s="6"/>
      <c r="L256" s="6"/>
      <c r="M256" s="6"/>
      <c r="N256" s="6"/>
      <c r="O256" s="6"/>
      <c r="P256" s="6"/>
      <c r="Q256" s="6"/>
      <c r="R256" s="6"/>
      <c r="S256" s="6">
        <v>100.84</v>
      </c>
      <c r="T256" s="6"/>
      <c r="U256" s="6"/>
      <c r="V256" s="6"/>
      <c r="W256" s="6"/>
      <c r="X256" s="6"/>
      <c r="Y256" s="6"/>
      <c r="Z256" s="6"/>
      <c r="AA256" s="6"/>
      <c r="AB256" s="6"/>
      <c r="AC256" s="6"/>
      <c r="AD256" s="6"/>
      <c r="AE256" s="6"/>
      <c r="AF256" s="6"/>
      <c r="AG256" s="54">
        <f t="shared" si="18"/>
        <v>100.84</v>
      </c>
    </row>
    <row r="257" spans="1:67" x14ac:dyDescent="0.2">
      <c r="A257" s="16" t="str">
        <f>BUDGET!A26</f>
        <v>Amuse</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54">
        <f t="shared" si="18"/>
        <v>0</v>
      </c>
    </row>
    <row r="258" spans="1:67" x14ac:dyDescent="0.2">
      <c r="A258" s="16" t="str">
        <f>BUDGET!A27</f>
        <v>electricity</v>
      </c>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54">
        <f t="shared" si="18"/>
        <v>0</v>
      </c>
    </row>
    <row r="259" spans="1:67" ht="16" thickBot="1" x14ac:dyDescent="0.25">
      <c r="A259" s="16" t="str">
        <f>BUDGET!A28</f>
        <v>Account Charges</v>
      </c>
      <c r="B259" s="6"/>
      <c r="C259" s="6"/>
      <c r="D259" s="6"/>
      <c r="E259" s="6"/>
      <c r="F259" s="6"/>
      <c r="G259" s="6"/>
      <c r="H259" s="6"/>
      <c r="I259" s="6"/>
      <c r="J259" s="6"/>
      <c r="K259" s="6"/>
      <c r="L259" s="6"/>
      <c r="M259" s="6"/>
      <c r="N259" s="6"/>
      <c r="O259" s="6"/>
      <c r="P259" s="6"/>
      <c r="Q259" s="6"/>
      <c r="R259" s="6"/>
      <c r="S259" s="6"/>
      <c r="T259" s="6"/>
      <c r="U259" s="6">
        <v>10</v>
      </c>
      <c r="V259" s="6"/>
      <c r="W259" s="6"/>
      <c r="X259" s="6"/>
      <c r="Y259" s="6"/>
      <c r="Z259" s="6">
        <v>8.1999999999999993</v>
      </c>
      <c r="AA259" s="6"/>
      <c r="AB259" s="6"/>
      <c r="AC259" s="6"/>
      <c r="AD259" s="6"/>
      <c r="AE259" s="6"/>
      <c r="AF259" s="6"/>
      <c r="AG259" s="54">
        <f t="shared" si="18"/>
        <v>18.2</v>
      </c>
    </row>
    <row r="260" spans="1:67" ht="16.5" customHeight="1" thickBot="1" x14ac:dyDescent="0.25">
      <c r="A260" s="20" t="s">
        <v>11</v>
      </c>
      <c r="B260" s="21">
        <f t="shared" ref="B260:AG260" si="19">SUM(B240:B259)</f>
        <v>0</v>
      </c>
      <c r="C260" s="21">
        <f>SUM(C240:C259)</f>
        <v>45</v>
      </c>
      <c r="D260" s="21">
        <f t="shared" si="19"/>
        <v>11</v>
      </c>
      <c r="E260" s="21">
        <f t="shared" si="19"/>
        <v>81</v>
      </c>
      <c r="F260" s="21">
        <f t="shared" si="19"/>
        <v>6167</v>
      </c>
      <c r="G260" s="21">
        <f t="shared" si="19"/>
        <v>103</v>
      </c>
      <c r="H260" s="21">
        <f t="shared" si="19"/>
        <v>90</v>
      </c>
      <c r="I260" s="21">
        <f t="shared" si="19"/>
        <v>105</v>
      </c>
      <c r="J260" s="21">
        <f t="shared" si="19"/>
        <v>166</v>
      </c>
      <c r="K260" s="21">
        <f t="shared" si="19"/>
        <v>35</v>
      </c>
      <c r="L260" s="21">
        <f t="shared" si="19"/>
        <v>22</v>
      </c>
      <c r="M260" s="21">
        <f t="shared" si="19"/>
        <v>39</v>
      </c>
      <c r="N260" s="21">
        <f t="shared" si="19"/>
        <v>79</v>
      </c>
      <c r="O260" s="21">
        <f t="shared" si="19"/>
        <v>79</v>
      </c>
      <c r="P260" s="21">
        <f t="shared" si="19"/>
        <v>481.8</v>
      </c>
      <c r="Q260" s="21">
        <f t="shared" si="19"/>
        <v>86</v>
      </c>
      <c r="R260" s="21">
        <f t="shared" si="19"/>
        <v>42.8</v>
      </c>
      <c r="S260" s="21">
        <f t="shared" si="19"/>
        <v>288.84000000000003</v>
      </c>
      <c r="T260" s="21">
        <f t="shared" si="19"/>
        <v>0</v>
      </c>
      <c r="U260" s="21">
        <f t="shared" si="19"/>
        <v>169</v>
      </c>
      <c r="V260" s="21">
        <f t="shared" si="19"/>
        <v>75.5</v>
      </c>
      <c r="W260" s="21">
        <f t="shared" si="19"/>
        <v>667.34</v>
      </c>
      <c r="X260" s="21">
        <f t="shared" si="19"/>
        <v>73</v>
      </c>
      <c r="Y260" s="21">
        <f t="shared" si="19"/>
        <v>76.490000000000009</v>
      </c>
      <c r="Z260" s="21">
        <f t="shared" si="19"/>
        <v>649.20000000000005</v>
      </c>
      <c r="AA260" s="21">
        <f t="shared" si="19"/>
        <v>0</v>
      </c>
      <c r="AB260" s="21">
        <f t="shared" si="19"/>
        <v>379.57</v>
      </c>
      <c r="AC260" s="21">
        <f t="shared" si="19"/>
        <v>73</v>
      </c>
      <c r="AD260" s="21">
        <f t="shared" si="19"/>
        <v>40</v>
      </c>
      <c r="AE260" s="21">
        <f t="shared" si="19"/>
        <v>134</v>
      </c>
      <c r="AF260" s="21">
        <f t="shared" si="19"/>
        <v>110</v>
      </c>
      <c r="AG260" s="56">
        <f t="shared" si="19"/>
        <v>10368.540000000001</v>
      </c>
    </row>
    <row r="261" spans="1:67" ht="16" thickTop="1" x14ac:dyDescent="0.2">
      <c r="AG261" s="49"/>
    </row>
    <row r="262" spans="1:67" x14ac:dyDescent="0.2">
      <c r="AG262" s="49"/>
    </row>
    <row r="263" spans="1:67" x14ac:dyDescent="0.2">
      <c r="AG263" s="49"/>
    </row>
    <row r="264" spans="1:67" x14ac:dyDescent="0.2">
      <c r="A264" s="14" t="s">
        <v>197</v>
      </c>
      <c r="B264" s="7">
        <v>1</v>
      </c>
      <c r="C264" s="7">
        <v>2</v>
      </c>
      <c r="D264" s="7">
        <v>3</v>
      </c>
      <c r="E264" s="2">
        <v>4</v>
      </c>
      <c r="F264" s="2">
        <v>5</v>
      </c>
      <c r="G264" s="2">
        <v>6</v>
      </c>
      <c r="H264" s="2">
        <v>7</v>
      </c>
      <c r="I264" s="2">
        <v>8</v>
      </c>
      <c r="J264" s="2">
        <v>9</v>
      </c>
      <c r="K264" s="2">
        <v>10</v>
      </c>
      <c r="L264" s="2">
        <v>11</v>
      </c>
      <c r="M264" s="2">
        <v>12</v>
      </c>
      <c r="N264" s="2">
        <v>13</v>
      </c>
      <c r="O264" s="2">
        <v>14</v>
      </c>
      <c r="P264" s="2">
        <v>15</v>
      </c>
      <c r="Q264" s="2">
        <v>16</v>
      </c>
      <c r="R264" s="2">
        <v>17</v>
      </c>
      <c r="S264" s="2">
        <v>18</v>
      </c>
      <c r="T264" s="2">
        <v>19</v>
      </c>
      <c r="U264" s="2">
        <v>20</v>
      </c>
      <c r="V264" s="2">
        <v>21</v>
      </c>
      <c r="W264" s="2">
        <v>22</v>
      </c>
      <c r="X264" s="2">
        <v>23</v>
      </c>
      <c r="Y264" s="2">
        <v>24</v>
      </c>
      <c r="Z264" s="2">
        <v>25</v>
      </c>
      <c r="AA264" s="2">
        <v>26</v>
      </c>
      <c r="AB264" s="2">
        <v>27</v>
      </c>
      <c r="AC264" s="2">
        <v>28</v>
      </c>
      <c r="AD264" s="2">
        <v>29</v>
      </c>
      <c r="AE264" s="2">
        <v>30</v>
      </c>
      <c r="AG264" s="52" t="s">
        <v>0</v>
      </c>
      <c r="AI264" s="14" t="s">
        <v>197</v>
      </c>
      <c r="AJ264" s="7">
        <v>1</v>
      </c>
      <c r="AK264" s="7">
        <v>2</v>
      </c>
      <c r="AL264" s="7">
        <v>3</v>
      </c>
      <c r="AM264" s="2">
        <v>4</v>
      </c>
      <c r="AN264" s="2">
        <v>5</v>
      </c>
      <c r="AO264" s="2">
        <v>6</v>
      </c>
      <c r="AP264" s="2">
        <v>7</v>
      </c>
      <c r="AQ264" s="2">
        <v>8</v>
      </c>
      <c r="AR264" s="2">
        <v>9</v>
      </c>
      <c r="AS264" s="2">
        <v>10</v>
      </c>
      <c r="AT264" s="2">
        <v>11</v>
      </c>
      <c r="AU264" s="2">
        <v>12</v>
      </c>
      <c r="AV264" s="2">
        <v>13</v>
      </c>
      <c r="AW264" s="2">
        <v>14</v>
      </c>
      <c r="AX264" s="2">
        <v>15</v>
      </c>
      <c r="AY264" s="2">
        <v>16</v>
      </c>
      <c r="AZ264" s="2">
        <v>17</v>
      </c>
      <c r="BA264" s="2">
        <v>18</v>
      </c>
      <c r="BB264" s="2">
        <v>19</v>
      </c>
      <c r="BC264" s="2">
        <v>20</v>
      </c>
      <c r="BD264" s="2">
        <v>21</v>
      </c>
      <c r="BE264" s="2">
        <v>22</v>
      </c>
      <c r="BF264" s="2">
        <v>23</v>
      </c>
      <c r="BG264" s="2">
        <v>24</v>
      </c>
      <c r="BH264" s="2">
        <v>25</v>
      </c>
      <c r="BI264" s="2">
        <v>26</v>
      </c>
      <c r="BJ264" s="2">
        <v>27</v>
      </c>
      <c r="BK264" s="2">
        <v>28</v>
      </c>
      <c r="BL264" s="2">
        <v>29</v>
      </c>
      <c r="BM264" s="2">
        <v>30</v>
      </c>
      <c r="BO264" s="52" t="s">
        <v>0</v>
      </c>
    </row>
    <row r="265" spans="1:67" x14ac:dyDescent="0.2">
      <c r="A265" s="3"/>
      <c r="B265" s="3" t="s">
        <v>1</v>
      </c>
      <c r="C265" s="3" t="s">
        <v>1</v>
      </c>
      <c r="D265" s="3" t="s">
        <v>1</v>
      </c>
      <c r="E265" s="3" t="s">
        <v>1</v>
      </c>
      <c r="F265" s="3" t="s">
        <v>1</v>
      </c>
      <c r="G265" s="3" t="s">
        <v>1</v>
      </c>
      <c r="H265" s="3" t="s">
        <v>1</v>
      </c>
      <c r="I265" s="3" t="s">
        <v>1</v>
      </c>
      <c r="J265" s="3" t="s">
        <v>1</v>
      </c>
      <c r="K265" s="3" t="s">
        <v>1</v>
      </c>
      <c r="L265" s="3" t="s">
        <v>1</v>
      </c>
      <c r="M265" s="3" t="s">
        <v>1</v>
      </c>
      <c r="N265" s="3" t="s">
        <v>1</v>
      </c>
      <c r="O265" s="3" t="s">
        <v>1</v>
      </c>
      <c r="P265" s="3" t="s">
        <v>1</v>
      </c>
      <c r="Q265" s="3" t="s">
        <v>1</v>
      </c>
      <c r="R265" s="3" t="s">
        <v>1</v>
      </c>
      <c r="S265" s="3" t="s">
        <v>1</v>
      </c>
      <c r="T265" s="3" t="s">
        <v>1</v>
      </c>
      <c r="U265" s="3" t="s">
        <v>1</v>
      </c>
      <c r="V265" s="3" t="s">
        <v>1</v>
      </c>
      <c r="W265" s="3" t="s">
        <v>1</v>
      </c>
      <c r="X265" s="3" t="s">
        <v>1</v>
      </c>
      <c r="Y265" s="3" t="s">
        <v>1</v>
      </c>
      <c r="Z265" s="3" t="s">
        <v>1</v>
      </c>
      <c r="AA265" s="3" t="s">
        <v>1</v>
      </c>
      <c r="AB265" s="3" t="s">
        <v>1</v>
      </c>
      <c r="AC265" s="3" t="s">
        <v>1</v>
      </c>
      <c r="AD265" s="3" t="s">
        <v>1</v>
      </c>
      <c r="AE265" s="3" t="s">
        <v>1</v>
      </c>
      <c r="AF265" s="3"/>
      <c r="AG265" s="53" t="s">
        <v>1</v>
      </c>
      <c r="AI265" s="3"/>
      <c r="AJ265" s="3" t="s">
        <v>1</v>
      </c>
      <c r="AK265" s="3" t="s">
        <v>1</v>
      </c>
      <c r="AL265" s="3" t="s">
        <v>1</v>
      </c>
      <c r="AM265" s="3" t="s">
        <v>1</v>
      </c>
      <c r="AN265" s="3" t="s">
        <v>1</v>
      </c>
      <c r="AO265" s="3" t="s">
        <v>1</v>
      </c>
      <c r="AP265" s="3" t="s">
        <v>1</v>
      </c>
      <c r="AQ265" s="3" t="s">
        <v>1</v>
      </c>
      <c r="AR265" s="3" t="s">
        <v>1</v>
      </c>
      <c r="AS265" s="3" t="s">
        <v>1</v>
      </c>
      <c r="AT265" s="3" t="s">
        <v>1</v>
      </c>
      <c r="AU265" s="3" t="s">
        <v>1</v>
      </c>
      <c r="AV265" s="3" t="s">
        <v>1</v>
      </c>
      <c r="AW265" s="3" t="s">
        <v>1</v>
      </c>
      <c r="AX265" s="3" t="s">
        <v>1</v>
      </c>
      <c r="AY265" s="3" t="s">
        <v>1</v>
      </c>
      <c r="AZ265" s="3" t="s">
        <v>1</v>
      </c>
      <c r="BA265" s="3" t="s">
        <v>1</v>
      </c>
      <c r="BB265" s="3" t="s">
        <v>1</v>
      </c>
      <c r="BC265" s="3" t="s">
        <v>1</v>
      </c>
      <c r="BD265" s="3" t="s">
        <v>1</v>
      </c>
      <c r="BE265" s="3" t="s">
        <v>1</v>
      </c>
      <c r="BF265" s="3" t="s">
        <v>1</v>
      </c>
      <c r="BG265" s="3" t="s">
        <v>1</v>
      </c>
      <c r="BH265" s="3" t="s">
        <v>1</v>
      </c>
      <c r="BI265" s="3" t="s">
        <v>1</v>
      </c>
      <c r="BJ265" s="3" t="s">
        <v>1</v>
      </c>
      <c r="BK265" s="3" t="s">
        <v>1</v>
      </c>
      <c r="BL265" s="3" t="s">
        <v>1</v>
      </c>
      <c r="BM265" s="3" t="s">
        <v>1</v>
      </c>
      <c r="BN265" s="3"/>
      <c r="BO265" s="53" t="s">
        <v>1</v>
      </c>
    </row>
    <row r="266" spans="1:67" x14ac:dyDescent="0.2">
      <c r="A266" s="16" t="str">
        <f>BUDGET!A9</f>
        <v>Rent</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G266" s="54">
        <f t="shared" ref="AG266:AG285" si="20">SUM(B266:AE266)</f>
        <v>0</v>
      </c>
      <c r="AI266" s="72" t="s">
        <v>46</v>
      </c>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O266" s="54">
        <f t="shared" ref="BO266:BO271" si="21">SUM(AJ266:BM266)</f>
        <v>0</v>
      </c>
    </row>
    <row r="267" spans="1:67" x14ac:dyDescent="0.2">
      <c r="A267" s="16" t="str">
        <f>BUDGET!A10</f>
        <v>Tithe</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G267" s="54">
        <f t="shared" si="20"/>
        <v>0</v>
      </c>
      <c r="AI267" s="72" t="s">
        <v>47</v>
      </c>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O267" s="54">
        <f t="shared" si="21"/>
        <v>0</v>
      </c>
    </row>
    <row r="268" spans="1:67" x14ac:dyDescent="0.2">
      <c r="A268" s="16" t="str">
        <f>BUDGET!A11</f>
        <v>Data</v>
      </c>
      <c r="B268" s="6"/>
      <c r="C268" s="6"/>
      <c r="D268" s="6"/>
      <c r="E268" s="6"/>
      <c r="F268" s="6"/>
      <c r="G268" s="6"/>
      <c r="H268" s="6"/>
      <c r="I268" s="6"/>
      <c r="J268" s="6"/>
      <c r="K268" s="6"/>
      <c r="L268" s="6"/>
      <c r="M268" s="6"/>
      <c r="N268" s="6"/>
      <c r="O268" s="6"/>
      <c r="P268" s="6"/>
      <c r="Q268" s="6">
        <v>330</v>
      </c>
      <c r="R268" s="6"/>
      <c r="S268" s="6"/>
      <c r="T268" s="6"/>
      <c r="U268" s="6"/>
      <c r="V268" s="6"/>
      <c r="W268" s="6"/>
      <c r="X268" s="6"/>
      <c r="Y268" s="6"/>
      <c r="Z268" s="6"/>
      <c r="AA268" s="6"/>
      <c r="AB268" s="6"/>
      <c r="AC268" s="6"/>
      <c r="AD268" s="6"/>
      <c r="AE268" s="6"/>
      <c r="AG268" s="54">
        <f t="shared" si="20"/>
        <v>330</v>
      </c>
      <c r="AI268" s="72" t="s">
        <v>52</v>
      </c>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O268" s="54">
        <f t="shared" si="21"/>
        <v>0</v>
      </c>
    </row>
    <row r="269" spans="1:67" x14ac:dyDescent="0.2">
      <c r="A269" s="16" t="str">
        <f>BUDGET!A12</f>
        <v xml:space="preserve">Savings/ Investment </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G269" s="54">
        <f t="shared" si="20"/>
        <v>0</v>
      </c>
      <c r="AI269" s="72" t="s">
        <v>44</v>
      </c>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O269" s="54">
        <f t="shared" si="21"/>
        <v>0</v>
      </c>
    </row>
    <row r="270" spans="1:67" x14ac:dyDescent="0.2">
      <c r="A270" s="16" t="str">
        <f>BUDGET!A13</f>
        <v>Hair / Gym</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G270" s="54">
        <f t="shared" si="20"/>
        <v>0</v>
      </c>
      <c r="AI270" s="72" t="s">
        <v>161</v>
      </c>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O270" s="54">
        <f t="shared" si="21"/>
        <v>0</v>
      </c>
    </row>
    <row r="271" spans="1:67" x14ac:dyDescent="0.2">
      <c r="A271" s="16" t="str">
        <f>BUDGET!A14</f>
        <v>Food</v>
      </c>
      <c r="B271" s="6">
        <f>50+50</f>
        <v>100</v>
      </c>
      <c r="C271" s="6"/>
      <c r="D271" s="6"/>
      <c r="E271" s="6">
        <f>10+18</f>
        <v>28</v>
      </c>
      <c r="F271" s="6"/>
      <c r="G271" s="6">
        <f>5+11</f>
        <v>16</v>
      </c>
      <c r="H271" s="6">
        <f>10+8</f>
        <v>18</v>
      </c>
      <c r="I271" s="6"/>
      <c r="J271" s="6">
        <f>10</f>
        <v>10</v>
      </c>
      <c r="K271" s="6">
        <f>10+25+8</f>
        <v>43</v>
      </c>
      <c r="L271" s="6">
        <f>88+25</f>
        <v>113</v>
      </c>
      <c r="M271" s="6"/>
      <c r="N271" s="6">
        <v>5</v>
      </c>
      <c r="O271" s="6">
        <f>10</f>
        <v>10</v>
      </c>
      <c r="P271" s="6"/>
      <c r="Q271" s="6">
        <v>10</v>
      </c>
      <c r="R271" s="6">
        <f>10+25</f>
        <v>35</v>
      </c>
      <c r="S271" s="6">
        <f>135+10</f>
        <v>145</v>
      </c>
      <c r="T271" s="6"/>
      <c r="U271" s="6">
        <v>10</v>
      </c>
      <c r="V271" s="6"/>
      <c r="W271" s="6">
        <f>5+11</f>
        <v>16</v>
      </c>
      <c r="X271" s="6">
        <f>10</f>
        <v>10</v>
      </c>
      <c r="Y271" s="6">
        <f>9+12</f>
        <v>21</v>
      </c>
      <c r="Z271" s="6">
        <f>95+10+15</f>
        <v>120</v>
      </c>
      <c r="AA271" s="6"/>
      <c r="AB271" s="6">
        <f>10+60+23</f>
        <v>93</v>
      </c>
      <c r="AC271" s="6"/>
      <c r="AD271" s="6"/>
      <c r="AE271" s="6">
        <f>40+10</f>
        <v>50</v>
      </c>
      <c r="AG271" s="54">
        <f t="shared" si="20"/>
        <v>853</v>
      </c>
      <c r="AI271" s="72" t="s">
        <v>41</v>
      </c>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O271" s="54">
        <f t="shared" si="21"/>
        <v>0</v>
      </c>
    </row>
    <row r="272" spans="1:67" x14ac:dyDescent="0.2">
      <c r="A272" s="16" t="str">
        <f>BUDGET!A15</f>
        <v>Healthcare</v>
      </c>
      <c r="B272" s="6"/>
      <c r="C272" s="6"/>
      <c r="D272" s="6"/>
      <c r="E272" s="6">
        <v>48.5</v>
      </c>
      <c r="F272" s="6"/>
      <c r="G272" s="6">
        <v>2</v>
      </c>
      <c r="H272" s="6"/>
      <c r="I272" s="6">
        <v>23.3</v>
      </c>
      <c r="J272" s="6"/>
      <c r="K272" s="6"/>
      <c r="L272" s="6"/>
      <c r="M272" s="6"/>
      <c r="N272" s="6"/>
      <c r="O272" s="6"/>
      <c r="P272" s="6"/>
      <c r="Q272" s="6"/>
      <c r="R272" s="6">
        <v>17</v>
      </c>
      <c r="S272" s="6"/>
      <c r="T272" s="6"/>
      <c r="U272" s="6"/>
      <c r="V272" s="6"/>
      <c r="W272" s="6"/>
      <c r="X272" s="6"/>
      <c r="Y272" s="6"/>
      <c r="Z272" s="6"/>
      <c r="AA272" s="6"/>
      <c r="AB272">
        <v>46</v>
      </c>
      <c r="AC272" s="6"/>
      <c r="AD272" s="6"/>
      <c r="AE272" s="6">
        <v>15</v>
      </c>
      <c r="AG272" s="54">
        <f t="shared" si="20"/>
        <v>151.80000000000001</v>
      </c>
      <c r="AI272" s="72" t="s">
        <v>61</v>
      </c>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O272" s="54"/>
    </row>
    <row r="273" spans="1:67" x14ac:dyDescent="0.2">
      <c r="A273" s="16" t="str">
        <f>BUDGET!A16</f>
        <v xml:space="preserve">Clothes/ Shoes/ Jewelry </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G273" s="54">
        <f t="shared" si="20"/>
        <v>0</v>
      </c>
      <c r="AI273" s="72" t="s">
        <v>45</v>
      </c>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O273" s="54"/>
    </row>
    <row r="274" spans="1:67" x14ac:dyDescent="0.2">
      <c r="A274" s="16" t="str">
        <f>BUDGET!A17</f>
        <v>shoes</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G274" s="54">
        <f t="shared" si="20"/>
        <v>0</v>
      </c>
      <c r="AI274" s="72" t="s">
        <v>128</v>
      </c>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O274" s="54"/>
    </row>
    <row r="275" spans="1:67" x14ac:dyDescent="0.2">
      <c r="A275" s="16" t="str">
        <f>BUDGET!A18</f>
        <v xml:space="preserve">Travel/ Vacations </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G275" s="54">
        <f t="shared" si="20"/>
        <v>0</v>
      </c>
      <c r="AI275" s="72" t="s">
        <v>42</v>
      </c>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O275" s="54"/>
    </row>
    <row r="276" spans="1:67" x14ac:dyDescent="0.2">
      <c r="A276" s="16" t="str">
        <f>BUDGET!A19</f>
        <v>Outings</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G276" s="54">
        <f t="shared" si="20"/>
        <v>0</v>
      </c>
      <c r="AI276" s="72" t="s">
        <v>43</v>
      </c>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O276" s="54"/>
    </row>
    <row r="277" spans="1:67" x14ac:dyDescent="0.2">
      <c r="A277" s="16" t="str">
        <f>BUDGET!A20</f>
        <v>Toiletries/Groceries</v>
      </c>
      <c r="B277" s="6">
        <v>120</v>
      </c>
      <c r="C277" s="6"/>
      <c r="D277" s="6"/>
      <c r="E277" s="6"/>
      <c r="F277" s="6"/>
      <c r="G277" s="6"/>
      <c r="H277" s="6"/>
      <c r="I277" s="6"/>
      <c r="J277" s="6"/>
      <c r="K277" s="6"/>
      <c r="L277" s="6"/>
      <c r="M277" s="6"/>
      <c r="N277" s="6"/>
      <c r="O277" s="6"/>
      <c r="P277" s="6"/>
      <c r="Q277" s="6"/>
      <c r="R277" s="6">
        <v>50</v>
      </c>
      <c r="S277" s="6">
        <v>1047.5999999999999</v>
      </c>
      <c r="T277" s="6">
        <v>133.37</v>
      </c>
      <c r="U277" s="6"/>
      <c r="V277" s="6"/>
      <c r="W277" s="6"/>
      <c r="X277" s="6"/>
      <c r="Y277" s="6"/>
      <c r="Z277" s="6">
        <f>70+128</f>
        <v>198</v>
      </c>
      <c r="AA277" s="6"/>
      <c r="AB277" s="6"/>
      <c r="AC277" s="6">
        <v>10</v>
      </c>
      <c r="AD277" s="6"/>
      <c r="AE277" s="6"/>
      <c r="AG277" s="54">
        <f t="shared" si="20"/>
        <v>1558.9699999999998</v>
      </c>
      <c r="AI277" s="72" t="s">
        <v>53</v>
      </c>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O277" s="54">
        <f t="shared" ref="BO277:BO285" si="22">SUM(AJ277:BM277)</f>
        <v>0</v>
      </c>
    </row>
    <row r="278" spans="1:67" x14ac:dyDescent="0.2">
      <c r="A278" s="16" t="str">
        <f>BUDGET!A21</f>
        <v xml:space="preserve">Transportation </v>
      </c>
      <c r="B278" s="6">
        <v>14</v>
      </c>
      <c r="C278" s="6">
        <f>63+21</f>
        <v>84</v>
      </c>
      <c r="D278" s="6">
        <f>58+59</f>
        <v>117</v>
      </c>
      <c r="E278" s="6"/>
      <c r="F278" s="6"/>
      <c r="G278" s="6"/>
      <c r="H278" s="6"/>
      <c r="I278" s="6">
        <v>36</v>
      </c>
      <c r="J278" s="6">
        <f>4+5.5+32</f>
        <v>41.5</v>
      </c>
      <c r="K278" s="6">
        <v>92</v>
      </c>
      <c r="L278" s="6"/>
      <c r="M278" s="6"/>
      <c r="N278" s="6">
        <v>50</v>
      </c>
      <c r="O278" s="6">
        <v>18</v>
      </c>
      <c r="P278" s="6">
        <f>22+23</f>
        <v>45</v>
      </c>
      <c r="Q278" s="6">
        <v>67</v>
      </c>
      <c r="R278" s="6">
        <f>52+68</f>
        <v>120</v>
      </c>
      <c r="S278" s="6">
        <f>47+16+18</f>
        <v>81</v>
      </c>
      <c r="T278" s="6">
        <v>40</v>
      </c>
      <c r="U278" s="6">
        <v>63</v>
      </c>
      <c r="V278" s="6">
        <v>4</v>
      </c>
      <c r="W278" s="6">
        <f>4.5</f>
        <v>4.5</v>
      </c>
      <c r="X278" s="6"/>
      <c r="Y278" s="6">
        <f>48+33+63</f>
        <v>144</v>
      </c>
      <c r="Z278" s="6">
        <f>3+14+37</f>
        <v>54</v>
      </c>
      <c r="AA278" s="6">
        <f>65</f>
        <v>65</v>
      </c>
      <c r="AB278" s="6">
        <f>2.5+7</f>
        <v>9.5</v>
      </c>
      <c r="AC278" s="6">
        <f>5.5</f>
        <v>5.5</v>
      </c>
      <c r="AD278" s="6">
        <f>7+5.5+65</f>
        <v>77.5</v>
      </c>
      <c r="AE278" s="6">
        <f>57+7+4+2+33</f>
        <v>103</v>
      </c>
      <c r="AG278" s="54">
        <f t="shared" si="20"/>
        <v>1335.5</v>
      </c>
      <c r="AI278" s="72" t="s">
        <v>39</v>
      </c>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O278" s="54">
        <f t="shared" si="22"/>
        <v>0</v>
      </c>
    </row>
    <row r="279" spans="1:67" x14ac:dyDescent="0.2">
      <c r="A279" s="16" t="str">
        <f>BUDGET!A22</f>
        <v>Miscellaneous</v>
      </c>
      <c r="B279" s="6"/>
      <c r="C279" s="6"/>
      <c r="D279" s="6">
        <v>65</v>
      </c>
      <c r="E279" s="6">
        <v>22</v>
      </c>
      <c r="F279" s="6"/>
      <c r="G279" s="6"/>
      <c r="H279" s="6"/>
      <c r="I279" s="6">
        <v>50</v>
      </c>
      <c r="J279" s="6"/>
      <c r="K279" s="6"/>
      <c r="L279" s="6"/>
      <c r="M279" s="6"/>
      <c r="N279" s="6">
        <v>30</v>
      </c>
      <c r="O279" s="6"/>
      <c r="P279" s="6">
        <v>28</v>
      </c>
      <c r="Q279" s="6"/>
      <c r="R279" s="6"/>
      <c r="S279" s="6">
        <v>3</v>
      </c>
      <c r="T279" s="6"/>
      <c r="U279" s="6">
        <v>150</v>
      </c>
      <c r="V279" s="6"/>
      <c r="W279" s="6"/>
      <c r="X279" s="6">
        <v>65</v>
      </c>
      <c r="Y279" s="6"/>
      <c r="Z279" s="127">
        <v>400</v>
      </c>
      <c r="AA279" s="6"/>
      <c r="AB279" s="6">
        <f>3</f>
        <v>3</v>
      </c>
      <c r="AC279" s="6"/>
      <c r="AD279" s="127">
        <f>510+40+50</f>
        <v>600</v>
      </c>
      <c r="AE279" s="6">
        <v>100</v>
      </c>
      <c r="AG279" s="54">
        <f t="shared" si="20"/>
        <v>1516</v>
      </c>
      <c r="AI279" s="72" t="s">
        <v>127</v>
      </c>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v>400</v>
      </c>
      <c r="BI279" s="6"/>
      <c r="BJ279" s="6"/>
      <c r="BK279" s="6"/>
      <c r="BL279" s="6">
        <v>510</v>
      </c>
      <c r="BM279" s="6"/>
      <c r="BO279" s="54">
        <f t="shared" si="22"/>
        <v>910</v>
      </c>
    </row>
    <row r="280" spans="1:67" x14ac:dyDescent="0.2">
      <c r="A280" s="16" t="str">
        <f>BUDGET!A23</f>
        <v>Apple Subscriptions</v>
      </c>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v>12.74</v>
      </c>
      <c r="AB280" s="6"/>
      <c r="AC280" s="6"/>
      <c r="AD280" s="6"/>
      <c r="AE280" s="6"/>
      <c r="AG280" s="54">
        <f t="shared" si="20"/>
        <v>12.74</v>
      </c>
      <c r="AI280" s="72" t="s">
        <v>48</v>
      </c>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O280" s="54">
        <f t="shared" si="22"/>
        <v>0</v>
      </c>
    </row>
    <row r="281" spans="1:67" x14ac:dyDescent="0.2">
      <c r="A281" s="16" t="str">
        <f>BUDGET!A24</f>
        <v>Google 1</v>
      </c>
      <c r="B281" s="6"/>
      <c r="C281" s="6"/>
      <c r="D281" s="6"/>
      <c r="E281" s="6"/>
      <c r="F281" s="6"/>
      <c r="G281" s="6"/>
      <c r="H281" s="6"/>
      <c r="I281" s="6"/>
      <c r="J281" s="6"/>
      <c r="K281" s="6">
        <v>9</v>
      </c>
      <c r="L281" s="6"/>
      <c r="M281" s="6"/>
      <c r="N281" s="6"/>
      <c r="O281" s="6"/>
      <c r="P281" s="6"/>
      <c r="Q281" s="6"/>
      <c r="R281" s="6"/>
      <c r="S281" s="6"/>
      <c r="T281" s="6"/>
      <c r="U281" s="6"/>
      <c r="V281" s="6"/>
      <c r="W281" s="6"/>
      <c r="X281" s="6"/>
      <c r="Y281" s="6"/>
      <c r="Z281" s="6"/>
      <c r="AB281" s="6"/>
      <c r="AC281" s="6"/>
      <c r="AD281" s="6"/>
      <c r="AE281" s="6"/>
      <c r="AG281" s="54">
        <f t="shared" si="20"/>
        <v>9</v>
      </c>
      <c r="AI281" s="72" t="s">
        <v>49</v>
      </c>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O281" s="54">
        <f t="shared" si="22"/>
        <v>0</v>
      </c>
    </row>
    <row r="282" spans="1:67" x14ac:dyDescent="0.2">
      <c r="A282" s="16" t="str">
        <f>BUDGET!A25</f>
        <v>Netflix</v>
      </c>
      <c r="B282" s="6"/>
      <c r="C282" s="6"/>
      <c r="D282" s="6"/>
      <c r="E282" s="6"/>
      <c r="F282" s="6"/>
      <c r="G282" s="6"/>
      <c r="H282" s="6"/>
      <c r="I282" s="6"/>
      <c r="J282" s="6"/>
      <c r="K282" s="6"/>
      <c r="L282" s="6"/>
      <c r="M282" s="6"/>
      <c r="N282" s="6"/>
      <c r="O282" s="6"/>
      <c r="P282" s="6"/>
      <c r="Q282" s="6"/>
      <c r="R282" s="6"/>
      <c r="S282" s="6"/>
      <c r="T282" s="6">
        <v>102.58</v>
      </c>
      <c r="U282" s="6"/>
      <c r="V282" s="6"/>
      <c r="W282" s="6"/>
      <c r="X282" s="6"/>
      <c r="Y282" s="6"/>
      <c r="Z282" s="6"/>
      <c r="AA282" s="6"/>
      <c r="AB282" s="6"/>
      <c r="AC282" s="6"/>
      <c r="AD282" s="6"/>
      <c r="AE282" s="6"/>
      <c r="AG282" s="54">
        <f t="shared" si="20"/>
        <v>102.58</v>
      </c>
      <c r="AI282" s="72" t="s">
        <v>126</v>
      </c>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O282" s="54">
        <f t="shared" si="22"/>
        <v>0</v>
      </c>
    </row>
    <row r="283" spans="1:67" x14ac:dyDescent="0.2">
      <c r="A283" s="16" t="str">
        <f>BUDGET!A26</f>
        <v>Amuse</v>
      </c>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G283" s="54">
        <f t="shared" si="20"/>
        <v>0</v>
      </c>
      <c r="AI283" s="72" t="s">
        <v>50</v>
      </c>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O283" s="54">
        <f t="shared" si="22"/>
        <v>0</v>
      </c>
    </row>
    <row r="284" spans="1:67" x14ac:dyDescent="0.2">
      <c r="A284" s="16" t="str">
        <f>BUDGET!A27</f>
        <v>electricity</v>
      </c>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f>50+20</f>
        <v>70</v>
      </c>
      <c r="AC284" s="6"/>
      <c r="AD284" s="6"/>
      <c r="AE284" s="6"/>
      <c r="AG284" s="54">
        <f t="shared" si="20"/>
        <v>70</v>
      </c>
      <c r="AI284" s="72" t="s">
        <v>73</v>
      </c>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O284" s="54">
        <f t="shared" si="22"/>
        <v>0</v>
      </c>
    </row>
    <row r="285" spans="1:67" ht="16" thickBot="1" x14ac:dyDescent="0.25">
      <c r="A285" s="16" t="str">
        <f>BUDGET!A28</f>
        <v>Account Charges</v>
      </c>
      <c r="B285" s="6">
        <f>1.4+1.5</f>
        <v>2.9</v>
      </c>
      <c r="C285" s="6"/>
      <c r="D285" s="6"/>
      <c r="E285" s="6"/>
      <c r="F285" s="6"/>
      <c r="G285" s="6"/>
      <c r="H285" s="6"/>
      <c r="I285" s="6"/>
      <c r="J285" s="6"/>
      <c r="K285" s="6"/>
      <c r="L285" s="6"/>
      <c r="M285" s="6"/>
      <c r="N285" s="6"/>
      <c r="O285" s="6"/>
      <c r="P285" s="6"/>
      <c r="Q285" s="6"/>
      <c r="R285" s="6"/>
      <c r="S285" s="6"/>
      <c r="T285" s="6"/>
      <c r="U285" s="6"/>
      <c r="V285" s="6"/>
      <c r="W285" s="6">
        <f>7+3</f>
        <v>10</v>
      </c>
      <c r="X285" s="6"/>
      <c r="Y285" s="6"/>
      <c r="Z285" s="6">
        <v>8</v>
      </c>
      <c r="AA285" s="6"/>
      <c r="AB285" s="6"/>
      <c r="AC285" s="6"/>
      <c r="AD285" s="6"/>
      <c r="AE285" s="6"/>
      <c r="AG285" s="54">
        <f t="shared" si="20"/>
        <v>20.9</v>
      </c>
      <c r="AI285" s="72" t="s">
        <v>51</v>
      </c>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O285" s="54">
        <f t="shared" si="22"/>
        <v>0</v>
      </c>
    </row>
    <row r="286" spans="1:67" ht="16.5" customHeight="1" thickBot="1" x14ac:dyDescent="0.25">
      <c r="A286" s="20" t="s">
        <v>11</v>
      </c>
      <c r="B286" s="21">
        <f t="shared" ref="B286:AD286" si="23">SUM(B266:B285)</f>
        <v>236.9</v>
      </c>
      <c r="C286" s="21">
        <f t="shared" si="23"/>
        <v>84</v>
      </c>
      <c r="D286" s="21">
        <f t="shared" si="23"/>
        <v>182</v>
      </c>
      <c r="E286" s="21">
        <f t="shared" si="23"/>
        <v>98.5</v>
      </c>
      <c r="F286" s="21">
        <f>SUM(F266:F285)</f>
        <v>0</v>
      </c>
      <c r="G286" s="21">
        <f t="shared" si="23"/>
        <v>18</v>
      </c>
      <c r="H286" s="21">
        <f t="shared" si="23"/>
        <v>18</v>
      </c>
      <c r="I286" s="21">
        <f t="shared" si="23"/>
        <v>109.3</v>
      </c>
      <c r="J286" s="21">
        <f t="shared" si="23"/>
        <v>51.5</v>
      </c>
      <c r="K286" s="21">
        <f t="shared" si="23"/>
        <v>144</v>
      </c>
      <c r="L286" s="21">
        <f t="shared" si="23"/>
        <v>113</v>
      </c>
      <c r="M286" s="21">
        <f t="shared" si="23"/>
        <v>0</v>
      </c>
      <c r="N286" s="21">
        <f t="shared" si="23"/>
        <v>85</v>
      </c>
      <c r="O286" s="21">
        <f t="shared" si="23"/>
        <v>28</v>
      </c>
      <c r="P286" s="21">
        <f t="shared" si="23"/>
        <v>73</v>
      </c>
      <c r="Q286" s="21">
        <f t="shared" si="23"/>
        <v>407</v>
      </c>
      <c r="R286" s="21">
        <f t="shared" si="23"/>
        <v>222</v>
      </c>
      <c r="S286" s="21">
        <f t="shared" si="23"/>
        <v>1276.5999999999999</v>
      </c>
      <c r="T286" s="21">
        <f t="shared" si="23"/>
        <v>275.95</v>
      </c>
      <c r="U286" s="21">
        <f t="shared" si="23"/>
        <v>223</v>
      </c>
      <c r="V286" s="21">
        <f t="shared" si="23"/>
        <v>4</v>
      </c>
      <c r="W286" s="21">
        <f t="shared" si="23"/>
        <v>30.5</v>
      </c>
      <c r="X286" s="21">
        <f t="shared" si="23"/>
        <v>75</v>
      </c>
      <c r="Y286" s="21">
        <f t="shared" si="23"/>
        <v>165</v>
      </c>
      <c r="Z286" s="21">
        <f t="shared" si="23"/>
        <v>780</v>
      </c>
      <c r="AA286" s="21">
        <f t="shared" si="23"/>
        <v>77.739999999999995</v>
      </c>
      <c r="AB286" s="21">
        <f t="shared" si="23"/>
        <v>221.5</v>
      </c>
      <c r="AC286" s="21">
        <f t="shared" si="23"/>
        <v>15.5</v>
      </c>
      <c r="AD286" s="21">
        <f t="shared" si="23"/>
        <v>677.5</v>
      </c>
      <c r="AE286" s="21">
        <f>SUM(AE266:AE285)</f>
        <v>268</v>
      </c>
      <c r="AF286" s="22"/>
      <c r="AG286" s="56">
        <f>SUM(AG266:AG285)</f>
        <v>5960.4899999999989</v>
      </c>
      <c r="AI286" s="20" t="s">
        <v>11</v>
      </c>
      <c r="AJ286" s="21">
        <f t="shared" ref="AJ286:AM286" si="24">SUM(AJ266:AJ285)</f>
        <v>0</v>
      </c>
      <c r="AK286" s="21">
        <f t="shared" si="24"/>
        <v>0</v>
      </c>
      <c r="AL286" s="21">
        <f t="shared" si="24"/>
        <v>0</v>
      </c>
      <c r="AM286" s="21">
        <f t="shared" si="24"/>
        <v>0</v>
      </c>
      <c r="AN286" s="21">
        <f>SUM(AN266:AN285)</f>
        <v>0</v>
      </c>
      <c r="AO286" s="21">
        <f t="shared" ref="AO286:BL286" si="25">SUM(AO266:AO285)</f>
        <v>0</v>
      </c>
      <c r="AP286" s="21">
        <f t="shared" si="25"/>
        <v>0</v>
      </c>
      <c r="AQ286" s="21">
        <f t="shared" si="25"/>
        <v>0</v>
      </c>
      <c r="AR286" s="21">
        <f t="shared" si="25"/>
        <v>0</v>
      </c>
      <c r="AS286" s="21">
        <f t="shared" si="25"/>
        <v>0</v>
      </c>
      <c r="AT286" s="21">
        <f t="shared" si="25"/>
        <v>0</v>
      </c>
      <c r="AU286" s="21">
        <f t="shared" si="25"/>
        <v>0</v>
      </c>
      <c r="AV286" s="21">
        <f t="shared" si="25"/>
        <v>0</v>
      </c>
      <c r="AW286" s="21">
        <f>SUM(AW266:AW285)</f>
        <v>0</v>
      </c>
      <c r="AX286" s="21">
        <f t="shared" si="25"/>
        <v>0</v>
      </c>
      <c r="AY286" s="21">
        <f t="shared" si="25"/>
        <v>0</v>
      </c>
      <c r="AZ286" s="21">
        <f t="shared" si="25"/>
        <v>0</v>
      </c>
      <c r="BA286" s="21">
        <f t="shared" si="25"/>
        <v>0</v>
      </c>
      <c r="BB286" s="21">
        <f t="shared" si="25"/>
        <v>0</v>
      </c>
      <c r="BC286" s="21">
        <f t="shared" si="25"/>
        <v>0</v>
      </c>
      <c r="BD286" s="21">
        <f t="shared" si="25"/>
        <v>0</v>
      </c>
      <c r="BE286" s="21">
        <f t="shared" si="25"/>
        <v>0</v>
      </c>
      <c r="BF286" s="21">
        <f t="shared" si="25"/>
        <v>0</v>
      </c>
      <c r="BG286" s="21">
        <f t="shared" si="25"/>
        <v>0</v>
      </c>
      <c r="BH286" s="21">
        <f t="shared" si="25"/>
        <v>400</v>
      </c>
      <c r="BI286" s="21">
        <f t="shared" si="25"/>
        <v>0</v>
      </c>
      <c r="BJ286" s="21">
        <f t="shared" si="25"/>
        <v>0</v>
      </c>
      <c r="BK286" s="21">
        <f t="shared" si="25"/>
        <v>0</v>
      </c>
      <c r="BL286" s="21">
        <f t="shared" si="25"/>
        <v>510</v>
      </c>
      <c r="BM286" s="21">
        <f>SUM(BM266:BM285)</f>
        <v>0</v>
      </c>
      <c r="BN286" s="22"/>
      <c r="BO286" s="56">
        <f>SUM(BO266:BO285)</f>
        <v>910</v>
      </c>
    </row>
    <row r="287" spans="1:67" ht="16" thickTop="1" x14ac:dyDescent="0.2">
      <c r="AG287" s="49"/>
    </row>
    <row r="288" spans="1:67" x14ac:dyDescent="0.2">
      <c r="AG288" s="49"/>
    </row>
    <row r="289" spans="1:33" x14ac:dyDescent="0.2">
      <c r="AG289" s="49"/>
    </row>
    <row r="290" spans="1:33" x14ac:dyDescent="0.2">
      <c r="A290" s="14" t="s">
        <v>198</v>
      </c>
      <c r="B290" s="7">
        <v>1</v>
      </c>
      <c r="C290" s="7">
        <v>2</v>
      </c>
      <c r="D290" s="7">
        <v>3</v>
      </c>
      <c r="E290" s="2">
        <v>4</v>
      </c>
      <c r="F290" s="2">
        <v>5</v>
      </c>
      <c r="G290" s="2">
        <v>6</v>
      </c>
      <c r="H290" s="2">
        <v>7</v>
      </c>
      <c r="I290" s="2">
        <v>8</v>
      </c>
      <c r="J290" s="2">
        <v>9</v>
      </c>
      <c r="K290" s="2">
        <v>10</v>
      </c>
      <c r="L290" s="2">
        <v>11</v>
      </c>
      <c r="M290" s="2">
        <v>12</v>
      </c>
      <c r="N290" s="2">
        <v>13</v>
      </c>
      <c r="O290" s="2">
        <v>14</v>
      </c>
      <c r="P290" s="2">
        <v>15</v>
      </c>
      <c r="Q290" s="2">
        <v>16</v>
      </c>
      <c r="R290" s="2">
        <v>17</v>
      </c>
      <c r="S290" s="2">
        <v>18</v>
      </c>
      <c r="T290" s="2">
        <v>19</v>
      </c>
      <c r="U290" s="2">
        <v>20</v>
      </c>
      <c r="V290" s="2">
        <v>21</v>
      </c>
      <c r="W290" s="2">
        <v>22</v>
      </c>
      <c r="X290" s="2">
        <v>23</v>
      </c>
      <c r="Y290" s="2">
        <v>24</v>
      </c>
      <c r="Z290" s="2">
        <v>25</v>
      </c>
      <c r="AA290" s="2">
        <v>26</v>
      </c>
      <c r="AB290" s="2">
        <v>27</v>
      </c>
      <c r="AC290" s="2">
        <v>28</v>
      </c>
      <c r="AD290" s="2">
        <v>29</v>
      </c>
      <c r="AE290" s="2">
        <v>30</v>
      </c>
      <c r="AF290" s="2">
        <v>31</v>
      </c>
      <c r="AG290" s="52" t="s">
        <v>0</v>
      </c>
    </row>
    <row r="291" spans="1:33" x14ac:dyDescent="0.2">
      <c r="A291" s="3"/>
      <c r="B291" s="3" t="s">
        <v>1</v>
      </c>
      <c r="C291" s="3" t="s">
        <v>1</v>
      </c>
      <c r="D291" s="3" t="s">
        <v>1</v>
      </c>
      <c r="E291" s="3" t="s">
        <v>1</v>
      </c>
      <c r="F291" s="3" t="s">
        <v>1</v>
      </c>
      <c r="G291" s="3" t="s">
        <v>1</v>
      </c>
      <c r="H291" s="3" t="s">
        <v>1</v>
      </c>
      <c r="I291" s="3" t="s">
        <v>1</v>
      </c>
      <c r="J291" s="3" t="s">
        <v>1</v>
      </c>
      <c r="K291" s="3" t="s">
        <v>1</v>
      </c>
      <c r="L291" s="3" t="s">
        <v>1</v>
      </c>
      <c r="M291" s="3" t="s">
        <v>1</v>
      </c>
      <c r="N291" s="3" t="s">
        <v>1</v>
      </c>
      <c r="O291" s="3" t="s">
        <v>1</v>
      </c>
      <c r="P291" s="3" t="s">
        <v>1</v>
      </c>
      <c r="Q291" s="3" t="s">
        <v>1</v>
      </c>
      <c r="R291" s="3" t="s">
        <v>1</v>
      </c>
      <c r="S291" s="3" t="s">
        <v>1</v>
      </c>
      <c r="T291" s="3" t="s">
        <v>1</v>
      </c>
      <c r="U291" s="3" t="s">
        <v>1</v>
      </c>
      <c r="V291" s="3" t="s">
        <v>1</v>
      </c>
      <c r="W291" s="3" t="s">
        <v>1</v>
      </c>
      <c r="X291" s="3" t="s">
        <v>1</v>
      </c>
      <c r="Y291" s="3" t="s">
        <v>1</v>
      </c>
      <c r="Z291" s="3" t="s">
        <v>1</v>
      </c>
      <c r="AA291" s="3" t="s">
        <v>1</v>
      </c>
      <c r="AB291" s="3" t="s">
        <v>1</v>
      </c>
      <c r="AC291" s="3" t="s">
        <v>1</v>
      </c>
      <c r="AD291" s="3" t="s">
        <v>1</v>
      </c>
      <c r="AE291" s="3" t="s">
        <v>1</v>
      </c>
      <c r="AF291" s="3" t="s">
        <v>1</v>
      </c>
      <c r="AG291" s="53" t="s">
        <v>1</v>
      </c>
    </row>
    <row r="292" spans="1:33" x14ac:dyDescent="0.2">
      <c r="A292" s="16" t="str">
        <f>BUDGET!A9</f>
        <v>Rent</v>
      </c>
      <c r="B292" s="6">
        <v>0</v>
      </c>
      <c r="C292" s="6">
        <v>0</v>
      </c>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v>1000</v>
      </c>
      <c r="AG292" s="54">
        <f t="shared" ref="AG292:AG311" si="26">SUM(B292:AF292)</f>
        <v>1000</v>
      </c>
    </row>
    <row r="293" spans="1:33" x14ac:dyDescent="0.2">
      <c r="A293" s="16" t="str">
        <f>BUDGET!A10</f>
        <v>Tithe</v>
      </c>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54">
        <f t="shared" si="26"/>
        <v>0</v>
      </c>
    </row>
    <row r="294" spans="1:33" x14ac:dyDescent="0.2">
      <c r="A294" s="16" t="str">
        <f>BUDGET!A11</f>
        <v>Data</v>
      </c>
      <c r="B294" s="6">
        <v>0</v>
      </c>
      <c r="C294" s="6">
        <v>0</v>
      </c>
      <c r="D294" s="6"/>
      <c r="E294" s="6"/>
      <c r="F294" s="6"/>
      <c r="G294" s="6"/>
      <c r="H294" s="6">
        <v>5</v>
      </c>
      <c r="I294" s="6"/>
      <c r="J294" s="6"/>
      <c r="K294" s="6"/>
      <c r="L294" s="6"/>
      <c r="M294" s="6"/>
      <c r="N294" s="6"/>
      <c r="O294" s="6"/>
      <c r="P294" s="6"/>
      <c r="Q294" s="6">
        <v>450</v>
      </c>
      <c r="R294" s="6"/>
      <c r="S294" s="6"/>
      <c r="T294" s="6"/>
      <c r="U294" s="6"/>
      <c r="V294" s="6"/>
      <c r="W294" s="6"/>
      <c r="X294" s="6"/>
      <c r="Y294" s="6"/>
      <c r="Z294" s="6"/>
      <c r="AA294" s="6"/>
      <c r="AB294" s="6"/>
      <c r="AC294" s="6"/>
      <c r="AD294" s="6"/>
      <c r="AE294" s="6"/>
      <c r="AF294" s="6"/>
      <c r="AG294" s="54">
        <f t="shared" si="26"/>
        <v>455</v>
      </c>
    </row>
    <row r="295" spans="1:33" x14ac:dyDescent="0.2">
      <c r="A295" s="16" t="str">
        <f>BUDGET!A12</f>
        <v xml:space="preserve">Savings/ Investment </v>
      </c>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54">
        <f t="shared" si="26"/>
        <v>0</v>
      </c>
    </row>
    <row r="296" spans="1:33" x14ac:dyDescent="0.2">
      <c r="A296" s="16" t="str">
        <f>BUDGET!A13</f>
        <v>Hair / Gym</v>
      </c>
      <c r="B296" s="6">
        <v>0</v>
      </c>
      <c r="C296" s="6">
        <v>0</v>
      </c>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54">
        <f t="shared" si="26"/>
        <v>0</v>
      </c>
    </row>
    <row r="297" spans="1:33" x14ac:dyDescent="0.2">
      <c r="A297" s="16" t="str">
        <f>BUDGET!A14</f>
        <v>Food</v>
      </c>
      <c r="B297" s="6">
        <v>0</v>
      </c>
      <c r="C297" s="6">
        <v>3</v>
      </c>
      <c r="D297" s="6"/>
      <c r="E297" s="6">
        <v>10</v>
      </c>
      <c r="F297" s="6">
        <f>10+42+10</f>
        <v>62</v>
      </c>
      <c r="G297" s="6">
        <f>10</f>
        <v>10</v>
      </c>
      <c r="H297" s="6">
        <f>18+67</f>
        <v>85</v>
      </c>
      <c r="I297" s="6">
        <f>17</f>
        <v>17</v>
      </c>
      <c r="J297" s="6">
        <f>25+10</f>
        <v>35</v>
      </c>
      <c r="K297" s="6"/>
      <c r="L297" s="6">
        <f>10+110</f>
        <v>120</v>
      </c>
      <c r="M297" s="6">
        <f>10+10</f>
        <v>20</v>
      </c>
      <c r="N297" s="104">
        <f>10+10</f>
        <v>20</v>
      </c>
      <c r="O297" s="6">
        <f>10+70+25</f>
        <v>105</v>
      </c>
      <c r="P297" s="6">
        <f>10+12+8</f>
        <v>30</v>
      </c>
      <c r="Q297" s="6">
        <f>86.1+2+10</f>
        <v>98.1</v>
      </c>
      <c r="R297" s="6"/>
      <c r="S297" s="6">
        <v>20</v>
      </c>
      <c r="T297" s="6">
        <f>3+20</f>
        <v>23</v>
      </c>
      <c r="U297" s="6"/>
      <c r="V297" s="6">
        <f>6</f>
        <v>6</v>
      </c>
      <c r="W297" s="6">
        <f>8+50</f>
        <v>58</v>
      </c>
      <c r="X297" s="6">
        <f>155+52</f>
        <v>207</v>
      </c>
      <c r="Y297" s="6"/>
      <c r="Z297" s="6"/>
      <c r="AA297" s="6">
        <f>89+65+20+10</f>
        <v>184</v>
      </c>
      <c r="AB297" s="6"/>
      <c r="AC297" s="6"/>
      <c r="AD297" s="6">
        <f>114.8+20</f>
        <v>134.80000000000001</v>
      </c>
      <c r="AE297" s="6"/>
      <c r="AF297" s="6">
        <f>340+135</f>
        <v>475</v>
      </c>
      <c r="AG297" s="54">
        <f t="shared" si="26"/>
        <v>1722.8999999999999</v>
      </c>
    </row>
    <row r="298" spans="1:33" x14ac:dyDescent="0.2">
      <c r="A298" s="16" t="str">
        <f>BUDGET!A15</f>
        <v>Healthcare</v>
      </c>
      <c r="B298" s="6"/>
      <c r="C298" s="6"/>
      <c r="D298" s="6"/>
      <c r="E298" s="6"/>
      <c r="F298" s="6"/>
      <c r="G298" s="6"/>
      <c r="H298" s="6">
        <v>22</v>
      </c>
      <c r="I298" s="6"/>
      <c r="J298" s="6"/>
      <c r="K298" s="6"/>
      <c r="L298" s="6"/>
      <c r="M298" s="6"/>
      <c r="N298" s="6"/>
      <c r="O298" s="6"/>
      <c r="P298" s="6"/>
      <c r="Q298" s="6">
        <f>18</f>
        <v>18</v>
      </c>
      <c r="R298" s="6"/>
      <c r="S298" s="6"/>
      <c r="T298" s="6"/>
      <c r="U298" s="6"/>
      <c r="V298" s="6"/>
      <c r="W298" s="6"/>
      <c r="X298" s="6"/>
      <c r="Y298" s="6"/>
      <c r="Z298" s="6"/>
      <c r="AA298" s="6">
        <v>16</v>
      </c>
      <c r="AB298" s="6"/>
      <c r="AC298" s="6"/>
      <c r="AD298" s="6"/>
      <c r="AE298" s="6"/>
      <c r="AF298" s="6"/>
      <c r="AG298" s="54">
        <f t="shared" si="26"/>
        <v>56</v>
      </c>
    </row>
    <row r="299" spans="1:33" x14ac:dyDescent="0.2">
      <c r="A299" s="16" t="str">
        <f>BUDGET!A16</f>
        <v xml:space="preserve">Clothes/ Shoes/ Jewelry </v>
      </c>
      <c r="B299" s="6"/>
      <c r="C299" s="6">
        <v>120</v>
      </c>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54">
        <f t="shared" si="26"/>
        <v>120</v>
      </c>
    </row>
    <row r="300" spans="1:33" x14ac:dyDescent="0.2">
      <c r="A300" s="16" t="str">
        <f>BUDGET!A17</f>
        <v>shoes</v>
      </c>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54">
        <f t="shared" si="26"/>
        <v>0</v>
      </c>
    </row>
    <row r="301" spans="1:33" x14ac:dyDescent="0.2">
      <c r="A301" s="16" t="str">
        <f>BUDGET!A18</f>
        <v xml:space="preserve">Travel/ Vacations </v>
      </c>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54">
        <f t="shared" si="26"/>
        <v>0</v>
      </c>
    </row>
    <row r="302" spans="1:33" x14ac:dyDescent="0.2">
      <c r="A302" s="16" t="str">
        <f>BUDGET!A19</f>
        <v>Outings</v>
      </c>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54">
        <f t="shared" si="26"/>
        <v>0</v>
      </c>
    </row>
    <row r="303" spans="1:33" x14ac:dyDescent="0.2">
      <c r="A303" s="16" t="str">
        <f>BUDGET!A20</f>
        <v>Toiletries/Groceries</v>
      </c>
      <c r="B303" s="6">
        <v>0</v>
      </c>
      <c r="C303" s="6">
        <v>0</v>
      </c>
      <c r="D303" s="6"/>
      <c r="E303" s="6"/>
      <c r="F303" s="6"/>
      <c r="G303" s="6"/>
      <c r="H303" s="6"/>
      <c r="J303" s="6"/>
      <c r="K303" s="6"/>
      <c r="L303" s="6"/>
      <c r="M303" s="6"/>
      <c r="N303" s="6"/>
      <c r="O303" s="6"/>
      <c r="P303" s="6"/>
      <c r="Q303" s="6"/>
      <c r="R303" s="6"/>
      <c r="S303" s="6"/>
      <c r="T303" s="6"/>
      <c r="U303" s="6"/>
      <c r="V303" s="6"/>
      <c r="W303" s="6"/>
      <c r="X303" s="6">
        <f>313</f>
        <v>313</v>
      </c>
      <c r="Y303" s="6">
        <v>1179.81</v>
      </c>
      <c r="Z303" s="6"/>
      <c r="AA303" s="6">
        <v>47</v>
      </c>
      <c r="AB303" s="6"/>
      <c r="AC303" s="6"/>
      <c r="AD303" s="6"/>
      <c r="AE303" s="6"/>
      <c r="AF303" s="6"/>
      <c r="AG303" s="54">
        <f t="shared" si="26"/>
        <v>1539.81</v>
      </c>
    </row>
    <row r="304" spans="1:33" x14ac:dyDescent="0.2">
      <c r="A304" s="16" t="str">
        <f>BUDGET!A21</f>
        <v xml:space="preserve">Transportation </v>
      </c>
      <c r="B304" s="6">
        <v>29</v>
      </c>
      <c r="C304" s="6"/>
      <c r="D304" s="6">
        <v>21</v>
      </c>
      <c r="E304" s="6">
        <f>59+64</f>
        <v>123</v>
      </c>
      <c r="F304" s="6">
        <v>24</v>
      </c>
      <c r="G304" s="6">
        <f>75</f>
        <v>75</v>
      </c>
      <c r="H304" s="6">
        <f>59</f>
        <v>59</v>
      </c>
      <c r="I304" s="6">
        <f>52+64</f>
        <v>116</v>
      </c>
      <c r="J304" s="127">
        <f>45+63</f>
        <v>108</v>
      </c>
      <c r="K304" s="6"/>
      <c r="L304" s="6"/>
      <c r="M304" s="6"/>
      <c r="N304" s="6">
        <f>4+7+4.5</f>
        <v>15.5</v>
      </c>
      <c r="O304" s="6">
        <f>30</f>
        <v>30</v>
      </c>
      <c r="P304" s="127">
        <v>108</v>
      </c>
      <c r="Q304" s="6"/>
      <c r="R304" s="6">
        <f>30+27+66+65</f>
        <v>188</v>
      </c>
      <c r="S304" s="6"/>
      <c r="T304" s="6">
        <f>5+7.5</f>
        <v>12.5</v>
      </c>
      <c r="U304" s="6">
        <f>7+5.5+62</f>
        <v>74.5</v>
      </c>
      <c r="V304" s="6">
        <f>14+11+5+7.5</f>
        <v>37.5</v>
      </c>
      <c r="W304" s="6">
        <f>7+5.5+98</f>
        <v>110.5</v>
      </c>
      <c r="X304" s="6">
        <f>45+24+60</f>
        <v>129</v>
      </c>
      <c r="Y304" s="6">
        <f>30+27</f>
        <v>57</v>
      </c>
      <c r="Z304" s="6">
        <f>76</f>
        <v>76</v>
      </c>
      <c r="AA304" s="6">
        <f>29+3.5+2.5</f>
        <v>35</v>
      </c>
      <c r="AB304" s="6">
        <v>19</v>
      </c>
      <c r="AC304" s="6"/>
      <c r="AD304" s="6">
        <v>18</v>
      </c>
      <c r="AE304" s="6"/>
      <c r="AF304" s="6">
        <f>19+21</f>
        <v>40</v>
      </c>
      <c r="AG304" s="54">
        <f t="shared" si="26"/>
        <v>1505.5</v>
      </c>
    </row>
    <row r="305" spans="1:33" x14ac:dyDescent="0.2">
      <c r="A305" s="16" t="str">
        <f>BUDGET!A22</f>
        <v>Miscellaneous</v>
      </c>
      <c r="B305" s="6"/>
      <c r="C305" s="6"/>
      <c r="D305" s="6"/>
      <c r="E305" s="6">
        <f>11+100</f>
        <v>111</v>
      </c>
      <c r="F305" s="6"/>
      <c r="G305" s="6"/>
      <c r="H305" s="6">
        <v>50</v>
      </c>
      <c r="I305" s="6"/>
      <c r="J305" s="6"/>
      <c r="K305" s="127">
        <v>650</v>
      </c>
      <c r="L305" s="6"/>
      <c r="M305" s="6">
        <v>50</v>
      </c>
      <c r="N305" s="6"/>
      <c r="O305" s="6">
        <v>50</v>
      </c>
      <c r="P305" s="6">
        <f>50+10</f>
        <v>60</v>
      </c>
      <c r="Q305" s="6"/>
      <c r="R305" s="6"/>
      <c r="S305" s="6">
        <v>100</v>
      </c>
      <c r="T305" s="6"/>
      <c r="U305" s="6"/>
      <c r="V305" s="6"/>
      <c r="W305" s="6"/>
      <c r="X305" s="6">
        <v>50</v>
      </c>
      <c r="Y305" s="6"/>
      <c r="Z305" s="6"/>
      <c r="AA305" s="6"/>
      <c r="AB305" s="6"/>
      <c r="AC305" s="6">
        <v>21</v>
      </c>
      <c r="AD305" s="6"/>
      <c r="AE305" s="6"/>
      <c r="AF305" s="6"/>
      <c r="AG305" s="54">
        <f t="shared" si="26"/>
        <v>1142</v>
      </c>
    </row>
    <row r="306" spans="1:33" x14ac:dyDescent="0.2">
      <c r="A306" s="16" t="str">
        <f>BUDGET!A23</f>
        <v>Apple Subscriptions</v>
      </c>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v>12.77</v>
      </c>
      <c r="AC306" s="6"/>
      <c r="AD306" s="6"/>
      <c r="AE306" s="6"/>
      <c r="AF306" s="6"/>
      <c r="AG306" s="54">
        <f t="shared" si="26"/>
        <v>12.77</v>
      </c>
    </row>
    <row r="307" spans="1:33" x14ac:dyDescent="0.2">
      <c r="A307" s="16" t="str">
        <f>BUDGET!A24</f>
        <v>Google 1</v>
      </c>
      <c r="B307" s="6"/>
      <c r="C307" s="6"/>
      <c r="D307" s="6"/>
      <c r="E307" s="6"/>
      <c r="F307" s="6"/>
      <c r="G307" s="6"/>
      <c r="H307" s="6"/>
      <c r="I307" s="6"/>
      <c r="J307" s="6"/>
      <c r="K307" s="6"/>
      <c r="L307" s="6">
        <v>9</v>
      </c>
      <c r="M307" s="6"/>
      <c r="N307" s="6"/>
      <c r="O307" s="6"/>
      <c r="P307" s="6"/>
      <c r="Q307" s="6"/>
      <c r="R307" s="6"/>
      <c r="S307" s="6"/>
      <c r="T307" s="6"/>
      <c r="U307" s="6"/>
      <c r="V307" s="6"/>
      <c r="W307" s="6"/>
      <c r="X307" s="6"/>
      <c r="Y307" s="6"/>
      <c r="Z307" s="6"/>
      <c r="AA307" s="6"/>
      <c r="AB307" s="6"/>
      <c r="AC307" s="6"/>
      <c r="AD307" s="6"/>
      <c r="AE307" s="6"/>
      <c r="AF307" s="6"/>
      <c r="AG307" s="54">
        <f t="shared" si="26"/>
        <v>9</v>
      </c>
    </row>
    <row r="308" spans="1:33" x14ac:dyDescent="0.2">
      <c r="A308" s="16" t="str">
        <f>BUDGET!A25</f>
        <v>Netflix</v>
      </c>
      <c r="B308" s="6"/>
      <c r="C308" s="6"/>
      <c r="D308" s="6"/>
      <c r="E308" s="6"/>
      <c r="F308" s="6"/>
      <c r="G308" s="6"/>
      <c r="H308" s="6"/>
      <c r="I308" s="6"/>
      <c r="J308" s="6"/>
      <c r="K308" s="6"/>
      <c r="L308" s="6"/>
      <c r="M308" s="6"/>
      <c r="N308" s="6"/>
      <c r="O308" s="6"/>
      <c r="P308" s="6"/>
      <c r="Q308" s="6"/>
      <c r="R308" s="6"/>
      <c r="S308" s="6"/>
      <c r="T308" s="6"/>
      <c r="U308" s="6"/>
      <c r="V308" s="6"/>
      <c r="W308" s="6"/>
      <c r="X308" s="6">
        <v>103.02</v>
      </c>
      <c r="Y308" s="6"/>
      <c r="Z308" s="6"/>
      <c r="AA308" s="6"/>
      <c r="AB308" s="6"/>
      <c r="AC308" s="6"/>
      <c r="AD308" s="6"/>
      <c r="AE308" s="6"/>
      <c r="AF308" s="6"/>
      <c r="AG308" s="54">
        <f t="shared" si="26"/>
        <v>103.02</v>
      </c>
    </row>
    <row r="309" spans="1:33" x14ac:dyDescent="0.2">
      <c r="A309" s="16" t="str">
        <f>BUDGET!A26</f>
        <v>Amuse</v>
      </c>
      <c r="B309" s="6"/>
      <c r="C309" s="6"/>
      <c r="D309" s="6"/>
      <c r="E309" s="6"/>
      <c r="F309" s="6"/>
      <c r="G309" s="6"/>
      <c r="H309" s="6"/>
      <c r="I309" s="6"/>
      <c r="J309" s="6"/>
      <c r="K309" s="6"/>
      <c r="L309" s="6"/>
      <c r="M309" s="6"/>
      <c r="N309" s="6"/>
      <c r="O309" s="6"/>
      <c r="P309" s="6"/>
      <c r="Q309" s="6"/>
      <c r="R309" s="6"/>
      <c r="S309" s="6"/>
      <c r="T309" s="6"/>
      <c r="U309" s="6"/>
      <c r="V309" s="6"/>
      <c r="W309" s="6"/>
      <c r="Y309" s="6"/>
      <c r="Z309" s="6"/>
      <c r="AA309" s="6"/>
      <c r="AB309" s="6"/>
      <c r="AC309" s="6"/>
      <c r="AD309" s="6"/>
      <c r="AE309" s="6"/>
      <c r="AF309" s="6"/>
      <c r="AG309" s="54">
        <f t="shared" si="26"/>
        <v>0</v>
      </c>
    </row>
    <row r="310" spans="1:33" x14ac:dyDescent="0.2">
      <c r="A310" s="16" t="str">
        <f>BUDGET!A27</f>
        <v>electricity</v>
      </c>
      <c r="B310" s="6">
        <v>0</v>
      </c>
      <c r="C310" s="6">
        <v>0</v>
      </c>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54">
        <f t="shared" si="26"/>
        <v>0</v>
      </c>
    </row>
    <row r="311" spans="1:33" ht="16" thickBot="1" x14ac:dyDescent="0.25">
      <c r="A311" s="16" t="str">
        <f>BUDGET!A28</f>
        <v>Account Charges</v>
      </c>
      <c r="B311" s="6"/>
      <c r="C311" s="6">
        <v>1.2</v>
      </c>
      <c r="D311" s="6"/>
      <c r="E311" s="6"/>
      <c r="F311" s="6"/>
      <c r="G311" s="6"/>
      <c r="H311" s="6"/>
      <c r="I311" s="6"/>
      <c r="J311" s="6"/>
      <c r="K311" s="6">
        <v>6.5</v>
      </c>
      <c r="L311" s="6"/>
      <c r="M311" s="6">
        <v>7</v>
      </c>
      <c r="N311" s="6">
        <v>3</v>
      </c>
      <c r="O311" s="6"/>
      <c r="P311" s="6"/>
      <c r="Q311" s="6"/>
      <c r="R311" s="6"/>
      <c r="S311" s="6"/>
      <c r="T311" s="6"/>
      <c r="U311" s="6"/>
      <c r="V311" s="6"/>
      <c r="W311" s="6"/>
      <c r="X311" s="6"/>
      <c r="Y311" s="6"/>
      <c r="Z311" s="6"/>
      <c r="AA311" s="6"/>
      <c r="AB311" s="6"/>
      <c r="AC311" s="6"/>
      <c r="AD311" s="6"/>
      <c r="AE311" s="6"/>
      <c r="AF311" s="6">
        <v>10</v>
      </c>
      <c r="AG311" s="54">
        <f t="shared" si="26"/>
        <v>27.7</v>
      </c>
    </row>
    <row r="312" spans="1:33" ht="16.5" customHeight="1" thickBot="1" x14ac:dyDescent="0.25">
      <c r="A312" s="20" t="s">
        <v>11</v>
      </c>
      <c r="B312" s="21">
        <f>SUM(B292:B311)</f>
        <v>29</v>
      </c>
      <c r="C312" s="21">
        <f t="shared" ref="C312:AG312" si="27">SUM(C292:C311)</f>
        <v>124.2</v>
      </c>
      <c r="D312" s="21">
        <f>SUM(D292:D311)</f>
        <v>21</v>
      </c>
      <c r="E312" s="21">
        <f t="shared" si="27"/>
        <v>244</v>
      </c>
      <c r="F312" s="21">
        <f t="shared" si="27"/>
        <v>86</v>
      </c>
      <c r="G312" s="21">
        <f t="shared" si="27"/>
        <v>85</v>
      </c>
      <c r="H312" s="21">
        <f t="shared" si="27"/>
        <v>221</v>
      </c>
      <c r="I312" s="21">
        <f t="shared" si="27"/>
        <v>133</v>
      </c>
      <c r="J312" s="21">
        <f t="shared" si="27"/>
        <v>143</v>
      </c>
      <c r="K312" s="21">
        <f t="shared" si="27"/>
        <v>656.5</v>
      </c>
      <c r="L312" s="21">
        <f t="shared" si="27"/>
        <v>129</v>
      </c>
      <c r="M312" s="21">
        <f t="shared" si="27"/>
        <v>77</v>
      </c>
      <c r="N312" s="21">
        <f t="shared" si="27"/>
        <v>38.5</v>
      </c>
      <c r="O312" s="21">
        <f t="shared" si="27"/>
        <v>185</v>
      </c>
      <c r="P312" s="21">
        <f t="shared" si="27"/>
        <v>198</v>
      </c>
      <c r="Q312" s="21">
        <f t="shared" si="27"/>
        <v>566.1</v>
      </c>
      <c r="R312" s="21">
        <f t="shared" si="27"/>
        <v>188</v>
      </c>
      <c r="S312" s="21">
        <f t="shared" si="27"/>
        <v>120</v>
      </c>
      <c r="T312" s="21">
        <f t="shared" si="27"/>
        <v>35.5</v>
      </c>
      <c r="U312" s="21">
        <f t="shared" si="27"/>
        <v>74.5</v>
      </c>
      <c r="V312" s="21">
        <f t="shared" si="27"/>
        <v>43.5</v>
      </c>
      <c r="W312" s="21">
        <f t="shared" si="27"/>
        <v>168.5</v>
      </c>
      <c r="X312" s="21">
        <f t="shared" si="27"/>
        <v>802.02</v>
      </c>
      <c r="Y312" s="21">
        <f t="shared" si="27"/>
        <v>1236.81</v>
      </c>
      <c r="Z312" s="21">
        <f t="shared" si="27"/>
        <v>76</v>
      </c>
      <c r="AA312" s="21">
        <f t="shared" si="27"/>
        <v>282</v>
      </c>
      <c r="AB312" s="21">
        <f t="shared" si="27"/>
        <v>31.77</v>
      </c>
      <c r="AC312" s="21">
        <f t="shared" si="27"/>
        <v>21</v>
      </c>
      <c r="AD312" s="21">
        <f t="shared" si="27"/>
        <v>152.80000000000001</v>
      </c>
      <c r="AE312" s="21">
        <f t="shared" si="27"/>
        <v>0</v>
      </c>
      <c r="AF312" s="21">
        <f t="shared" si="27"/>
        <v>1525</v>
      </c>
      <c r="AG312" s="56">
        <f t="shared" si="27"/>
        <v>7693.7</v>
      </c>
    </row>
    <row r="313" spans="1:33" ht="16" thickTop="1" x14ac:dyDescent="0.2"/>
  </sheetData>
  <pageMargins left="0.7" right="0.7" top="0.75" bottom="0.75" header="0.3" footer="0.3"/>
  <pageSetup scale="47" orientation="portrait" horizontalDpi="4294967293" verticalDpi="0" r:id="rId1"/>
  <rowBreaks count="1" manualBreakCount="1">
    <brk id="190" max="32" man="1"/>
  </rowBreaks>
  <colBreaks count="1" manualBreakCount="1">
    <brk id="17" max="250" man="1"/>
  </col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O17"/>
  <sheetViews>
    <sheetView topLeftCell="D1" zoomScale="140" zoomScaleNormal="140" workbookViewId="0">
      <selection activeCell="K5" sqref="K5"/>
    </sheetView>
  </sheetViews>
  <sheetFormatPr baseColWidth="10" defaultColWidth="8.83203125" defaultRowHeight="15" x14ac:dyDescent="0.2"/>
  <cols>
    <col min="1" max="1" width="16.33203125" bestFit="1" customWidth="1"/>
    <col min="2" max="2" width="10" bestFit="1" customWidth="1"/>
    <col min="3" max="3" width="11" bestFit="1" customWidth="1"/>
    <col min="4" max="4" width="10.5" customWidth="1"/>
    <col min="6" max="6" width="10.5" customWidth="1"/>
    <col min="7" max="7" width="10" customWidth="1"/>
    <col min="8" max="8" width="9.1640625" bestFit="1" customWidth="1"/>
    <col min="10" max="10" width="14.1640625" bestFit="1" customWidth="1"/>
    <col min="11" max="11" width="11.5" bestFit="1" customWidth="1"/>
    <col min="12" max="12" width="13.83203125" bestFit="1" customWidth="1"/>
    <col min="13" max="13" width="13" bestFit="1" customWidth="1"/>
    <col min="14" max="14" width="3" customWidth="1"/>
    <col min="15" max="15" width="10.83203125" bestFit="1" customWidth="1"/>
  </cols>
  <sheetData>
    <row r="1" spans="1:15" ht="16" x14ac:dyDescent="0.2">
      <c r="A1" s="25" t="s">
        <v>29</v>
      </c>
      <c r="B1" s="25" t="str">
        <f>BUDGET!B2</f>
        <v>January</v>
      </c>
      <c r="C1" s="25" t="str">
        <f>BUDGET!C2</f>
        <v>February</v>
      </c>
      <c r="D1" s="25" t="str">
        <f>BUDGET!D2</f>
        <v>March</v>
      </c>
      <c r="E1" s="25" t="str">
        <f>BUDGET!E2</f>
        <v>April</v>
      </c>
      <c r="F1" s="25" t="str">
        <f>BUDGET!F2</f>
        <v>May</v>
      </c>
      <c r="G1" s="25" t="str">
        <f>BUDGET!G2</f>
        <v>June</v>
      </c>
      <c r="H1" s="25" t="str">
        <f>BUDGET!H2</f>
        <v>July</v>
      </c>
      <c r="I1" s="25" t="str">
        <f>BUDGET!I2</f>
        <v>August</v>
      </c>
      <c r="J1" s="25" t="str">
        <f>BUDGET!J2</f>
        <v>September</v>
      </c>
      <c r="K1" s="25" t="str">
        <f>BUDGET!K2</f>
        <v>October</v>
      </c>
      <c r="L1" s="25" t="str">
        <f>BUDGET!L2</f>
        <v>November</v>
      </c>
      <c r="M1" s="25" t="str">
        <f>BUDGET!M2</f>
        <v>December</v>
      </c>
      <c r="N1" s="26"/>
      <c r="O1" s="67" t="s">
        <v>11</v>
      </c>
    </row>
    <row r="2" spans="1:15" ht="16" x14ac:dyDescent="0.2">
      <c r="A2" s="25" t="s">
        <v>14</v>
      </c>
      <c r="B2" s="26" t="s">
        <v>1</v>
      </c>
      <c r="C2" s="26" t="s">
        <v>1</v>
      </c>
      <c r="D2" s="26" t="s">
        <v>1</v>
      </c>
      <c r="E2" s="26" t="s">
        <v>1</v>
      </c>
      <c r="F2" s="26" t="s">
        <v>1</v>
      </c>
      <c r="G2" s="26" t="s">
        <v>1</v>
      </c>
      <c r="H2" s="26" t="s">
        <v>1</v>
      </c>
      <c r="I2" s="26" t="s">
        <v>1</v>
      </c>
      <c r="J2" s="26" t="s">
        <v>1</v>
      </c>
      <c r="K2" s="26" t="s">
        <v>1</v>
      </c>
      <c r="L2" s="26" t="s">
        <v>1</v>
      </c>
      <c r="M2" s="26" t="s">
        <v>1</v>
      </c>
      <c r="N2" s="26"/>
      <c r="O2" s="46" t="s">
        <v>1</v>
      </c>
    </row>
    <row r="3" spans="1:15" ht="16" x14ac:dyDescent="0.2">
      <c r="A3" s="69" t="s">
        <v>12</v>
      </c>
      <c r="B3" s="70"/>
      <c r="C3" s="70"/>
      <c r="D3" s="70"/>
      <c r="E3" s="70"/>
      <c r="F3" s="70"/>
      <c r="G3" s="70"/>
      <c r="H3" s="70"/>
      <c r="I3" s="70"/>
      <c r="J3" s="70"/>
      <c r="K3" s="70"/>
      <c r="L3" s="70"/>
      <c r="M3" s="70"/>
      <c r="N3" s="70"/>
      <c r="O3" s="68">
        <f>SUM(B3:M3)</f>
        <v>0</v>
      </c>
    </row>
    <row r="4" spans="1:15" ht="16" x14ac:dyDescent="0.2">
      <c r="A4" s="16" t="str">
        <f>BUDGET!A4</f>
        <v>Salary</v>
      </c>
      <c r="B4" s="13">
        <v>3945</v>
      </c>
      <c r="C4" s="13">
        <v>3913</v>
      </c>
      <c r="D4" s="13">
        <v>3915</v>
      </c>
      <c r="E4" s="13">
        <v>3850</v>
      </c>
      <c r="F4" s="13">
        <v>3850</v>
      </c>
      <c r="G4" s="13">
        <v>3847</v>
      </c>
      <c r="H4" s="13">
        <f>ACTUAL!H3</f>
        <v>3844</v>
      </c>
      <c r="I4" s="13">
        <f>ACTUAL!I3</f>
        <v>3860</v>
      </c>
      <c r="J4" s="13">
        <f>ACTUAL!J3</f>
        <v>3829</v>
      </c>
      <c r="K4" s="13">
        <f>ACTUAL!K3</f>
        <v>3280</v>
      </c>
      <c r="L4" s="13">
        <f>ACTUAL!L3</f>
        <v>3246</v>
      </c>
      <c r="M4" s="13">
        <f>ACTUAL!M3</f>
        <v>3400</v>
      </c>
      <c r="N4" s="24"/>
      <c r="O4" s="68">
        <f>SUM(B4:M4)</f>
        <v>44779</v>
      </c>
    </row>
    <row r="5" spans="1:15" ht="16" x14ac:dyDescent="0.2">
      <c r="A5" s="16" t="str">
        <f>BUDGET!A5</f>
        <v>Other</v>
      </c>
      <c r="B5" s="13">
        <v>718</v>
      </c>
      <c r="C5" s="13">
        <v>250</v>
      </c>
      <c r="D5" s="13">
        <v>350</v>
      </c>
      <c r="E5" s="13">
        <v>250</v>
      </c>
      <c r="F5" s="13">
        <v>500</v>
      </c>
      <c r="G5" s="13">
        <f>ACTUAL!G4</f>
        <v>140</v>
      </c>
      <c r="H5" s="13">
        <f>ACTUAL!H4</f>
        <v>560</v>
      </c>
      <c r="I5" s="13">
        <f>ACTUAL!I4</f>
        <v>130</v>
      </c>
      <c r="J5" s="13">
        <f>ACTUAL!J4</f>
        <v>410</v>
      </c>
      <c r="K5" s="13">
        <f>ACTUAL!K4</f>
        <v>6700</v>
      </c>
      <c r="L5" s="13">
        <f>ACTUAL!L4</f>
        <v>5660</v>
      </c>
      <c r="M5" s="13">
        <f>ACTUAL!M4</f>
        <v>2750</v>
      </c>
      <c r="N5" s="24"/>
      <c r="O5" s="68">
        <f>SUM(B5:M5)</f>
        <v>18418</v>
      </c>
    </row>
    <row r="6" spans="1:15" ht="16" thickBot="1" x14ac:dyDescent="0.25">
      <c r="A6" s="14" t="s">
        <v>0</v>
      </c>
      <c r="B6" s="36">
        <f>SUM(B3:B5)</f>
        <v>4663</v>
      </c>
      <c r="C6" s="36">
        <f t="shared" ref="C6:M6" si="0">SUM(C3:C5)</f>
        <v>4163</v>
      </c>
      <c r="D6" s="36">
        <f t="shared" si="0"/>
        <v>4265</v>
      </c>
      <c r="E6" s="36">
        <f t="shared" si="0"/>
        <v>4100</v>
      </c>
      <c r="F6" s="36">
        <f t="shared" si="0"/>
        <v>4350</v>
      </c>
      <c r="G6" s="36">
        <f t="shared" si="0"/>
        <v>3987</v>
      </c>
      <c r="H6" s="36">
        <f t="shared" si="0"/>
        <v>4404</v>
      </c>
      <c r="I6" s="36">
        <f t="shared" si="0"/>
        <v>3990</v>
      </c>
      <c r="J6" s="36">
        <f t="shared" si="0"/>
        <v>4239</v>
      </c>
      <c r="K6" s="36">
        <f t="shared" si="0"/>
        <v>9980</v>
      </c>
      <c r="L6" s="36">
        <f t="shared" si="0"/>
        <v>8906</v>
      </c>
      <c r="M6" s="36">
        <f t="shared" si="0"/>
        <v>6150</v>
      </c>
      <c r="N6" s="35"/>
      <c r="O6" s="48">
        <f>SUM(O3:O5)</f>
        <v>63197</v>
      </c>
    </row>
    <row r="7" spans="1:15" ht="16" thickTop="1" x14ac:dyDescent="0.2"/>
    <row r="9" spans="1:15" x14ac:dyDescent="0.2">
      <c r="A9" s="106" t="s">
        <v>69</v>
      </c>
      <c r="B9" s="34">
        <f>$C$15*B4</f>
        <v>394.5</v>
      </c>
      <c r="C9" s="34">
        <f t="shared" ref="C9:I9" si="1">$C$15*C4</f>
        <v>391.3</v>
      </c>
      <c r="D9" s="34">
        <f>$C$15*D4</f>
        <v>391.5</v>
      </c>
      <c r="E9" s="34">
        <f t="shared" si="1"/>
        <v>385</v>
      </c>
      <c r="F9" s="34">
        <f t="shared" si="1"/>
        <v>385</v>
      </c>
      <c r="G9" s="34">
        <f t="shared" si="1"/>
        <v>384.70000000000005</v>
      </c>
      <c r="H9" s="34">
        <f t="shared" si="1"/>
        <v>384.40000000000003</v>
      </c>
      <c r="I9" s="34">
        <f t="shared" si="1"/>
        <v>386</v>
      </c>
      <c r="J9" s="34">
        <f t="shared" ref="J9:M9" si="2">0.1*J4</f>
        <v>382.90000000000003</v>
      </c>
      <c r="K9" s="34">
        <f t="shared" si="2"/>
        <v>328</v>
      </c>
      <c r="L9" s="34">
        <f t="shared" si="2"/>
        <v>324.60000000000002</v>
      </c>
      <c r="M9" s="34">
        <f t="shared" si="2"/>
        <v>340</v>
      </c>
      <c r="O9" s="34">
        <f>SUM(B9:M9)</f>
        <v>4477.9000000000005</v>
      </c>
    </row>
    <row r="10" spans="1:15" x14ac:dyDescent="0.2">
      <c r="A10" t="s">
        <v>155</v>
      </c>
      <c r="B10" s="34">
        <f>$C$16*B4</f>
        <v>591.75</v>
      </c>
      <c r="C10" s="34">
        <f t="shared" ref="C10:M10" si="3">$C$16*C4</f>
        <v>586.94999999999993</v>
      </c>
      <c r="D10" s="34">
        <f t="shared" si="3"/>
        <v>587.25</v>
      </c>
      <c r="E10" s="34">
        <f t="shared" si="3"/>
        <v>577.5</v>
      </c>
      <c r="F10" s="34">
        <f t="shared" si="3"/>
        <v>577.5</v>
      </c>
      <c r="G10" s="34">
        <f t="shared" si="3"/>
        <v>577.04999999999995</v>
      </c>
      <c r="H10" s="34">
        <f t="shared" si="3"/>
        <v>576.6</v>
      </c>
      <c r="I10" s="34">
        <f t="shared" si="3"/>
        <v>579</v>
      </c>
      <c r="J10" s="34">
        <f t="shared" si="3"/>
        <v>574.35</v>
      </c>
      <c r="K10" s="34">
        <f t="shared" si="3"/>
        <v>492</v>
      </c>
      <c r="L10" s="34">
        <f t="shared" si="3"/>
        <v>486.9</v>
      </c>
      <c r="M10" s="34">
        <f t="shared" si="3"/>
        <v>510</v>
      </c>
      <c r="O10" s="34">
        <f>SUM(B10:M10)</f>
        <v>6716.85</v>
      </c>
    </row>
    <row r="11" spans="1:15" x14ac:dyDescent="0.2">
      <c r="A11" t="s">
        <v>156</v>
      </c>
      <c r="B11" s="34">
        <f>$C$17*B4</f>
        <v>591.75</v>
      </c>
      <c r="C11" s="34">
        <f>$C$17*C4</f>
        <v>586.94999999999993</v>
      </c>
      <c r="D11" s="34">
        <f t="shared" ref="D11:M11" si="4">$C$17*D4</f>
        <v>587.25</v>
      </c>
      <c r="E11" s="34">
        <f t="shared" si="4"/>
        <v>577.5</v>
      </c>
      <c r="F11" s="34">
        <f t="shared" si="4"/>
        <v>577.5</v>
      </c>
      <c r="G11" s="34">
        <f t="shared" si="4"/>
        <v>577.04999999999995</v>
      </c>
      <c r="H11" s="34">
        <f t="shared" si="4"/>
        <v>576.6</v>
      </c>
      <c r="I11" s="34">
        <f t="shared" si="4"/>
        <v>579</v>
      </c>
      <c r="J11" s="34">
        <f t="shared" si="4"/>
        <v>574.35</v>
      </c>
      <c r="K11" s="34">
        <f t="shared" si="4"/>
        <v>492</v>
      </c>
      <c r="L11" s="34">
        <f t="shared" si="4"/>
        <v>486.9</v>
      </c>
      <c r="M11" s="34">
        <f t="shared" si="4"/>
        <v>510</v>
      </c>
      <c r="O11" s="34">
        <f t="shared" ref="O11:O13" si="5">SUM(B11:M11)</f>
        <v>6716.85</v>
      </c>
    </row>
    <row r="12" spans="1:15" ht="16" thickBot="1" x14ac:dyDescent="0.25">
      <c r="A12" t="s">
        <v>11</v>
      </c>
      <c r="B12" s="36">
        <f>SUM(B9:B11)</f>
        <v>1578</v>
      </c>
      <c r="C12" s="36">
        <f t="shared" ref="C12:M12" si="6">SUM(C9:C11)</f>
        <v>1565.1999999999998</v>
      </c>
      <c r="D12" s="36">
        <f t="shared" si="6"/>
        <v>1566</v>
      </c>
      <c r="E12" s="36">
        <f t="shared" si="6"/>
        <v>1540</v>
      </c>
      <c r="F12" s="36">
        <f t="shared" si="6"/>
        <v>1540</v>
      </c>
      <c r="G12" s="36">
        <f t="shared" si="6"/>
        <v>1538.8</v>
      </c>
      <c r="H12" s="36">
        <f t="shared" si="6"/>
        <v>1537.6</v>
      </c>
      <c r="I12" s="36">
        <f t="shared" si="6"/>
        <v>1544</v>
      </c>
      <c r="J12" s="36">
        <f t="shared" si="6"/>
        <v>1531.6</v>
      </c>
      <c r="K12" s="36">
        <f t="shared" si="6"/>
        <v>1312</v>
      </c>
      <c r="L12" s="36">
        <f t="shared" si="6"/>
        <v>1298.4000000000001</v>
      </c>
      <c r="M12" s="36">
        <f t="shared" si="6"/>
        <v>1360</v>
      </c>
      <c r="O12" s="34">
        <f t="shared" si="5"/>
        <v>17911.600000000002</v>
      </c>
    </row>
    <row r="13" spans="1:15" ht="16" thickTop="1" x14ac:dyDescent="0.2">
      <c r="A13" t="s">
        <v>160</v>
      </c>
      <c r="B13" s="34">
        <f>B4-B12</f>
        <v>2367</v>
      </c>
      <c r="C13" s="34">
        <f t="shared" ref="C13:M13" si="7">C4-C12</f>
        <v>2347.8000000000002</v>
      </c>
      <c r="D13" s="34">
        <f t="shared" si="7"/>
        <v>2349</v>
      </c>
      <c r="E13" s="34">
        <f t="shared" si="7"/>
        <v>2310</v>
      </c>
      <c r="F13" s="34">
        <f t="shared" si="7"/>
        <v>2310</v>
      </c>
      <c r="G13" s="34">
        <f t="shared" si="7"/>
        <v>2308.1999999999998</v>
      </c>
      <c r="H13" s="34">
        <f t="shared" si="7"/>
        <v>2306.4</v>
      </c>
      <c r="I13" s="34">
        <f t="shared" si="7"/>
        <v>2316</v>
      </c>
      <c r="J13" s="34">
        <f t="shared" si="7"/>
        <v>2297.4</v>
      </c>
      <c r="K13" s="34">
        <f t="shared" si="7"/>
        <v>1968</v>
      </c>
      <c r="L13" s="34">
        <f t="shared" si="7"/>
        <v>1947.6</v>
      </c>
      <c r="M13" s="34">
        <f t="shared" si="7"/>
        <v>2040</v>
      </c>
      <c r="O13" s="34">
        <f t="shared" si="5"/>
        <v>26867.4</v>
      </c>
    </row>
    <row r="15" spans="1:15" x14ac:dyDescent="0.2">
      <c r="A15" t="s">
        <v>157</v>
      </c>
      <c r="B15">
        <v>10</v>
      </c>
      <c r="C15">
        <f>B15%</f>
        <v>0.1</v>
      </c>
    </row>
    <row r="16" spans="1:15" x14ac:dyDescent="0.2">
      <c r="A16" t="s">
        <v>158</v>
      </c>
      <c r="B16">
        <v>15</v>
      </c>
      <c r="C16">
        <f>B16%</f>
        <v>0.15</v>
      </c>
    </row>
    <row r="17" spans="1:3" x14ac:dyDescent="0.2">
      <c r="A17" t="s">
        <v>159</v>
      </c>
      <c r="B17">
        <v>15</v>
      </c>
      <c r="C17">
        <f>B17%</f>
        <v>0.15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d 3 1 2 9 2 d - 5 f a 9 - 4 6 1 1 - b 1 e 6 - e d f 4 f 3 7 9 7 2 8 8 "   x m l n s = " h t t p : / / s c h e m a s . m i c r o s o f t . c o m / D a t a M a s h u p " > A A A A A N A G A A B Q S w M E F A A A C A g A 9 2 X F W P e u z o e j A A A A 9 g A A A B I A A A B D b 2 5 m a W c v U G F j a 2 F n Z S 5 4 b W y F j 7 E O g j A Y h F + F d K e F u i D 5 K Y O r J C Z E 4 9 q U i o 3 w Y 2 i x v J u D j + Q r i F H U z f H u v k v u 7 t c b 5 G P b B B f d W 9 N h R m I a k U C j 6 i q D d U Y G d w g T k g v Y S H W S t Q 4 m G G 0 6 W p O R o 3 P n l D H v P f U L 2 v U 1 4 1 E U s 3 2 x L t V R t z I 0 a J 1 E p c m n V f 1 v E Q G 7 1 x j B a c y X N E 6 m T c B m E w q D X 4 B P 2 T P 9 M W E 1 N G 7 o t d A Y b k t g s w T 2 / i A e U E s D B B Q A A A g I A P d l x V g M s c f t H w Q A A I w P A A A T A A A A R m 9 y b X V s Y X M v U 2 V j d G l v b j E u b Y 2 X Y W / a S B C G v 0 f q f 1 g 5 0 s l I i M T G d u / U 9 i Q C R G 2 v l 0 a B t C c h d F r w N v h i b L R e J 0 Q R / 7 2 z a 4 M H v F O d F A K e s X f m 2 Z 1 9 Z 1 2 I p U r y j E 2 q b + / d m 7 M 3 Z 8 W K S x G z c 2 c w n N 4 P v r D x P 7 f j m 8 l 4 4 r A P L B X q j L F J X s q l g M v x d i n S 3 v d c P i 7 y / N G 9 T l L R G + a Z E p k q X O f i v h C y u P i v j B N R X o x E 8 a j y z c X n s l B J x v x L v 8 + u y v h B K H a b b E S a Z K K 3 T Y u t 0 + m y r E z T L l O y F J 0 u x D t 3 b v h T 8 s B N r p 7 O o 8 r g d f Z J i T V c t l L t s r + S L N a e y U o I 5 c x 3 s x F X f F 6 N N l z x 7 A E Q l 3 l a r j O m X j Z C D z r l C 8 h / K n l W / M j l e m i 8 U 3 A W 7 k k G X f b 6 6 l R + f a E H Y E p s 1 Q 4 c t d 3 f 2 3 n 2 g s x 9 u z m w m 0 O 7 O b K b 3 9 r N v 9 v N f 9 j N 3 i V h 9 w g 7 A e o R p B 6 B 6 h G s H g H r E b Q e g e s R v D 7 B 6 x O 8 P s H r E 7 w + w e s T v D 7 B 6 x O 8 P s H r E 7 x 9 g r d P 8 P a p Q i Z 4 + w f e r F w v h M Q u j f w p U 1 H Q 0 7 s K e y L S Q 2 D 3 C e w + g R 0 Q 2 A G B H R D Y A b W B i W U O i G U O i G U O C N 6 A 4 A 0 I 3 p D g D Q n e k O A N C d 6 Q U i y C N y R 4 Q 4 I 3 J H h D g j c i e C O C N y J 4 I 4 I 3 I n g j S q I J 3 u i I d 1 e 3 t 0 E c 6 3 Y E n T F f N 5 0 I r N V D r r 1 l d Z n z N z T b F f w Q f L l i y Q 8 2 h S Z k O j B P s s K d 1 d I 3 h z t H g + n Y 6 T C 1 E h k 7 2 J l I C 2 G 6 b Z 3 I n V j n T x B G S J n L o k m l s t / l z 8 X 3 R K 3 G x u u e 5 K 0 h q 3 z 2 W H A e S M E f 5 8 9 Z M 5 Q 2 j s D i t q K 1 B 7 g T m 5 Q v 4 Y 4 n n p Y C p 2 P s 3 7 T V P Y 5 T o z L 9 A z 7 1 n f L o k X a g 8 V Z J v l Q w i G 7 j b C H U s 4 C J i u F Y s k 6 U w F N x c j 4 o 3 F a a 5 n R w t D J m W a 6 q Q U e H M V 1 j v p b 5 2 v 0 X D j 2 O q 3 P u w L 9 L + O v g Y 8 U + z V u 4 N 9 d Z r g S P j 7 K q P R 8 r u / t / i L p s V j 8 1 S N P J k q d c F j C e P n X N T 8 q h q r p W P T Q z 0 E p M T / H 0 6 3 T w R T O h z o B b A R Z / L P d Y 4 r G s Y y n H 8 o 0 l G 8 s 0 l m Y s x 1 i C s e x i q c X y i i U V y y i W T i y X W C K x L G I p x P K H J Q / L H J Y 2 L G d Y w r B s Y a n C 8 o Q l q Z G h f U 3 d Z 5 v k y a x d a 5 V r 1 1 c Q D Y m r / b g o 9 F K b L e d + H t x 0 z c F e F 7 F z u H J A / 5 y B U j J Z l M r I l t m F T q M S U I 8 w o A R 5 a Y J P R A p v J V p y X F u S 9 c 6 a n b d j z 9 n 7 P 2 s V c K / H V 3 s z K G 7 8 i / u n u e K p Y x H k 6 o 2 j L c n H e W v d 4 Y a u y u v A O 2 e / G T G C L w j e T M p + j 1 m U H U c k X k d O E j S S U 8 c 3 I 8 T w e 7 e z b 2 M 8 / O l G t m e j l 7 j J / G g 1 m x i 5 j M 1 0 W M T C u M g K q g P Y a q h G q g u m i Z X x t T 2 S d u B A p 0 l V E 2 W J N I R I D 7 l 8 c a x N m f n 2 G j j N 5 L Q l 6 / x 7 x u L q F 1 A Q 1 s 5 Z k t m G f / c T U E s D B B Q A A A g I A P d l x V g P y u m r p A A A A O k A A A A T A A A A W 0 N v b n R l b n R f V H l w Z X N d L n h t b G 2 O S w 7 C M A x E r x J 5 n 7 q w Q A g 1 Z Q H c g A t E w f 2 I 5 q P G R e F s L D g S V y B t d 4 i l Z + Z 5 5 v N 6 V 8 d k B / G g M f b e K d g U J Q h y x t 9 6 1 y q Y u J F 7 O N b V 9 R k o i h x 1 U U H H H A 6 I 0 X R k d S x 8 I J e d x o 9 W c z 7 H F o M 2 d 9 0 S b s t y h 8 Y 7 J s e S 5 x 9 Q V 2 d q 9 D S w u K Q s r 7 U Z B 3 F a c 3 O V A q b E u M j 4 l 7 A / e R 3 C 0 B v N 2 c Q k b Z R 2 I X E Z X n 8 B U E s B A h Q D F A A A C A g A 9 2 X F W P e u z o e j A A A A 9 g A A A B I A A A A A A A A A A A A A A K S B A A A A A E N v b m Z p Z y 9 Q Y W N r Y W d l L n h t b F B L A Q I U A x Q A A A g I A P d l x V g M s c f t H w Q A A I w P A A A T A A A A A A A A A A A A A A C k g d M A A A B G b 3 J t d W x h c y 9 T Z W N 0 a W 9 u M S 5 t U E s B A h Q D F A A A C A g A 9 2 X F W A / K 6 a u k A A A A 6 Q A A A B M A A A A A A A A A A A A A A K S B I w U A A F t D b 2 5 0 Z W 5 0 X 1 R 5 c G V z X S 5 4 b W x Q S w U G A A A A A A M A A w D C 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G h Q A A A A A A A D 4 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B Q 1 R V Q U w l M j B F W F B F T l N F U 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c 0 O G Q 1 Z D Z m L T V h M z Y t N D A y Z i 0 4 M 2 V h L W R m N D M 2 N T g w N z A 2 M C I g L z 4 8 R W 5 0 c n k g V H l w Z T 0 i Q n V m Z m V y T m V 4 d F J l Z n J l c 2 g i I F Z h b H V l P S J s M S I g L z 4 8 R W 5 0 c n k g V H l w Z T 0 i U m V z d W x 0 V H l w Z S I g V m F s d W U 9 I n N U Y W J s Z S I g L z 4 8 R W 5 0 c n k g V H l w Z T 0 i T m F t Z V V w Z G F 0 Z W R B Z n R l c k Z p b G w i I F Z h b H V l P S J s M C I g L z 4 8 R W 5 0 c n k g V H l w Z T 0 i Q W R k Z W R U b 0 R h d G F N b 2 R l b C I g V m F s d W U 9 I m w w I i A v P j x F b n R y e S B U e X B l P S J G a W x s Q 2 9 1 b n Q i I F Z h b H V l P S J s M T Y 4 N C I g L z 4 8 R W 5 0 c n k g V H l w Z T 0 i R m l s b E V y c m 9 y Q 2 9 k Z S I g V m F s d W U 9 I n N V b m t u b 3 d u I i A v P j x F b n R y e S B U e X B l P S J G a W x s R X J y b 3 J D b 3 V u d C I g V m F s d W U 9 I m w x M T M i I C 8 + P E V u d H J 5 I F R 5 c G U 9 I k Z p b G x M Y X N 0 V X B k Y X R l Z C I g V m F s d W U 9 I m Q y M D I 0 L T A 2 L T A 1 V D E y O j Q 3 O j Q 3 L j A y M j A y M D B a I i A v P j x F b n R y e S B U e X B l P S J G a W x s Q 2 9 s d W 1 u V H l w Z X M i I F Z h b H V l P S J z Q m d r Q U F B P T 0 i I C 8 + P E V u d H J 5 I F R 5 c G U 9 I k Z p b G x D b 2 x 1 b W 5 O Y W 1 l c y I g V m F s d W U 9 I n N b J n F 1 b 3 Q 7 Q 2 F 0 Z W d v c n k m c X V v d D s s J n F 1 b 3 Q 7 R G F 0 Z S Z x d W 9 0 O y w m c X V v d D t W Y W x 1 Z S Z x d W 9 0 O y w m c X V v d D t N b 2 5 0 a 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F D V F V B T C B F W F B F T l N F U y 9 B d X R v U m V t b 3 Z l Z E N v b H V t b n M x L n t D Y X R l Z 2 9 y e S w w f S Z x d W 9 0 O y w m c X V v d D t T Z W N 0 a W 9 u M S 9 B Q 1 R V Q U w g R V h Q R U 5 T R V M v Q X V 0 b 1 J l b W 9 2 Z W R D b 2 x 1 b W 5 z M S 5 7 R G F 0 Z S w x f S Z x d W 9 0 O y w m c X V v d D t T Z W N 0 a W 9 u M S 9 B Q 1 R V Q U w g R V h Q R U 5 T R V M v Q X V 0 b 1 J l b W 9 2 Z W R D b 2 x 1 b W 5 z M S 5 7 V m F s d W U s M n 0 m c X V v d D s s J n F 1 b 3 Q 7 U 2 V j d G l v b j E v Q U N U V U F M I E V Y U E V O U 0 V T L 0 F 1 d G 9 S Z W 1 v d m V k Q 2 9 s d W 1 u c z E u e 0 1 v b n R o L D N 9 J n F 1 b 3 Q 7 X S w m c X V v d D t D b 2 x 1 b W 5 D b 3 V u d C Z x d W 9 0 O z o 0 L C Z x d W 9 0 O 0 t l e U N v b H V t b k 5 h b W V z J n F 1 b 3 Q 7 O l t d L C Z x d W 9 0 O 0 N v b H V t b k l k Z W 5 0 a X R p Z X M m c X V v d D s 6 W y Z x d W 9 0 O 1 N l Y 3 R p b 2 4 x L 0 F D V F V B T C B F W F B F T l N F U y 9 B d X R v U m V t b 3 Z l Z E N v b H V t b n M x L n t D Y X R l Z 2 9 y e S w w f S Z x d W 9 0 O y w m c X V v d D t T Z W N 0 a W 9 u M S 9 B Q 1 R V Q U w g R V h Q R U 5 T R V M v Q X V 0 b 1 J l b W 9 2 Z W R D b 2 x 1 b W 5 z M S 5 7 R G F 0 Z S w x f S Z x d W 9 0 O y w m c X V v d D t T Z W N 0 a W 9 u M S 9 B Q 1 R V Q U w g R V h Q R U 5 T R V M v Q X V 0 b 1 J l b W 9 2 Z W R D b 2 x 1 b W 5 z M S 5 7 V m F s d W U s M n 0 m c X V v d D s s J n F 1 b 3 Q 7 U 2 V j d G l v b j E v Q U N U V U F M I E V Y U E V O U 0 V T L 0 F 1 d G 9 S Z W 1 v d m V k Q 2 9 s d W 1 u c z E u e 0 1 v b n R o L D N 9 J n F 1 b 3 Q 7 X S w m c X V v d D t S Z W x h d G l v b n N o a X B J b m Z v J n F 1 b 3 Q 7 O l t d f S I g L z 4 8 R W 5 0 c n k g V H l w Z T 0 i R m l s b F R h c m d l d C I g V m F s d W U 9 I n N B Q 1 R V Q U x f R V h Q R U 5 T R V M i I C 8 + P E V u d H J 5 I F R 5 c G U 9 I k Z p b G x l Z E N v b X B s Z X R l U m V z d W x 0 V G 9 X b 3 J r c 2 h l Z X Q i I F Z h b H V l P S J s M S I g L z 4 8 L 1 N 0 Y W J s Z U V u d H J p Z X M + P C 9 J d G V t P j x J d G V t P j x J d G V t T G 9 j Y X R p b 2 4 + P E l 0 Z W 1 U e X B l P k Z v c m 1 1 b G E 8 L 0 l 0 Z W 1 U e X B l P j x J d G V t U G F 0 a D 5 T Z W N 0 a W 9 u M S 9 B Q 1 R V Q U w l M j B F W F B F T l N F U y 9 T b 3 V y Y 2 U 8 L 0 l 0 Z W 1 Q Y X R o P j w v S X R l b U x v Y 2 F 0 a W 9 u P j x T d G F i b G V F b n R y a W V z I C 8 + P C 9 J d G V t P j x J d G V t P j x J d G V t T G 9 j Y X R p b 2 4 + P E l 0 Z W 1 U e X B l P k Z v c m 1 1 b G E 8 L 0 l 0 Z W 1 U e X B l P j x J d G V t U G F 0 a D 5 T Z W N 0 a W 9 u M S 9 B Q 1 R V Q U w l M j B F W F B F T l N F U y 9 O Y X Z p Z 2 F 0 a W 9 u J T I w M T w v S X R l b V B h d G g + P C 9 J d G V t T G 9 j Y X R p b 2 4 + P F N 0 Y W J s Z U V u d H J p Z X M g L z 4 8 L 0 l 0 Z W 0 + P E l 0 Z W 0 + P E l 0 Z W 1 M b 2 N h d G l v b j 4 8 S X R l b V R 5 c G U + R m 9 y b X V s Y T w v S X R l b V R 5 c G U + P E l 0 Z W 1 Q Y X R o P l N l Y 3 R p b 2 4 x L 0 F D V F V B T C U y M E V Y U E V O U 0 V T L 0 N o Y W 5 n Z W Q l M j B j b 2 x 1 b W 4 l M j B 0 e X B l P C 9 J d G V t U G F 0 a D 4 8 L 0 l 0 Z W 1 M b 2 N h d G l v b j 4 8 U 3 R h Y m x l R W 5 0 c m l l c y A v P j w v S X R l b T 4 8 S X R l b T 4 8 S X R l b U x v Y 2 F 0 a W 9 u P j x J d G V t V H l w Z T 5 G b 3 J t d W x h P C 9 J d G V t V H l w Z T 4 8 S X R l b V B h d G g + U 2 V j d G l v b j E v Q U N U V U F M J T I w R V h Q R U 5 T R V M v Q W R k Z W Q l M j B j d X N 0 b 2 0 8 L 0 l 0 Z W 1 Q Y X R o P j w v S X R l b U x v Y 2 F 0 a W 9 u P j x T d G F i b G V F b n R y a W V z I C 8 + P C 9 J d G V t P j x J d G V t P j x J d G V t T G 9 j Y X R p b 2 4 + P E l 0 Z W 1 U e X B l P k Z v c m 1 1 b G E 8 L 0 l 0 Z W 1 U e X B l P j x J d G V t U G F 0 a D 5 T Z W N 0 a W 9 u M S 9 B Q 1 R V Q U w l M j B F W F B F T l N F U y 9 S Z W 1 v d m V k J T I w Z X J y b 3 J z P C 9 J d G V t U G F 0 a D 4 8 L 0 l 0 Z W 1 M b 2 N h d G l v b j 4 8 U 3 R h Y m x l R W 5 0 c m l l c y A v P j w v S X R l b T 4 8 S X R l b T 4 8 S X R l b U x v Y 2 F 0 a W 9 u P j x J d G V t V H l w Z T 5 G b 3 J t d W x h P C 9 J d G V t V H l w Z T 4 8 S X R l b V B h d G g + U 2 V j d G l v b j E v Q U N U V U F M J T I w R V h Q R U 5 T R V M v R m l s b G V k J T I w Z G 9 3 b j w v S X R l b V B h d G g + P C 9 J d G V t T G 9 j Y X R p b 2 4 + P F N 0 Y W J s Z U V u d H J p Z X M g L z 4 8 L 0 l 0 Z W 0 + P E l 0 Z W 0 + P E l 0 Z W 1 M b 2 N h d G l v b j 4 8 S X R l b V R 5 c G U + R m 9 y b X V s Y T w v S X R l b V R 5 c G U + P E l 0 Z W 1 Q Y X R o P l N l Y 3 R p b 2 4 x L 0 F D V F V B T C U y M E V Y U E V O U 0 V T L 1 J l c G x h Y 2 V k J T I w d m F s d W U 8 L 0 l 0 Z W 1 Q Y X R o P j w v S X R l b U x v Y 2 F 0 a W 9 u P j x T d G F i b G V F b n R y a W V z I C 8 + P C 9 J d G V t P j x J d G V t P j x J d G V t T G 9 j Y X R p b 2 4 + P E l 0 Z W 1 U e X B l P k Z v c m 1 1 b G E 8 L 0 l 0 Z W 1 U e X B l P j x J d G V t U G F 0 a D 5 T Z W N 0 a W 9 u M S 9 B Q 1 R V Q U w l M j B F W F B F T l N F U y 9 F e H R y Y W N 0 Z W Q l M j B 0 Z X h 0 J T I w Y m V 0 d 2 V l b i U y M G R l b G l t a X R l c n M 8 L 0 l 0 Z W 1 Q Y X R o P j w v S X R l b U x v Y 2 F 0 a W 9 u P j x T d G F i b G V F b n R y a W V z I C 8 + P C 9 J d G V t P j x J d G V t P j x J d G V t T G 9 j Y X R p b 2 4 + P E l 0 Z W 1 U e X B l P k Z v c m 1 1 b G E 8 L 0 l 0 Z W 1 U e X B l P j x J d G V t U G F 0 a D 5 T Z W N 0 a W 9 u M S 9 B Q 1 R V Q U w l M j B F W F B F T l N F U y 9 D a G F u Z 2 V k J T I w Y 2 9 s d W 1 u J T I w d H l w Z S U y M D E 8 L 0 l 0 Z W 1 Q Y X R o P j w v S X R l b U x v Y 2 F 0 a W 9 u P j x T d G F i b G V F b n R y a W V z I C 8 + P C 9 J d G V t P j x J d G V t P j x J d G V t T G 9 j Y X R p b 2 4 + P E l 0 Z W 1 U e X B l P k Z v c m 1 1 b G E 8 L 0 l 0 Z W 1 U e X B l P j x J d G V t U G F 0 a D 5 T Z W N 0 a W 9 u M S 9 B Q 1 R V Q U w l M j B F W F B F T l N F U y 9 Q c m 9 t b 3 R l Z C U y M G h l Y W R l c n M 8 L 0 l 0 Z W 1 Q Y X R o P j w v S X R l b U x v Y 2 F 0 a W 9 u P j x T d G F i b G V F b n R y a W V z I C 8 + P C 9 J d G V t P j x J d G V t P j x J d G V t T G 9 j Y X R p b 2 4 + P E l 0 Z W 1 U e X B l P k Z v c m 1 1 b G E 8 L 0 l 0 Z W 1 U e X B l P j x J d G V t U G F 0 a D 5 T Z W N 0 a W 9 u M S 9 B Q 1 R V Q U w l M j B F W F B F T l N F U y 9 S Z W 1 v d m V k J T I w Y 2 9 s d W 1 u c z w v S X R l b V B h d G g + P C 9 J d G V t T G 9 j Y X R p b 2 4 + P F N 0 Y W J s Z U V u d H J p Z X M g L z 4 8 L 0 l 0 Z W 0 + P E l 0 Z W 0 + P E l 0 Z W 1 M b 2 N h d G l v b j 4 8 S X R l b V R 5 c G U + R m 9 y b X V s Y T w v S X R l b V R 5 c G U + P E l 0 Z W 1 Q Y X R o P l N l Y 3 R p b 2 4 x L 0 F D V F V B T C U y M E V Y U E V O U 0 V T L 1 V u c G l 2 b 3 R l Z C U y M G N v b H V t b n M 8 L 0 l 0 Z W 1 Q Y X R o P j w v S X R l b U x v Y 2 F 0 a W 9 u P j x T d G F i b G V F b n R y a W V z I C 8 + P C 9 J d G V t P j x J d G V t P j x J d G V t T G 9 j Y X R p b 2 4 + P E l 0 Z W 1 U e X B l P k Z v c m 1 1 b G E 8 L 0 l 0 Z W 1 U e X B l P j x J d G V t U G F 0 a D 5 T Z W N 0 a W 9 u M S 9 B Q 1 R V Q U w l M j B F W F B F T l N F U y 9 S Z W 5 h b W V k J T I w Y 2 9 s d W 1 u c z w v S X R l b V B h d G g + P C 9 J d G V t T G 9 j Y X R p b 2 4 + P F N 0 Y W J s Z U V u d H J p Z X M g L z 4 8 L 0 l 0 Z W 0 + P E l 0 Z W 0 + P E l 0 Z W 1 M b 2 N h d G l v b j 4 8 S X R l b V R 5 c G U + R m 9 y b X V s Y T w v S X R l b V R 5 c G U + P E l 0 Z W 1 Q Y X R o P l N l Y 3 R p b 2 4 x L 0 F D V F V B T C U y M E V Y U E V O U 0 V T L 0 Z p b H R l c m V k J T I w c m 9 3 c z w v S X R l b V B h d G g + P C 9 J d G V t T G 9 j Y X R p b 2 4 + P F N 0 Y W J s Z U V u d H J p Z X M g L z 4 8 L 0 l 0 Z W 0 + P E l 0 Z W 0 + P E l 0 Z W 1 M b 2 N h d G l v b j 4 8 S X R l b V R 5 c G U + R m 9 y b X V s Y T w v S X R l b V R 5 c G U + P E l 0 Z W 1 Q Y X R o P l N l Y 3 R p b 2 4 x L 0 F D V F V B T C U y M E V Y U E V O U 0 V T L 0 F k Z G V k J T I w Y 3 V z d G 9 t J T I w M T w v S X R l b V B h d G g + P C 9 J d G V t T G 9 j Y X R p b 2 4 + P F N 0 Y W J s Z U V u d H J p Z X M g L z 4 8 L 0 l 0 Z W 0 + P E l 0 Z W 0 + P E l 0 Z W 1 M b 2 N h d G l v b j 4 8 S X R l b V R 5 c G U + R m 9 y b X V s Y T w v S X R l b V R 5 c G U + P E l 0 Z W 1 Q Y X R o P l N l Y 3 R p b 2 4 x L 0 F D V F V B T C U y M E V Y U E V O U 0 V T L 1 J l b W 9 2 Z W Q l M j B j b 2 x 1 b W 5 z J T I w M T w v S X R l b V B h d G g + P C 9 J d G V t T G 9 j Y X R p b 2 4 + P F N 0 Y W J s Z U V u d H J p Z X M g L z 4 8 L 0 l 0 Z W 0 + P E l 0 Z W 0 + P E l 0 Z W 1 M b 2 N h d G l v b j 4 8 S X R l b V R 5 c G U + R m 9 y b X V s Y T w v S X R l b V R 5 c G U + P E l 0 Z W 1 Q Y X R o P l N l Y 3 R p b 2 4 x L 0 F D V F V B T C U y M E V Y U E V O U 0 V T L 1 J l b 3 J k Z X J l Z C U y M G N v b H V t b n M 8 L 0 l 0 Z W 1 Q Y X R o P j w v S X R l b U x v Y 2 F 0 a W 9 u P j x T d G F i b G V F b n R y a W V z I C 8 + P C 9 J d G V t P j x J d G V t P j x J d G V t T G 9 j Y X R p b 2 4 + P E l 0 Z W 1 U e X B l P k Z v c m 1 1 b G E 8 L 0 l 0 Z W 1 U e X B l P j x J d G V t U G F 0 a D 5 T Z W N 0 a W 9 u M S 9 B Q 1 R V Q U w l M j B F W F B F T l N F U y 9 B Z G R l Z C U y M G N 1 c 3 R v b S U y M D I 8 L 0 l 0 Z W 1 Q Y X R o P j w v S X R l b U x v Y 2 F 0 a W 9 u P j x T d G F i b G V F b n R y a W V z I C 8 + P C 9 J d G V t P j w v S X R l b X M + P C 9 M b 2 N h b F B h Y 2 t h Z 2 V N Z X R h Z G F 0 Y U Z p b G U + F g A A A F B L B Q Y A A A A A A A A A A A A A A A A A A A A A A A B k A A A A N Z y r d T j M v 9 C X C K U s I f M g i u i 4 p E b t f 6 v 5 s G y E s N Q X K c g 1 u M l G D h J 9 5 3 c E L L n h o g S M 3 2 W r V P V z V M y O M / z J 2 S z t R L F D J + D 4 L 3 H I / o A d x T i A C P c / C Y X + 1 u h y A d X i t T 3 W R k N k P H 2 n S A = = < / D a t a M a s h u p > 
</file>

<file path=customXml/itemProps1.xml><?xml version="1.0" encoding="utf-8"?>
<ds:datastoreItem xmlns:ds="http://schemas.openxmlformats.org/officeDocument/2006/customXml" ds:itemID="{9271A111-3C92-3D4E-871F-DF8AD98008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Sheet1</vt:lpstr>
      <vt:lpstr>BUDGET</vt:lpstr>
      <vt:lpstr>Grocery List</vt:lpstr>
      <vt:lpstr>Recaliberation</vt:lpstr>
      <vt:lpstr>ACTUAL</vt:lpstr>
      <vt:lpstr>REPORT </vt:lpstr>
      <vt:lpstr>ACTUAL EXPENSES (2)</vt:lpstr>
      <vt:lpstr>ACTUAL EXPENSES</vt:lpstr>
      <vt:lpstr>ACTUAL INCOME</vt:lpstr>
      <vt:lpstr>Planned Expenses</vt:lpstr>
      <vt:lpstr>Sheet2</vt:lpstr>
      <vt:lpstr>Sheet3</vt:lpstr>
      <vt:lpstr>Category1</vt:lpstr>
      <vt:lpstr>Category1Total</vt:lpstr>
      <vt:lpstr>Category2</vt:lpstr>
      <vt:lpstr>Category2Total</vt:lpstr>
      <vt:lpstr>Category3</vt:lpstr>
      <vt:lpstr>Category3Total</vt:lpstr>
      <vt:lpstr>Category4</vt:lpstr>
      <vt:lpstr>Category4Total</vt:lpstr>
      <vt:lpstr>Category5</vt:lpstr>
      <vt:lpstr>Category5Total</vt:lpstr>
      <vt:lpstr>CategoryLookup</vt:lpstr>
      <vt:lpstr>ColumnTitle1</vt:lpstr>
      <vt:lpstr>ColumnTitleRegion1..J3.1</vt:lpstr>
      <vt:lpstr>'Grocery List'!Print_Titles</vt:lpstr>
    </vt:vector>
  </TitlesOfParts>
  <Manager/>
  <Company>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Android phone</dc:creator>
  <cp:keywords/>
  <dc:description/>
  <cp:lastModifiedBy>Justin Uto-Dieu</cp:lastModifiedBy>
  <cp:lastPrinted>2022-02-24T12:27:42Z</cp:lastPrinted>
  <dcterms:created xsi:type="dcterms:W3CDTF">2015-04-29T15:13:30Z</dcterms:created>
  <dcterms:modified xsi:type="dcterms:W3CDTF">2024-06-05T21:03:59Z</dcterms:modified>
  <cp:category/>
</cp:coreProperties>
</file>